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omments2.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omments5.xml" ContentType="application/vnd.openxmlformats-officedocument.spreadsheetml.comments+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comments6.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comments7.xml" ContentType="application/vnd.openxmlformats-officedocument.spreadsheetml.comments+xml"/>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comments8.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omments9.xml" ContentType="application/vnd.openxmlformats-officedocument.spreadsheetml.comments+xml"/>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omments10.xml" ContentType="application/vnd.openxmlformats-officedocument.spreadsheetml.comments+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omments11.xml" ContentType="application/vnd.openxmlformats-officedocument.spreadsheetml.comments+xml"/>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omments12.xml" ContentType="application/vnd.openxmlformats-officedocument.spreadsheetml.comments+xml"/>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omments13.xml" ContentType="application/vnd.openxmlformats-officedocument.spreadsheetml.comments+xml"/>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omments14.xml" ContentType="application/vnd.openxmlformats-officedocument.spreadsheetml.comments+xml"/>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omments15.xml" ContentType="application/vnd.openxmlformats-officedocument.spreadsheetml.comments+xml"/>
  <Override PartName="/xl/customProperty46.bin" ContentType="application/vnd.openxmlformats-officedocument.spreadsheetml.customProperty"/>
  <Override PartName="/xl/customProperty47.bin" ContentType="application/vnd.openxmlformats-officedocument.spreadsheetml.customProperty"/>
  <Override PartName="/xl/customProperty48.bin" ContentType="application/vnd.openxmlformats-officedocument.spreadsheetml.customProperty"/>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comments16.xml" ContentType="application/vnd.openxmlformats-officedocument.spreadsheetml.comments+xml"/>
  <Override PartName="/xl/customProperty49.bin" ContentType="application/vnd.openxmlformats-officedocument.spreadsheetml.customProperty"/>
  <Override PartName="/xl/customProperty50.bin" ContentType="application/vnd.openxmlformats-officedocument.spreadsheetml.customProperty"/>
  <Override PartName="/xl/customProperty51.bin" ContentType="application/vnd.openxmlformats-officedocument.spreadsheetml.customProperty"/>
  <Override PartName="/xl/comments17.xml" ContentType="application/vnd.openxmlformats-officedocument.spreadsheetml.comments+xml"/>
  <Override PartName="/xl/customProperty52.bin" ContentType="application/vnd.openxmlformats-officedocument.spreadsheetml.customProperty"/>
  <Override PartName="/xl/customProperty53.bin" ContentType="application/vnd.openxmlformats-officedocument.spreadsheetml.customProperty"/>
  <Override PartName="/xl/customProperty54.bin" ContentType="application/vnd.openxmlformats-officedocument.spreadsheetml.customProperty"/>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comments18.xml" ContentType="application/vnd.openxmlformats-officedocument.spreadsheetml.comments+xml"/>
  <Override PartName="/xl/customProperty55.bin" ContentType="application/vnd.openxmlformats-officedocument.spreadsheetml.customProperty"/>
  <Override PartName="/xl/customProperty56.bin" ContentType="application/vnd.openxmlformats-officedocument.spreadsheetml.customProperty"/>
  <Override PartName="/xl/customProperty57.bin" ContentType="application/vnd.openxmlformats-officedocument.spreadsheetml.customProperty"/>
  <Override PartName="/xl/comments19.xml" ContentType="application/vnd.openxmlformats-officedocument.spreadsheetml.comments+xml"/>
  <Override PartName="/xl/customProperty58.bin" ContentType="application/vnd.openxmlformats-officedocument.spreadsheetml.customProperty"/>
  <Override PartName="/xl/customProperty59.bin" ContentType="application/vnd.openxmlformats-officedocument.spreadsheetml.customProperty"/>
  <Override PartName="/xl/customProperty60.bin" ContentType="application/vnd.openxmlformats-officedocument.spreadsheetml.customProperty"/>
  <Override PartName="/xl/comments20.xml" ContentType="application/vnd.openxmlformats-officedocument.spreadsheetml.comments+xml"/>
  <Override PartName="/xl/customProperty61.bin" ContentType="application/vnd.openxmlformats-officedocument.spreadsheetml.customProperty"/>
  <Override PartName="/xl/customProperty62.bin" ContentType="application/vnd.openxmlformats-officedocument.spreadsheetml.customProperty"/>
  <Override PartName="/xl/customProperty63.bin" ContentType="application/vnd.openxmlformats-officedocument.spreadsheetml.customProperty"/>
  <Override PartName="/xl/comments21.xml" ContentType="application/vnd.openxmlformats-officedocument.spreadsheetml.comments+xml"/>
  <Override PartName="/xl/customProperty64.bin" ContentType="application/vnd.openxmlformats-officedocument.spreadsheetml.customProperty"/>
  <Override PartName="/xl/customProperty65.bin" ContentType="application/vnd.openxmlformats-officedocument.spreadsheetml.customProperty"/>
  <Override PartName="/xl/customProperty66.bin" ContentType="application/vnd.openxmlformats-officedocument.spreadsheetml.customProperty"/>
  <Override PartName="/xl/drawings/drawing11.xml" ContentType="application/vnd.openxmlformats-officedocument.drawing+xml"/>
  <Override PartName="/xl/activeX/activeX10.xml" ContentType="application/vnd.ms-office.activeX+xml"/>
  <Override PartName="/xl/activeX/activeX10.bin" ContentType="application/vnd.ms-office.activeX"/>
  <Override PartName="/xl/comments22.xml" ContentType="application/vnd.openxmlformats-officedocument.spreadsheetml.comments+xml"/>
  <Override PartName="/xl/customProperty67.bin" ContentType="application/vnd.openxmlformats-officedocument.spreadsheetml.customProperty"/>
  <Override PartName="/xl/customProperty68.bin" ContentType="application/vnd.openxmlformats-officedocument.spreadsheetml.customProperty"/>
  <Override PartName="/xl/customProperty69.bin" ContentType="application/vnd.openxmlformats-officedocument.spreadsheetml.customProperty"/>
  <Override PartName="/xl/drawings/drawing12.xml" ContentType="application/vnd.openxmlformats-officedocument.drawing+xml"/>
  <Override PartName="/xl/activeX/activeX11.xml" ContentType="application/vnd.ms-office.activeX+xml"/>
  <Override PartName="/xl/activeX/activeX11.bin" ContentType="application/vnd.ms-office.activeX"/>
  <Override PartName="/xl/comments23.xml" ContentType="application/vnd.openxmlformats-officedocument.spreadsheetml.comments+xml"/>
  <Override PartName="/xl/customProperty70.bin" ContentType="application/vnd.openxmlformats-officedocument.spreadsheetml.customProperty"/>
  <Override PartName="/xl/customProperty71.bin" ContentType="application/vnd.openxmlformats-officedocument.spreadsheetml.customProperty"/>
  <Override PartName="/xl/customProperty72.bin" ContentType="application/vnd.openxmlformats-officedocument.spreadsheetml.customProperty"/>
  <Override PartName="/xl/drawings/drawing13.xml" ContentType="application/vnd.openxmlformats-officedocument.drawing+xml"/>
  <Override PartName="/xl/activeX/activeX12.xml" ContentType="application/vnd.ms-office.activeX+xml"/>
  <Override PartName="/xl/activeX/activeX12.bin" ContentType="application/vnd.ms-office.activeX"/>
  <Override PartName="/xl/comments24.xml" ContentType="application/vnd.openxmlformats-officedocument.spreadsheetml.comments+xml"/>
  <Override PartName="/xl/customProperty73.bin" ContentType="application/vnd.openxmlformats-officedocument.spreadsheetml.customProperty"/>
  <Override PartName="/xl/customProperty74.bin" ContentType="application/vnd.openxmlformats-officedocument.spreadsheetml.customProperty"/>
  <Override PartName="/xl/customProperty75.bin" ContentType="application/vnd.openxmlformats-officedocument.spreadsheetml.customProperty"/>
  <Override PartName="/xl/drawings/drawing14.xml" ContentType="application/vnd.openxmlformats-officedocument.drawing+xml"/>
  <Override PartName="/xl/activeX/activeX13.xml" ContentType="application/vnd.ms-office.activeX+xml"/>
  <Override PartName="/xl/activeX/activeX13.bin" ContentType="application/vnd.ms-office.activeX"/>
  <Override PartName="/xl/comments25.xml" ContentType="application/vnd.openxmlformats-officedocument.spreadsheetml.comments+xml"/>
  <Override PartName="/xl/customProperty76.bin" ContentType="application/vnd.openxmlformats-officedocument.spreadsheetml.customProperty"/>
  <Override PartName="/xl/customProperty77.bin" ContentType="application/vnd.openxmlformats-officedocument.spreadsheetml.customProperty"/>
  <Override PartName="/xl/customProperty78.bin" ContentType="application/vnd.openxmlformats-officedocument.spreadsheetml.customProperty"/>
  <Override PartName="/xl/drawings/drawing15.xml" ContentType="application/vnd.openxmlformats-officedocument.drawing+xml"/>
  <Override PartName="/xl/activeX/activeX14.xml" ContentType="application/vnd.ms-office.activeX+xml"/>
  <Override PartName="/xl/activeX/activeX14.bin" ContentType="application/vnd.ms-office.activeX"/>
  <Override PartName="/xl/comments26.xml" ContentType="application/vnd.openxmlformats-officedocument.spreadsheetml.comments+xml"/>
  <Override PartName="/xl/customProperty79.bin" ContentType="application/vnd.openxmlformats-officedocument.spreadsheetml.customProperty"/>
  <Override PartName="/xl/customProperty80.bin" ContentType="application/vnd.openxmlformats-officedocument.spreadsheetml.customProperty"/>
  <Override PartName="/xl/customProperty81.bin" ContentType="application/vnd.openxmlformats-officedocument.spreadsheetml.customProperty"/>
  <Override PartName="/xl/drawings/drawing16.xml" ContentType="application/vnd.openxmlformats-officedocument.drawing+xml"/>
  <Override PartName="/xl/activeX/activeX15.xml" ContentType="application/vnd.ms-office.activeX+xml"/>
  <Override PartName="/xl/activeX/activeX15.bin" ContentType="application/vnd.ms-office.activeX"/>
  <Override PartName="/xl/comments27.xml" ContentType="application/vnd.openxmlformats-officedocument.spreadsheetml.comments+xml"/>
  <Override PartName="/xl/customProperty82.bin" ContentType="application/vnd.openxmlformats-officedocument.spreadsheetml.customProperty"/>
  <Override PartName="/xl/customProperty83.bin" ContentType="application/vnd.openxmlformats-officedocument.spreadsheetml.customProperty"/>
  <Override PartName="/xl/customProperty84.bin" ContentType="application/vnd.openxmlformats-officedocument.spreadsheetml.customProperty"/>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comments28.xml" ContentType="application/vnd.openxmlformats-officedocument.spreadsheetml.comments+xml"/>
  <Override PartName="/xl/customProperty85.bin" ContentType="application/vnd.openxmlformats-officedocument.spreadsheetml.customProperty"/>
  <Override PartName="/xl/customProperty86.bin" ContentType="application/vnd.openxmlformats-officedocument.spreadsheetml.customProperty"/>
  <Override PartName="/xl/customProperty87.bin" ContentType="application/vnd.openxmlformats-officedocument.spreadsheetml.customProperty"/>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comments29.xml" ContentType="application/vnd.openxmlformats-officedocument.spreadsheetml.comments+xml"/>
  <Override PartName="/xl/customProperty88.bin" ContentType="application/vnd.openxmlformats-officedocument.spreadsheetml.customProperty"/>
  <Override PartName="/xl/customProperty89.bin" ContentType="application/vnd.openxmlformats-officedocument.spreadsheetml.customProperty"/>
  <Override PartName="/xl/customProperty90.bin" ContentType="application/vnd.openxmlformats-officedocument.spreadsheetml.customProperty"/>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comments30.xml" ContentType="application/vnd.openxmlformats-officedocument.spreadsheetml.comments+xml"/>
  <Override PartName="/xl/customProperty91.bin" ContentType="application/vnd.openxmlformats-officedocument.spreadsheetml.customProperty"/>
  <Override PartName="/xl/customProperty92.bin" ContentType="application/vnd.openxmlformats-officedocument.spreadsheetml.customProperty"/>
  <Override PartName="/xl/customProperty93.bin" ContentType="application/vnd.openxmlformats-officedocument.spreadsheetml.customProperty"/>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comments31.xml" ContentType="application/vnd.openxmlformats-officedocument.spreadsheetml.comments+xml"/>
  <Override PartName="/xl/customProperty94.bin" ContentType="application/vnd.openxmlformats-officedocument.spreadsheetml.customProperty"/>
  <Override PartName="/xl/customProperty95.bin" ContentType="application/vnd.openxmlformats-officedocument.spreadsheetml.customProperty"/>
  <Override PartName="/xl/customProperty96.bin" ContentType="application/vnd.openxmlformats-officedocument.spreadsheetml.customProperty"/>
  <Override PartName="/xl/comments32.xml" ContentType="application/vnd.openxmlformats-officedocument.spreadsheetml.comments+xml"/>
  <Override PartName="/xl/customProperty97.bin" ContentType="application/vnd.openxmlformats-officedocument.spreadsheetml.customProperty"/>
  <Override PartName="/xl/customProperty98.bin" ContentType="application/vnd.openxmlformats-officedocument.spreadsheetml.customProperty"/>
  <Override PartName="/xl/customProperty99.bin" ContentType="application/vnd.openxmlformats-officedocument.spreadsheetml.customProperty"/>
  <Override PartName="/xl/drawings/drawing21.xml" ContentType="application/vnd.openxmlformats-officedocument.drawing+xml"/>
  <Override PartName="/xl/activeX/activeX20.xml" ContentType="application/vnd.ms-office.activeX+xml"/>
  <Override PartName="/xl/activeX/activeX20.bin" ContentType="application/vnd.ms-office.activeX"/>
  <Override PartName="/xl/comments33.xml" ContentType="application/vnd.openxmlformats-officedocument.spreadsheetml.comments+xml"/>
  <Override PartName="/xl/customProperty100.bin" ContentType="application/vnd.openxmlformats-officedocument.spreadsheetml.customProperty"/>
  <Override PartName="/xl/customProperty101.bin" ContentType="application/vnd.openxmlformats-officedocument.spreadsheetml.customProperty"/>
  <Override PartName="/xl/customProperty102.bin" ContentType="application/vnd.openxmlformats-officedocument.spreadsheetml.customProperty"/>
  <Override PartName="/xl/drawings/drawing22.xml" ContentType="application/vnd.openxmlformats-officedocument.drawing+xml"/>
  <Override PartName="/xl/activeX/activeX21.xml" ContentType="application/vnd.ms-office.activeX+xml"/>
  <Override PartName="/xl/activeX/activeX21.bin" ContentType="application/vnd.ms-office.activeX"/>
  <Override PartName="/xl/comments34.xml" ContentType="application/vnd.openxmlformats-officedocument.spreadsheetml.comments+xml"/>
  <Override PartName="/xl/customProperty103.bin" ContentType="application/vnd.openxmlformats-officedocument.spreadsheetml.customProperty"/>
  <Override PartName="/xl/customProperty104.bin" ContentType="application/vnd.openxmlformats-officedocument.spreadsheetml.customProperty"/>
  <Override PartName="/xl/customProperty105.bin" ContentType="application/vnd.openxmlformats-officedocument.spreadsheetml.customProperty"/>
  <Override PartName="/xl/drawings/drawing23.xml" ContentType="application/vnd.openxmlformats-officedocument.drawing+xml"/>
  <Override PartName="/xl/activeX/activeX22.xml" ContentType="application/vnd.ms-office.activeX+xml"/>
  <Override PartName="/xl/activeX/activeX22.bin" ContentType="application/vnd.ms-office.activeX"/>
  <Override PartName="/xl/comments35.xml" ContentType="application/vnd.openxmlformats-officedocument.spreadsheetml.comments+xml"/>
  <Override PartName="/xl/customProperty106.bin" ContentType="application/vnd.openxmlformats-officedocument.spreadsheetml.customProperty"/>
  <Override PartName="/xl/customProperty107.bin" ContentType="application/vnd.openxmlformats-officedocument.spreadsheetml.customProperty"/>
  <Override PartName="/xl/customProperty108.bin" ContentType="application/vnd.openxmlformats-officedocument.spreadsheetml.customProperty"/>
  <Override PartName="/xl/drawings/drawing24.xml" ContentType="application/vnd.openxmlformats-officedocument.drawing+xml"/>
  <Override PartName="/xl/activeX/activeX23.xml" ContentType="application/vnd.ms-office.activeX+xml"/>
  <Override PartName="/xl/activeX/activeX23.bin" ContentType="application/vnd.ms-office.activeX"/>
  <Override PartName="/xl/comments36.xml" ContentType="application/vnd.openxmlformats-officedocument.spreadsheetml.comments+xml"/>
  <Override PartName="/xl/customProperty109.bin" ContentType="application/vnd.openxmlformats-officedocument.spreadsheetml.customProperty"/>
  <Override PartName="/xl/customProperty110.bin" ContentType="application/vnd.openxmlformats-officedocument.spreadsheetml.customProperty"/>
  <Override PartName="/xl/customProperty111.bin" ContentType="application/vnd.openxmlformats-officedocument.spreadsheetml.customProperty"/>
  <Override PartName="/xl/drawings/drawing25.xml" ContentType="application/vnd.openxmlformats-officedocument.drawing+xml"/>
  <Override PartName="/xl/activeX/activeX24.xml" ContentType="application/vnd.ms-office.activeX+xml"/>
  <Override PartName="/xl/activeX/activeX24.bin" ContentType="application/vnd.ms-office.activeX"/>
  <Override PartName="/xl/comments37.xml" ContentType="application/vnd.openxmlformats-officedocument.spreadsheetml.comments+xml"/>
  <Override PartName="/xl/customProperty112.bin" ContentType="application/vnd.openxmlformats-officedocument.spreadsheetml.customProperty"/>
  <Override PartName="/xl/customProperty113.bin" ContentType="application/vnd.openxmlformats-officedocument.spreadsheetml.customProperty"/>
  <Override PartName="/xl/customProperty114.bin" ContentType="application/vnd.openxmlformats-officedocument.spreadsheetml.customProperty"/>
  <Override PartName="/xl/drawings/drawing26.xml" ContentType="application/vnd.openxmlformats-officedocument.drawing+xml"/>
  <Override PartName="/xl/activeX/activeX25.xml" ContentType="application/vnd.ms-office.activeX+xml"/>
  <Override PartName="/xl/activeX/activeX25.bin" ContentType="application/vnd.ms-office.activeX"/>
  <Override PartName="/xl/comments38.xml" ContentType="application/vnd.openxmlformats-officedocument.spreadsheetml.comments+xml"/>
  <Override PartName="/xl/customProperty115.bin" ContentType="application/vnd.openxmlformats-officedocument.spreadsheetml.customProperty"/>
  <Override PartName="/xl/customProperty116.bin" ContentType="application/vnd.openxmlformats-officedocument.spreadsheetml.customProperty"/>
  <Override PartName="/xl/customProperty117.bin" ContentType="application/vnd.openxmlformats-officedocument.spreadsheetml.customProperty"/>
  <Override PartName="/xl/drawings/drawing27.xml" ContentType="application/vnd.openxmlformats-officedocument.drawing+xml"/>
  <Override PartName="/xl/activeX/activeX26.xml" ContentType="application/vnd.ms-office.activeX+xml"/>
  <Override PartName="/xl/activeX/activeX26.bin" ContentType="application/vnd.ms-office.activeX"/>
  <Override PartName="/xl/comments39.xml" ContentType="application/vnd.openxmlformats-officedocument.spreadsheetml.comments+xml"/>
  <Override PartName="/xl/customProperty118.bin" ContentType="application/vnd.openxmlformats-officedocument.spreadsheetml.customProperty"/>
  <Override PartName="/xl/customProperty119.bin" ContentType="application/vnd.openxmlformats-officedocument.spreadsheetml.customProperty"/>
  <Override PartName="/xl/customProperty120.bin" ContentType="application/vnd.openxmlformats-officedocument.spreadsheetml.customProperty"/>
  <Override PartName="/xl/drawings/drawing28.xml" ContentType="application/vnd.openxmlformats-officedocument.drawing+xml"/>
  <Override PartName="/xl/activeX/activeX27.xml" ContentType="application/vnd.ms-office.activeX+xml"/>
  <Override PartName="/xl/activeX/activeX27.bin" ContentType="application/vnd.ms-office.activeX"/>
  <Override PartName="/xl/comments40.xml" ContentType="application/vnd.openxmlformats-officedocument.spreadsheetml.comments+xml"/>
  <Override PartName="/xl/customProperty121.bin" ContentType="application/vnd.openxmlformats-officedocument.spreadsheetml.customProperty"/>
  <Override PartName="/xl/customProperty122.bin" ContentType="application/vnd.openxmlformats-officedocument.spreadsheetml.customProperty"/>
  <Override PartName="/xl/customProperty123.bin" ContentType="application/vnd.openxmlformats-officedocument.spreadsheetml.customProperty"/>
  <Override PartName="/xl/drawings/drawing29.xml" ContentType="application/vnd.openxmlformats-officedocument.drawing+xml"/>
  <Override PartName="/xl/activeX/activeX28.xml" ContentType="application/vnd.ms-office.activeX+xml"/>
  <Override PartName="/xl/activeX/activeX28.bin" ContentType="application/vnd.ms-office.activeX"/>
  <Override PartName="/xl/comments41.xml" ContentType="application/vnd.openxmlformats-officedocument.spreadsheetml.comments+xml"/>
  <Override PartName="/xl/customProperty124.bin" ContentType="application/vnd.openxmlformats-officedocument.spreadsheetml.customProperty"/>
  <Override PartName="/xl/customProperty125.bin" ContentType="application/vnd.openxmlformats-officedocument.spreadsheetml.customProperty"/>
  <Override PartName="/xl/customProperty126.bin" ContentType="application/vnd.openxmlformats-officedocument.spreadsheetml.customProperty"/>
  <Override PartName="/xl/comments42.xml" ContentType="application/vnd.openxmlformats-officedocument.spreadsheetml.comments+xml"/>
  <Override PartName="/xl/customProperty127.bin" ContentType="application/vnd.openxmlformats-officedocument.spreadsheetml.customProperty"/>
  <Override PartName="/xl/customProperty128.bin" ContentType="application/vnd.openxmlformats-officedocument.spreadsheetml.customProperty"/>
  <Override PartName="/xl/customProperty129.bin" ContentType="application/vnd.openxmlformats-officedocument.spreadsheetml.customProperty"/>
  <Override PartName="/xl/drawings/drawing30.xml" ContentType="application/vnd.openxmlformats-officedocument.drawing+xml"/>
  <Override PartName="/xl/activeX/activeX29.xml" ContentType="application/vnd.ms-office.activeX+xml"/>
  <Override PartName="/xl/activeX/activeX29.bin" ContentType="application/vnd.ms-office.activeX"/>
  <Override PartName="/xl/comments43.xml" ContentType="application/vnd.openxmlformats-officedocument.spreadsheetml.comments+xml"/>
  <Override PartName="/xl/customProperty130.bin" ContentType="application/vnd.openxmlformats-officedocument.spreadsheetml.customProperty"/>
  <Override PartName="/xl/customProperty131.bin" ContentType="application/vnd.openxmlformats-officedocument.spreadsheetml.customProperty"/>
  <Override PartName="/xl/customProperty132.bin" ContentType="application/vnd.openxmlformats-officedocument.spreadsheetml.customProperty"/>
  <Override PartName="/xl/drawings/drawing31.xml" ContentType="application/vnd.openxmlformats-officedocument.drawing+xml"/>
  <Override PartName="/xl/activeX/activeX30.xml" ContentType="application/vnd.ms-office.activeX+xml"/>
  <Override PartName="/xl/activeX/activeX30.bin" ContentType="application/vnd.ms-office.activeX"/>
  <Override PartName="/xl/comments44.xml" ContentType="application/vnd.openxmlformats-officedocument.spreadsheetml.comments+xml"/>
  <Override PartName="/xl/customProperty133.bin" ContentType="application/vnd.openxmlformats-officedocument.spreadsheetml.customProperty"/>
  <Override PartName="/xl/customProperty134.bin" ContentType="application/vnd.openxmlformats-officedocument.spreadsheetml.customProperty"/>
  <Override PartName="/xl/customProperty135.bin" ContentType="application/vnd.openxmlformats-officedocument.spreadsheetml.customProperty"/>
  <Override PartName="/xl/drawings/drawing32.xml" ContentType="application/vnd.openxmlformats-officedocument.drawing+xml"/>
  <Override PartName="/xl/activeX/activeX31.xml" ContentType="application/vnd.ms-office.activeX+xml"/>
  <Override PartName="/xl/activeX/activeX31.bin" ContentType="application/vnd.ms-office.activeX"/>
  <Override PartName="/xl/comments45.xml" ContentType="application/vnd.openxmlformats-officedocument.spreadsheetml.comments+xml"/>
  <Override PartName="/xl/customProperty136.bin" ContentType="application/vnd.openxmlformats-officedocument.spreadsheetml.customProperty"/>
  <Override PartName="/xl/customProperty137.bin" ContentType="application/vnd.openxmlformats-officedocument.spreadsheetml.customProperty"/>
  <Override PartName="/xl/customProperty138.bin" ContentType="application/vnd.openxmlformats-officedocument.spreadsheetml.customProperty"/>
  <Override PartName="/xl/drawings/drawing33.xml" ContentType="application/vnd.openxmlformats-officedocument.drawing+xml"/>
  <Override PartName="/xl/activeX/activeX32.xml" ContentType="application/vnd.ms-office.activeX+xml"/>
  <Override PartName="/xl/activeX/activeX32.bin" ContentType="application/vnd.ms-office.activeX"/>
  <Override PartName="/xl/comments46.xml" ContentType="application/vnd.openxmlformats-officedocument.spreadsheetml.comments+xml"/>
  <Override PartName="/xl/customProperty139.bin" ContentType="application/vnd.openxmlformats-officedocument.spreadsheetml.customProperty"/>
  <Override PartName="/xl/customProperty140.bin" ContentType="application/vnd.openxmlformats-officedocument.spreadsheetml.customProperty"/>
  <Override PartName="/xl/customProperty141.bin" ContentType="application/vnd.openxmlformats-officedocument.spreadsheetml.customProperty"/>
  <Override PartName="/xl/drawings/drawing34.xml" ContentType="application/vnd.openxmlformats-officedocument.drawing+xml"/>
  <Override PartName="/xl/activeX/activeX33.xml" ContentType="application/vnd.ms-office.activeX+xml"/>
  <Override PartName="/xl/activeX/activeX33.bin" ContentType="application/vnd.ms-office.activeX"/>
  <Override PartName="/xl/comments47.xml" ContentType="application/vnd.openxmlformats-officedocument.spreadsheetml.comments+xml"/>
  <Override PartName="/xl/customProperty142.bin" ContentType="application/vnd.openxmlformats-officedocument.spreadsheetml.customProperty"/>
  <Override PartName="/xl/customProperty143.bin" ContentType="application/vnd.openxmlformats-officedocument.spreadsheetml.customProperty"/>
  <Override PartName="/xl/customProperty144.bin" ContentType="application/vnd.openxmlformats-officedocument.spreadsheetml.customProperty"/>
  <Override PartName="/xl/drawings/drawing35.xml" ContentType="application/vnd.openxmlformats-officedocument.drawing+xml"/>
  <Override PartName="/xl/activeX/activeX34.xml" ContentType="application/vnd.ms-office.activeX+xml"/>
  <Override PartName="/xl/activeX/activeX34.bin" ContentType="application/vnd.ms-office.activeX"/>
  <Override PartName="/xl/comments48.xml" ContentType="application/vnd.openxmlformats-officedocument.spreadsheetml.comments+xml"/>
  <Override PartName="/xl/customProperty145.bin" ContentType="application/vnd.openxmlformats-officedocument.spreadsheetml.customProperty"/>
  <Override PartName="/xl/customProperty146.bin" ContentType="application/vnd.openxmlformats-officedocument.spreadsheetml.customProperty"/>
  <Override PartName="/xl/customProperty147.bin" ContentType="application/vnd.openxmlformats-officedocument.spreadsheetml.customProperty"/>
  <Override PartName="/xl/drawings/drawing36.xml" ContentType="application/vnd.openxmlformats-officedocument.drawing+xml"/>
  <Override PartName="/xl/activeX/activeX35.xml" ContentType="application/vnd.ms-office.activeX+xml"/>
  <Override PartName="/xl/activeX/activeX35.bin" ContentType="application/vnd.ms-office.activeX"/>
  <Override PartName="/xl/comments4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workbookPr codeName="ThisWorkbook" defaultThemeVersion="124226"/>
  <mc:AlternateContent xmlns:mc="http://schemas.openxmlformats.org/markup-compatibility/2006">
    <mc:Choice Requires="x15">
      <x15ac:absPath xmlns:x15ac="http://schemas.microsoft.com/office/spreadsheetml/2010/11/ac" url="S:\Finance\Property Financials\Actuals\2022\"/>
    </mc:Choice>
  </mc:AlternateContent>
  <xr:revisionPtr revIDLastSave="0" documentId="8_{16E16CD6-ABEB-4D75-8180-3F2D7843515D}" xr6:coauthVersionLast="47" xr6:coauthVersionMax="47" xr10:uidLastSave="{00000000-0000-0000-0000-000000000000}"/>
  <bookViews>
    <workbookView xWindow="-28920" yWindow="0" windowWidth="29040" windowHeight="15990" tabRatio="805" activeTab="1" xr2:uid="{00000000-000D-0000-FFFF-FFFF00000000}"/>
  </bookViews>
  <sheets>
    <sheet name="SetUp" sheetId="5" r:id="rId1"/>
    <sheet name="Summary" sheetId="37" r:id="rId2"/>
    <sheet name="Rooms" sheetId="4" r:id="rId3"/>
    <sheet name="MMA" sheetId="6" r:id="rId4"/>
    <sheet name="Resv" sheetId="7" r:id="rId5"/>
    <sheet name="FB_Cons" sheetId="16" r:id="rId6"/>
    <sheet name="FB_KPI" sheetId="17" r:id="rId7"/>
    <sheet name="Venue1" sheetId="9" r:id="rId8"/>
    <sheet name="Venue1_KPI" sheetId="39" r:id="rId9"/>
    <sheet name="Venue2" sheetId="51" r:id="rId10"/>
    <sheet name="Venue2_KPI" sheetId="55" r:id="rId11"/>
    <sheet name="Venue3" sheetId="52" r:id="rId12"/>
    <sheet name="Venue3_KPI" sheetId="56" r:id="rId13"/>
    <sheet name="Venue4" sheetId="53" r:id="rId14"/>
    <sheet name="Venue4_KPI" sheetId="57" r:id="rId15"/>
    <sheet name="Venue5" sheetId="61" r:id="rId16"/>
    <sheet name="Venue5_KPI" sheetId="62" r:id="rId17"/>
    <sheet name="Venue6" sheetId="63" r:id="rId18"/>
    <sheet name="Venue6_KPI" sheetId="64" r:id="rId19"/>
    <sheet name="VenueBar" sheetId="54" r:id="rId20"/>
    <sheet name="VenueBar_KPI" sheetId="58" r:id="rId21"/>
    <sheet name="IRD" sheetId="11" r:id="rId22"/>
    <sheet name="IRD_KPI" sheetId="59" r:id="rId23"/>
    <sheet name="BCC_CONS" sheetId="65" r:id="rId24"/>
    <sheet name="BCC_CONS_KPI" sheetId="66" r:id="rId25"/>
    <sheet name="BCC_Group" sheetId="67" r:id="rId26"/>
    <sheet name="BCC_KPI_Group" sheetId="68" r:id="rId27"/>
    <sheet name="BCC_Local" sheetId="69" r:id="rId28"/>
    <sheet name="BCC_KPI_Local" sheetId="70" r:id="rId29"/>
    <sheet name="Mini_Bar" sheetId="15" r:id="rId30"/>
    <sheet name="OTH_OP" sheetId="24" r:id="rId31"/>
    <sheet name="Telcom_Legacy" sheetId="18" r:id="rId32"/>
    <sheet name="HC_SPA" sheetId="19" r:id="rId33"/>
    <sheet name="Parking" sheetId="20" r:id="rId34"/>
    <sheet name="Retail" sheetId="21" r:id="rId35"/>
    <sheet name="FB_Retail" sheetId="22" r:id="rId36"/>
    <sheet name="Minor_Op" sheetId="23" r:id="rId37"/>
    <sheet name="MISC_INC" sheetId="25" r:id="rId38"/>
    <sheet name="AG" sheetId="26" r:id="rId39"/>
    <sheet name="HR_Detail" sheetId="27" r:id="rId40"/>
    <sheet name="IT" sheetId="28" r:id="rId41"/>
    <sheet name="SM" sheetId="29" r:id="rId42"/>
    <sheet name="POM" sheetId="30" r:id="rId43"/>
    <sheet name="EC" sheetId="31" r:id="rId44"/>
    <sheet name="Mgt_Fees" sheetId="32" r:id="rId45"/>
    <sheet name="Non_Op" sheetId="33" r:id="rId46"/>
    <sheet name="Laundry" sheetId="34" r:id="rId47"/>
    <sheet name="Dining" sheetId="35" r:id="rId48"/>
    <sheet name="PR_Related" sheetId="36" r:id="rId49"/>
  </sheets>
  <definedNames>
    <definedName name="_epmOfflineCondition_" localSheetId="38" hidden="1">1</definedName>
    <definedName name="_epmOfflineCondition_" localSheetId="23" hidden="1">1</definedName>
    <definedName name="_epmOfflineCondition_" localSheetId="24" hidden="1">1</definedName>
    <definedName name="_epmOfflineCondition_" localSheetId="25" hidden="1">1</definedName>
    <definedName name="_epmOfflineCondition_" localSheetId="26" hidden="1">1</definedName>
    <definedName name="_epmOfflineCondition_" localSheetId="28" hidden="1">1</definedName>
    <definedName name="_epmOfflineCondition_" localSheetId="27" hidden="1">1</definedName>
    <definedName name="_epmOfflineCondition_" localSheetId="47" hidden="1">1</definedName>
    <definedName name="_epmOfflineCondition_" localSheetId="43" hidden="1">1</definedName>
    <definedName name="_epmOfflineCondition_" localSheetId="5" hidden="1">1</definedName>
    <definedName name="_epmOfflineCondition_" localSheetId="6" hidden="1">1</definedName>
    <definedName name="_epmOfflineCondition_" localSheetId="35" hidden="1">1</definedName>
    <definedName name="_epmOfflineCondition_" localSheetId="32" hidden="1">1</definedName>
    <definedName name="_epmOfflineCondition_" localSheetId="39" hidden="1">1</definedName>
    <definedName name="_epmOfflineCondition_" localSheetId="21" hidden="1">1</definedName>
    <definedName name="_epmOfflineCondition_" localSheetId="22" hidden="1">1</definedName>
    <definedName name="_epmOfflineCondition_" localSheetId="40" hidden="1">1</definedName>
    <definedName name="_epmOfflineCondition_" localSheetId="46" hidden="1">1</definedName>
    <definedName name="_epmOfflineCondition_" localSheetId="44" hidden="1">1</definedName>
    <definedName name="_epmOfflineCondition_" localSheetId="29" hidden="1">1</definedName>
    <definedName name="_epmOfflineCondition_" localSheetId="36" hidden="1">1</definedName>
    <definedName name="_epmOfflineCondition_" localSheetId="37" hidden="1">1</definedName>
    <definedName name="_epmOfflineCondition_" localSheetId="3" hidden="1">1</definedName>
    <definedName name="_epmOfflineCondition_" localSheetId="45" hidden="1">1</definedName>
    <definedName name="_epmOfflineCondition_" localSheetId="30" hidden="1">1</definedName>
    <definedName name="_epmOfflineCondition_" localSheetId="33" hidden="1">1</definedName>
    <definedName name="_epmOfflineCondition_" localSheetId="42" hidden="1">1</definedName>
    <definedName name="_epmOfflineCondition_" localSheetId="48" hidden="1">1</definedName>
    <definedName name="_epmOfflineCondition_" localSheetId="4" hidden="1">1</definedName>
    <definedName name="_epmOfflineCondition_" localSheetId="34" hidden="1">1</definedName>
    <definedName name="_epmOfflineCondition_" localSheetId="2" hidden="1">1</definedName>
    <definedName name="_epmOfflineCondition_" localSheetId="0" hidden="1">1</definedName>
    <definedName name="_epmOfflineCondition_" localSheetId="41" hidden="1">1</definedName>
    <definedName name="_epmOfflineCondition_" localSheetId="1" hidden="1">1</definedName>
    <definedName name="_epmOfflineCondition_" localSheetId="31" hidden="1">1</definedName>
    <definedName name="_epmOfflineCondition_" localSheetId="7" hidden="1">1</definedName>
    <definedName name="_epmOfflineCondition_" localSheetId="8" hidden="1">1</definedName>
    <definedName name="_epmOfflineCondition_" localSheetId="9" hidden="1">1</definedName>
    <definedName name="_epmOfflineCondition_" localSheetId="10" hidden="1">1</definedName>
    <definedName name="_epmOfflineCondition_" localSheetId="11" hidden="1">1</definedName>
    <definedName name="_epmOfflineCondition_" localSheetId="12" hidden="1">1</definedName>
    <definedName name="_epmOfflineCondition_" localSheetId="13" hidden="1">1</definedName>
    <definedName name="_epmOfflineCondition_" localSheetId="14" hidden="1">1</definedName>
    <definedName name="_epmOfflineCondition_" localSheetId="15" hidden="1">1</definedName>
    <definedName name="_epmOfflineCondition_" localSheetId="16" hidden="1">1</definedName>
    <definedName name="_epmOfflineCondition_" localSheetId="17" hidden="1">1</definedName>
    <definedName name="_epmOfflineCondition_" localSheetId="18" hidden="1">1</definedName>
    <definedName name="_epmOfflineCondition_" localSheetId="19" hidden="1">1</definedName>
    <definedName name="_epmOfflineCondition_" localSheetId="20" hidden="1">1</definedName>
    <definedName name="EPMWorkbookOptions_1" hidden="1">"dDQAAB+LCAAAAAAABADtW21vokoU/r7J/gfjdwUUX7axbijS1b0qBrB3N83GII51Uhy4w1jbf38HBEWlFlq2orHpCz1z5sx5Hs45wxFofH+em7kngB1ooes8V2TzOYAMawLRw3V+QaYFrpr/3vz6pfGvhR/HlvUo24SqOjk6DzlXz87kOj8jxL5imOVyWVyWixZ+YEosyzG/el3VmIG5nl8rw7eVCxA5REcGyNNVc7mGaCEEDHdNzRIXGANE"</definedName>
    <definedName name="EPMWorkbookOptions_2" hidden="1">"7iBYeoNbwy2d6L6Uyvv6HKyWXS9JwNxeYOitOXQAHmAwBdSeAYoURr45uh30RjcDsady7Ojen/RoWLg0tg3dth3G0W2GHjN/Rvf/wLlNLESPbiFy3aVHU910Nn8bjOvDxiPBtk1o6CH2YnsW2Ni2EhL7gJu+LztLr4ja4y7GEB3sgfkY4CGC/y2AZ/VeEEV52Nf+FO/bHP11I3SFviipbUnSKOg9/T2LbQiwjo3ZS0ipzTWYKPne5BacA+QG"</definedName>
    <definedName name="EPMWorkbookOptions_3" hidden="1">"a0hJMAxrgUiDiRrcwcqkx4MoaNIPWfkdECEOFUXqH4kDUSfgwcIvn01CS9AEVREDDjRZo+HQ+nkcEtwSoGLj0zmQBoKi9aRNTrQq7JEYALaOCZV/ejZ0+pooB/iFbndEBZJCRUfhoYOIaH02BVqnJwUMlFjuW/Gn0D8OfI3KPht9TxLUoSKpFDz9HkhKR251xPfizzHxkAarfgztgZHQQBtOJgCt13EOELZWuoMOHEMTkpfU9zKPONejJsEL"</definedName>
    <definedName name="EPMWorkbookOptions_4" hidden="1">"4EaL988BzG97lQqGJHtRZkEk2EuyiyHRbpBZGLGLeWYRxK3HmQWQpMymD2JL+WAVDoPddFF7lVqdWZtFRcu0sO9rxMChqR76iJlRm4+rQLtVAp7Jrf5kYUioX16ruJq8N7Yzvw0fZib9ISowaccLJsGuCTd2DurE8OcWYoeEAEWP7xhao36d8LhaaWyKYRurM1jgqhWWK9e5kIGoc+vNlfEE4CbbYFYHkdYd29RfBtiyAaaRylWqlSkYTwuV"</definedName>
    <definedName name="EPMWorkbookOptions_5" hidden="1">"6oQv8KXpt0K9AkCB1UGJn4xrfG1cdlfenhVhuKs76xO3umiKYuiNKzNfJfW23bcbdan27MArBM3rvBs4+Ygrt9dPbby5hy5TU6SkxnIcG6txyzIZDSZOHIVS4a+l7c3CgQg4DhV9IHdZlq+zbPzU5c4vdW+Gaqcvqeqw39nk73DEc/WTj9aUKVGkHx25r15YWbFS8lip093vwkg4TniOr586I9mp88n6/YgaXy5XKjzPx6/xpfOr8R+4m+Db"</definedName>
    <definedName name="EPMWorkbookOptions_6" hidden="1">"zGSUpkWHIGpiV1alU+cjO1mb6AOuiKSt1ji2Xq/FT9ry+SXtB+5++TYvQXoITuJPMKMbiGq1XE7QQfBnGKjvvUXpW8xkmKZIRqlyIWNNxkjodk+djuyUsAR3L1L56LJyftXrI88W+EYvQXoITlOxycpV4/1dXPJQrZ5fqCoDbdW5ievWpRvrIQjfYibjNEUyhmrr1NnITtbGv62cSrrWzi9d3/vIlm8wk/GZGhdeO3tho3j/i36dBxvZqV3J"</definedName>
    <definedName name="EPMWorkbookOptions_7" hidden="1">"nihJpX7Vz69+vf+hS9/kuUdpDKUtb15V2tKx5jZ1bPMM0hbOBhP1ksaWNLBNl95/fyUs3H/npaGAKQbOTEayDVDw4M+20NMTTaBj16iMVP0JBJq7Yk83eLmHIiMe54H2/oCn33HudAz1sQl6AD9s1PfkX79sbPhvDjX/B+cgYkl0NAAA"</definedName>
    <definedName name="EV__EVCOM_OPTIONS__" hidden="1">8</definedName>
    <definedName name="EV__EXPOPTIONS__" hidden="1">1</definedName>
    <definedName name="EV__LASTREFTIME__" hidden="1">43507.7052199074</definedName>
    <definedName name="Ev__LimitedCV" localSheetId="38" hidden="1">"Application:FINANCE|Application:FINANCE|Account:GOI|Category:ACTUAL_CON|Datasrc:TOTALADJ|Department:D_AG_CON|Intco:All_InterCo|Rptcurrency:LC|Time:2015.TOTAL|Measures:PERIODIC"</definedName>
    <definedName name="Ev__LimitedCV" localSheetId="24" hidden="1">"Application:FINANCE|Application:FINANCE|Account:GOI|Category:ACTUAL_CON|Datasrc:TOTALADJ|Department:D_REST_OUTLET|Intco:All_InterCo|Rptcurrency:LC|Time:2015.TOTAL|Measures:PERIODIC"</definedName>
    <definedName name="Ev__LimitedCV" localSheetId="25" hidden="1">"Application:FINANCE|Application:FINANCE|Account:GOI|Category:ACTUAL_CON|Datasrc:TOTALADJ|Department:D_BCC_CON|Intco:All_InterCo|Rptcurrency:LC|Time:2015.TOTAL|Measures:PERIODIC"</definedName>
    <definedName name="Ev__LimitedCV" localSheetId="26" hidden="1">"Application:FINANCE|Application:FINANCE|Account:GOI|Category:ACTUAL_CON|Datasrc:TOTALADJ|Department:D_REST_OUTLET|Intco:All_InterCo|Rptcurrency:LC|Time:2015.TOTAL|Measures:PERIODIC"</definedName>
    <definedName name="Ev__LimitedCV" localSheetId="28" hidden="1">"Application:FINANCE|Application:FINANCE|Account:GOI|Category:ACTUAL_CON|Datasrc:TOTALADJ|Department:D_REST_OUTLET|Intco:All_InterCo|Rptcurrency:LC|Time:2015.TOTAL|Measures:PERIODIC"</definedName>
    <definedName name="Ev__LimitedCV" localSheetId="27" hidden="1">"Application:FINANCE|Application:FINANCE|Account:GOI|Category:ACTUAL_CON|Datasrc:TOTALADJ|Department:D_BCC_CON|Intco:All_InterCo|Rptcurrency:LC|Time:2015.TOTAL|Measures:PERIODIC"</definedName>
    <definedName name="Ev__LimitedCV" localSheetId="47" hidden="1">"Application:FINANCE|Application:FINANCE|Account:GOI|Category:ACTUAL_CON|Datasrc:TOTALADJ|Department:D2259|Intco:All_InterCo|Rptcurrency:LC|Time:2015.TOTAL|Measures:PERIODIC"</definedName>
    <definedName name="Ev__LimitedCV" localSheetId="43" hidden="1">"Application:FINANCE|Application:FINANCE|Account:GOI|Category:ACTUAL_CON|Datasrc:TOTALADJ|Department:D_EC_CON|Intco:All_InterCo|Rptcurrency:LC|Time:2015.TOTAL|Measures:PERIODIC"</definedName>
    <definedName name="Ev__LimitedCV" localSheetId="5" hidden="1">"Application:FINANCE|Application:FINANCE|Account:GOI|Category:ACTUAL_CON|Datasrc:TOTALADJ|Department:D_REST_CON|Intco:All_InterCo|Rptcurrency:LC|Time:2015.TOTAL|Measures:PERIODIC"</definedName>
    <definedName name="Ev__LimitedCV" localSheetId="6" hidden="1">"Application:FINANCE|Application:FINANCE|Account:GOI|Category:ACTUAL_CON|Datasrc:TOTALADJ|Department:D_REST_OUTLET|Intco:All_InterCo|Rptcurrency:LC|Time:2015.TOTAL|Measures:PERIODIC"</definedName>
    <definedName name="Ev__LimitedCV" localSheetId="35" hidden="1">"Application:FINANCE|Application:FINANCE|Account:GOI|Category:ACTUAL_CON|Datasrc:TOTALADJ|Department:D2149|Intco:All_InterCo|Rptcurrency:LC|Time:2015.TOTAL|Measures:PERIODIC"</definedName>
    <definedName name="Ev__LimitedCV" localSheetId="32" hidden="1">"Application:FINANCE|Application:FINANCE|Account:GOI|Category:ACTUAL_CON|Datasrc:TOTALADJ|Department:D1132|Intco:All_InterCo|Rptcurrency:LC|Time:2015.TOTAL|Measures:PERIODIC"</definedName>
    <definedName name="Ev__LimitedCV" localSheetId="39" hidden="1">"Application:FINANCE|Application:FINANCE|Account:GOI|Category:ACTUAL_CON|Datasrc:TOTALADJ|Department:D_AGHR|Intco:All_InterCo|Rptcurrency:LC|Time:2015.TOTAL|Measures:PERIODIC"</definedName>
    <definedName name="Ev__LimitedCV" localSheetId="21" hidden="1">"Application:FINANCE|Application:FINANCE|Account:GOI|Category:ACTUAL_CON|Datasrc:TOTALADJ|Department:D_RS_CON|Intco:All_InterCo|Rptcurrency:LC|Time:2015.TOTAL|Measures:PERIODIC"</definedName>
    <definedName name="Ev__LimitedCV" localSheetId="22" hidden="1">"Application:FINANCE|Application:FINANCE|Account:GOI|Category:ACTUAL_CON|Datasrc:TOTALADJ|Department:D_REST_OUTLET|Intco:All_InterCo|Rptcurrency:LC|Time:2015.TOTAL|Measures:PERIODIC"</definedName>
    <definedName name="Ev__LimitedCV" localSheetId="40" hidden="1">"Application:FINANCE|Application:FINANCE|Account:GOI|Category:ACTUAL_CON|Datasrc:TOTALADJ|Department:D_IT_CON|Intco:All_InterCo|Rptcurrency:LC|Time:2015.TOTAL|Measures:PERIODIC"</definedName>
    <definedName name="Ev__LimitedCV" localSheetId="46" hidden="1">"Application:FINANCE|Application:FINANCE|Account:GOI|Category:ACTUAL_CON|Datasrc:TOTALADJ|Department:D1228|Intco:All_InterCo|Rptcurrency:LC|Time:2015.TOTAL|Measures:PERIODIC"</definedName>
    <definedName name="Ev__LimitedCV" localSheetId="44" hidden="1">"Application:FINANCE|Application:FINANCE|Account:GOI|Category:ACTUAL_CON|Datasrc:TOTALADJ|Department:D_MGMT_CON|Intco:All_InterCo|Rptcurrency:LC|Time:2015.TOTAL|Measures:PERIODIC"</definedName>
    <definedName name="Ev__LimitedCV" localSheetId="29" hidden="1">"Application:FINANCE|Application:FINANCE|Account:GOI|Category:ACTUAL_CON|Datasrc:TOTALADJ|Department:D1149|Intco:All_InterCo|Rptcurrency:LC|Time:2015.TOTAL|Measures:PERIODIC"</definedName>
    <definedName name="Ev__LimitedCV" localSheetId="36" hidden="1">"Application:FINANCE|Application:FINANCE|Account:GOI|Category:ACTUAL_CON|Datasrc:TOTALADJ|Department:D1138|Intco:All_InterCo|Rptcurrency:LC|Time:2015.TOTAL|Measures:PERIODIC"</definedName>
    <definedName name="Ev__LimitedCV" localSheetId="37" hidden="1">"Application:FINANCE|Application:FINANCE|Account:GOI|Category:ACTUAL_CON|Datasrc:TOTALADJ|Department:D_ROI_CON|Intco:All_InterCo|Rptcurrency:LC|Time:2015.TOTAL|Measures:PERIODIC"</definedName>
    <definedName name="Ev__LimitedCV" localSheetId="3" hidden="1">"Application:FINANCE|Application:FINANCE|Account:GOI|Category:ACTUAL_CON|Datasrc:TOTALADJ|Department:D_ROOMS_CON|Intco:All_InterCo|Rptcurrency:LC|Time:2015.TOTAL|Measures:PERIODIC"</definedName>
    <definedName name="Ev__LimitedCV" localSheetId="45" hidden="1">"Application:FINANCE|Application:FINANCE|Account:GOI|Category:ACTUAL_CON|Datasrc:TOTALADJ|Department:D_FIXED|Intco:All_InterCo|Rptcurrency:LC|Time:2015.TOTAL|Measures:PERIODIC"</definedName>
    <definedName name="Ev__LimitedCV" localSheetId="30" hidden="1">"Application:FINANCE|Application:FINANCE|Account:GOI|Category:ACTUAL_CON|Datasrc:TOTALADJ|Department:D_OTHER_CON|Intco:All_InterCo|Rptcurrency:LC|Time:2015.TOTAL|Measures:PERIODIC"</definedName>
    <definedName name="Ev__LimitedCV" localSheetId="33" hidden="1">"Application:FINANCE|Application:FINANCE|Account:GOI|Category:ACTUAL_CON|Datasrc:TOTALADJ|Department:D1133|Intco:All_InterCo|Rptcurrency:LC|Time:2015.TOTAL|Measures:PERIODIC"</definedName>
    <definedName name="Ev__LimitedCV" localSheetId="42" hidden="1">"Application:FINANCE|Application:FINANCE|Account:GOI|Category:ACTUAL_CON|Datasrc:TOTALADJ|Department:D_PM_CON|Intco:All_InterCo|Rptcurrency:LC|Time:2015.TOTAL|Measures:PERIODIC"</definedName>
    <definedName name="Ev__LimitedCV" localSheetId="48" hidden="1">"Application:FINANCE|Application:FINANCE|Account:GOI|Category:ACTUAL_CON|Datasrc:TOTALADJ|Department:D_CON|Intco:All_InterCo|Rptcurrency:LC|Time:2015.TOTAL|Measures:PERIODIC"</definedName>
    <definedName name="Ev__LimitedCV" localSheetId="4" hidden="1">"Application:FINANCE|Application:FINANCE|Account:GOI|Category:ACTUAL_CON|Datasrc:TOTALADJ|Department:D_RESV_CON|Intco:All_InterCo|Rptcurrency:LC|Time:2015.TOTAL|Measures:PERIODIC"</definedName>
    <definedName name="Ev__LimitedCV" localSheetId="34" hidden="1">"Application:FINANCE|Application:FINANCE|Account:GOI|Category:ACTUAL_CON|Datasrc:TOTALADJ|Department:D1136|Intco:All_InterCo|Rptcurrency:LC|Time:2015.TOTAL|Measures:PERIODIC"</definedName>
    <definedName name="Ev__LimitedCV" localSheetId="2" hidden="1">"Application:FINANCE|Application:FINANCE|Account:GOI|Category:ACTUAL_CON|Datasrc:TOTALADJ|Department:D_ROOMS_CON|Intco:All_InterCo|Rptcurrency:LC|Time:2015.TOTAL|Measures:PERIODIC"</definedName>
    <definedName name="Ev__LimitedCV" localSheetId="0" hidden="1">"Application:FINANCE|Application:FINANCE|Account:GOI|Category:CURRENT|Datasrc:TOTALADJ|Department:D_CON|Intco:All_InterCo|Time:2015.TOTAL|Measures:PERIODIC"</definedName>
    <definedName name="Ev__LimitedCV" localSheetId="41" hidden="1">"Application:FINANCE|Application:FINANCE|Account:GOI|Category:ACTUAL_CON|Datasrc:TOTALADJ|Department:D_SM_CON|Intco:All_InterCo|Rptcurrency:LC|Time:2015.TOTAL|Measures:PERIODIC"</definedName>
    <definedName name="Ev__LimitedCV" localSheetId="1" hidden="1">"Application:FINANCE|Application:FINANCE|Account:GOI|Category:ACTUAL_CON|Datasrc:TOTALADJ|Department:D_CON|Intco:All_InterCo|Rptcurrency:LC|Time:2015.TOTAL|Measures:PERIODIC"</definedName>
    <definedName name="Ev__LimitedCV" localSheetId="31" hidden="1">"Application:FINANCE|Application:FINANCE|Account:GOI|Category:ACTUAL_CON|Datasrc:TOTALADJ|Department:D_TELCOM|Intco:All_InterCo|Rptcurrency:LC|Time:2015.TOTAL|Measures:PERIODIC"</definedName>
    <definedName name="Ev__LimitedCV" localSheetId="7" hidden="1">"Application:FINANCE|Application:FINANCE|Account:GOI|Category:ACTUAL_CON|Datasrc:TOTALADJ|Department:D_REST_OUTLET|Intco:All_InterCo|Rptcurrency:LC|Time:2015.TOTAL|Measures:PERIODIC"</definedName>
    <definedName name="Ev__LimitedCV" localSheetId="8" hidden="1">"Application:FINANCE|Application:FINANCE|Account:GOI|Category:ACTUAL_CON|Datasrc:TOTALADJ|Department:D_REST_OUTLET|Intco:All_InterCo|Rptcurrency:LC|Time:2015.TOTAL|Measures:PERIODIC"</definedName>
    <definedName name="Ev__LimitedCV" localSheetId="9" hidden="1">"Application:FINANCE|Application:FINANCE|Account:GOI|Category:ACTUAL_CON|Datasrc:TOTALADJ|Department:D_REST_OUTLET|Intco:All_InterCo|Rptcurrency:LC|Time:2015.TOTAL|Measures:PERIODIC"</definedName>
    <definedName name="Ev__LimitedCV" localSheetId="10" hidden="1">"Application:FINANCE|Application:FINANCE|Account:GOI|Category:ACTUAL_CON|Datasrc:TOTALADJ|Department:D_REST_OUTLET|Intco:All_InterCo|Rptcurrency:LC|Time:2015.TOTAL|Measures:PERIODIC"</definedName>
    <definedName name="Ev__LimitedCV" localSheetId="11" hidden="1">"Application:FINANCE|Application:FINANCE|Account:GOI|Category:ACTUAL_CON|Datasrc:TOTALADJ|Department:D_REST_OUTLET|Intco:All_InterCo|Rptcurrency:LC|Time:2015.TOTAL|Measures:PERIODIC"</definedName>
    <definedName name="Ev__LimitedCV" localSheetId="12" hidden="1">"Application:FINANCE|Application:FINANCE|Account:GOI|Category:ACTUAL_CON|Datasrc:TOTALADJ|Department:D_REST_OUTLET|Intco:All_InterCo|Rptcurrency:LC|Time:2015.TOTAL|Measures:PERIODIC"</definedName>
    <definedName name="Ev__LimitedCV" localSheetId="13" hidden="1">"Application:FINANCE|Application:FINANCE|Account:GOI|Category:ACTUAL_CON|Datasrc:TOTALADJ|Department:D_REST_OUTLET|Intco:All_InterCo|Rptcurrency:LC|Time:2015.TOTAL|Measures:PERIODIC"</definedName>
    <definedName name="Ev__LimitedCV" localSheetId="14" hidden="1">"Application:FINANCE|Application:FINANCE|Account:GOI|Category:ACTUAL_CON|Datasrc:TOTALADJ|Department:D_REST_OUTLET|Intco:All_InterCo|Rptcurrency:LC|Time:2015.TOTAL|Measures:PERIODIC"</definedName>
    <definedName name="Ev__LimitedCV" localSheetId="15" hidden="1">"Application:FINANCE|Application:FINANCE|Account:GOI|Category:ACTUAL_CON|Datasrc:TOTALADJ|Department:D_REST_OUTLET|Intco:All_InterCo|Rptcurrency:LC|Time:2015.TOTAL|Measures:PERIODIC"</definedName>
    <definedName name="Ev__LimitedCV" localSheetId="16" hidden="1">"Application:FINANCE|Application:FINANCE|Account:GOI|Category:ACTUAL_CON|Datasrc:TOTALADJ|Department:D_REST_OUTLET|Intco:All_InterCo|Rptcurrency:LC|Time:2015.TOTAL|Measures:PERIODIC"</definedName>
    <definedName name="Ev__LimitedCV" localSheetId="17" hidden="1">"Application:FINANCE|Application:FINANCE|Account:GOI|Category:ACTUAL_CON|Datasrc:TOTALADJ|Department:D_REST_OUTLET|Intco:All_InterCo|Rptcurrency:LC|Time:2015.TOTAL|Measures:PERIODIC"</definedName>
    <definedName name="Ev__LimitedCV" localSheetId="18" hidden="1">"Application:FINANCE|Application:FINANCE|Account:GOI|Category:ACTUAL_CON|Datasrc:TOTALADJ|Department:D_REST_OUTLET|Intco:All_InterCo|Rptcurrency:LC|Time:2015.TOTAL|Measures:PERIODIC"</definedName>
    <definedName name="Ev__LimitedCV" localSheetId="19" hidden="1">"Application:FINANCE|Application:FINANCE|Account:GOI|Category:ACTUAL_CON|Datasrc:TOTALADJ|Department:D_REST_OUTLET|Intco:All_InterCo|Rptcurrency:LC|Time:2015.TOTAL|Measures:PERIODIC"</definedName>
    <definedName name="Ev__LimitedCV" localSheetId="20" hidden="1">"Application:FINANCE|Application:FINANCE|Account:GOI|Category:ACTUAL_CON|Datasrc:TOTALADJ|Department:D_REST_OUTLET|Intco:All_InterCo|Rptcurrency:LC|Time:2015.TOTAL|Measures:PERIODIC"</definedName>
    <definedName name="EV__LOCKEDCVW__DRP" hidden="1">"R900000,BU1334,BUD_PROOF,TOTALADJ,D1161,LC,2023.TOTAL,Periodic"</definedName>
    <definedName name="EV__LOCKEDCVW__Finance" hidden="1">"BalanceSheet,BU1334,CURRENT,TOTALADJ,D50,All_InterCo,LC,2019.JAN,Periodic"</definedName>
    <definedName name="EV__LOCKEDCVW__FinanceDetail" hidden="1">"713100,BU1334,CURRENT,TOTALADJ,D_ALL,All_InterCo,L_ALL,LC,2022.TOTAL,Periodic"</definedName>
    <definedName name="EV__LOCKEDCVW__HCM" hidden="1">"H_METRICS,BU1334,BUD_PROOF,TOTALADJ,D2146,P0_NONE,LC,2023.TOTAL,Periodic"</definedName>
    <definedName name="EV__LOCKSTATUS__" hidden="1">4</definedName>
    <definedName name="EV__MAXEXPCOLS__" hidden="1">100</definedName>
    <definedName name="EV__MAXEXPROWS__" hidden="1">1000</definedName>
    <definedName name="EV__MEMORYCVW__" hidden="1">1</definedName>
    <definedName name="EV__MEMORYCVW__INFO" hidden="1">"FINANCE"</definedName>
    <definedName name="EV__WBEVMODE__" hidden="1">0</definedName>
    <definedName name="EV__WBREFOPTIONS__" hidden="1">134217728</definedName>
    <definedName name="EV__WBVERSION__" hidden="1">0</definedName>
    <definedName name="MEWarning" hidden="1">1</definedName>
    <definedName name="_xlnm.Print_Area" localSheetId="38">AG!$N$25:$AI$71</definedName>
    <definedName name="_xlnm.Print_Area" localSheetId="23">BCC_CONS!$A$1:$AI$105</definedName>
    <definedName name="_xlnm.Print_Area" localSheetId="24">BCC_CONS_KPI!$N$25:$AI$137</definedName>
    <definedName name="_xlnm.Print_Area" localSheetId="25">BCC_Group!$N$25:$AI$57</definedName>
    <definedName name="_xlnm.Print_Area" localSheetId="26">BCC_KPI_Group!$N$25:$AI$117</definedName>
    <definedName name="_xlnm.Print_Area" localSheetId="28">BCC_KPI_Local!$N$25:$AI$114</definedName>
    <definedName name="_xlnm.Print_Area" localSheetId="27">BCC_Local!$N$25:$AI$56</definedName>
    <definedName name="_xlnm.Print_Area" localSheetId="47">Dining!$N$25:$AI$59</definedName>
    <definedName name="_xlnm.Print_Area" localSheetId="43">EC!$N$25:$AI$37</definedName>
    <definedName name="_xlnm.Print_Area" localSheetId="5">FB_Cons!$N$25:$AI$120</definedName>
    <definedName name="_xlnm.Print_Area" localSheetId="6">FB_KPI!$N$25:$AI$171</definedName>
    <definedName name="_xlnm.Print_Area" localSheetId="35">FB_Retail!$N$25:$AI$72</definedName>
    <definedName name="_xlnm.Print_Area" localSheetId="32">HC_SPA!$N$25:$AI$67</definedName>
    <definedName name="_xlnm.Print_Area" localSheetId="39">HR_Detail!$N$25:$AI$44</definedName>
    <definedName name="_xlnm.Print_Area" localSheetId="21">IRD!$N$25:$AI$79</definedName>
    <definedName name="_xlnm.Print_Area" localSheetId="22">IRD_KPI!$N$25:$AI$141</definedName>
    <definedName name="_xlnm.Print_Area" localSheetId="40">IT!$N$25:$AI$64</definedName>
    <definedName name="_xlnm.Print_Area" localSheetId="46">Laundry!$N$25:$AI$60</definedName>
    <definedName name="_xlnm.Print_Area" localSheetId="44">Mgt_Fees!$N$25:$AI$36</definedName>
    <definedName name="_xlnm.Print_Area" localSheetId="29">Mini_Bar!$N$25:$AI$73</definedName>
    <definedName name="_xlnm.Print_Area" localSheetId="36">Minor_Op!$N$25:$AI$98</definedName>
    <definedName name="_xlnm.Print_Area" localSheetId="37">MISC_INC!$N$25:$AI$52</definedName>
    <definedName name="_xlnm.Print_Area" localSheetId="3">MMA!$N$25:$AI$152</definedName>
    <definedName name="_xlnm.Print_Area" localSheetId="45">Non_Op!$N$25:$AI$68</definedName>
    <definedName name="_xlnm.Print_Area" localSheetId="30">OTH_OP!$M$25:$AH$60</definedName>
    <definedName name="_xlnm.Print_Area" localSheetId="33">Parking!$N$25:$AI$60</definedName>
    <definedName name="_xlnm.Print_Area" localSheetId="42">POM!$N$25:$AI$76</definedName>
    <definedName name="_xlnm.Print_Area" localSheetId="48">PR_Related!$N$25:$AI$63</definedName>
    <definedName name="_xlnm.Print_Area" localSheetId="4">Resv!$N$25:$AI$74</definedName>
    <definedName name="_xlnm.Print_Area" localSheetId="34">Retail!$N$25:$AI$74</definedName>
    <definedName name="_xlnm.Print_Area" localSheetId="2">Rooms!$N$25:$AI$98</definedName>
    <definedName name="_xlnm.Print_Area" localSheetId="41">SM!$N$25:$AI$74</definedName>
    <definedName name="_xlnm.Print_Area" localSheetId="1">Summary!$M$25:$AH$113</definedName>
    <definedName name="_xlnm.Print_Area" localSheetId="31">Telcom_Legacy!$N$25:$AI$64</definedName>
    <definedName name="_xlnm.Print_Area" localSheetId="7">Venue1!$N$25:$AI$121</definedName>
    <definedName name="_xlnm.Print_Area" localSheetId="8">Venue1_KPI!$N$25:$AI$141</definedName>
    <definedName name="_xlnm.Print_Area" localSheetId="9">Venue2!$N$25:$AI$97</definedName>
    <definedName name="_xlnm.Print_Area" localSheetId="10">Venue2_KPI!$N$25:$AI$141</definedName>
    <definedName name="_xlnm.Print_Area" localSheetId="11">Venue3!$N$25:$AI$88</definedName>
    <definedName name="_xlnm.Print_Area" localSheetId="12">Venue3_KPI!$N$25:$AI$141</definedName>
    <definedName name="_xlnm.Print_Area" localSheetId="13">Venue4!$N$25:$AI$88</definedName>
    <definedName name="_xlnm.Print_Area" localSheetId="14">Venue4_KPI!$N$25:$AI$141</definedName>
    <definedName name="_xlnm.Print_Area" localSheetId="15">Venue5!$N$25:$AI$88</definedName>
    <definedName name="_xlnm.Print_Area" localSheetId="16">Venue5_KPI!$N$25:$AI$141</definedName>
    <definedName name="_xlnm.Print_Area" localSheetId="17">Venue6!$N$25:$AI$88</definedName>
    <definedName name="_xlnm.Print_Area" localSheetId="18">Venue6_KPI!$N$25:$AI$141</definedName>
    <definedName name="_xlnm.Print_Area" localSheetId="19">VenueBar!$N$25:$AI$108</definedName>
    <definedName name="_xlnm.Print_Area" localSheetId="20">VenueBar_KPI!$N$25:$AI$141</definedName>
    <definedName name="_xlnm.Print_Titles" localSheetId="38">AG!$25:$32</definedName>
    <definedName name="_xlnm.Print_Titles" localSheetId="24">BCC_CONS_KPI!$25:$32</definedName>
    <definedName name="_xlnm.Print_Titles" localSheetId="25">BCC_Group!$25:$32</definedName>
    <definedName name="_xlnm.Print_Titles" localSheetId="26">BCC_KPI_Group!$25:$32</definedName>
    <definedName name="_xlnm.Print_Titles" localSheetId="28">BCC_KPI_Local!$25:$32</definedName>
    <definedName name="_xlnm.Print_Titles" localSheetId="27">BCC_Local!$25:$32</definedName>
    <definedName name="_xlnm.Print_Titles" localSheetId="47">Dining!$25:$32</definedName>
    <definedName name="_xlnm.Print_Titles" localSheetId="43">EC!$25:$32</definedName>
    <definedName name="_xlnm.Print_Titles" localSheetId="5">FB_Cons!$25:$32</definedName>
    <definedName name="_xlnm.Print_Titles" localSheetId="6">FB_KPI!$25:$32</definedName>
    <definedName name="_xlnm.Print_Titles" localSheetId="35">FB_Retail!$25:$32</definedName>
    <definedName name="_xlnm.Print_Titles" localSheetId="32">HC_SPA!$25:$32</definedName>
    <definedName name="_xlnm.Print_Titles" localSheetId="39">HR_Detail!$25:$32</definedName>
    <definedName name="_xlnm.Print_Titles" localSheetId="21">IRD!$25:$32</definedName>
    <definedName name="_xlnm.Print_Titles" localSheetId="22">IRD_KPI!$25:$32</definedName>
    <definedName name="_xlnm.Print_Titles" localSheetId="40">IT!$25:$32</definedName>
    <definedName name="_xlnm.Print_Titles" localSheetId="46">Laundry!$25:$32</definedName>
    <definedName name="_xlnm.Print_Titles" localSheetId="44">Mgt_Fees!$25:$32</definedName>
    <definedName name="_xlnm.Print_Titles" localSheetId="29">Mini_Bar!$25:$32</definedName>
    <definedName name="_xlnm.Print_Titles" localSheetId="36">Minor_Op!$25:$32</definedName>
    <definedName name="_xlnm.Print_Titles" localSheetId="37">MISC_INC!$25:$32</definedName>
    <definedName name="_xlnm.Print_Titles" localSheetId="3">MMA!$25:$32</definedName>
    <definedName name="_xlnm.Print_Titles" localSheetId="45">Non_Op!$25:$32</definedName>
    <definedName name="_xlnm.Print_Titles" localSheetId="30">OTH_OP!$25:$32</definedName>
    <definedName name="_xlnm.Print_Titles" localSheetId="33">Parking!$25:$32</definedName>
    <definedName name="_xlnm.Print_Titles" localSheetId="42">POM!$25:$32</definedName>
    <definedName name="_xlnm.Print_Titles" localSheetId="48">PR_Related!$25:$32</definedName>
    <definedName name="_xlnm.Print_Titles" localSheetId="4">Resv!$25:$32</definedName>
    <definedName name="_xlnm.Print_Titles" localSheetId="34">Retail!$25:$32</definedName>
    <definedName name="_xlnm.Print_Titles" localSheetId="2">Rooms!$25:$32</definedName>
    <definedName name="_xlnm.Print_Titles" localSheetId="41">SM!$25:$32</definedName>
    <definedName name="_xlnm.Print_Titles" localSheetId="1">Summary!$25:$32</definedName>
    <definedName name="_xlnm.Print_Titles" localSheetId="31">Telcom_Legacy!$25:$32</definedName>
    <definedName name="_xlnm.Print_Titles" localSheetId="7">Venue1!$25:$32</definedName>
    <definedName name="_xlnm.Print_Titles" localSheetId="8">Venue1_KPI!$25:$32</definedName>
    <definedName name="_xlnm.Print_Titles" localSheetId="9">Venue2!$25:$32</definedName>
    <definedName name="_xlnm.Print_Titles" localSheetId="10">Venue2_KPI!$25:$32</definedName>
    <definedName name="_xlnm.Print_Titles" localSheetId="11">Venue3!$25:$32</definedName>
    <definedName name="_xlnm.Print_Titles" localSheetId="12">Venue3_KPI!$25:$32</definedName>
    <definedName name="_xlnm.Print_Titles" localSheetId="13">Venue4!$25:$32</definedName>
    <definedName name="_xlnm.Print_Titles" localSheetId="14">Venue4_KPI!$25:$32</definedName>
    <definedName name="_xlnm.Print_Titles" localSheetId="15">Venue5!$25:$32</definedName>
    <definedName name="_xlnm.Print_Titles" localSheetId="16">Venue5_KPI!$25:$32</definedName>
    <definedName name="_xlnm.Print_Titles" localSheetId="17">Venue6!$25:$32</definedName>
    <definedName name="_xlnm.Print_Titles" localSheetId="18">Venue6_KPI!$25:$32</definedName>
    <definedName name="_xlnm.Print_Titles" localSheetId="19">VenueBar!$25:$32</definedName>
    <definedName name="_xlnm.Print_Titles" localSheetId="20">VenueBar_KPI!$25:$32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66" i="36" l="1"/>
  <c r="AD66" i="36"/>
  <c r="O66" i="36"/>
  <c r="P66" i="36"/>
  <c r="Q66" i="36"/>
  <c r="R66" i="36"/>
  <c r="S66" i="36"/>
  <c r="T66" i="36"/>
  <c r="U66" i="36"/>
  <c r="V66" i="36"/>
  <c r="W66" i="36"/>
  <c r="X66" i="36"/>
  <c r="Y66" i="36"/>
  <c r="Z66" i="36"/>
  <c r="N63" i="36"/>
  <c r="N66" i="36" s="1"/>
  <c r="N64" i="36"/>
  <c r="AH64" i="36"/>
  <c r="AE64" i="36"/>
  <c r="AA63" i="36"/>
  <c r="I63" i="36"/>
  <c r="J63" i="36"/>
  <c r="I64" i="36"/>
  <c r="AA64" i="36" s="1"/>
  <c r="J64" i="36"/>
  <c r="AH56" i="36"/>
  <c r="AE51" i="36"/>
  <c r="AE54" i="36"/>
  <c r="AE57" i="36"/>
  <c r="AA56" i="36"/>
  <c r="AA59" i="36"/>
  <c r="I51" i="36"/>
  <c r="AA51" i="36" s="1"/>
  <c r="J51" i="36"/>
  <c r="L51" i="36"/>
  <c r="M51" i="36"/>
  <c r="N51" i="36"/>
  <c r="I52" i="36"/>
  <c r="AA52" i="36" s="1"/>
  <c r="J52" i="36"/>
  <c r="K52" i="36"/>
  <c r="L52" i="36"/>
  <c r="M52" i="36"/>
  <c r="N52" i="36"/>
  <c r="I53" i="36"/>
  <c r="AA53" i="36" s="1"/>
  <c r="J53" i="36"/>
  <c r="L53" i="36"/>
  <c r="M53" i="36"/>
  <c r="N53" i="36"/>
  <c r="I54" i="36"/>
  <c r="J54" i="36"/>
  <c r="L54" i="36"/>
  <c r="M54" i="36"/>
  <c r="N54" i="36"/>
  <c r="I55" i="36"/>
  <c r="AA55" i="36" s="1"/>
  <c r="J55" i="36"/>
  <c r="K55" i="36"/>
  <c r="L55" i="36"/>
  <c r="M55" i="36"/>
  <c r="N55" i="36"/>
  <c r="I56" i="36"/>
  <c r="J56" i="36"/>
  <c r="K56" i="36"/>
  <c r="L56" i="36"/>
  <c r="M56" i="36"/>
  <c r="N56" i="36"/>
  <c r="I57" i="36"/>
  <c r="AA57" i="36" s="1"/>
  <c r="J57" i="36"/>
  <c r="L57" i="36"/>
  <c r="M57" i="36"/>
  <c r="N57" i="36"/>
  <c r="I58" i="36"/>
  <c r="J58" i="36"/>
  <c r="L58" i="36"/>
  <c r="M58" i="36"/>
  <c r="N58" i="36"/>
  <c r="I59" i="36"/>
  <c r="J59" i="36"/>
  <c r="K59" i="36"/>
  <c r="L59" i="36"/>
  <c r="M59" i="36"/>
  <c r="N59" i="36"/>
  <c r="I60" i="36"/>
  <c r="AA60" i="36" s="1"/>
  <c r="J60" i="36"/>
  <c r="L60" i="36"/>
  <c r="M60" i="36"/>
  <c r="N60" i="36"/>
  <c r="I61" i="36"/>
  <c r="AA61" i="36" s="1"/>
  <c r="J61" i="36"/>
  <c r="L61" i="36"/>
  <c r="M61" i="36"/>
  <c r="N61" i="36"/>
  <c r="AH42" i="36"/>
  <c r="AK45" i="36"/>
  <c r="AE42" i="36"/>
  <c r="AE43" i="36"/>
  <c r="AE44" i="36"/>
  <c r="AE48" i="36"/>
  <c r="AA45" i="36"/>
  <c r="I42" i="36"/>
  <c r="J42" i="36"/>
  <c r="L42" i="36"/>
  <c r="M42" i="36"/>
  <c r="N42" i="36"/>
  <c r="I43" i="36"/>
  <c r="AA43" i="36" s="1"/>
  <c r="AI43" i="36" s="1"/>
  <c r="J43" i="36"/>
  <c r="L43" i="36"/>
  <c r="M43" i="36"/>
  <c r="N43" i="36"/>
  <c r="I44" i="36"/>
  <c r="AA44" i="36" s="1"/>
  <c r="J44" i="36"/>
  <c r="L44" i="36"/>
  <c r="M44" i="36"/>
  <c r="N44" i="36"/>
  <c r="I45" i="36"/>
  <c r="K45" i="36" s="1"/>
  <c r="J45" i="36"/>
  <c r="L45" i="36"/>
  <c r="M45" i="36"/>
  <c r="N45" i="36"/>
  <c r="I46" i="36"/>
  <c r="J46" i="36"/>
  <c r="L46" i="36"/>
  <c r="M46" i="36"/>
  <c r="N46" i="36"/>
  <c r="I47" i="36"/>
  <c r="J47" i="36"/>
  <c r="L47" i="36"/>
  <c r="M47" i="36"/>
  <c r="N47" i="36"/>
  <c r="I48" i="36"/>
  <c r="AA48" i="36" s="1"/>
  <c r="J48" i="36"/>
  <c r="L48" i="36"/>
  <c r="M48" i="36"/>
  <c r="N48" i="36"/>
  <c r="AI35" i="36"/>
  <c r="AK36" i="36"/>
  <c r="AK37" i="36"/>
  <c r="AE38" i="36"/>
  <c r="I35" i="36"/>
  <c r="AA35" i="36" s="1"/>
  <c r="J35" i="36"/>
  <c r="L35" i="36"/>
  <c r="M35" i="36"/>
  <c r="N35" i="36"/>
  <c r="I36" i="36"/>
  <c r="AA36" i="36" s="1"/>
  <c r="AI36" i="36" s="1"/>
  <c r="J36" i="36"/>
  <c r="L36" i="36"/>
  <c r="M36" i="36"/>
  <c r="N36" i="36"/>
  <c r="I37" i="36"/>
  <c r="J37" i="36"/>
  <c r="L37" i="36"/>
  <c r="M37" i="36"/>
  <c r="N37" i="36"/>
  <c r="I38" i="36"/>
  <c r="J38" i="36"/>
  <c r="L38" i="36"/>
  <c r="M38" i="36"/>
  <c r="N38" i="36"/>
  <c r="I39" i="36"/>
  <c r="AA39" i="36" s="1"/>
  <c r="J39" i="36"/>
  <c r="L39" i="36"/>
  <c r="M39" i="36"/>
  <c r="N39" i="36"/>
  <c r="N33" i="36"/>
  <c r="I33" i="36"/>
  <c r="J33" i="36"/>
  <c r="AK32" i="36"/>
  <c r="AL32" i="36"/>
  <c r="AG32" i="36"/>
  <c r="AD32" i="36"/>
  <c r="O32" i="36"/>
  <c r="P32" i="36"/>
  <c r="Q32" i="36"/>
  <c r="R32" i="36"/>
  <c r="S32" i="36"/>
  <c r="T32" i="36"/>
  <c r="U32" i="36"/>
  <c r="V32" i="36"/>
  <c r="W32" i="36"/>
  <c r="X32" i="36"/>
  <c r="Y32" i="36"/>
  <c r="Z32" i="36"/>
  <c r="AJ32" i="36" s="1"/>
  <c r="AJ31" i="36"/>
  <c r="AK31" i="36"/>
  <c r="AM31" i="36" s="1"/>
  <c r="AL31" i="36"/>
  <c r="AN31" i="36" s="1"/>
  <c r="AG31" i="36"/>
  <c r="AD31" i="36"/>
  <c r="O31" i="36"/>
  <c r="P31" i="36"/>
  <c r="Q31" i="36"/>
  <c r="R31" i="36"/>
  <c r="S31" i="36"/>
  <c r="T31" i="36"/>
  <c r="U31" i="36"/>
  <c r="V31" i="36"/>
  <c r="W31" i="36"/>
  <c r="X31" i="36"/>
  <c r="Y31" i="36"/>
  <c r="Z31" i="36"/>
  <c r="AA31" i="36"/>
  <c r="N26" i="36"/>
  <c r="N27" i="36"/>
  <c r="N28" i="36"/>
  <c r="N29" i="36"/>
  <c r="B22" i="36"/>
  <c r="B23" i="36"/>
  <c r="AG16" i="36"/>
  <c r="AG19" i="36"/>
  <c r="AH59" i="36" s="1"/>
  <c r="AG20" i="36"/>
  <c r="AL51" i="36" s="1"/>
  <c r="AD19" i="36"/>
  <c r="AE63" i="36" s="1"/>
  <c r="AD20" i="36"/>
  <c r="AK58" i="36" s="1"/>
  <c r="N19" i="36"/>
  <c r="O19" i="36"/>
  <c r="P19" i="36"/>
  <c r="Q19" i="36"/>
  <c r="R19" i="36"/>
  <c r="S19" i="36"/>
  <c r="T19" i="36"/>
  <c r="U19" i="36"/>
  <c r="V19" i="36"/>
  <c r="W19" i="36"/>
  <c r="X19" i="36"/>
  <c r="Y19" i="36"/>
  <c r="Z19" i="36"/>
  <c r="N20" i="36"/>
  <c r="O20" i="36"/>
  <c r="P20" i="36"/>
  <c r="Q20" i="36"/>
  <c r="R20" i="36"/>
  <c r="S20" i="36"/>
  <c r="T20" i="36"/>
  <c r="U20" i="36"/>
  <c r="V20" i="36"/>
  <c r="W20" i="36"/>
  <c r="X20" i="36"/>
  <c r="Y20" i="36"/>
  <c r="Z20" i="36"/>
  <c r="B17" i="36"/>
  <c r="B18" i="36"/>
  <c r="B19" i="36"/>
  <c r="O17" i="36"/>
  <c r="P17" i="36"/>
  <c r="Q17" i="36"/>
  <c r="R17" i="36"/>
  <c r="S17" i="36"/>
  <c r="T17" i="36"/>
  <c r="U17" i="36"/>
  <c r="V17" i="36"/>
  <c r="W17" i="36"/>
  <c r="X17" i="36"/>
  <c r="Y17" i="36"/>
  <c r="Z17" i="36"/>
  <c r="O16" i="36"/>
  <c r="P16" i="36"/>
  <c r="Q16" i="36"/>
  <c r="R16" i="36"/>
  <c r="S16" i="36"/>
  <c r="T16" i="36"/>
  <c r="U16" i="36"/>
  <c r="V16" i="36"/>
  <c r="W16" i="36"/>
  <c r="X16" i="36"/>
  <c r="Y16" i="36"/>
  <c r="A14" i="36"/>
  <c r="AG12" i="36"/>
  <c r="AG13" i="36"/>
  <c r="AD12" i="36"/>
  <c r="AD13" i="36"/>
  <c r="B12" i="36"/>
  <c r="B13" i="36"/>
  <c r="O12" i="36"/>
  <c r="P12" i="36"/>
  <c r="Q12" i="36"/>
  <c r="R12" i="36"/>
  <c r="S12" i="36"/>
  <c r="T12" i="36"/>
  <c r="U12" i="36"/>
  <c r="V12" i="36"/>
  <c r="W12" i="36"/>
  <c r="X12" i="36"/>
  <c r="Y12" i="36"/>
  <c r="Z12" i="36"/>
  <c r="AA12" i="36"/>
  <c r="O13" i="36"/>
  <c r="P13" i="36"/>
  <c r="Q13" i="36"/>
  <c r="R13" i="36"/>
  <c r="S13" i="36"/>
  <c r="T13" i="36"/>
  <c r="U13" i="36"/>
  <c r="V13" i="36"/>
  <c r="W13" i="36"/>
  <c r="X13" i="36"/>
  <c r="Y13" i="36"/>
  <c r="Z13" i="36"/>
  <c r="AA13" i="36"/>
  <c r="O11" i="36"/>
  <c r="P11" i="36"/>
  <c r="Q11" i="36"/>
  <c r="R11" i="36"/>
  <c r="S11" i="36"/>
  <c r="T11" i="36"/>
  <c r="U11" i="36"/>
  <c r="V11" i="36"/>
  <c r="W11" i="36"/>
  <c r="X11" i="36"/>
  <c r="Y11" i="36"/>
  <c r="Z11" i="36"/>
  <c r="C10" i="36"/>
  <c r="D10" i="36"/>
  <c r="AA16" i="36" s="1"/>
  <c r="C9" i="36"/>
  <c r="C1" i="36"/>
  <c r="C2" i="36"/>
  <c r="C3" i="36"/>
  <c r="C4" i="36"/>
  <c r="C5" i="36"/>
  <c r="C6" i="36"/>
  <c r="C7" i="36"/>
  <c r="C8" i="36"/>
  <c r="E6" i="36"/>
  <c r="E4" i="36"/>
  <c r="F4" i="36"/>
  <c r="B3" i="36"/>
  <c r="AG62" i="35"/>
  <c r="AD62" i="35"/>
  <c r="O62" i="35"/>
  <c r="P62" i="35"/>
  <c r="Q62" i="35"/>
  <c r="R62" i="35"/>
  <c r="S62" i="35"/>
  <c r="T62" i="35"/>
  <c r="U62" i="35"/>
  <c r="V62" i="35"/>
  <c r="W62" i="35"/>
  <c r="X62" i="35"/>
  <c r="Y62" i="35"/>
  <c r="Z62" i="35"/>
  <c r="I62" i="35"/>
  <c r="J62" i="35"/>
  <c r="AD57" i="35"/>
  <c r="AE57" i="35" s="1"/>
  <c r="AG57" i="35"/>
  <c r="AH57" i="35" s="1"/>
  <c r="O57" i="35"/>
  <c r="P57" i="35"/>
  <c r="Q57" i="35"/>
  <c r="R57" i="35"/>
  <c r="S57" i="35"/>
  <c r="T57" i="35"/>
  <c r="U57" i="35"/>
  <c r="V57" i="35"/>
  <c r="W57" i="35"/>
  <c r="X57" i="35"/>
  <c r="Y57" i="35"/>
  <c r="Z57" i="35"/>
  <c r="N55" i="35"/>
  <c r="N56" i="35"/>
  <c r="AH55" i="35"/>
  <c r="AH56" i="35"/>
  <c r="AE55" i="35"/>
  <c r="AE56" i="35"/>
  <c r="AF56" i="35"/>
  <c r="AA56" i="35"/>
  <c r="I55" i="35"/>
  <c r="AA55" i="35" s="1"/>
  <c r="J55" i="35"/>
  <c r="I56" i="35"/>
  <c r="J56" i="35"/>
  <c r="B54" i="35"/>
  <c r="R52" i="35"/>
  <c r="R59" i="35" s="1"/>
  <c r="AD50" i="35"/>
  <c r="AG50" i="35"/>
  <c r="AH50" i="35"/>
  <c r="I50" i="35"/>
  <c r="J50" i="35"/>
  <c r="K50" i="35"/>
  <c r="L50" i="35"/>
  <c r="M50" i="35"/>
  <c r="N50" i="35"/>
  <c r="O50" i="35"/>
  <c r="P50" i="35"/>
  <c r="Q50" i="35"/>
  <c r="R50" i="35"/>
  <c r="S50" i="35"/>
  <c r="T50" i="35"/>
  <c r="U50" i="35"/>
  <c r="V50" i="35"/>
  <c r="W50" i="35"/>
  <c r="X50" i="35"/>
  <c r="Y50" i="35"/>
  <c r="Z50" i="35"/>
  <c r="B48" i="35"/>
  <c r="B49" i="35"/>
  <c r="B50" i="35"/>
  <c r="N48" i="35"/>
  <c r="S48" i="35"/>
  <c r="X48" i="35"/>
  <c r="X52" i="35" s="1"/>
  <c r="I48" i="35"/>
  <c r="J48" i="35"/>
  <c r="AD46" i="35"/>
  <c r="AD48" i="35" s="1"/>
  <c r="AG46" i="35"/>
  <c r="AH46" i="35" s="1"/>
  <c r="N46" i="35"/>
  <c r="O46" i="35"/>
  <c r="O48" i="35" s="1"/>
  <c r="P46" i="35"/>
  <c r="P48" i="35" s="1"/>
  <c r="P52" i="35" s="1"/>
  <c r="Q46" i="35"/>
  <c r="Q48" i="35" s="1"/>
  <c r="Q52" i="35" s="1"/>
  <c r="Q59" i="35" s="1"/>
  <c r="R46" i="35"/>
  <c r="R48" i="35" s="1"/>
  <c r="S46" i="35"/>
  <c r="T46" i="35"/>
  <c r="T48" i="35" s="1"/>
  <c r="T52" i="35" s="1"/>
  <c r="T59" i="35" s="1"/>
  <c r="U46" i="35"/>
  <c r="U48" i="35" s="1"/>
  <c r="U52" i="35" s="1"/>
  <c r="U59" i="35" s="1"/>
  <c r="V46" i="35"/>
  <c r="V48" i="35" s="1"/>
  <c r="V52" i="35" s="1"/>
  <c r="V59" i="35" s="1"/>
  <c r="W46" i="35"/>
  <c r="W48" i="35" s="1"/>
  <c r="W52" i="35" s="1"/>
  <c r="W59" i="35" s="1"/>
  <c r="X46" i="35"/>
  <c r="Y46" i="35"/>
  <c r="Y48" i="35" s="1"/>
  <c r="Y52" i="35" s="1"/>
  <c r="Y59" i="35" s="1"/>
  <c r="Z46" i="35"/>
  <c r="Z48" i="35" s="1"/>
  <c r="Z52" i="35" s="1"/>
  <c r="Z59" i="35" s="1"/>
  <c r="I46" i="35"/>
  <c r="J46" i="35"/>
  <c r="A45" i="35"/>
  <c r="AH44" i="35"/>
  <c r="AH45" i="35"/>
  <c r="AE44" i="35"/>
  <c r="AE45" i="35"/>
  <c r="I44" i="35"/>
  <c r="K44" i="35" s="1"/>
  <c r="J44" i="35"/>
  <c r="L44" i="35"/>
  <c r="M44" i="35"/>
  <c r="N44" i="35"/>
  <c r="I45" i="35"/>
  <c r="AA45" i="35" s="1"/>
  <c r="AB45" i="35" s="1"/>
  <c r="J45" i="35"/>
  <c r="L45" i="35"/>
  <c r="M45" i="35"/>
  <c r="N45" i="35"/>
  <c r="N43" i="35"/>
  <c r="I43" i="35"/>
  <c r="J43" i="35"/>
  <c r="AH38" i="35"/>
  <c r="AH39" i="35"/>
  <c r="AH40" i="35"/>
  <c r="AH41" i="35"/>
  <c r="AE38" i="35"/>
  <c r="AE39" i="35"/>
  <c r="AE40" i="35"/>
  <c r="AE41" i="35"/>
  <c r="I38" i="35"/>
  <c r="AA38" i="35" s="1"/>
  <c r="AF38" i="35" s="1"/>
  <c r="J38" i="35"/>
  <c r="L38" i="35"/>
  <c r="M38" i="35"/>
  <c r="N38" i="35"/>
  <c r="I39" i="35"/>
  <c r="K39" i="35" s="1"/>
  <c r="J39" i="35"/>
  <c r="L39" i="35"/>
  <c r="M39" i="35"/>
  <c r="N39" i="35"/>
  <c r="I40" i="35"/>
  <c r="K40" i="35" s="1"/>
  <c r="J40" i="35"/>
  <c r="L40" i="35"/>
  <c r="M40" i="35"/>
  <c r="N40" i="35"/>
  <c r="I41" i="35"/>
  <c r="AA41" i="35" s="1"/>
  <c r="AF41" i="35" s="1"/>
  <c r="J41" i="35"/>
  <c r="K41" i="35"/>
  <c r="L41" i="35"/>
  <c r="M41" i="35"/>
  <c r="N41" i="35"/>
  <c r="N34" i="35"/>
  <c r="N35" i="35"/>
  <c r="N36" i="35"/>
  <c r="N37" i="35"/>
  <c r="I36" i="35"/>
  <c r="J36" i="35"/>
  <c r="I37" i="35"/>
  <c r="J37" i="35"/>
  <c r="AH34" i="35"/>
  <c r="AH35" i="35"/>
  <c r="AE34" i="35"/>
  <c r="AE35" i="35"/>
  <c r="I34" i="35"/>
  <c r="AA34" i="35" s="1"/>
  <c r="J34" i="35"/>
  <c r="K34" i="35"/>
  <c r="L34" i="35"/>
  <c r="M34" i="35"/>
  <c r="I35" i="35"/>
  <c r="J35" i="35"/>
  <c r="L35" i="35"/>
  <c r="M35" i="35"/>
  <c r="AG32" i="35"/>
  <c r="AL32" i="35" s="1"/>
  <c r="AD32" i="35"/>
  <c r="AK32" i="35" s="1"/>
  <c r="O32" i="35"/>
  <c r="P32" i="35"/>
  <c r="Q32" i="35"/>
  <c r="R32" i="35"/>
  <c r="S32" i="35"/>
  <c r="T32" i="35"/>
  <c r="U32" i="35"/>
  <c r="V32" i="35"/>
  <c r="W32" i="35"/>
  <c r="X32" i="35"/>
  <c r="Y32" i="35"/>
  <c r="Z32" i="35"/>
  <c r="AJ32" i="35" s="1"/>
  <c r="AJ31" i="35"/>
  <c r="AK31" i="35"/>
  <c r="AL31" i="35"/>
  <c r="AM31" i="35"/>
  <c r="AN31" i="35"/>
  <c r="AG31" i="35"/>
  <c r="AD31" i="35"/>
  <c r="O31" i="35"/>
  <c r="P31" i="35"/>
  <c r="Q31" i="35"/>
  <c r="R31" i="35"/>
  <c r="S31" i="35"/>
  <c r="T31" i="35"/>
  <c r="U31" i="35"/>
  <c r="V31" i="35"/>
  <c r="W31" i="35"/>
  <c r="X31" i="35"/>
  <c r="Y31" i="35"/>
  <c r="Z31" i="35"/>
  <c r="AA31" i="35"/>
  <c r="N26" i="35"/>
  <c r="N27" i="35"/>
  <c r="N28" i="35"/>
  <c r="N29" i="35"/>
  <c r="B22" i="35"/>
  <c r="B23" i="35"/>
  <c r="AG16" i="35"/>
  <c r="AG19" i="35"/>
  <c r="AG20" i="35"/>
  <c r="AD19" i="35"/>
  <c r="AD20" i="35"/>
  <c r="N19" i="35"/>
  <c r="O19" i="35"/>
  <c r="P19" i="35"/>
  <c r="Q19" i="35"/>
  <c r="R19" i="35"/>
  <c r="S19" i="35"/>
  <c r="T19" i="35"/>
  <c r="U19" i="35"/>
  <c r="V19" i="35"/>
  <c r="W19" i="35"/>
  <c r="X19" i="35"/>
  <c r="Y19" i="35"/>
  <c r="Z19" i="35"/>
  <c r="N20" i="35"/>
  <c r="O20" i="35"/>
  <c r="P20" i="35"/>
  <c r="Q20" i="35"/>
  <c r="R20" i="35"/>
  <c r="S20" i="35"/>
  <c r="T20" i="35"/>
  <c r="U20" i="35"/>
  <c r="V20" i="35"/>
  <c r="W20" i="35"/>
  <c r="X20" i="35"/>
  <c r="Y20" i="35"/>
  <c r="Z20" i="35"/>
  <c r="B17" i="35"/>
  <c r="B18" i="35"/>
  <c r="B19" i="35"/>
  <c r="O17" i="35"/>
  <c r="P17" i="35"/>
  <c r="Q17" i="35"/>
  <c r="R17" i="35"/>
  <c r="S17" i="35"/>
  <c r="T17" i="35"/>
  <c r="U17" i="35"/>
  <c r="V17" i="35"/>
  <c r="W17" i="35"/>
  <c r="X17" i="35"/>
  <c r="Y17" i="35"/>
  <c r="Z17" i="35"/>
  <c r="O16" i="35"/>
  <c r="P16" i="35"/>
  <c r="Q16" i="35"/>
  <c r="R16" i="35"/>
  <c r="S16" i="35"/>
  <c r="T16" i="35"/>
  <c r="U16" i="35"/>
  <c r="V16" i="35"/>
  <c r="W16" i="35"/>
  <c r="X16" i="35"/>
  <c r="Y16" i="35"/>
  <c r="AA16" i="35"/>
  <c r="A14" i="35"/>
  <c r="AG12" i="35"/>
  <c r="AG13" i="35"/>
  <c r="AD12" i="35"/>
  <c r="AD13" i="35"/>
  <c r="B12" i="35"/>
  <c r="B13" i="35"/>
  <c r="O12" i="35"/>
  <c r="P12" i="35"/>
  <c r="Q12" i="35"/>
  <c r="R12" i="35"/>
  <c r="S12" i="35"/>
  <c r="T12" i="35"/>
  <c r="U12" i="35"/>
  <c r="V12" i="35"/>
  <c r="W12" i="35"/>
  <c r="X12" i="35"/>
  <c r="Y12" i="35"/>
  <c r="Z12" i="35"/>
  <c r="AA12" i="35"/>
  <c r="O13" i="35"/>
  <c r="P13" i="35"/>
  <c r="Q13" i="35"/>
  <c r="R13" i="35"/>
  <c r="S13" i="35"/>
  <c r="T13" i="35"/>
  <c r="U13" i="35"/>
  <c r="V13" i="35"/>
  <c r="W13" i="35"/>
  <c r="X13" i="35"/>
  <c r="Y13" i="35"/>
  <c r="Z13" i="35"/>
  <c r="AA13" i="35"/>
  <c r="O11" i="35"/>
  <c r="P11" i="35"/>
  <c r="Q11" i="35"/>
  <c r="R11" i="35"/>
  <c r="S11" i="35"/>
  <c r="T11" i="35"/>
  <c r="U11" i="35"/>
  <c r="V11" i="35"/>
  <c r="W11" i="35"/>
  <c r="X11" i="35"/>
  <c r="Y11" i="35"/>
  <c r="Z11" i="35"/>
  <c r="C10" i="35"/>
  <c r="D10" i="35"/>
  <c r="Z16" i="35" s="1"/>
  <c r="C9" i="35"/>
  <c r="C1" i="35"/>
  <c r="C2" i="35"/>
  <c r="C3" i="35"/>
  <c r="C4" i="35"/>
  <c r="C5" i="35"/>
  <c r="C6" i="35"/>
  <c r="C7" i="35"/>
  <c r="C8" i="35"/>
  <c r="E6" i="35"/>
  <c r="E4" i="35"/>
  <c r="F4" i="35"/>
  <c r="B3" i="35"/>
  <c r="B67" i="34"/>
  <c r="AG63" i="34"/>
  <c r="AD63" i="34"/>
  <c r="O63" i="34"/>
  <c r="P63" i="34"/>
  <c r="Q63" i="34"/>
  <c r="R63" i="34"/>
  <c r="S63" i="34"/>
  <c r="T63" i="34"/>
  <c r="U63" i="34"/>
  <c r="V63" i="34"/>
  <c r="W63" i="34"/>
  <c r="X63" i="34"/>
  <c r="Y63" i="34"/>
  <c r="Z63" i="34"/>
  <c r="I63" i="34"/>
  <c r="J63" i="34"/>
  <c r="B61" i="34"/>
  <c r="B62" i="34"/>
  <c r="B63" i="34"/>
  <c r="AD58" i="34"/>
  <c r="AE58" i="34" s="1"/>
  <c r="AG58" i="34"/>
  <c r="O58" i="34"/>
  <c r="P58" i="34"/>
  <c r="Q58" i="34"/>
  <c r="R58" i="34"/>
  <c r="S58" i="34"/>
  <c r="T58" i="34"/>
  <c r="U58" i="34"/>
  <c r="V58" i="34"/>
  <c r="W58" i="34"/>
  <c r="X58" i="34"/>
  <c r="Y58" i="34"/>
  <c r="Z58" i="34"/>
  <c r="A58" i="34"/>
  <c r="N56" i="34"/>
  <c r="N57" i="34"/>
  <c r="AH56" i="34"/>
  <c r="AH57" i="34"/>
  <c r="AE56" i="34"/>
  <c r="AE57" i="34"/>
  <c r="AA57" i="34"/>
  <c r="AB57" i="34" s="1"/>
  <c r="I56" i="34"/>
  <c r="AA56" i="34" s="1"/>
  <c r="J56" i="34"/>
  <c r="I57" i="34"/>
  <c r="J57" i="34"/>
  <c r="B54" i="34"/>
  <c r="AD51" i="34"/>
  <c r="AE51" i="34" s="1"/>
  <c r="AG51" i="34"/>
  <c r="O51" i="34"/>
  <c r="P51" i="34"/>
  <c r="Q51" i="34"/>
  <c r="R51" i="34"/>
  <c r="S51" i="34"/>
  <c r="T51" i="34"/>
  <c r="U51" i="34"/>
  <c r="V51" i="34"/>
  <c r="W51" i="34"/>
  <c r="X51" i="34"/>
  <c r="Y51" i="34"/>
  <c r="Z51" i="34"/>
  <c r="I50" i="34"/>
  <c r="J50" i="34"/>
  <c r="B48" i="34"/>
  <c r="B49" i="34"/>
  <c r="B50" i="34"/>
  <c r="AH49" i="34"/>
  <c r="AH50" i="34"/>
  <c r="AE49" i="34"/>
  <c r="AE50" i="34"/>
  <c r="AF50" i="34"/>
  <c r="AA50" i="34"/>
  <c r="AI50" i="34" s="1"/>
  <c r="AB50" i="34"/>
  <c r="L49" i="34"/>
  <c r="M49" i="34"/>
  <c r="N49" i="34"/>
  <c r="L50" i="34"/>
  <c r="M50" i="34"/>
  <c r="N50" i="34"/>
  <c r="I49" i="34"/>
  <c r="AA49" i="34" s="1"/>
  <c r="J49" i="34"/>
  <c r="N46" i="34"/>
  <c r="Q46" i="34"/>
  <c r="Q53" i="34" s="1"/>
  <c r="Q60" i="34" s="1"/>
  <c r="Y46" i="34"/>
  <c r="I46" i="34"/>
  <c r="J46" i="34"/>
  <c r="A45" i="34"/>
  <c r="AD44" i="34"/>
  <c r="AE44" i="34"/>
  <c r="AG44" i="34"/>
  <c r="AG46" i="34" s="1"/>
  <c r="N44" i="34"/>
  <c r="O44" i="34"/>
  <c r="P44" i="34"/>
  <c r="P46" i="34" s="1"/>
  <c r="P53" i="34" s="1"/>
  <c r="P60" i="34" s="1"/>
  <c r="Q44" i="34"/>
  <c r="R44" i="34"/>
  <c r="R46" i="34" s="1"/>
  <c r="R53" i="34" s="1"/>
  <c r="R60" i="34" s="1"/>
  <c r="S44" i="34"/>
  <c r="S46" i="34" s="1"/>
  <c r="S53" i="34" s="1"/>
  <c r="S60" i="34" s="1"/>
  <c r="T44" i="34"/>
  <c r="T46" i="34" s="1"/>
  <c r="T53" i="34" s="1"/>
  <c r="T60" i="34" s="1"/>
  <c r="U44" i="34"/>
  <c r="U46" i="34" s="1"/>
  <c r="U53" i="34" s="1"/>
  <c r="U60" i="34" s="1"/>
  <c r="V44" i="34"/>
  <c r="V46" i="34" s="1"/>
  <c r="V53" i="34" s="1"/>
  <c r="V60" i="34" s="1"/>
  <c r="W44" i="34"/>
  <c r="W46" i="34" s="1"/>
  <c r="W53" i="34" s="1"/>
  <c r="X44" i="34"/>
  <c r="X46" i="34" s="1"/>
  <c r="X53" i="34" s="1"/>
  <c r="X60" i="34" s="1"/>
  <c r="Y44" i="34"/>
  <c r="Z44" i="34"/>
  <c r="Z46" i="34" s="1"/>
  <c r="Z53" i="34" s="1"/>
  <c r="Z60" i="34" s="1"/>
  <c r="I44" i="34"/>
  <c r="J44" i="34"/>
  <c r="AH42" i="34"/>
  <c r="AH43" i="34"/>
  <c r="AE42" i="34"/>
  <c r="AE43" i="34"/>
  <c r="I42" i="34"/>
  <c r="AA42" i="34" s="1"/>
  <c r="J42" i="34"/>
  <c r="K42" i="34"/>
  <c r="L42" i="34"/>
  <c r="M42" i="34"/>
  <c r="N42" i="34"/>
  <c r="I43" i="34"/>
  <c r="J43" i="34"/>
  <c r="L43" i="34"/>
  <c r="M43" i="34"/>
  <c r="N43" i="34"/>
  <c r="N41" i="34"/>
  <c r="I41" i="34"/>
  <c r="J41" i="34"/>
  <c r="AH35" i="34"/>
  <c r="AK35" i="34"/>
  <c r="AH36" i="34"/>
  <c r="AH37" i="34"/>
  <c r="AH38" i="34"/>
  <c r="AH39" i="34"/>
  <c r="AE35" i="34"/>
  <c r="AE36" i="34"/>
  <c r="AE37" i="34"/>
  <c r="AE38" i="34"/>
  <c r="AE39" i="34"/>
  <c r="AB35" i="34"/>
  <c r="AA36" i="34"/>
  <c r="I35" i="34"/>
  <c r="AA35" i="34" s="1"/>
  <c r="J35" i="34"/>
  <c r="K35" i="34"/>
  <c r="L35" i="34"/>
  <c r="M35" i="34"/>
  <c r="N35" i="34"/>
  <c r="I36" i="34"/>
  <c r="J36" i="34"/>
  <c r="K36" i="34"/>
  <c r="L36" i="34"/>
  <c r="M36" i="34"/>
  <c r="N36" i="34"/>
  <c r="I37" i="34"/>
  <c r="K37" i="34" s="1"/>
  <c r="J37" i="34"/>
  <c r="L37" i="34"/>
  <c r="M37" i="34"/>
  <c r="N37" i="34"/>
  <c r="I38" i="34"/>
  <c r="AA38" i="34" s="1"/>
  <c r="J38" i="34"/>
  <c r="L38" i="34"/>
  <c r="M38" i="34"/>
  <c r="N38" i="34"/>
  <c r="I39" i="34"/>
  <c r="AA39" i="34" s="1"/>
  <c r="J39" i="34"/>
  <c r="K39" i="34"/>
  <c r="L39" i="34"/>
  <c r="M39" i="34"/>
  <c r="N39" i="34"/>
  <c r="N33" i="34"/>
  <c r="N34" i="34"/>
  <c r="I33" i="34"/>
  <c r="J33" i="34"/>
  <c r="I34" i="34"/>
  <c r="J34" i="34"/>
  <c r="AG32" i="34"/>
  <c r="AL32" i="34" s="1"/>
  <c r="AD32" i="34"/>
  <c r="AK32" i="34" s="1"/>
  <c r="O32" i="34"/>
  <c r="P32" i="34"/>
  <c r="Q32" i="34"/>
  <c r="R32" i="34"/>
  <c r="S32" i="34"/>
  <c r="T32" i="34"/>
  <c r="U32" i="34"/>
  <c r="V32" i="34"/>
  <c r="W32" i="34"/>
  <c r="X32" i="34"/>
  <c r="Y32" i="34"/>
  <c r="Z32" i="34"/>
  <c r="AJ32" i="34" s="1"/>
  <c r="AJ31" i="34"/>
  <c r="AK31" i="34"/>
  <c r="AL31" i="34"/>
  <c r="AN31" i="34" s="1"/>
  <c r="AM31" i="34"/>
  <c r="AG31" i="34"/>
  <c r="AD31" i="34"/>
  <c r="O31" i="34"/>
  <c r="P31" i="34"/>
  <c r="Q31" i="34"/>
  <c r="R31" i="34"/>
  <c r="S31" i="34"/>
  <c r="T31" i="34"/>
  <c r="U31" i="34"/>
  <c r="V31" i="34"/>
  <c r="W31" i="34"/>
  <c r="X31" i="34"/>
  <c r="Y31" i="34"/>
  <c r="Z31" i="34"/>
  <c r="AA31" i="34"/>
  <c r="N26" i="34"/>
  <c r="N27" i="34"/>
  <c r="N28" i="34"/>
  <c r="N29" i="34"/>
  <c r="B22" i="34"/>
  <c r="B23" i="34"/>
  <c r="AG16" i="34"/>
  <c r="AG19" i="34"/>
  <c r="AG20" i="34"/>
  <c r="AL36" i="34" s="1"/>
  <c r="AD19" i="34"/>
  <c r="AD20" i="34"/>
  <c r="AK38" i="34" s="1"/>
  <c r="N19" i="34"/>
  <c r="O19" i="34"/>
  <c r="P19" i="34"/>
  <c r="Q19" i="34"/>
  <c r="R19" i="34"/>
  <c r="S19" i="34"/>
  <c r="T19" i="34"/>
  <c r="U19" i="34"/>
  <c r="V19" i="34"/>
  <c r="W19" i="34"/>
  <c r="X19" i="34"/>
  <c r="Y19" i="34"/>
  <c r="Z19" i="34"/>
  <c r="N20" i="34"/>
  <c r="O20" i="34"/>
  <c r="P20" i="34"/>
  <c r="Q20" i="34"/>
  <c r="R20" i="34"/>
  <c r="S20" i="34"/>
  <c r="T20" i="34"/>
  <c r="U20" i="34"/>
  <c r="V20" i="34"/>
  <c r="W20" i="34"/>
  <c r="X20" i="34"/>
  <c r="Y20" i="34"/>
  <c r="Z20" i="34"/>
  <c r="B17" i="34"/>
  <c r="B18" i="34"/>
  <c r="B19" i="34"/>
  <c r="O17" i="34"/>
  <c r="P17" i="34"/>
  <c r="Q17" i="34"/>
  <c r="R17" i="34"/>
  <c r="S17" i="34"/>
  <c r="T17" i="34"/>
  <c r="U17" i="34"/>
  <c r="V17" i="34"/>
  <c r="W17" i="34"/>
  <c r="X17" i="34"/>
  <c r="Y17" i="34"/>
  <c r="Z17" i="34"/>
  <c r="O16" i="34"/>
  <c r="P16" i="34"/>
  <c r="Q16" i="34"/>
  <c r="R16" i="34"/>
  <c r="S16" i="34"/>
  <c r="T16" i="34"/>
  <c r="U16" i="34"/>
  <c r="V16" i="34"/>
  <c r="W16" i="34"/>
  <c r="X16" i="34"/>
  <c r="Y16" i="34"/>
  <c r="A14" i="34"/>
  <c r="AG12" i="34"/>
  <c r="AG13" i="34"/>
  <c r="AD12" i="34"/>
  <c r="AD13" i="34"/>
  <c r="B12" i="34"/>
  <c r="B13" i="34"/>
  <c r="O12" i="34"/>
  <c r="P12" i="34"/>
  <c r="Q12" i="34"/>
  <c r="R12" i="34"/>
  <c r="S12" i="34"/>
  <c r="T12" i="34"/>
  <c r="U12" i="34"/>
  <c r="V12" i="34"/>
  <c r="W12" i="34"/>
  <c r="X12" i="34"/>
  <c r="Y12" i="34"/>
  <c r="Z12" i="34"/>
  <c r="AA12" i="34"/>
  <c r="O13" i="34"/>
  <c r="P13" i="34"/>
  <c r="Q13" i="34"/>
  <c r="R13" i="34"/>
  <c r="S13" i="34"/>
  <c r="T13" i="34"/>
  <c r="U13" i="34"/>
  <c r="V13" i="34"/>
  <c r="W13" i="34"/>
  <c r="X13" i="34"/>
  <c r="Y13" i="34"/>
  <c r="Z13" i="34"/>
  <c r="AA13" i="34"/>
  <c r="O11" i="34"/>
  <c r="P11" i="34"/>
  <c r="Q11" i="34"/>
  <c r="R11" i="34"/>
  <c r="S11" i="34"/>
  <c r="T11" i="34"/>
  <c r="U11" i="34"/>
  <c r="V11" i="34"/>
  <c r="W11" i="34"/>
  <c r="X11" i="34"/>
  <c r="Y11" i="34"/>
  <c r="Z11" i="34"/>
  <c r="C10" i="34"/>
  <c r="D10" i="34"/>
  <c r="AA16" i="34" s="1"/>
  <c r="C9" i="34"/>
  <c r="C1" i="34"/>
  <c r="C2" i="34"/>
  <c r="C3" i="34"/>
  <c r="C4" i="34"/>
  <c r="C5" i="34"/>
  <c r="C6" i="34"/>
  <c r="C7" i="34"/>
  <c r="C8" i="34"/>
  <c r="E6" i="34"/>
  <c r="E4" i="34"/>
  <c r="F4" i="34"/>
  <c r="B3" i="34"/>
  <c r="N68" i="33"/>
  <c r="I68" i="33"/>
  <c r="J68"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AH34" i="33"/>
  <c r="AH35" i="33"/>
  <c r="AH36" i="33"/>
  <c r="AH37" i="33"/>
  <c r="AH38" i="33"/>
  <c r="AH39" i="33"/>
  <c r="AH42" i="33"/>
  <c r="AH46" i="33"/>
  <c r="AL46" i="33"/>
  <c r="AH47" i="33"/>
  <c r="AH49" i="33"/>
  <c r="AH50" i="33"/>
  <c r="AL53" i="33"/>
  <c r="AH56" i="33"/>
  <c r="AH57" i="33"/>
  <c r="AH58" i="33"/>
  <c r="AH59" i="33"/>
  <c r="AH60" i="33"/>
  <c r="AH61" i="33"/>
  <c r="AH62" i="33"/>
  <c r="AH63" i="33"/>
  <c r="AH64" i="33"/>
  <c r="AH65" i="33"/>
  <c r="AE34" i="33"/>
  <c r="AE35" i="33"/>
  <c r="AE36" i="33"/>
  <c r="AE37" i="33"/>
  <c r="AE38" i="33"/>
  <c r="AE39" i="33"/>
  <c r="AE42" i="33"/>
  <c r="AE46" i="33"/>
  <c r="AE47" i="33"/>
  <c r="AE49" i="33"/>
  <c r="AE50" i="33"/>
  <c r="AE56" i="33"/>
  <c r="AE57" i="33"/>
  <c r="AE58" i="33"/>
  <c r="AE59" i="33"/>
  <c r="AE60" i="33"/>
  <c r="AE61" i="33"/>
  <c r="AE62" i="33"/>
  <c r="AE63" i="33"/>
  <c r="AE64" i="33"/>
  <c r="AE65" i="33"/>
  <c r="AA37" i="33"/>
  <c r="AI37" i="33" s="1"/>
  <c r="AB46" i="33"/>
  <c r="AA62" i="33"/>
  <c r="AB62" i="33" s="1"/>
  <c r="I34" i="33"/>
  <c r="J34" i="33"/>
  <c r="L34" i="33"/>
  <c r="M34" i="33"/>
  <c r="I35" i="33"/>
  <c r="AA35" i="33" s="1"/>
  <c r="J35" i="33"/>
  <c r="L35" i="33"/>
  <c r="M35" i="33"/>
  <c r="I36" i="33"/>
  <c r="AA36" i="33" s="1"/>
  <c r="AF36" i="33" s="1"/>
  <c r="J36" i="33"/>
  <c r="L36" i="33"/>
  <c r="M36" i="33"/>
  <c r="I37" i="33"/>
  <c r="J37" i="33"/>
  <c r="K37" i="33"/>
  <c r="L37" i="33"/>
  <c r="M37" i="33"/>
  <c r="I38" i="33"/>
  <c r="AA38" i="33" s="1"/>
  <c r="J38" i="33"/>
  <c r="K38" i="33"/>
  <c r="L38" i="33"/>
  <c r="M38" i="33"/>
  <c r="I39" i="33"/>
  <c r="J39" i="33"/>
  <c r="L39" i="33"/>
  <c r="M39" i="33"/>
  <c r="I40" i="33"/>
  <c r="AA40" i="33" s="1"/>
  <c r="J40" i="33"/>
  <c r="L40" i="33"/>
  <c r="M40" i="33"/>
  <c r="I41" i="33"/>
  <c r="AA41" i="33" s="1"/>
  <c r="J41" i="33"/>
  <c r="L41" i="33"/>
  <c r="M41" i="33"/>
  <c r="I42" i="33"/>
  <c r="J42" i="33"/>
  <c r="L42" i="33"/>
  <c r="M42" i="33"/>
  <c r="I43" i="33"/>
  <c r="AA43" i="33" s="1"/>
  <c r="AI43" i="33" s="1"/>
  <c r="J43" i="33"/>
  <c r="K43" i="33"/>
  <c r="L43" i="33"/>
  <c r="M43" i="33"/>
  <c r="I44" i="33"/>
  <c r="AA44" i="33" s="1"/>
  <c r="AF44" i="33" s="1"/>
  <c r="J44" i="33"/>
  <c r="K44" i="33"/>
  <c r="L44" i="33"/>
  <c r="M44" i="33"/>
  <c r="I45" i="33"/>
  <c r="K45" i="33" s="1"/>
  <c r="J45" i="33"/>
  <c r="L45" i="33"/>
  <c r="M45" i="33"/>
  <c r="I46" i="33"/>
  <c r="AA46" i="33" s="1"/>
  <c r="J46" i="33"/>
  <c r="L46" i="33"/>
  <c r="M46" i="33"/>
  <c r="I47" i="33"/>
  <c r="J47" i="33"/>
  <c r="L47" i="33"/>
  <c r="M47" i="33"/>
  <c r="I48" i="33"/>
  <c r="AA48" i="33" s="1"/>
  <c r="J48" i="33"/>
  <c r="L48" i="33"/>
  <c r="M48" i="33"/>
  <c r="I49" i="33"/>
  <c r="AA49" i="33" s="1"/>
  <c r="J49" i="33"/>
  <c r="K49" i="33"/>
  <c r="L49" i="33"/>
  <c r="M49" i="33"/>
  <c r="I50" i="33"/>
  <c r="K50" i="33" s="1"/>
  <c r="J50" i="33"/>
  <c r="L50" i="33"/>
  <c r="M50" i="33"/>
  <c r="I51" i="33"/>
  <c r="AA51" i="33" s="1"/>
  <c r="AI51" i="33" s="1"/>
  <c r="J51" i="33"/>
  <c r="K51" i="33"/>
  <c r="L51" i="33"/>
  <c r="M51" i="33"/>
  <c r="I52" i="33"/>
  <c r="K52" i="33" s="1"/>
  <c r="J52" i="33"/>
  <c r="L52" i="33"/>
  <c r="M52" i="33"/>
  <c r="I53" i="33"/>
  <c r="AA53" i="33" s="1"/>
  <c r="J53" i="33"/>
  <c r="L53" i="33"/>
  <c r="M53" i="33"/>
  <c r="I54" i="33"/>
  <c r="AA54" i="33" s="1"/>
  <c r="J54" i="33"/>
  <c r="K54" i="33"/>
  <c r="L54" i="33"/>
  <c r="M54" i="33"/>
  <c r="I55" i="33"/>
  <c r="J55" i="33"/>
  <c r="L55" i="33"/>
  <c r="M55" i="33"/>
  <c r="I56" i="33"/>
  <c r="J56" i="33"/>
  <c r="L56" i="33"/>
  <c r="M56" i="33"/>
  <c r="I57" i="33"/>
  <c r="AA57" i="33" s="1"/>
  <c r="J57" i="33"/>
  <c r="K57" i="33"/>
  <c r="L57" i="33"/>
  <c r="M57" i="33"/>
  <c r="I58" i="33"/>
  <c r="K58" i="33" s="1"/>
  <c r="J58" i="33"/>
  <c r="L58" i="33"/>
  <c r="M58" i="33"/>
  <c r="I59" i="33"/>
  <c r="AA59" i="33" s="1"/>
  <c r="J59" i="33"/>
  <c r="L59" i="33"/>
  <c r="M59" i="33"/>
  <c r="I60" i="33"/>
  <c r="AA60" i="33" s="1"/>
  <c r="AF60" i="33" s="1"/>
  <c r="J60" i="33"/>
  <c r="L60" i="33"/>
  <c r="M60" i="33"/>
  <c r="I61" i="33"/>
  <c r="AA61" i="33" s="1"/>
  <c r="AI61" i="33" s="1"/>
  <c r="J61" i="33"/>
  <c r="K61" i="33"/>
  <c r="L61" i="33"/>
  <c r="M61" i="33"/>
  <c r="I62" i="33"/>
  <c r="K62" i="33" s="1"/>
  <c r="J62" i="33"/>
  <c r="L62" i="33"/>
  <c r="M62" i="33"/>
  <c r="I63" i="33"/>
  <c r="J63" i="33"/>
  <c r="L63" i="33"/>
  <c r="M63" i="33"/>
  <c r="I64" i="33"/>
  <c r="AA64" i="33" s="1"/>
  <c r="J64" i="33"/>
  <c r="K64" i="33"/>
  <c r="L64" i="33"/>
  <c r="M64" i="33"/>
  <c r="I65" i="33"/>
  <c r="AA65" i="33" s="1"/>
  <c r="J65" i="33"/>
  <c r="L65" i="33"/>
  <c r="M65" i="33"/>
  <c r="I33" i="33"/>
  <c r="J33" i="33"/>
  <c r="AG32" i="33"/>
  <c r="AL32" i="33" s="1"/>
  <c r="AD32" i="33"/>
  <c r="AK32" i="33" s="1"/>
  <c r="O32" i="33"/>
  <c r="P32" i="33"/>
  <c r="Q32" i="33"/>
  <c r="R32" i="33"/>
  <c r="S32" i="33"/>
  <c r="T32" i="33"/>
  <c r="U32" i="33"/>
  <c r="V32" i="33"/>
  <c r="W32" i="33"/>
  <c r="X32" i="33"/>
  <c r="Y32" i="33"/>
  <c r="Z32" i="33"/>
  <c r="AJ32" i="33" s="1"/>
  <c r="AJ31" i="33"/>
  <c r="AK31" i="33"/>
  <c r="AM31" i="33" s="1"/>
  <c r="AL31" i="33"/>
  <c r="AN31" i="33"/>
  <c r="AG31" i="33"/>
  <c r="AD31" i="33"/>
  <c r="O31" i="33"/>
  <c r="P31" i="33"/>
  <c r="Q31" i="33"/>
  <c r="R31" i="33"/>
  <c r="S31" i="33"/>
  <c r="T31" i="33"/>
  <c r="U31" i="33"/>
  <c r="V31" i="33"/>
  <c r="W31" i="33"/>
  <c r="X31" i="33"/>
  <c r="Y31" i="33"/>
  <c r="Z31" i="33"/>
  <c r="AA31" i="33"/>
  <c r="N26" i="33"/>
  <c r="N27" i="33"/>
  <c r="N28" i="33"/>
  <c r="N29" i="33"/>
  <c r="B22" i="33"/>
  <c r="B23" i="33"/>
  <c r="AG16" i="33"/>
  <c r="AG19" i="33"/>
  <c r="AG20" i="33"/>
  <c r="AG66" i="33" s="1"/>
  <c r="AG21" i="33"/>
  <c r="AL36" i="33" s="1"/>
  <c r="AD19" i="33"/>
  <c r="AE45" i="33" s="1"/>
  <c r="AD20" i="33"/>
  <c r="AD66" i="33" s="1"/>
  <c r="AK66" i="33" s="1"/>
  <c r="AD21" i="33"/>
  <c r="I20" i="33"/>
  <c r="J20" i="33"/>
  <c r="N19" i="33"/>
  <c r="O19" i="33"/>
  <c r="P19" i="33"/>
  <c r="Q19" i="33"/>
  <c r="R19" i="33"/>
  <c r="S19" i="33"/>
  <c r="T19" i="33"/>
  <c r="U19" i="33"/>
  <c r="V19" i="33"/>
  <c r="W19" i="33"/>
  <c r="X19" i="33"/>
  <c r="Y19" i="33"/>
  <c r="Z19" i="33"/>
  <c r="N20" i="33"/>
  <c r="N66" i="33" s="1"/>
  <c r="O20" i="33"/>
  <c r="O66" i="33" s="1"/>
  <c r="P20" i="33"/>
  <c r="P66" i="33" s="1"/>
  <c r="Q20" i="33"/>
  <c r="R20" i="33"/>
  <c r="R66" i="33" s="1"/>
  <c r="S20" i="33"/>
  <c r="S66" i="33" s="1"/>
  <c r="T20" i="33"/>
  <c r="T66" i="33" s="1"/>
  <c r="T67" i="33" s="1"/>
  <c r="U20" i="33"/>
  <c r="U66" i="33" s="1"/>
  <c r="V20" i="33"/>
  <c r="V66" i="33" s="1"/>
  <c r="W20" i="33"/>
  <c r="W66" i="33" s="1"/>
  <c r="X20" i="33"/>
  <c r="X66" i="33" s="1"/>
  <c r="Y20" i="33"/>
  <c r="Y66" i="33" s="1"/>
  <c r="Z20" i="33"/>
  <c r="Z66" i="33" s="1"/>
  <c r="N21" i="33"/>
  <c r="O21" i="33"/>
  <c r="P21" i="33"/>
  <c r="Q21" i="33"/>
  <c r="R21" i="33"/>
  <c r="S21" i="33"/>
  <c r="T21" i="33"/>
  <c r="U21" i="33"/>
  <c r="V21" i="33"/>
  <c r="W21" i="33"/>
  <c r="X21" i="33"/>
  <c r="Y21" i="33"/>
  <c r="Z21" i="33"/>
  <c r="B17" i="33"/>
  <c r="B18" i="33"/>
  <c r="B19" i="33"/>
  <c r="O17" i="33"/>
  <c r="P17" i="33"/>
  <c r="Q17" i="33"/>
  <c r="R17" i="33"/>
  <c r="S17" i="33"/>
  <c r="T17" i="33"/>
  <c r="U17" i="33"/>
  <c r="V17" i="33"/>
  <c r="W17" i="33"/>
  <c r="X17" i="33"/>
  <c r="Y17" i="33"/>
  <c r="Z17" i="33"/>
  <c r="O16" i="33"/>
  <c r="P16" i="33"/>
  <c r="Q16" i="33"/>
  <c r="R16" i="33"/>
  <c r="S16" i="33"/>
  <c r="T16" i="33"/>
  <c r="U16" i="33"/>
  <c r="V16" i="33"/>
  <c r="W16" i="33"/>
  <c r="X16" i="33"/>
  <c r="Y16" i="33"/>
  <c r="A14" i="33"/>
  <c r="AG12" i="33"/>
  <c r="AG13" i="33"/>
  <c r="AD12" i="33"/>
  <c r="AD13" i="33"/>
  <c r="B12" i="33"/>
  <c r="B13" i="33"/>
  <c r="O12" i="33"/>
  <c r="P12" i="33"/>
  <c r="Q12" i="33"/>
  <c r="R12" i="33"/>
  <c r="S12" i="33"/>
  <c r="T12" i="33"/>
  <c r="U12" i="33"/>
  <c r="V12" i="33"/>
  <c r="W12" i="33"/>
  <c r="X12" i="33"/>
  <c r="Y12" i="33"/>
  <c r="Z12" i="33"/>
  <c r="AA12" i="33"/>
  <c r="O13" i="33"/>
  <c r="P13" i="33"/>
  <c r="Q13" i="33"/>
  <c r="R13" i="33"/>
  <c r="S13" i="33"/>
  <c r="T13" i="33"/>
  <c r="U13" i="33"/>
  <c r="V13" i="33"/>
  <c r="W13" i="33"/>
  <c r="X13" i="33"/>
  <c r="Y13" i="33"/>
  <c r="Z13" i="33"/>
  <c r="AA13" i="33"/>
  <c r="O11" i="33"/>
  <c r="P11" i="33"/>
  <c r="Q11" i="33"/>
  <c r="R11" i="33"/>
  <c r="S11" i="33"/>
  <c r="T11" i="33"/>
  <c r="U11" i="33"/>
  <c r="V11" i="33"/>
  <c r="W11" i="33"/>
  <c r="X11" i="33"/>
  <c r="Y11" i="33"/>
  <c r="Z11" i="33"/>
  <c r="C10" i="33"/>
  <c r="D10" i="33"/>
  <c r="C9" i="33"/>
  <c r="C1" i="33"/>
  <c r="C2" i="33"/>
  <c r="C3" i="33"/>
  <c r="C4" i="33"/>
  <c r="C5" i="33"/>
  <c r="C6" i="33"/>
  <c r="C7" i="33"/>
  <c r="C8" i="33"/>
  <c r="E6" i="33"/>
  <c r="E4" i="33"/>
  <c r="F4" i="33"/>
  <c r="B3" i="33"/>
  <c r="AG38" i="32"/>
  <c r="AD38" i="32"/>
  <c r="O38" i="32"/>
  <c r="P38" i="32"/>
  <c r="Q38" i="32"/>
  <c r="R38" i="32"/>
  <c r="S38" i="32"/>
  <c r="T38" i="32"/>
  <c r="U38" i="32"/>
  <c r="V38" i="32"/>
  <c r="W38" i="32"/>
  <c r="X38" i="32"/>
  <c r="Y38" i="32"/>
  <c r="Z38" i="32"/>
  <c r="AD36" i="32"/>
  <c r="AG36" i="32"/>
  <c r="AL36" i="32" s="1"/>
  <c r="N36" i="32"/>
  <c r="N38" i="32" s="1"/>
  <c r="O36" i="32"/>
  <c r="P36" i="32"/>
  <c r="Q36" i="32"/>
  <c r="R36" i="32"/>
  <c r="S36" i="32"/>
  <c r="T36" i="32"/>
  <c r="U36" i="32"/>
  <c r="V36" i="32"/>
  <c r="W36" i="32"/>
  <c r="X36" i="32"/>
  <c r="Y36" i="32"/>
  <c r="Z36" i="32"/>
  <c r="I36" i="32"/>
  <c r="J36" i="32"/>
  <c r="AH35" i="32"/>
  <c r="AE35" i="32"/>
  <c r="I34" i="32"/>
  <c r="J34" i="32"/>
  <c r="L34" i="32"/>
  <c r="M34" i="32"/>
  <c r="N34" i="32"/>
  <c r="I35" i="32"/>
  <c r="J35" i="32"/>
  <c r="L35" i="32"/>
  <c r="M35" i="32"/>
  <c r="N35" i="32"/>
  <c r="N33" i="32"/>
  <c r="I33" i="32"/>
  <c r="J33" i="32"/>
  <c r="AG32" i="32"/>
  <c r="AL32" i="32" s="1"/>
  <c r="AD32" i="32"/>
  <c r="AK32" i="32" s="1"/>
  <c r="O32" i="32"/>
  <c r="P32" i="32"/>
  <c r="Q32" i="32"/>
  <c r="R32" i="32"/>
  <c r="S32" i="32"/>
  <c r="T32" i="32"/>
  <c r="U32" i="32"/>
  <c r="V32" i="32"/>
  <c r="W32" i="32"/>
  <c r="X32" i="32"/>
  <c r="Y32" i="32"/>
  <c r="Z32" i="32"/>
  <c r="AJ32" i="32" s="1"/>
  <c r="AJ31" i="32"/>
  <c r="AK31" i="32"/>
  <c r="AL31" i="32"/>
  <c r="AN31" i="32" s="1"/>
  <c r="AM31" i="32"/>
  <c r="AG31" i="32"/>
  <c r="AD31" i="32"/>
  <c r="O31" i="32"/>
  <c r="P31" i="32"/>
  <c r="Q31" i="32"/>
  <c r="R31" i="32"/>
  <c r="S31" i="32"/>
  <c r="T31" i="32"/>
  <c r="U31" i="32"/>
  <c r="V31" i="32"/>
  <c r="W31" i="32"/>
  <c r="X31" i="32"/>
  <c r="Y31" i="32"/>
  <c r="Z31" i="32"/>
  <c r="AA31" i="32"/>
  <c r="N26" i="32"/>
  <c r="N27" i="32"/>
  <c r="N28" i="32"/>
  <c r="N29" i="32"/>
  <c r="B23" i="32"/>
  <c r="AG16" i="32"/>
  <c r="AG19" i="32"/>
  <c r="AH34" i="32" s="1"/>
  <c r="AG20" i="32"/>
  <c r="AD19" i="32"/>
  <c r="AE34" i="32" s="1"/>
  <c r="AD20" i="32"/>
  <c r="AK35" i="32" s="1"/>
  <c r="N19" i="32"/>
  <c r="O19" i="32"/>
  <c r="P19" i="32"/>
  <c r="Q19" i="32"/>
  <c r="R19" i="32"/>
  <c r="S19" i="32"/>
  <c r="T19" i="32"/>
  <c r="U19" i="32"/>
  <c r="V19" i="32"/>
  <c r="W19" i="32"/>
  <c r="X19" i="32"/>
  <c r="Y19" i="32"/>
  <c r="Z19" i="32"/>
  <c r="N20" i="32"/>
  <c r="O20" i="32"/>
  <c r="P20" i="32"/>
  <c r="Q20" i="32"/>
  <c r="R20" i="32"/>
  <c r="S20" i="32"/>
  <c r="T20" i="32"/>
  <c r="U20" i="32"/>
  <c r="V20" i="32"/>
  <c r="W20" i="32"/>
  <c r="X20" i="32"/>
  <c r="Y20" i="32"/>
  <c r="Z20" i="32"/>
  <c r="B17" i="32"/>
  <c r="B18" i="32"/>
  <c r="B19" i="32"/>
  <c r="O17" i="32"/>
  <c r="P17" i="32"/>
  <c r="Q17" i="32"/>
  <c r="R17" i="32"/>
  <c r="S17" i="32"/>
  <c r="T17" i="32"/>
  <c r="U17" i="32"/>
  <c r="V17" i="32"/>
  <c r="W17" i="32"/>
  <c r="X17" i="32"/>
  <c r="Y17" i="32"/>
  <c r="Z17" i="32"/>
  <c r="O16" i="32"/>
  <c r="P16" i="32"/>
  <c r="Q16" i="32"/>
  <c r="R16" i="32"/>
  <c r="S16" i="32"/>
  <c r="T16" i="32"/>
  <c r="U16" i="32"/>
  <c r="V16" i="32"/>
  <c r="W16" i="32"/>
  <c r="X16" i="32"/>
  <c r="Y16" i="32"/>
  <c r="A14" i="32"/>
  <c r="AG12" i="32"/>
  <c r="AG13" i="32"/>
  <c r="AD12" i="32"/>
  <c r="AD13" i="32"/>
  <c r="B12" i="32"/>
  <c r="B13" i="32"/>
  <c r="O12" i="32"/>
  <c r="P12" i="32"/>
  <c r="Q12" i="32"/>
  <c r="R12" i="32"/>
  <c r="S12" i="32"/>
  <c r="T12" i="32"/>
  <c r="U12" i="32"/>
  <c r="V12" i="32"/>
  <c r="W12" i="32"/>
  <c r="X12" i="32"/>
  <c r="Y12" i="32"/>
  <c r="Z12" i="32"/>
  <c r="AA12" i="32"/>
  <c r="O13" i="32"/>
  <c r="P13" i="32"/>
  <c r="Q13" i="32"/>
  <c r="R13" i="32"/>
  <c r="S13" i="32"/>
  <c r="T13" i="32"/>
  <c r="U13" i="32"/>
  <c r="V13" i="32"/>
  <c r="W13" i="32"/>
  <c r="X13" i="32"/>
  <c r="Y13" i="32"/>
  <c r="Z13" i="32"/>
  <c r="AA13" i="32"/>
  <c r="O11" i="32"/>
  <c r="P11" i="32"/>
  <c r="Q11" i="32"/>
  <c r="R11" i="32"/>
  <c r="S11" i="32"/>
  <c r="T11" i="32"/>
  <c r="U11" i="32"/>
  <c r="V11" i="32"/>
  <c r="W11" i="32"/>
  <c r="X11" i="32"/>
  <c r="Y11" i="32"/>
  <c r="Z11" i="32"/>
  <c r="C10" i="32"/>
  <c r="D10" i="32"/>
  <c r="C9" i="32"/>
  <c r="C1" i="32"/>
  <c r="C2" i="32"/>
  <c r="C3" i="32"/>
  <c r="C4" i="32"/>
  <c r="C5" i="32"/>
  <c r="C6" i="32"/>
  <c r="C7" i="32"/>
  <c r="C8" i="32"/>
  <c r="E6" i="32"/>
  <c r="E4" i="32"/>
  <c r="F4" i="32"/>
  <c r="B3" i="32"/>
  <c r="AG39" i="31"/>
  <c r="AD39" i="31"/>
  <c r="O39" i="31"/>
  <c r="P39" i="31"/>
  <c r="Q39" i="31"/>
  <c r="R39" i="31"/>
  <c r="S39" i="31"/>
  <c r="T39" i="31"/>
  <c r="U39" i="31"/>
  <c r="V39" i="31"/>
  <c r="W39" i="31"/>
  <c r="X39" i="31"/>
  <c r="Y39" i="31"/>
  <c r="Z39" i="31"/>
  <c r="AD37" i="31"/>
  <c r="AG37" i="31"/>
  <c r="N37" i="31"/>
  <c r="N39" i="31" s="1"/>
  <c r="O37" i="31"/>
  <c r="P37" i="31"/>
  <c r="Q37" i="31"/>
  <c r="R37" i="31"/>
  <c r="S37" i="31"/>
  <c r="T37" i="31"/>
  <c r="U37" i="31"/>
  <c r="V37" i="31"/>
  <c r="W37" i="31"/>
  <c r="X37" i="31"/>
  <c r="Y37" i="31"/>
  <c r="Z37" i="31"/>
  <c r="I37" i="31"/>
  <c r="J37" i="31"/>
  <c r="AA35" i="31"/>
  <c r="I34" i="31"/>
  <c r="AA34" i="31" s="1"/>
  <c r="J34" i="31"/>
  <c r="L34" i="31"/>
  <c r="M34" i="31"/>
  <c r="N34" i="31"/>
  <c r="I35" i="31"/>
  <c r="K35" i="31" s="1"/>
  <c r="J35" i="31"/>
  <c r="L35" i="31"/>
  <c r="M35" i="31"/>
  <c r="N35" i="31"/>
  <c r="I36" i="31"/>
  <c r="K36" i="31" s="1"/>
  <c r="J36" i="31"/>
  <c r="L36" i="31"/>
  <c r="M36" i="31"/>
  <c r="N36" i="31"/>
  <c r="N33" i="31"/>
  <c r="I33" i="31"/>
  <c r="J33" i="31"/>
  <c r="AK32" i="31"/>
  <c r="AG32" i="31"/>
  <c r="AL32" i="31" s="1"/>
  <c r="AD32" i="31"/>
  <c r="O32" i="31"/>
  <c r="P32" i="31"/>
  <c r="Q32" i="31"/>
  <c r="R32" i="31"/>
  <c r="S32" i="31"/>
  <c r="T32" i="31"/>
  <c r="U32" i="31"/>
  <c r="V32" i="31"/>
  <c r="W32" i="31"/>
  <c r="X32" i="31"/>
  <c r="Y32" i="31"/>
  <c r="Z32" i="31"/>
  <c r="AJ32" i="31" s="1"/>
  <c r="AJ31" i="31"/>
  <c r="AK31" i="31"/>
  <c r="AM31" i="31" s="1"/>
  <c r="AL31" i="31"/>
  <c r="AN31" i="31" s="1"/>
  <c r="AG31" i="31"/>
  <c r="AD31" i="31"/>
  <c r="O31" i="31"/>
  <c r="P31" i="31"/>
  <c r="Q31" i="31"/>
  <c r="R31" i="31"/>
  <c r="S31" i="31"/>
  <c r="T31" i="31"/>
  <c r="U31" i="31"/>
  <c r="V31" i="31"/>
  <c r="W31" i="31"/>
  <c r="X31" i="31"/>
  <c r="Y31" i="31"/>
  <c r="Z31" i="31"/>
  <c r="AA31" i="31"/>
  <c r="N26" i="31"/>
  <c r="N27" i="31"/>
  <c r="N28" i="31"/>
  <c r="N29" i="31"/>
  <c r="B23" i="31"/>
  <c r="AG16" i="31"/>
  <c r="AG19" i="31"/>
  <c r="AH34" i="31" s="1"/>
  <c r="AG20" i="31"/>
  <c r="AL34" i="31" s="1"/>
  <c r="AD19" i="31"/>
  <c r="AE34" i="31" s="1"/>
  <c r="AD20" i="31"/>
  <c r="AK36" i="31" s="1"/>
  <c r="N19" i="31"/>
  <c r="O19" i="31"/>
  <c r="P19" i="31"/>
  <c r="Q19" i="31"/>
  <c r="R19" i="31"/>
  <c r="S19" i="31"/>
  <c r="T19" i="31"/>
  <c r="U19" i="31"/>
  <c r="V19" i="31"/>
  <c r="W19" i="31"/>
  <c r="X19" i="31"/>
  <c r="Y19" i="31"/>
  <c r="Z19" i="31"/>
  <c r="N20" i="31"/>
  <c r="O20" i="31"/>
  <c r="P20" i="31"/>
  <c r="Q20" i="31"/>
  <c r="R20" i="31"/>
  <c r="S20" i="31"/>
  <c r="T20" i="31"/>
  <c r="U20" i="31"/>
  <c r="V20" i="31"/>
  <c r="W20" i="31"/>
  <c r="X20" i="31"/>
  <c r="Y20" i="31"/>
  <c r="Z20" i="31"/>
  <c r="B17" i="31"/>
  <c r="B18" i="31"/>
  <c r="B19" i="31"/>
  <c r="O17" i="31"/>
  <c r="P17" i="31"/>
  <c r="Q17" i="31"/>
  <c r="R17" i="31"/>
  <c r="S17" i="31"/>
  <c r="T17" i="31"/>
  <c r="U17" i="31"/>
  <c r="V17" i="31"/>
  <c r="W17" i="31"/>
  <c r="X17" i="31"/>
  <c r="Y17" i="31"/>
  <c r="Z17" i="31"/>
  <c r="O16" i="31"/>
  <c r="P16" i="31"/>
  <c r="Q16" i="31"/>
  <c r="R16" i="31"/>
  <c r="S16" i="31"/>
  <c r="T16" i="31"/>
  <c r="U16" i="31"/>
  <c r="V16" i="31"/>
  <c r="W16" i="31"/>
  <c r="X16" i="31"/>
  <c r="Y16" i="31"/>
  <c r="A14" i="31"/>
  <c r="AG12" i="31"/>
  <c r="AG13" i="31"/>
  <c r="AD12" i="31"/>
  <c r="AD13" i="31"/>
  <c r="B12" i="31"/>
  <c r="B13" i="31"/>
  <c r="O12" i="31"/>
  <c r="P12" i="31"/>
  <c r="Q12" i="31"/>
  <c r="R12" i="31"/>
  <c r="S12" i="31"/>
  <c r="T12" i="31"/>
  <c r="U12" i="31"/>
  <c r="V12" i="31"/>
  <c r="W12" i="31"/>
  <c r="X12" i="31"/>
  <c r="Y12" i="31"/>
  <c r="Z12" i="31"/>
  <c r="AA12" i="31"/>
  <c r="O13" i="31"/>
  <c r="P13" i="31"/>
  <c r="Q13" i="31"/>
  <c r="R13" i="31"/>
  <c r="S13" i="31"/>
  <c r="T13" i="31"/>
  <c r="U13" i="31"/>
  <c r="V13" i="31"/>
  <c r="W13" i="31"/>
  <c r="X13" i="31"/>
  <c r="Y13" i="31"/>
  <c r="Z13" i="31"/>
  <c r="AA13" i="31"/>
  <c r="O11" i="31"/>
  <c r="P11" i="31"/>
  <c r="Q11" i="31"/>
  <c r="R11" i="31"/>
  <c r="S11" i="31"/>
  <c r="T11" i="31"/>
  <c r="U11" i="31"/>
  <c r="V11" i="31"/>
  <c r="W11" i="31"/>
  <c r="X11" i="31"/>
  <c r="Y11" i="31"/>
  <c r="Z11" i="31"/>
  <c r="C10" i="31"/>
  <c r="D10" i="31"/>
  <c r="C9" i="31"/>
  <c r="C1" i="31"/>
  <c r="C2" i="31"/>
  <c r="C3" i="31"/>
  <c r="C4" i="31"/>
  <c r="C5" i="31"/>
  <c r="C6" i="31"/>
  <c r="C7" i="31"/>
  <c r="C8" i="31"/>
  <c r="E6" i="31"/>
  <c r="E4" i="31"/>
  <c r="F4" i="31"/>
  <c r="B3" i="31"/>
  <c r="AG78" i="30"/>
  <c r="AG79" i="30"/>
  <c r="AD78" i="30"/>
  <c r="AD79" i="30"/>
  <c r="O78" i="30"/>
  <c r="P78" i="30"/>
  <c r="Q78" i="30"/>
  <c r="R78" i="30"/>
  <c r="S78" i="30"/>
  <c r="T78" i="30"/>
  <c r="U78" i="30"/>
  <c r="V78" i="30"/>
  <c r="W78" i="30"/>
  <c r="X78" i="30"/>
  <c r="Y78" i="30"/>
  <c r="Z78" i="30"/>
  <c r="O79" i="30"/>
  <c r="P79" i="30"/>
  <c r="Q79" i="30"/>
  <c r="R79" i="30"/>
  <c r="S79" i="30"/>
  <c r="T79" i="30"/>
  <c r="U79" i="30"/>
  <c r="V79" i="30"/>
  <c r="W79" i="30"/>
  <c r="X79" i="30"/>
  <c r="Y79" i="30"/>
  <c r="Z79" i="30"/>
  <c r="N75" i="30"/>
  <c r="N78" i="30" s="1"/>
  <c r="N76" i="30"/>
  <c r="N79" i="30" s="1"/>
  <c r="AE76" i="30"/>
  <c r="I75" i="30"/>
  <c r="AA75" i="30" s="1"/>
  <c r="J75" i="30"/>
  <c r="I76" i="30"/>
  <c r="AA76" i="30" s="1"/>
  <c r="J76" i="30"/>
  <c r="N49" i="30"/>
  <c r="N50" i="30"/>
  <c r="N51" i="30"/>
  <c r="N52" i="30"/>
  <c r="N53" i="30"/>
  <c r="N54" i="30"/>
  <c r="N55" i="30"/>
  <c r="N56" i="30"/>
  <c r="N57" i="30"/>
  <c r="N58" i="30"/>
  <c r="N59" i="30"/>
  <c r="N60" i="30"/>
  <c r="N61" i="30"/>
  <c r="N62" i="30"/>
  <c r="N63" i="30"/>
  <c r="N64" i="30"/>
  <c r="N65" i="30"/>
  <c r="N66" i="30"/>
  <c r="N67" i="30"/>
  <c r="N68" i="30"/>
  <c r="N69" i="30"/>
  <c r="N70" i="30"/>
  <c r="N71" i="30"/>
  <c r="N72" i="30"/>
  <c r="N73" i="30"/>
  <c r="I73" i="30"/>
  <c r="AA73" i="30" s="1"/>
  <c r="J73" i="30"/>
  <c r="B54" i="30"/>
  <c r="AL54" i="30"/>
  <c r="AL57" i="30"/>
  <c r="AK67" i="30"/>
  <c r="AH71" i="30"/>
  <c r="AH72" i="30"/>
  <c r="AE50" i="30"/>
  <c r="AE53" i="30"/>
  <c r="AE54" i="30"/>
  <c r="AE71" i="30"/>
  <c r="AF71" i="30"/>
  <c r="AA54" i="30"/>
  <c r="AI54" i="30" s="1"/>
  <c r="AA63" i="30"/>
  <c r="AI63" i="30" s="1"/>
  <c r="AA66" i="30"/>
  <c r="AA70" i="30"/>
  <c r="AI70" i="30" s="1"/>
  <c r="I50" i="30"/>
  <c r="K50" i="30" s="1"/>
  <c r="J50" i="30"/>
  <c r="L50" i="30"/>
  <c r="M50" i="30"/>
  <c r="I51" i="30"/>
  <c r="K51" i="30" s="1"/>
  <c r="J51" i="30"/>
  <c r="L51" i="30"/>
  <c r="M51" i="30"/>
  <c r="I52" i="30"/>
  <c r="J52" i="30"/>
  <c r="L52" i="30"/>
  <c r="M52" i="30"/>
  <c r="I53" i="30"/>
  <c r="AA53" i="30" s="1"/>
  <c r="J53" i="30"/>
  <c r="L53" i="30"/>
  <c r="M53" i="30"/>
  <c r="I54" i="30"/>
  <c r="J54" i="30"/>
  <c r="K54" i="30"/>
  <c r="L54" i="30"/>
  <c r="M54" i="30"/>
  <c r="I55" i="30"/>
  <c r="J55" i="30"/>
  <c r="L55" i="30"/>
  <c r="M55" i="30"/>
  <c r="I56" i="30"/>
  <c r="AA56" i="30" s="1"/>
  <c r="AF56" i="30" s="1"/>
  <c r="J56" i="30"/>
  <c r="L56" i="30"/>
  <c r="M56" i="30"/>
  <c r="I57" i="30"/>
  <c r="J57" i="30"/>
  <c r="L57" i="30"/>
  <c r="M57" i="30"/>
  <c r="I58" i="30"/>
  <c r="K58" i="30" s="1"/>
  <c r="J58" i="30"/>
  <c r="L58" i="30"/>
  <c r="M58" i="30"/>
  <c r="I59" i="30"/>
  <c r="AA59" i="30" s="1"/>
  <c r="J59" i="30"/>
  <c r="L59" i="30"/>
  <c r="M59" i="30"/>
  <c r="I60" i="30"/>
  <c r="J60" i="30"/>
  <c r="L60" i="30"/>
  <c r="M60" i="30"/>
  <c r="I61" i="30"/>
  <c r="J61" i="30"/>
  <c r="L61" i="30"/>
  <c r="M61" i="30"/>
  <c r="I62" i="30"/>
  <c r="AA62" i="30" s="1"/>
  <c r="AI62" i="30" s="1"/>
  <c r="J62" i="30"/>
  <c r="K62" i="30"/>
  <c r="L62" i="30"/>
  <c r="M62" i="30"/>
  <c r="I63" i="30"/>
  <c r="J63" i="30"/>
  <c r="K63" i="30"/>
  <c r="L63" i="30"/>
  <c r="M63" i="30"/>
  <c r="I64" i="30"/>
  <c r="J64" i="30"/>
  <c r="L64" i="30"/>
  <c r="M64" i="30"/>
  <c r="I65" i="30"/>
  <c r="AA65" i="30" s="1"/>
  <c r="AI65" i="30" s="1"/>
  <c r="J65" i="30"/>
  <c r="L65" i="30"/>
  <c r="M65" i="30"/>
  <c r="I66" i="30"/>
  <c r="J66" i="30"/>
  <c r="K66" i="30"/>
  <c r="L66" i="30"/>
  <c r="M66" i="30"/>
  <c r="I67" i="30"/>
  <c r="J67" i="30"/>
  <c r="L67" i="30"/>
  <c r="M67" i="30"/>
  <c r="I68" i="30"/>
  <c r="J68" i="30"/>
  <c r="L68" i="30"/>
  <c r="M68" i="30"/>
  <c r="I69" i="30"/>
  <c r="AA69" i="30" s="1"/>
  <c r="J69" i="30"/>
  <c r="K69" i="30"/>
  <c r="L69" i="30"/>
  <c r="M69" i="30"/>
  <c r="I70" i="30"/>
  <c r="J70" i="30"/>
  <c r="K70" i="30"/>
  <c r="L70" i="30"/>
  <c r="M70" i="30"/>
  <c r="I71" i="30"/>
  <c r="AA71" i="30" s="1"/>
  <c r="J71" i="30"/>
  <c r="L71" i="30"/>
  <c r="M71" i="30"/>
  <c r="I72" i="30"/>
  <c r="J72" i="30"/>
  <c r="L72" i="30"/>
  <c r="M72" i="30"/>
  <c r="B48" i="30"/>
  <c r="B49" i="30"/>
  <c r="B50" i="30"/>
  <c r="I49" i="30"/>
  <c r="J49" i="30"/>
  <c r="A45" i="30"/>
  <c r="AL35" i="30"/>
  <c r="AH36" i="30"/>
  <c r="AH37" i="30"/>
  <c r="AL37" i="30"/>
  <c r="AK38" i="30"/>
  <c r="AK41" i="30"/>
  <c r="AK42" i="30"/>
  <c r="AH46" i="30"/>
  <c r="AE36" i="30"/>
  <c r="AE37" i="30"/>
  <c r="AE40" i="30"/>
  <c r="AF42" i="30"/>
  <c r="AA36" i="30"/>
  <c r="AA39" i="30"/>
  <c r="I35" i="30"/>
  <c r="AA35" i="30" s="1"/>
  <c r="J35" i="30"/>
  <c r="L35" i="30"/>
  <c r="M35" i="30"/>
  <c r="N35" i="30"/>
  <c r="I36" i="30"/>
  <c r="K36" i="30" s="1"/>
  <c r="J36" i="30"/>
  <c r="L36" i="30"/>
  <c r="M36" i="30"/>
  <c r="N36" i="30"/>
  <c r="I37" i="30"/>
  <c r="AA37" i="30" s="1"/>
  <c r="J37" i="30"/>
  <c r="L37" i="30"/>
  <c r="M37" i="30"/>
  <c r="N37" i="30"/>
  <c r="I38" i="30"/>
  <c r="AA38" i="30" s="1"/>
  <c r="AF38" i="30" s="1"/>
  <c r="J38" i="30"/>
  <c r="L38" i="30"/>
  <c r="M38" i="30"/>
  <c r="N38" i="30"/>
  <c r="I39" i="30"/>
  <c r="J39" i="30"/>
  <c r="K39" i="30"/>
  <c r="L39" i="30"/>
  <c r="M39" i="30"/>
  <c r="N39" i="30"/>
  <c r="I40" i="30"/>
  <c r="K40" i="30" s="1"/>
  <c r="J40" i="30"/>
  <c r="L40" i="30"/>
  <c r="M40" i="30"/>
  <c r="N40" i="30"/>
  <c r="I41" i="30"/>
  <c r="AA41" i="30" s="1"/>
  <c r="AF41" i="30" s="1"/>
  <c r="J41" i="30"/>
  <c r="L41" i="30"/>
  <c r="M41" i="30"/>
  <c r="N41" i="30"/>
  <c r="I42" i="30"/>
  <c r="AA42" i="30" s="1"/>
  <c r="AI42" i="30" s="1"/>
  <c r="J42" i="30"/>
  <c r="K42" i="30"/>
  <c r="L42" i="30"/>
  <c r="M42" i="30"/>
  <c r="N42" i="30"/>
  <c r="I43" i="30"/>
  <c r="AA43" i="30" s="1"/>
  <c r="J43" i="30"/>
  <c r="L43" i="30"/>
  <c r="M43" i="30"/>
  <c r="N43" i="30"/>
  <c r="I44" i="30"/>
  <c r="AA44" i="30" s="1"/>
  <c r="J44" i="30"/>
  <c r="L44" i="30"/>
  <c r="M44" i="30"/>
  <c r="N44" i="30"/>
  <c r="I45" i="30"/>
  <c r="AA45" i="30" s="1"/>
  <c r="J45" i="30"/>
  <c r="L45" i="30"/>
  <c r="M45" i="30"/>
  <c r="N45" i="30"/>
  <c r="I46" i="30"/>
  <c r="AA46" i="30" s="1"/>
  <c r="AI46" i="30" s="1"/>
  <c r="J46" i="30"/>
  <c r="L46" i="30"/>
  <c r="M46" i="30"/>
  <c r="N46" i="30"/>
  <c r="I47" i="30"/>
  <c r="AA47" i="30" s="1"/>
  <c r="J47" i="30"/>
  <c r="K47" i="30"/>
  <c r="L47" i="30"/>
  <c r="M47" i="30"/>
  <c r="N47" i="30"/>
  <c r="N33" i="30"/>
  <c r="N34" i="30"/>
  <c r="I33" i="30"/>
  <c r="J33" i="30"/>
  <c r="I34" i="30"/>
  <c r="J34" i="30"/>
  <c r="AG32" i="30"/>
  <c r="AL32" i="30" s="1"/>
  <c r="AD32" i="30"/>
  <c r="AK32" i="30" s="1"/>
  <c r="O32" i="30"/>
  <c r="P32" i="30"/>
  <c r="Q32" i="30"/>
  <c r="R32" i="30"/>
  <c r="S32" i="30"/>
  <c r="T32" i="30"/>
  <c r="U32" i="30"/>
  <c r="V32" i="30"/>
  <c r="W32" i="30"/>
  <c r="X32" i="30"/>
  <c r="Y32" i="30"/>
  <c r="Z32" i="30"/>
  <c r="AJ32" i="30" s="1"/>
  <c r="AJ31" i="30"/>
  <c r="AK31" i="30"/>
  <c r="AM31" i="30" s="1"/>
  <c r="AL31" i="30"/>
  <c r="AN31" i="30" s="1"/>
  <c r="AG31" i="30"/>
  <c r="AD31" i="30"/>
  <c r="O31" i="30"/>
  <c r="P31" i="30"/>
  <c r="Q31" i="30"/>
  <c r="R31" i="30"/>
  <c r="S31" i="30"/>
  <c r="T31" i="30"/>
  <c r="U31" i="30"/>
  <c r="V31" i="30"/>
  <c r="W31" i="30"/>
  <c r="X31" i="30"/>
  <c r="Y31" i="30"/>
  <c r="Z31" i="30"/>
  <c r="AA31" i="30"/>
  <c r="N26" i="30"/>
  <c r="N27" i="30"/>
  <c r="N28" i="30"/>
  <c r="N29" i="30"/>
  <c r="B22" i="30"/>
  <c r="B23" i="30"/>
  <c r="AG16" i="30"/>
  <c r="AG19" i="30"/>
  <c r="AH64" i="30" s="1"/>
  <c r="AG20" i="30"/>
  <c r="AL62" i="30" s="1"/>
  <c r="AD19" i="30"/>
  <c r="AE58" i="30" s="1"/>
  <c r="AD20" i="30"/>
  <c r="AK75" i="30" s="1"/>
  <c r="N19" i="30"/>
  <c r="O19" i="30"/>
  <c r="P19" i="30"/>
  <c r="Q19" i="30"/>
  <c r="R19" i="30"/>
  <c r="S19" i="30"/>
  <c r="T19" i="30"/>
  <c r="U19" i="30"/>
  <c r="V19" i="30"/>
  <c r="W19" i="30"/>
  <c r="X19" i="30"/>
  <c r="Y19" i="30"/>
  <c r="Z19" i="30"/>
  <c r="N20" i="30"/>
  <c r="O20" i="30"/>
  <c r="P20" i="30"/>
  <c r="Q20" i="30"/>
  <c r="R20" i="30"/>
  <c r="S20" i="30"/>
  <c r="T20" i="30"/>
  <c r="U20" i="30"/>
  <c r="V20" i="30"/>
  <c r="W20" i="30"/>
  <c r="X20" i="30"/>
  <c r="Y20" i="30"/>
  <c r="Z20" i="30"/>
  <c r="B17" i="30"/>
  <c r="B18" i="30"/>
  <c r="B19" i="30"/>
  <c r="O17" i="30"/>
  <c r="P17" i="30"/>
  <c r="Q17" i="30"/>
  <c r="R17" i="30"/>
  <c r="S17" i="30"/>
  <c r="T17" i="30"/>
  <c r="U17" i="30"/>
  <c r="V17" i="30"/>
  <c r="W17" i="30"/>
  <c r="X17" i="30"/>
  <c r="Y17" i="30"/>
  <c r="Z17" i="30"/>
  <c r="O16" i="30"/>
  <c r="P16" i="30"/>
  <c r="Q16" i="30"/>
  <c r="R16" i="30"/>
  <c r="S16" i="30"/>
  <c r="T16" i="30"/>
  <c r="U16" i="30"/>
  <c r="V16" i="30"/>
  <c r="W16" i="30"/>
  <c r="X16" i="30"/>
  <c r="Y16" i="30"/>
  <c r="A14" i="30"/>
  <c r="AG12" i="30"/>
  <c r="AG13" i="30"/>
  <c r="AD12" i="30"/>
  <c r="AD13" i="30"/>
  <c r="B12" i="30"/>
  <c r="Z16" i="30" s="1"/>
  <c r="B13" i="30"/>
  <c r="O12" i="30"/>
  <c r="P12" i="30"/>
  <c r="Q12" i="30"/>
  <c r="R12" i="30"/>
  <c r="S12" i="30"/>
  <c r="T12" i="30"/>
  <c r="U12" i="30"/>
  <c r="V12" i="30"/>
  <c r="W12" i="30"/>
  <c r="X12" i="30"/>
  <c r="Y12" i="30"/>
  <c r="Z12" i="30"/>
  <c r="AA12" i="30"/>
  <c r="O13" i="30"/>
  <c r="P13" i="30"/>
  <c r="Q13" i="30"/>
  <c r="R13" i="30"/>
  <c r="S13" i="30"/>
  <c r="T13" i="30"/>
  <c r="U13" i="30"/>
  <c r="V13" i="30"/>
  <c r="W13" i="30"/>
  <c r="X13" i="30"/>
  <c r="Y13" i="30"/>
  <c r="Z13" i="30"/>
  <c r="AA13" i="30"/>
  <c r="O11" i="30"/>
  <c r="P11" i="30"/>
  <c r="Q11" i="30"/>
  <c r="R11" i="30"/>
  <c r="S11" i="30"/>
  <c r="T11" i="30"/>
  <c r="U11" i="30"/>
  <c r="V11" i="30"/>
  <c r="W11" i="30"/>
  <c r="X11" i="30"/>
  <c r="Y11" i="30"/>
  <c r="Z11" i="30"/>
  <c r="C10" i="30"/>
  <c r="D10" i="30"/>
  <c r="C9" i="30"/>
  <c r="C1" i="30"/>
  <c r="C2" i="30"/>
  <c r="C3" i="30"/>
  <c r="C4" i="30"/>
  <c r="C5" i="30"/>
  <c r="C6" i="30"/>
  <c r="C7" i="30"/>
  <c r="C8" i="30"/>
  <c r="E6" i="30"/>
  <c r="E4" i="30"/>
  <c r="F4" i="30"/>
  <c r="B3" i="30"/>
  <c r="AG76" i="29"/>
  <c r="AG77" i="29"/>
  <c r="AD76" i="29"/>
  <c r="AD77" i="29"/>
  <c r="O76" i="29"/>
  <c r="P76" i="29"/>
  <c r="Q76" i="29"/>
  <c r="R76" i="29"/>
  <c r="S76" i="29"/>
  <c r="T76" i="29"/>
  <c r="U76" i="29"/>
  <c r="V76" i="29"/>
  <c r="W76" i="29"/>
  <c r="X76" i="29"/>
  <c r="Y76" i="29"/>
  <c r="Z76" i="29"/>
  <c r="O77" i="29"/>
  <c r="P77" i="29"/>
  <c r="Q77" i="29"/>
  <c r="R77" i="29"/>
  <c r="S77" i="29"/>
  <c r="T77" i="29"/>
  <c r="U77" i="29"/>
  <c r="V77" i="29"/>
  <c r="W77" i="29"/>
  <c r="X77" i="29"/>
  <c r="Y77" i="29"/>
  <c r="Z77" i="29"/>
  <c r="N73" i="29"/>
  <c r="N76" i="29" s="1"/>
  <c r="N74" i="29"/>
  <c r="N77" i="29" s="1"/>
  <c r="AI73" i="29"/>
  <c r="AL74" i="29"/>
  <c r="I73" i="29"/>
  <c r="AA73" i="29" s="1"/>
  <c r="J73" i="29"/>
  <c r="I74" i="29"/>
  <c r="AA74" i="29" s="1"/>
  <c r="J74" i="29"/>
  <c r="N49" i="29"/>
  <c r="N50" i="29"/>
  <c r="N51" i="29"/>
  <c r="N52" i="29"/>
  <c r="N53" i="29"/>
  <c r="N54" i="29"/>
  <c r="N55" i="29"/>
  <c r="N56" i="29"/>
  <c r="N57" i="29"/>
  <c r="N58" i="29"/>
  <c r="N59" i="29"/>
  <c r="N60" i="29"/>
  <c r="N61" i="29"/>
  <c r="N62" i="29"/>
  <c r="N63" i="29"/>
  <c r="N64" i="29"/>
  <c r="N65" i="29"/>
  <c r="N66" i="29"/>
  <c r="N67" i="29"/>
  <c r="N68" i="29"/>
  <c r="N69" i="29"/>
  <c r="N70" i="29"/>
  <c r="N71" i="29"/>
  <c r="I71" i="29"/>
  <c r="AA71" i="29" s="1"/>
  <c r="AF71" i="29" s="1"/>
  <c r="J71" i="29"/>
  <c r="B54" i="29"/>
  <c r="AK50" i="29"/>
  <c r="AH51" i="29"/>
  <c r="AH52" i="29"/>
  <c r="AH55" i="29"/>
  <c r="AK55" i="29"/>
  <c r="AH56" i="29"/>
  <c r="AH58" i="29"/>
  <c r="AK58" i="29"/>
  <c r="AL60" i="29"/>
  <c r="AL63" i="29"/>
  <c r="AH64" i="29"/>
  <c r="AL64" i="29"/>
  <c r="AH71" i="29"/>
  <c r="AE52" i="29"/>
  <c r="AE59" i="29"/>
  <c r="AE62" i="29"/>
  <c r="AE69" i="29"/>
  <c r="AA68" i="29"/>
  <c r="I50" i="29"/>
  <c r="AA50" i="29" s="1"/>
  <c r="J50" i="29"/>
  <c r="L50" i="29"/>
  <c r="M50" i="29"/>
  <c r="I51" i="29"/>
  <c r="J51" i="29"/>
  <c r="L51" i="29"/>
  <c r="M51" i="29"/>
  <c r="I52" i="29"/>
  <c r="K52" i="29" s="1"/>
  <c r="J52" i="29"/>
  <c r="L52" i="29"/>
  <c r="M52" i="29"/>
  <c r="I53" i="29"/>
  <c r="AA53" i="29" s="1"/>
  <c r="J53" i="29"/>
  <c r="K53" i="29"/>
  <c r="L53" i="29"/>
  <c r="M53" i="29"/>
  <c r="I54" i="29"/>
  <c r="AA54" i="29" s="1"/>
  <c r="J54" i="29"/>
  <c r="K54" i="29"/>
  <c r="L54" i="29"/>
  <c r="M54" i="29"/>
  <c r="I55" i="29"/>
  <c r="J55" i="29"/>
  <c r="L55" i="29"/>
  <c r="M55" i="29"/>
  <c r="I56" i="29"/>
  <c r="AA56" i="29" s="1"/>
  <c r="J56" i="29"/>
  <c r="L56" i="29"/>
  <c r="M56" i="29"/>
  <c r="I57" i="29"/>
  <c r="AA57" i="29" s="1"/>
  <c r="J57" i="29"/>
  <c r="L57" i="29"/>
  <c r="M57" i="29"/>
  <c r="I58" i="29"/>
  <c r="AA58" i="29" s="1"/>
  <c r="J58" i="29"/>
  <c r="L58" i="29"/>
  <c r="M58" i="29"/>
  <c r="I59" i="29"/>
  <c r="J59" i="29"/>
  <c r="L59" i="29"/>
  <c r="M59" i="29"/>
  <c r="I60" i="29"/>
  <c r="AA60" i="29" s="1"/>
  <c r="J60" i="29"/>
  <c r="L60" i="29"/>
  <c r="M60" i="29"/>
  <c r="I61" i="29"/>
  <c r="AA61" i="29" s="1"/>
  <c r="AI61" i="29" s="1"/>
  <c r="J61" i="29"/>
  <c r="K61" i="29"/>
  <c r="L61" i="29"/>
  <c r="M61" i="29"/>
  <c r="I62" i="29"/>
  <c r="J62" i="29"/>
  <c r="L62" i="29"/>
  <c r="M62" i="29"/>
  <c r="I63" i="29"/>
  <c r="AA63" i="29" s="1"/>
  <c r="J63" i="29"/>
  <c r="L63" i="29"/>
  <c r="M63" i="29"/>
  <c r="I64" i="29"/>
  <c r="K64" i="29" s="1"/>
  <c r="J64" i="29"/>
  <c r="L64" i="29"/>
  <c r="M64" i="29"/>
  <c r="I65" i="29"/>
  <c r="AA65" i="29" s="1"/>
  <c r="J65" i="29"/>
  <c r="L65" i="29"/>
  <c r="M65" i="29"/>
  <c r="I66" i="29"/>
  <c r="K66" i="29" s="1"/>
  <c r="J66" i="29"/>
  <c r="L66" i="29"/>
  <c r="M66" i="29"/>
  <c r="I67" i="29"/>
  <c r="J67" i="29"/>
  <c r="L67" i="29"/>
  <c r="M67" i="29"/>
  <c r="I68" i="29"/>
  <c r="K68" i="29" s="1"/>
  <c r="J68" i="29"/>
  <c r="L68" i="29"/>
  <c r="M68" i="29"/>
  <c r="I69" i="29"/>
  <c r="K69" i="29" s="1"/>
  <c r="J69" i="29"/>
  <c r="L69" i="29"/>
  <c r="M69" i="29"/>
  <c r="I70" i="29"/>
  <c r="AA70" i="29" s="1"/>
  <c r="J70" i="29"/>
  <c r="L70" i="29"/>
  <c r="M70" i="29"/>
  <c r="B48" i="29"/>
  <c r="B49" i="29"/>
  <c r="B50" i="29"/>
  <c r="I49" i="29"/>
  <c r="J49" i="29"/>
  <c r="A45" i="29"/>
  <c r="AL35" i="29"/>
  <c r="AH36" i="29"/>
  <c r="AH37" i="29"/>
  <c r="AH38" i="29"/>
  <c r="AL38" i="29"/>
  <c r="AK40" i="29"/>
  <c r="AK45" i="29"/>
  <c r="AF35" i="29"/>
  <c r="AE36" i="29"/>
  <c r="AE37" i="29"/>
  <c r="AA36" i="29"/>
  <c r="AI36" i="29" s="1"/>
  <c r="AA40" i="29"/>
  <c r="I35" i="29"/>
  <c r="AA35" i="29" s="1"/>
  <c r="J35" i="29"/>
  <c r="K35" i="29"/>
  <c r="L35" i="29"/>
  <c r="M35" i="29"/>
  <c r="N35" i="29"/>
  <c r="I36" i="29"/>
  <c r="K36" i="29" s="1"/>
  <c r="J36" i="29"/>
  <c r="L36" i="29"/>
  <c r="M36" i="29"/>
  <c r="N36" i="29"/>
  <c r="I37" i="29"/>
  <c r="J37" i="29"/>
  <c r="L37" i="29"/>
  <c r="M37" i="29"/>
  <c r="N37" i="29"/>
  <c r="I38" i="29"/>
  <c r="AA38" i="29" s="1"/>
  <c r="AI38" i="29" s="1"/>
  <c r="J38" i="29"/>
  <c r="L38" i="29"/>
  <c r="M38" i="29"/>
  <c r="N38" i="29"/>
  <c r="I39" i="29"/>
  <c r="AA39" i="29" s="1"/>
  <c r="AI39" i="29" s="1"/>
  <c r="J39" i="29"/>
  <c r="L39" i="29"/>
  <c r="M39" i="29"/>
  <c r="N39" i="29"/>
  <c r="I40" i="29"/>
  <c r="K40" i="29" s="1"/>
  <c r="J40" i="29"/>
  <c r="L40" i="29"/>
  <c r="M40" i="29"/>
  <c r="N40" i="29"/>
  <c r="I41" i="29"/>
  <c r="K41" i="29" s="1"/>
  <c r="J41" i="29"/>
  <c r="L41" i="29"/>
  <c r="M41" i="29"/>
  <c r="N41" i="29"/>
  <c r="I42" i="29"/>
  <c r="AA42" i="29" s="1"/>
  <c r="J42" i="29"/>
  <c r="L42" i="29"/>
  <c r="M42" i="29"/>
  <c r="N42" i="29"/>
  <c r="I43" i="29"/>
  <c r="J43" i="29"/>
  <c r="L43" i="29"/>
  <c r="M43" i="29"/>
  <c r="N43" i="29"/>
  <c r="I44" i="29"/>
  <c r="AA44" i="29" s="1"/>
  <c r="J44" i="29"/>
  <c r="K44" i="29"/>
  <c r="L44" i="29"/>
  <c r="M44" i="29"/>
  <c r="N44" i="29"/>
  <c r="I45" i="29"/>
  <c r="K45" i="29" s="1"/>
  <c r="J45" i="29"/>
  <c r="L45" i="29"/>
  <c r="M45" i="29"/>
  <c r="N45" i="29"/>
  <c r="I46" i="29"/>
  <c r="AA46" i="29" s="1"/>
  <c r="J46" i="29"/>
  <c r="L46" i="29"/>
  <c r="M46" i="29"/>
  <c r="N46" i="29"/>
  <c r="I47" i="29"/>
  <c r="AA47" i="29" s="1"/>
  <c r="J47" i="29"/>
  <c r="K47" i="29"/>
  <c r="L47" i="29"/>
  <c r="M47" i="29"/>
  <c r="N47" i="29"/>
  <c r="N33" i="29"/>
  <c r="N34" i="29"/>
  <c r="I33" i="29"/>
  <c r="J33" i="29"/>
  <c r="I34" i="29"/>
  <c r="J34" i="29"/>
  <c r="AK32" i="29"/>
  <c r="AG32" i="29"/>
  <c r="AL32" i="29" s="1"/>
  <c r="AD32" i="29"/>
  <c r="O32" i="29"/>
  <c r="P32" i="29"/>
  <c r="Q32" i="29"/>
  <c r="R32" i="29"/>
  <c r="S32" i="29"/>
  <c r="T32" i="29"/>
  <c r="U32" i="29"/>
  <c r="V32" i="29"/>
  <c r="W32" i="29"/>
  <c r="X32" i="29"/>
  <c r="Y32" i="29"/>
  <c r="Z32" i="29"/>
  <c r="AJ32" i="29" s="1"/>
  <c r="AJ31" i="29"/>
  <c r="AK31" i="29"/>
  <c r="AM31" i="29" s="1"/>
  <c r="AL31" i="29"/>
  <c r="AN31" i="29" s="1"/>
  <c r="AG31" i="29"/>
  <c r="AD31" i="29"/>
  <c r="O31" i="29"/>
  <c r="P31" i="29"/>
  <c r="Q31" i="29"/>
  <c r="R31" i="29"/>
  <c r="S31" i="29"/>
  <c r="T31" i="29"/>
  <c r="U31" i="29"/>
  <c r="V31" i="29"/>
  <c r="W31" i="29"/>
  <c r="X31" i="29"/>
  <c r="Y31" i="29"/>
  <c r="Z31" i="29"/>
  <c r="AA31" i="29"/>
  <c r="N26" i="29"/>
  <c r="N27" i="29"/>
  <c r="N28" i="29"/>
  <c r="N29" i="29"/>
  <c r="B22" i="29"/>
  <c r="B23" i="29"/>
  <c r="AG16" i="29"/>
  <c r="AG19" i="29"/>
  <c r="AH50" i="29" s="1"/>
  <c r="AG20" i="29"/>
  <c r="AL65" i="29" s="1"/>
  <c r="AD19" i="29"/>
  <c r="AE61" i="29" s="1"/>
  <c r="AD20" i="29"/>
  <c r="AK63" i="29" s="1"/>
  <c r="N19" i="29"/>
  <c r="O19" i="29"/>
  <c r="P19" i="29"/>
  <c r="Q19" i="29"/>
  <c r="R19" i="29"/>
  <c r="S19" i="29"/>
  <c r="T19" i="29"/>
  <c r="U19" i="29"/>
  <c r="V19" i="29"/>
  <c r="W19" i="29"/>
  <c r="X19" i="29"/>
  <c r="Y19" i="29"/>
  <c r="Z19" i="29"/>
  <c r="N20" i="29"/>
  <c r="O20" i="29"/>
  <c r="P20" i="29"/>
  <c r="Q20" i="29"/>
  <c r="R20" i="29"/>
  <c r="S20" i="29"/>
  <c r="T20" i="29"/>
  <c r="U20" i="29"/>
  <c r="V20" i="29"/>
  <c r="W20" i="29"/>
  <c r="X20" i="29"/>
  <c r="Y20" i="29"/>
  <c r="Z20" i="29"/>
  <c r="B17" i="29"/>
  <c r="B18" i="29"/>
  <c r="B19" i="29"/>
  <c r="O17" i="29"/>
  <c r="P17" i="29"/>
  <c r="Q17" i="29"/>
  <c r="R17" i="29"/>
  <c r="S17" i="29"/>
  <c r="T17" i="29"/>
  <c r="U17" i="29"/>
  <c r="V17" i="29"/>
  <c r="W17" i="29"/>
  <c r="X17" i="29"/>
  <c r="Y17" i="29"/>
  <c r="Z17" i="29"/>
  <c r="O16" i="29"/>
  <c r="P16" i="29"/>
  <c r="Q16" i="29"/>
  <c r="R16" i="29"/>
  <c r="S16" i="29"/>
  <c r="T16" i="29"/>
  <c r="U16" i="29"/>
  <c r="V16" i="29"/>
  <c r="W16" i="29"/>
  <c r="X16" i="29"/>
  <c r="Y16" i="29"/>
  <c r="A14" i="29"/>
  <c r="AG12" i="29"/>
  <c r="AG13" i="29"/>
  <c r="AD12" i="29"/>
  <c r="AD13" i="29"/>
  <c r="B12" i="29"/>
  <c r="B13" i="29"/>
  <c r="O12" i="29"/>
  <c r="P12" i="29"/>
  <c r="Q12" i="29"/>
  <c r="R12" i="29"/>
  <c r="S12" i="29"/>
  <c r="T12" i="29"/>
  <c r="U12" i="29"/>
  <c r="V12" i="29"/>
  <c r="W12" i="29"/>
  <c r="X12" i="29"/>
  <c r="Y12" i="29"/>
  <c r="Z12" i="29"/>
  <c r="AA12" i="29"/>
  <c r="O13" i="29"/>
  <c r="P13" i="29"/>
  <c r="Q13" i="29"/>
  <c r="R13" i="29"/>
  <c r="S13" i="29"/>
  <c r="T13" i="29"/>
  <c r="U13" i="29"/>
  <c r="V13" i="29"/>
  <c r="W13" i="29"/>
  <c r="X13" i="29"/>
  <c r="Y13" i="29"/>
  <c r="Z13" i="29"/>
  <c r="AA13" i="29"/>
  <c r="O11" i="29"/>
  <c r="P11" i="29"/>
  <c r="Q11" i="29"/>
  <c r="R11" i="29"/>
  <c r="S11" i="29"/>
  <c r="T11" i="29"/>
  <c r="U11" i="29"/>
  <c r="V11" i="29"/>
  <c r="W11" i="29"/>
  <c r="X11" i="29"/>
  <c r="Y11" i="29"/>
  <c r="Z11" i="29"/>
  <c r="C10" i="29"/>
  <c r="D10" i="29"/>
  <c r="Z16" i="29" s="1"/>
  <c r="C9" i="29"/>
  <c r="C1" i="29"/>
  <c r="C2" i="29"/>
  <c r="C3" i="29"/>
  <c r="C4" i="29"/>
  <c r="C5" i="29"/>
  <c r="C6" i="29"/>
  <c r="C7" i="29"/>
  <c r="C8" i="29"/>
  <c r="E6" i="29"/>
  <c r="E4" i="29"/>
  <c r="F4" i="29"/>
  <c r="B3" i="29"/>
  <c r="B100" i="28"/>
  <c r="B94" i="28"/>
  <c r="B95" i="28"/>
  <c r="B96" i="28"/>
  <c r="A91" i="28"/>
  <c r="B77" i="28"/>
  <c r="B71" i="28"/>
  <c r="B72" i="28"/>
  <c r="B73" i="28"/>
  <c r="A68" i="28"/>
  <c r="AG67" i="28"/>
  <c r="AD67" i="28"/>
  <c r="N67" i="28"/>
  <c r="O67" i="28"/>
  <c r="P67" i="28"/>
  <c r="Q67" i="28"/>
  <c r="R67" i="28"/>
  <c r="S67" i="28"/>
  <c r="T67" i="28"/>
  <c r="U67" i="28"/>
  <c r="V67" i="28"/>
  <c r="W67" i="28"/>
  <c r="X67" i="28"/>
  <c r="Y67" i="28"/>
  <c r="Z67" i="28"/>
  <c r="N63" i="28"/>
  <c r="N66" i="28" s="1"/>
  <c r="N64" i="28"/>
  <c r="AK64" i="28"/>
  <c r="I63" i="28"/>
  <c r="AA63" i="28" s="1"/>
  <c r="J63" i="28"/>
  <c r="I64" i="28"/>
  <c r="AA64" i="28" s="1"/>
  <c r="J64" i="28"/>
  <c r="AD61" i="28"/>
  <c r="AG61" i="28"/>
  <c r="AL61" i="28" s="1"/>
  <c r="N61" i="28"/>
  <c r="O61" i="28"/>
  <c r="P61" i="28"/>
  <c r="Q61" i="28"/>
  <c r="R61" i="28"/>
  <c r="S61" i="28"/>
  <c r="T61" i="28"/>
  <c r="U61" i="28"/>
  <c r="V61" i="28"/>
  <c r="W61" i="28"/>
  <c r="X61" i="28"/>
  <c r="Y61" i="28"/>
  <c r="Z61" i="28"/>
  <c r="I61" i="28"/>
  <c r="J61" i="28"/>
  <c r="AE57" i="28"/>
  <c r="AE58" i="28"/>
  <c r="AE59" i="28"/>
  <c r="AF59" i="28"/>
  <c r="AB59" i="28"/>
  <c r="I56" i="28"/>
  <c r="J56" i="28"/>
  <c r="L56" i="28"/>
  <c r="M56" i="28"/>
  <c r="N56" i="28"/>
  <c r="I57" i="28"/>
  <c r="AA57" i="28" s="1"/>
  <c r="J57" i="28"/>
  <c r="K57" i="28"/>
  <c r="L57" i="28"/>
  <c r="M57" i="28"/>
  <c r="N57" i="28"/>
  <c r="I58" i="28"/>
  <c r="J58" i="28"/>
  <c r="L58" i="28"/>
  <c r="M58" i="28"/>
  <c r="N58" i="28"/>
  <c r="I59" i="28"/>
  <c r="AA59" i="28" s="1"/>
  <c r="AI59" i="28" s="1"/>
  <c r="J59" i="28"/>
  <c r="L59" i="28"/>
  <c r="M59" i="28"/>
  <c r="N59" i="28"/>
  <c r="I60" i="28"/>
  <c r="J60" i="28"/>
  <c r="L60" i="28"/>
  <c r="M60" i="28"/>
  <c r="N60" i="28"/>
  <c r="N55" i="28"/>
  <c r="I55" i="28"/>
  <c r="J55" i="28"/>
  <c r="B54" i="28"/>
  <c r="AD53" i="28"/>
  <c r="AG53" i="28"/>
  <c r="L53" i="28"/>
  <c r="M53" i="28"/>
  <c r="N53" i="28"/>
  <c r="O53" i="28"/>
  <c r="P53" i="28"/>
  <c r="Q53" i="28"/>
  <c r="R53" i="28"/>
  <c r="S53" i="28"/>
  <c r="T53" i="28"/>
  <c r="U53" i="28"/>
  <c r="V53" i="28"/>
  <c r="W53" i="28"/>
  <c r="X53" i="28"/>
  <c r="Y53" i="28"/>
  <c r="Z53" i="28"/>
  <c r="I53" i="28"/>
  <c r="J53" i="28"/>
  <c r="B48" i="28"/>
  <c r="B49" i="28"/>
  <c r="B50" i="28"/>
  <c r="AA49" i="28"/>
  <c r="I47" i="28"/>
  <c r="J47" i="28"/>
  <c r="L47" i="28"/>
  <c r="M47" i="28"/>
  <c r="N47" i="28"/>
  <c r="I48" i="28"/>
  <c r="K48" i="28" s="1"/>
  <c r="J48" i="28"/>
  <c r="L48" i="28"/>
  <c r="M48" i="28"/>
  <c r="N48" i="28"/>
  <c r="I49" i="28"/>
  <c r="J49" i="28"/>
  <c r="K49" i="28"/>
  <c r="L49" i="28"/>
  <c r="M49" i="28"/>
  <c r="N49" i="28"/>
  <c r="I50" i="28"/>
  <c r="J50" i="28"/>
  <c r="L50" i="28"/>
  <c r="M50" i="28"/>
  <c r="N50" i="28"/>
  <c r="I51" i="28"/>
  <c r="J51" i="28"/>
  <c r="L51" i="28"/>
  <c r="M51" i="28"/>
  <c r="N51" i="28"/>
  <c r="I52" i="28"/>
  <c r="AA52" i="28" s="1"/>
  <c r="J52" i="28"/>
  <c r="L52" i="28"/>
  <c r="M52" i="28"/>
  <c r="N52" i="28"/>
  <c r="N46" i="28"/>
  <c r="I46" i="28"/>
  <c r="J46" i="28"/>
  <c r="A45" i="28"/>
  <c r="AD44" i="28"/>
  <c r="AG44" i="28"/>
  <c r="L44" i="28"/>
  <c r="M44" i="28"/>
  <c r="N44" i="28"/>
  <c r="O44" i="28"/>
  <c r="O66" i="28" s="1"/>
  <c r="P44" i="28"/>
  <c r="P66" i="28" s="1"/>
  <c r="Q44" i="28"/>
  <c r="Q66" i="28" s="1"/>
  <c r="R44" i="28"/>
  <c r="R66" i="28" s="1"/>
  <c r="S44" i="28"/>
  <c r="T44" i="28"/>
  <c r="T66" i="28" s="1"/>
  <c r="U44" i="28"/>
  <c r="V44" i="28"/>
  <c r="V66" i="28" s="1"/>
  <c r="W44" i="28"/>
  <c r="W66" i="28" s="1"/>
  <c r="X44" i="28"/>
  <c r="X66" i="28" s="1"/>
  <c r="Y44" i="28"/>
  <c r="Y66" i="28" s="1"/>
  <c r="Z44" i="28"/>
  <c r="Z66" i="28" s="1"/>
  <c r="I44" i="28"/>
  <c r="J44" i="28"/>
  <c r="AH39" i="28"/>
  <c r="AK40" i="28"/>
  <c r="AH41" i="28"/>
  <c r="AL41" i="28"/>
  <c r="AH42" i="28"/>
  <c r="AE41" i="28"/>
  <c r="AE42" i="28"/>
  <c r="AA42" i="28"/>
  <c r="AB42" i="28" s="1"/>
  <c r="AN42" i="28" s="1"/>
  <c r="I39" i="28"/>
  <c r="K39" i="28" s="1"/>
  <c r="J39" i="28"/>
  <c r="L39" i="28"/>
  <c r="M39" i="28"/>
  <c r="N39" i="28"/>
  <c r="I40" i="28"/>
  <c r="AA40" i="28" s="1"/>
  <c r="J40" i="28"/>
  <c r="L40" i="28"/>
  <c r="M40" i="28"/>
  <c r="N40" i="28"/>
  <c r="I41" i="28"/>
  <c r="J41" i="28"/>
  <c r="L41" i="28"/>
  <c r="M41" i="28"/>
  <c r="N41" i="28"/>
  <c r="I42" i="28"/>
  <c r="J42" i="28"/>
  <c r="K42" i="28"/>
  <c r="L42" i="28"/>
  <c r="M42" i="28"/>
  <c r="N42" i="28"/>
  <c r="I43" i="28"/>
  <c r="K43" i="28" s="1"/>
  <c r="J43" i="28"/>
  <c r="L43" i="28"/>
  <c r="M43" i="28"/>
  <c r="N43" i="28"/>
  <c r="N38" i="28"/>
  <c r="I38" i="28"/>
  <c r="J38" i="28"/>
  <c r="AH35" i="28"/>
  <c r="AH36" i="28"/>
  <c r="AE35" i="28"/>
  <c r="AE36" i="28"/>
  <c r="I35" i="28"/>
  <c r="K35" i="28" s="1"/>
  <c r="J35" i="28"/>
  <c r="L35" i="28"/>
  <c r="M35" i="28"/>
  <c r="N35" i="28"/>
  <c r="I36" i="28"/>
  <c r="AA36" i="28" s="1"/>
  <c r="AB36" i="28" s="1"/>
  <c r="J36" i="28"/>
  <c r="L36" i="28"/>
  <c r="M36" i="28"/>
  <c r="N36" i="28"/>
  <c r="N33" i="28"/>
  <c r="N34" i="28"/>
  <c r="I33" i="28"/>
  <c r="J33" i="28"/>
  <c r="I34" i="28"/>
  <c r="J34" i="28"/>
  <c r="AG32" i="28"/>
  <c r="AL32" i="28" s="1"/>
  <c r="AD32" i="28"/>
  <c r="AK32" i="28" s="1"/>
  <c r="O32" i="28"/>
  <c r="P32" i="28"/>
  <c r="Q32" i="28"/>
  <c r="R32" i="28"/>
  <c r="S32" i="28"/>
  <c r="T32" i="28"/>
  <c r="U32" i="28"/>
  <c r="V32" i="28"/>
  <c r="W32" i="28"/>
  <c r="X32" i="28"/>
  <c r="Y32" i="28"/>
  <c r="Z32" i="28"/>
  <c r="AJ32" i="28" s="1"/>
  <c r="AJ31" i="28"/>
  <c r="AK31" i="28"/>
  <c r="AM31" i="28" s="1"/>
  <c r="AL31" i="28"/>
  <c r="AN31" i="28" s="1"/>
  <c r="AG31" i="28"/>
  <c r="AD31" i="28"/>
  <c r="O31" i="28"/>
  <c r="P31" i="28"/>
  <c r="Q31" i="28"/>
  <c r="R31" i="28"/>
  <c r="S31" i="28"/>
  <c r="T31" i="28"/>
  <c r="U31" i="28"/>
  <c r="V31" i="28"/>
  <c r="W31" i="28"/>
  <c r="X31" i="28"/>
  <c r="Y31" i="28"/>
  <c r="Z31" i="28"/>
  <c r="AA31" i="28"/>
  <c r="N26" i="28"/>
  <c r="N27" i="28"/>
  <c r="N28" i="28"/>
  <c r="N29" i="28"/>
  <c r="B22" i="28"/>
  <c r="B23" i="28"/>
  <c r="AG16" i="28"/>
  <c r="AG19" i="28"/>
  <c r="AH63" i="28" s="1"/>
  <c r="AG20" i="28"/>
  <c r="AL49" i="28" s="1"/>
  <c r="AD19" i="28"/>
  <c r="AE50" i="28" s="1"/>
  <c r="AD20" i="28"/>
  <c r="N19" i="28"/>
  <c r="O19" i="28"/>
  <c r="P19" i="28"/>
  <c r="Q19" i="28"/>
  <c r="R19" i="28"/>
  <c r="S19" i="28"/>
  <c r="T19" i="28"/>
  <c r="U19" i="28"/>
  <c r="V19" i="28"/>
  <c r="W19" i="28"/>
  <c r="X19" i="28"/>
  <c r="Y19" i="28"/>
  <c r="Z19" i="28"/>
  <c r="N20" i="28"/>
  <c r="O20" i="28"/>
  <c r="P20" i="28"/>
  <c r="Q20" i="28"/>
  <c r="R20" i="28"/>
  <c r="S20" i="28"/>
  <c r="T20" i="28"/>
  <c r="U20" i="28"/>
  <c r="V20" i="28"/>
  <c r="W20" i="28"/>
  <c r="X20" i="28"/>
  <c r="Y20" i="28"/>
  <c r="Z20" i="28"/>
  <c r="B17" i="28"/>
  <c r="B18" i="28"/>
  <c r="B19" i="28"/>
  <c r="O17" i="28"/>
  <c r="P17" i="28"/>
  <c r="Q17" i="28"/>
  <c r="R17" i="28"/>
  <c r="S17" i="28"/>
  <c r="T17" i="28"/>
  <c r="U17" i="28"/>
  <c r="V17" i="28"/>
  <c r="W17" i="28"/>
  <c r="X17" i="28"/>
  <c r="Y17" i="28"/>
  <c r="Z17" i="28"/>
  <c r="O16" i="28"/>
  <c r="P16" i="28"/>
  <c r="Q16" i="28"/>
  <c r="R16" i="28"/>
  <c r="S16" i="28"/>
  <c r="T16" i="28"/>
  <c r="U16" i="28"/>
  <c r="V16" i="28"/>
  <c r="W16" i="28"/>
  <c r="X16" i="28"/>
  <c r="Y16" i="28"/>
  <c r="A14" i="28"/>
  <c r="AG12" i="28"/>
  <c r="AG13" i="28"/>
  <c r="AD12" i="28"/>
  <c r="AD13" i="28"/>
  <c r="B12" i="28"/>
  <c r="B13" i="28"/>
  <c r="O12" i="28"/>
  <c r="P12" i="28"/>
  <c r="Q12" i="28"/>
  <c r="R12" i="28"/>
  <c r="S12" i="28"/>
  <c r="T12" i="28"/>
  <c r="U12" i="28"/>
  <c r="V12" i="28"/>
  <c r="W12" i="28"/>
  <c r="X12" i="28"/>
  <c r="Y12" i="28"/>
  <c r="Z12" i="28"/>
  <c r="AA12" i="28"/>
  <c r="O13" i="28"/>
  <c r="P13" i="28"/>
  <c r="Q13" i="28"/>
  <c r="R13" i="28"/>
  <c r="S13" i="28"/>
  <c r="T13" i="28"/>
  <c r="U13" i="28"/>
  <c r="V13" i="28"/>
  <c r="W13" i="28"/>
  <c r="X13" i="28"/>
  <c r="Y13" i="28"/>
  <c r="Z13" i="28"/>
  <c r="AA13" i="28"/>
  <c r="O11" i="28"/>
  <c r="P11" i="28"/>
  <c r="Q11" i="28"/>
  <c r="R11" i="28"/>
  <c r="S11" i="28"/>
  <c r="T11" i="28"/>
  <c r="U11" i="28"/>
  <c r="V11" i="28"/>
  <c r="W11" i="28"/>
  <c r="X11" i="28"/>
  <c r="Y11" i="28"/>
  <c r="Z11" i="28"/>
  <c r="C10" i="28"/>
  <c r="D10" i="28"/>
  <c r="Z16" i="28" s="1"/>
  <c r="C9" i="28"/>
  <c r="C1" i="28"/>
  <c r="C2" i="28"/>
  <c r="C3" i="28"/>
  <c r="C4" i="28"/>
  <c r="C5" i="28"/>
  <c r="C6" i="28"/>
  <c r="C7" i="28"/>
  <c r="C8" i="28"/>
  <c r="E6" i="28"/>
  <c r="E4" i="28"/>
  <c r="F4" i="28"/>
  <c r="B3" i="28"/>
  <c r="N46" i="27"/>
  <c r="V46" i="27"/>
  <c r="X46" i="27"/>
  <c r="AD44" i="27"/>
  <c r="AD46" i="27" s="1"/>
  <c r="AG44" i="27"/>
  <c r="AG46" i="27" s="1"/>
  <c r="N44" i="27"/>
  <c r="O44" i="27"/>
  <c r="O46" i="27" s="1"/>
  <c r="P44" i="27"/>
  <c r="P46" i="27" s="1"/>
  <c r="Q44" i="27"/>
  <c r="Q46" i="27" s="1"/>
  <c r="R44" i="27"/>
  <c r="R46" i="27" s="1"/>
  <c r="S44" i="27"/>
  <c r="S46" i="27" s="1"/>
  <c r="T44" i="27"/>
  <c r="T46" i="27" s="1"/>
  <c r="U44" i="27"/>
  <c r="U46" i="27" s="1"/>
  <c r="V44" i="27"/>
  <c r="W44" i="27"/>
  <c r="W46" i="27" s="1"/>
  <c r="X44" i="27"/>
  <c r="Y44" i="27"/>
  <c r="Y46" i="27" s="1"/>
  <c r="Z44" i="27"/>
  <c r="Z46" i="27" s="1"/>
  <c r="I44" i="27"/>
  <c r="J44" i="27"/>
  <c r="AH38" i="27"/>
  <c r="AH40" i="27"/>
  <c r="AL40" i="27"/>
  <c r="AE38" i="27"/>
  <c r="AE40" i="27"/>
  <c r="AE43" i="27"/>
  <c r="AA41" i="27"/>
  <c r="I34" i="27"/>
  <c r="AA34" i="27" s="1"/>
  <c r="J34" i="27"/>
  <c r="L34" i="27"/>
  <c r="M34" i="27"/>
  <c r="N34" i="27"/>
  <c r="I35" i="27"/>
  <c r="AA35" i="27" s="1"/>
  <c r="J35" i="27"/>
  <c r="K35" i="27"/>
  <c r="L35" i="27"/>
  <c r="M35" i="27"/>
  <c r="N35" i="27"/>
  <c r="I36" i="27"/>
  <c r="K36" i="27" s="1"/>
  <c r="J36" i="27"/>
  <c r="L36" i="27"/>
  <c r="M36" i="27"/>
  <c r="N36" i="27"/>
  <c r="I37" i="27"/>
  <c r="K37" i="27" s="1"/>
  <c r="J37" i="27"/>
  <c r="L37" i="27"/>
  <c r="M37" i="27"/>
  <c r="N37" i="27"/>
  <c r="I38" i="27"/>
  <c r="AA38" i="27" s="1"/>
  <c r="J38" i="27"/>
  <c r="L38" i="27"/>
  <c r="M38" i="27"/>
  <c r="N38" i="27"/>
  <c r="I39" i="27"/>
  <c r="AA39" i="27" s="1"/>
  <c r="J39" i="27"/>
  <c r="L39" i="27"/>
  <c r="M39" i="27"/>
  <c r="N39" i="27"/>
  <c r="I40" i="27"/>
  <c r="K40" i="27" s="1"/>
  <c r="J40" i="27"/>
  <c r="L40" i="27"/>
  <c r="M40" i="27"/>
  <c r="N40" i="27"/>
  <c r="I41" i="27"/>
  <c r="K41" i="27" s="1"/>
  <c r="J41" i="27"/>
  <c r="L41" i="27"/>
  <c r="M41" i="27"/>
  <c r="N41" i="27"/>
  <c r="I42" i="27"/>
  <c r="AA42" i="27" s="1"/>
  <c r="J42" i="27"/>
  <c r="L42" i="27"/>
  <c r="M42" i="27"/>
  <c r="N42" i="27"/>
  <c r="I43" i="27"/>
  <c r="AA43" i="27" s="1"/>
  <c r="AI43" i="27" s="1"/>
  <c r="J43" i="27"/>
  <c r="K43" i="27"/>
  <c r="L43" i="27"/>
  <c r="M43" i="27"/>
  <c r="N43" i="27"/>
  <c r="N33" i="27"/>
  <c r="I33" i="27"/>
  <c r="J33" i="27"/>
  <c r="AK32" i="27"/>
  <c r="AG32" i="27"/>
  <c r="AL32" i="27" s="1"/>
  <c r="AD32" i="27"/>
  <c r="O32" i="27"/>
  <c r="P32" i="27"/>
  <c r="Q32" i="27"/>
  <c r="R32" i="27"/>
  <c r="S32" i="27"/>
  <c r="T32" i="27"/>
  <c r="U32" i="27"/>
  <c r="V32" i="27"/>
  <c r="W32" i="27"/>
  <c r="X32" i="27"/>
  <c r="Y32" i="27"/>
  <c r="Z32" i="27"/>
  <c r="AJ32" i="27" s="1"/>
  <c r="AJ31" i="27"/>
  <c r="AK31" i="27"/>
  <c r="AM31" i="27" s="1"/>
  <c r="AL31" i="27"/>
  <c r="AN31" i="27" s="1"/>
  <c r="AG31" i="27"/>
  <c r="AD31" i="27"/>
  <c r="O31" i="27"/>
  <c r="P31" i="27"/>
  <c r="Q31" i="27"/>
  <c r="R31" i="27"/>
  <c r="S31" i="27"/>
  <c r="T31" i="27"/>
  <c r="U31" i="27"/>
  <c r="V31" i="27"/>
  <c r="W31" i="27"/>
  <c r="X31" i="27"/>
  <c r="Y31" i="27"/>
  <c r="Z31" i="27"/>
  <c r="AA31" i="27"/>
  <c r="N26" i="27"/>
  <c r="N27" i="27"/>
  <c r="N28" i="27"/>
  <c r="N29" i="27"/>
  <c r="B23" i="27"/>
  <c r="AG16" i="27"/>
  <c r="AG19" i="27"/>
  <c r="AH41" i="27" s="1"/>
  <c r="AG20" i="27"/>
  <c r="AL37" i="27" s="1"/>
  <c r="AD19" i="27"/>
  <c r="AE36" i="27" s="1"/>
  <c r="AD20" i="27"/>
  <c r="N19" i="27"/>
  <c r="O19" i="27"/>
  <c r="P19" i="27"/>
  <c r="Q19" i="27"/>
  <c r="R19" i="27"/>
  <c r="S19" i="27"/>
  <c r="T19" i="27"/>
  <c r="U19" i="27"/>
  <c r="V19" i="27"/>
  <c r="W19" i="27"/>
  <c r="X19" i="27"/>
  <c r="Y19" i="27"/>
  <c r="Z19" i="27"/>
  <c r="N20" i="27"/>
  <c r="O20" i="27"/>
  <c r="P20" i="27"/>
  <c r="Q20" i="27"/>
  <c r="R20" i="27"/>
  <c r="S20" i="27"/>
  <c r="T20" i="27"/>
  <c r="U20" i="27"/>
  <c r="V20" i="27"/>
  <c r="W20" i="27"/>
  <c r="X20" i="27"/>
  <c r="Y20" i="27"/>
  <c r="Z20" i="27"/>
  <c r="B17" i="27"/>
  <c r="B18" i="27"/>
  <c r="B19" i="27"/>
  <c r="O17" i="27"/>
  <c r="P17" i="27"/>
  <c r="Q17" i="27"/>
  <c r="R17" i="27"/>
  <c r="S17" i="27"/>
  <c r="T17" i="27"/>
  <c r="U17" i="27"/>
  <c r="V17" i="27"/>
  <c r="W17" i="27"/>
  <c r="X17" i="27"/>
  <c r="Y17" i="27"/>
  <c r="Z17" i="27"/>
  <c r="O16" i="27"/>
  <c r="P16" i="27"/>
  <c r="Q16" i="27"/>
  <c r="R16" i="27"/>
  <c r="S16" i="27"/>
  <c r="T16" i="27"/>
  <c r="U16" i="27"/>
  <c r="V16" i="27"/>
  <c r="W16" i="27"/>
  <c r="X16" i="27"/>
  <c r="Y16" i="27"/>
  <c r="A14" i="27"/>
  <c r="AG12" i="27"/>
  <c r="AG13" i="27"/>
  <c r="AD12" i="27"/>
  <c r="AD13" i="27"/>
  <c r="B12" i="27"/>
  <c r="Z16" i="27" s="1"/>
  <c r="B13" i="27"/>
  <c r="O12" i="27"/>
  <c r="P12" i="27"/>
  <c r="Q12" i="27"/>
  <c r="R12" i="27"/>
  <c r="S12" i="27"/>
  <c r="T12" i="27"/>
  <c r="U12" i="27"/>
  <c r="V12" i="27"/>
  <c r="W12" i="27"/>
  <c r="X12" i="27"/>
  <c r="Y12" i="27"/>
  <c r="Z12" i="27"/>
  <c r="AA12" i="27"/>
  <c r="O13" i="27"/>
  <c r="P13" i="27"/>
  <c r="Q13" i="27"/>
  <c r="R13" i="27"/>
  <c r="S13" i="27"/>
  <c r="T13" i="27"/>
  <c r="U13" i="27"/>
  <c r="V13" i="27"/>
  <c r="W13" i="27"/>
  <c r="X13" i="27"/>
  <c r="Y13" i="27"/>
  <c r="Z13" i="27"/>
  <c r="AA13" i="27"/>
  <c r="O11" i="27"/>
  <c r="P11" i="27"/>
  <c r="Q11" i="27"/>
  <c r="R11" i="27"/>
  <c r="S11" i="27"/>
  <c r="T11" i="27"/>
  <c r="U11" i="27"/>
  <c r="V11" i="27"/>
  <c r="W11" i="27"/>
  <c r="X11" i="27"/>
  <c r="Y11" i="27"/>
  <c r="Z11" i="27"/>
  <c r="C10" i="27"/>
  <c r="D10" i="27"/>
  <c r="AA16" i="27" s="1"/>
  <c r="C9" i="27"/>
  <c r="C1" i="27"/>
  <c r="C2" i="27"/>
  <c r="C3" i="27"/>
  <c r="C4" i="27"/>
  <c r="C5" i="27"/>
  <c r="C6" i="27"/>
  <c r="C7" i="27"/>
  <c r="C8" i="27"/>
  <c r="E6" i="27"/>
  <c r="E4" i="27"/>
  <c r="F4" i="27"/>
  <c r="B3" i="27"/>
  <c r="AG73" i="26"/>
  <c r="AG74" i="26"/>
  <c r="AD73" i="26"/>
  <c r="AD74" i="26"/>
  <c r="O73" i="26"/>
  <c r="P73" i="26"/>
  <c r="Q73" i="26"/>
  <c r="R73" i="26"/>
  <c r="S73" i="26"/>
  <c r="T73" i="26"/>
  <c r="U73" i="26"/>
  <c r="V73" i="26"/>
  <c r="W73" i="26"/>
  <c r="X73" i="26"/>
  <c r="Y73" i="26"/>
  <c r="Z73" i="26"/>
  <c r="N74" i="26"/>
  <c r="O74" i="26"/>
  <c r="P74" i="26"/>
  <c r="Q74" i="26"/>
  <c r="R74" i="26"/>
  <c r="S74" i="26"/>
  <c r="T74" i="26"/>
  <c r="U74" i="26"/>
  <c r="V74" i="26"/>
  <c r="W74" i="26"/>
  <c r="X74" i="26"/>
  <c r="Y74" i="26"/>
  <c r="Z74" i="26"/>
  <c r="N70" i="26"/>
  <c r="N73" i="26" s="1"/>
  <c r="N71" i="26"/>
  <c r="AL70" i="26"/>
  <c r="I70" i="26"/>
  <c r="AA70" i="26" s="1"/>
  <c r="J70" i="26"/>
  <c r="I71" i="26"/>
  <c r="AA71" i="26" s="1"/>
  <c r="J71" i="26"/>
  <c r="N49" i="26"/>
  <c r="N50" i="26"/>
  <c r="N51" i="26"/>
  <c r="N52" i="26"/>
  <c r="N53" i="26"/>
  <c r="N54" i="26"/>
  <c r="N55" i="26"/>
  <c r="N56" i="26"/>
  <c r="N57" i="26"/>
  <c r="N58" i="26"/>
  <c r="N59" i="26"/>
  <c r="N60" i="26"/>
  <c r="N61" i="26"/>
  <c r="N62" i="26"/>
  <c r="N63" i="26"/>
  <c r="N64" i="26"/>
  <c r="N65" i="26"/>
  <c r="N66" i="26"/>
  <c r="N67" i="26"/>
  <c r="N68" i="26"/>
  <c r="I67" i="26"/>
  <c r="AA67" i="26" s="1"/>
  <c r="J67" i="26"/>
  <c r="I68" i="26"/>
  <c r="AA68" i="26" s="1"/>
  <c r="J68" i="26"/>
  <c r="B54" i="26"/>
  <c r="AK51" i="26"/>
  <c r="AL53" i="26"/>
  <c r="AK60" i="26"/>
  <c r="AH61" i="26"/>
  <c r="AK64" i="26"/>
  <c r="AH65" i="26"/>
  <c r="AL65" i="26"/>
  <c r="AL66" i="26"/>
  <c r="AF52" i="26"/>
  <c r="AE65" i="26"/>
  <c r="AA51" i="26"/>
  <c r="AA57" i="26"/>
  <c r="AA58" i="26"/>
  <c r="I50" i="26"/>
  <c r="J50" i="26"/>
  <c r="L50" i="26"/>
  <c r="M50" i="26"/>
  <c r="I51" i="26"/>
  <c r="K51" i="26" s="1"/>
  <c r="J51" i="26"/>
  <c r="L51" i="26"/>
  <c r="M51" i="26"/>
  <c r="I52" i="26"/>
  <c r="AA52" i="26" s="1"/>
  <c r="AI52" i="26" s="1"/>
  <c r="J52" i="26"/>
  <c r="L52" i="26"/>
  <c r="M52" i="26"/>
  <c r="I53" i="26"/>
  <c r="K53" i="26" s="1"/>
  <c r="J53" i="26"/>
  <c r="L53" i="26"/>
  <c r="M53" i="26"/>
  <c r="I54" i="26"/>
  <c r="J54" i="26"/>
  <c r="L54" i="26"/>
  <c r="M54" i="26"/>
  <c r="I55" i="26"/>
  <c r="AA55" i="26" s="1"/>
  <c r="J55" i="26"/>
  <c r="L55" i="26"/>
  <c r="M55" i="26"/>
  <c r="I56" i="26"/>
  <c r="AA56" i="26" s="1"/>
  <c r="J56" i="26"/>
  <c r="K56" i="26"/>
  <c r="L56" i="26"/>
  <c r="M56" i="26"/>
  <c r="I57" i="26"/>
  <c r="K57" i="26" s="1"/>
  <c r="J57" i="26"/>
  <c r="L57" i="26"/>
  <c r="M57" i="26"/>
  <c r="I58" i="26"/>
  <c r="K58" i="26" s="1"/>
  <c r="J58" i="26"/>
  <c r="L58" i="26"/>
  <c r="M58" i="26"/>
  <c r="I59" i="26"/>
  <c r="AA59" i="26" s="1"/>
  <c r="AI59" i="26" s="1"/>
  <c r="J59" i="26"/>
  <c r="K59" i="26"/>
  <c r="L59" i="26"/>
  <c r="M59" i="26"/>
  <c r="I60" i="26"/>
  <c r="AA60" i="26" s="1"/>
  <c r="AI60" i="26" s="1"/>
  <c r="J60" i="26"/>
  <c r="L60" i="26"/>
  <c r="M60" i="26"/>
  <c r="I61" i="26"/>
  <c r="AA61" i="26" s="1"/>
  <c r="J61" i="26"/>
  <c r="L61" i="26"/>
  <c r="M61" i="26"/>
  <c r="I62" i="26"/>
  <c r="K62" i="26" s="1"/>
  <c r="J62" i="26"/>
  <c r="L62" i="26"/>
  <c r="M62" i="26"/>
  <c r="I63" i="26"/>
  <c r="J63" i="26"/>
  <c r="L63" i="26"/>
  <c r="M63" i="26"/>
  <c r="I64" i="26"/>
  <c r="AA64" i="26" s="1"/>
  <c r="AF64" i="26" s="1"/>
  <c r="J64" i="26"/>
  <c r="L64" i="26"/>
  <c r="M64" i="26"/>
  <c r="I65" i="26"/>
  <c r="K65" i="26" s="1"/>
  <c r="J65" i="26"/>
  <c r="L65" i="26"/>
  <c r="M65" i="26"/>
  <c r="I66" i="26"/>
  <c r="AA66" i="26" s="1"/>
  <c r="J66" i="26"/>
  <c r="K66" i="26"/>
  <c r="L66" i="26"/>
  <c r="M66" i="26"/>
  <c r="B48" i="26"/>
  <c r="B49" i="26"/>
  <c r="B50" i="26"/>
  <c r="I49" i="26"/>
  <c r="J49" i="26"/>
  <c r="A45" i="26"/>
  <c r="AK38" i="26"/>
  <c r="AK40" i="26"/>
  <c r="AL43" i="26"/>
  <c r="AK44" i="26"/>
  <c r="AK45" i="26"/>
  <c r="AA39" i="26"/>
  <c r="AA43" i="26"/>
  <c r="AI43" i="26" s="1"/>
  <c r="AA47" i="26"/>
  <c r="AI47" i="26" s="1"/>
  <c r="AA35" i="26"/>
  <c r="AM37" i="26"/>
  <c r="AN37" i="26"/>
  <c r="AH36" i="26"/>
  <c r="AF35" i="26"/>
  <c r="AE36" i="26"/>
  <c r="I35" i="26"/>
  <c r="J35" i="26"/>
  <c r="K35" i="26"/>
  <c r="L35" i="26"/>
  <c r="M35" i="26"/>
  <c r="N35" i="26"/>
  <c r="I36" i="26"/>
  <c r="AA36" i="26" s="1"/>
  <c r="J36" i="26"/>
  <c r="L36" i="26"/>
  <c r="M36" i="26"/>
  <c r="N36" i="26"/>
  <c r="I37" i="26"/>
  <c r="J37" i="26"/>
  <c r="L37" i="26"/>
  <c r="M37" i="26"/>
  <c r="N37" i="26"/>
  <c r="I38" i="26"/>
  <c r="AA38" i="26" s="1"/>
  <c r="J38" i="26"/>
  <c r="K38" i="26"/>
  <c r="L38" i="26"/>
  <c r="M38" i="26"/>
  <c r="N38" i="26"/>
  <c r="I39" i="26"/>
  <c r="K39" i="26" s="1"/>
  <c r="J39" i="26"/>
  <c r="L39" i="26"/>
  <c r="M39" i="26"/>
  <c r="N39" i="26"/>
  <c r="I40" i="26"/>
  <c r="K40" i="26" s="1"/>
  <c r="J40" i="26"/>
  <c r="L40" i="26"/>
  <c r="M40" i="26"/>
  <c r="N40" i="26"/>
  <c r="I41" i="26"/>
  <c r="J41" i="26"/>
  <c r="L41" i="26"/>
  <c r="M41" i="26"/>
  <c r="N41" i="26"/>
  <c r="I42" i="26"/>
  <c r="AA42" i="26" s="1"/>
  <c r="J42" i="26"/>
  <c r="L42" i="26"/>
  <c r="M42" i="26"/>
  <c r="N42" i="26"/>
  <c r="I43" i="26"/>
  <c r="K43" i="26" s="1"/>
  <c r="J43" i="26"/>
  <c r="L43" i="26"/>
  <c r="M43" i="26"/>
  <c r="N43" i="26"/>
  <c r="I44" i="26"/>
  <c r="AA44" i="26" s="1"/>
  <c r="J44" i="26"/>
  <c r="L44" i="26"/>
  <c r="M44" i="26"/>
  <c r="N44" i="26"/>
  <c r="I45" i="26"/>
  <c r="J45" i="26"/>
  <c r="L45" i="26"/>
  <c r="M45" i="26"/>
  <c r="N45" i="26"/>
  <c r="I46" i="26"/>
  <c r="AA46" i="26" s="1"/>
  <c r="J46" i="26"/>
  <c r="L46" i="26"/>
  <c r="M46" i="26"/>
  <c r="N46" i="26"/>
  <c r="I47" i="26"/>
  <c r="J47" i="26"/>
  <c r="K47" i="26"/>
  <c r="L47" i="26"/>
  <c r="M47" i="26"/>
  <c r="N47" i="26"/>
  <c r="N33" i="26"/>
  <c r="N34" i="26"/>
  <c r="I33" i="26"/>
  <c r="J33" i="26"/>
  <c r="I34" i="26"/>
  <c r="J34" i="26"/>
  <c r="AG32" i="26"/>
  <c r="AL32" i="26" s="1"/>
  <c r="AD32" i="26"/>
  <c r="AK32" i="26" s="1"/>
  <c r="O32" i="26"/>
  <c r="P32" i="26"/>
  <c r="Q32" i="26"/>
  <c r="R32" i="26"/>
  <c r="S32" i="26"/>
  <c r="T32" i="26"/>
  <c r="U32" i="26"/>
  <c r="V32" i="26"/>
  <c r="W32" i="26"/>
  <c r="X32" i="26"/>
  <c r="Y32" i="26"/>
  <c r="Z32" i="26"/>
  <c r="AJ32" i="26" s="1"/>
  <c r="AJ31" i="26"/>
  <c r="AK31" i="26"/>
  <c r="AM31" i="26" s="1"/>
  <c r="AL31" i="26"/>
  <c r="AN31" i="26" s="1"/>
  <c r="AG31" i="26"/>
  <c r="AD31" i="26"/>
  <c r="O31" i="26"/>
  <c r="P31" i="26"/>
  <c r="Q31" i="26"/>
  <c r="R31" i="26"/>
  <c r="S31" i="26"/>
  <c r="T31" i="26"/>
  <c r="U31" i="26"/>
  <c r="V31" i="26"/>
  <c r="W31" i="26"/>
  <c r="X31" i="26"/>
  <c r="Y31" i="26"/>
  <c r="Z31" i="26"/>
  <c r="AA31" i="26"/>
  <c r="N26" i="26"/>
  <c r="N27" i="26"/>
  <c r="N28" i="26"/>
  <c r="N29" i="26"/>
  <c r="B22" i="26"/>
  <c r="B23" i="26"/>
  <c r="AG16" i="26"/>
  <c r="AG19" i="26"/>
  <c r="AG20" i="26"/>
  <c r="AL59" i="26" s="1"/>
  <c r="AD19" i="26"/>
  <c r="AD20" i="26"/>
  <c r="AK53" i="26" s="1"/>
  <c r="N19" i="26"/>
  <c r="O19" i="26"/>
  <c r="P19" i="26"/>
  <c r="Q19" i="26"/>
  <c r="R19" i="26"/>
  <c r="S19" i="26"/>
  <c r="T19" i="26"/>
  <c r="U19" i="26"/>
  <c r="V19" i="26"/>
  <c r="W19" i="26"/>
  <c r="X19" i="26"/>
  <c r="Y19" i="26"/>
  <c r="Z19" i="26"/>
  <c r="N20" i="26"/>
  <c r="O20" i="26"/>
  <c r="P20" i="26"/>
  <c r="Q20" i="26"/>
  <c r="R20" i="26"/>
  <c r="S20" i="26"/>
  <c r="T20" i="26"/>
  <c r="U20" i="26"/>
  <c r="V20" i="26"/>
  <c r="W20" i="26"/>
  <c r="X20" i="26"/>
  <c r="Y20" i="26"/>
  <c r="Z20" i="26"/>
  <c r="B17" i="26"/>
  <c r="B18" i="26"/>
  <c r="B19" i="26"/>
  <c r="O17" i="26"/>
  <c r="P17" i="26"/>
  <c r="Q17" i="26"/>
  <c r="R17" i="26"/>
  <c r="S17" i="26"/>
  <c r="T17" i="26"/>
  <c r="U17" i="26"/>
  <c r="V17" i="26"/>
  <c r="W17" i="26"/>
  <c r="X17" i="26"/>
  <c r="Y17" i="26"/>
  <c r="Z17" i="26"/>
  <c r="O16" i="26"/>
  <c r="P16" i="26"/>
  <c r="Q16" i="26"/>
  <c r="R16" i="26"/>
  <c r="S16" i="26"/>
  <c r="T16" i="26"/>
  <c r="U16" i="26"/>
  <c r="V16" i="26"/>
  <c r="W16" i="26"/>
  <c r="X16" i="26"/>
  <c r="Y16" i="26"/>
  <c r="A14" i="26"/>
  <c r="AG12" i="26"/>
  <c r="AG13" i="26"/>
  <c r="AD12" i="26"/>
  <c r="AD13" i="26"/>
  <c r="B12" i="26"/>
  <c r="Z16" i="26" s="1"/>
  <c r="B13" i="26"/>
  <c r="O12" i="26"/>
  <c r="P12" i="26"/>
  <c r="Q12" i="26"/>
  <c r="R12" i="26"/>
  <c r="S12" i="26"/>
  <c r="T12" i="26"/>
  <c r="U12" i="26"/>
  <c r="V12" i="26"/>
  <c r="W12" i="26"/>
  <c r="X12" i="26"/>
  <c r="Y12" i="26"/>
  <c r="Z12" i="26"/>
  <c r="AA12" i="26"/>
  <c r="O13" i="26"/>
  <c r="P13" i="26"/>
  <c r="Q13" i="26"/>
  <c r="R13" i="26"/>
  <c r="S13" i="26"/>
  <c r="T13" i="26"/>
  <c r="U13" i="26"/>
  <c r="V13" i="26"/>
  <c r="W13" i="26"/>
  <c r="X13" i="26"/>
  <c r="Y13" i="26"/>
  <c r="Z13" i="26"/>
  <c r="AA13" i="26"/>
  <c r="O11" i="26"/>
  <c r="P11" i="26"/>
  <c r="Q11" i="26"/>
  <c r="R11" i="26"/>
  <c r="S11" i="26"/>
  <c r="T11" i="26"/>
  <c r="U11" i="26"/>
  <c r="V11" i="26"/>
  <c r="W11" i="26"/>
  <c r="X11" i="26"/>
  <c r="Y11" i="26"/>
  <c r="Z11" i="26"/>
  <c r="C10" i="26"/>
  <c r="D10" i="26"/>
  <c r="C9" i="26"/>
  <c r="C1" i="26"/>
  <c r="C2" i="26"/>
  <c r="C3" i="26"/>
  <c r="C4" i="26"/>
  <c r="C5" i="26"/>
  <c r="C6" i="26"/>
  <c r="C7" i="26"/>
  <c r="C8" i="26"/>
  <c r="E6" i="26"/>
  <c r="E4" i="26"/>
  <c r="F4" i="26"/>
  <c r="B3" i="26"/>
  <c r="O54" i="25"/>
  <c r="R54" i="25"/>
  <c r="W54" i="25"/>
  <c r="AD52" i="25"/>
  <c r="AG52" i="25"/>
  <c r="N52" i="25"/>
  <c r="N54" i="25" s="1"/>
  <c r="O52" i="25"/>
  <c r="P52" i="25"/>
  <c r="P54" i="25" s="1"/>
  <c r="Q52" i="25"/>
  <c r="Q54" i="25" s="1"/>
  <c r="R52" i="25"/>
  <c r="S52" i="25"/>
  <c r="S54" i="25" s="1"/>
  <c r="T52" i="25"/>
  <c r="T54" i="25" s="1"/>
  <c r="U52" i="25"/>
  <c r="U54" i="25" s="1"/>
  <c r="V52" i="25"/>
  <c r="V54" i="25" s="1"/>
  <c r="W52" i="25"/>
  <c r="X52" i="25"/>
  <c r="X54" i="25" s="1"/>
  <c r="Y52" i="25"/>
  <c r="Y54" i="25" s="1"/>
  <c r="Z52" i="25"/>
  <c r="Z54" i="25" s="1"/>
  <c r="I52" i="25"/>
  <c r="J52" i="25"/>
  <c r="AK35" i="25"/>
  <c r="AH37" i="25"/>
  <c r="AK37" i="25"/>
  <c r="AL38" i="25"/>
  <c r="AH39" i="25"/>
  <c r="AH40" i="25"/>
  <c r="AL40" i="25"/>
  <c r="AH41" i="25"/>
  <c r="AL41" i="25"/>
  <c r="AH42" i="25"/>
  <c r="AH43" i="25"/>
  <c r="AK43" i="25"/>
  <c r="AH44" i="25"/>
  <c r="AL44" i="25"/>
  <c r="AK45" i="25"/>
  <c r="AL46" i="25"/>
  <c r="AH47" i="25"/>
  <c r="AL47" i="25"/>
  <c r="AH48" i="25"/>
  <c r="AH49" i="25"/>
  <c r="AF34" i="25"/>
  <c r="AE39" i="25"/>
  <c r="AE40" i="25"/>
  <c r="AE41" i="25"/>
  <c r="AE42" i="25"/>
  <c r="AE43" i="25"/>
  <c r="AE44" i="25"/>
  <c r="AE46" i="25"/>
  <c r="AE47" i="25"/>
  <c r="AE48" i="25"/>
  <c r="AE49" i="25"/>
  <c r="AA36" i="25"/>
  <c r="AA38" i="25"/>
  <c r="AA41" i="25"/>
  <c r="AA42" i="25"/>
  <c r="AA46" i="25"/>
  <c r="I34" i="25"/>
  <c r="AA34" i="25" s="1"/>
  <c r="AI34" i="25" s="1"/>
  <c r="J34" i="25"/>
  <c r="L34" i="25"/>
  <c r="M34" i="25"/>
  <c r="N34" i="25"/>
  <c r="I35" i="25"/>
  <c r="AA35" i="25" s="1"/>
  <c r="J35" i="25"/>
  <c r="L35" i="25"/>
  <c r="M35" i="25"/>
  <c r="N35" i="25"/>
  <c r="I36" i="25"/>
  <c r="K36" i="25" s="1"/>
  <c r="J36" i="25"/>
  <c r="L36" i="25"/>
  <c r="M36" i="25"/>
  <c r="N36" i="25"/>
  <c r="I37" i="25"/>
  <c r="AA37" i="25" s="1"/>
  <c r="J37" i="25"/>
  <c r="L37" i="25"/>
  <c r="M37" i="25"/>
  <c r="N37" i="25"/>
  <c r="I38" i="25"/>
  <c r="J38" i="25"/>
  <c r="K38" i="25"/>
  <c r="L38" i="25"/>
  <c r="M38" i="25"/>
  <c r="N38" i="25"/>
  <c r="I39" i="25"/>
  <c r="AA39" i="25" s="1"/>
  <c r="J39" i="25"/>
  <c r="L39" i="25"/>
  <c r="M39" i="25"/>
  <c r="N39" i="25"/>
  <c r="I40" i="25"/>
  <c r="J40" i="25"/>
  <c r="L40" i="25"/>
  <c r="M40" i="25"/>
  <c r="N40" i="25"/>
  <c r="I41" i="25"/>
  <c r="J41" i="25"/>
  <c r="K41" i="25"/>
  <c r="L41" i="25"/>
  <c r="M41" i="25"/>
  <c r="N41" i="25"/>
  <c r="I42" i="25"/>
  <c r="K42" i="25" s="1"/>
  <c r="J42" i="25"/>
  <c r="L42" i="25"/>
  <c r="M42" i="25"/>
  <c r="N42" i="25"/>
  <c r="I43" i="25"/>
  <c r="AA43" i="25" s="1"/>
  <c r="J43" i="25"/>
  <c r="L43" i="25"/>
  <c r="M43" i="25"/>
  <c r="N43" i="25"/>
  <c r="I44" i="25"/>
  <c r="J44" i="25"/>
  <c r="L44" i="25"/>
  <c r="M44" i="25"/>
  <c r="N44" i="25"/>
  <c r="I45" i="25"/>
  <c r="AA45" i="25" s="1"/>
  <c r="J45" i="25"/>
  <c r="L45" i="25"/>
  <c r="M45" i="25"/>
  <c r="N45" i="25"/>
  <c r="I46" i="25"/>
  <c r="J46" i="25"/>
  <c r="K46" i="25"/>
  <c r="L46" i="25"/>
  <c r="M46" i="25"/>
  <c r="N46" i="25"/>
  <c r="I47" i="25"/>
  <c r="AA47" i="25" s="1"/>
  <c r="J47" i="25"/>
  <c r="L47" i="25"/>
  <c r="M47" i="25"/>
  <c r="N47" i="25"/>
  <c r="I48" i="25"/>
  <c r="K48" i="25" s="1"/>
  <c r="J48" i="25"/>
  <c r="L48" i="25"/>
  <c r="M48" i="25"/>
  <c r="N48" i="25"/>
  <c r="I49" i="25"/>
  <c r="K49" i="25" s="1"/>
  <c r="J49" i="25"/>
  <c r="L49" i="25"/>
  <c r="M49" i="25"/>
  <c r="N49" i="25"/>
  <c r="I50" i="25"/>
  <c r="AA50" i="25" s="1"/>
  <c r="J50" i="25"/>
  <c r="K50" i="25"/>
  <c r="L50" i="25"/>
  <c r="M50" i="25"/>
  <c r="N50" i="25"/>
  <c r="N33" i="25"/>
  <c r="I33" i="25"/>
  <c r="J33" i="25"/>
  <c r="AK32" i="25"/>
  <c r="AG32" i="25"/>
  <c r="AL32" i="25" s="1"/>
  <c r="AD32" i="25"/>
  <c r="O32" i="25"/>
  <c r="P32" i="25"/>
  <c r="Q32" i="25"/>
  <c r="R32" i="25"/>
  <c r="S32" i="25"/>
  <c r="T32" i="25"/>
  <c r="U32" i="25"/>
  <c r="V32" i="25"/>
  <c r="W32" i="25"/>
  <c r="X32" i="25"/>
  <c r="Y32" i="25"/>
  <c r="Z32" i="25"/>
  <c r="AJ32" i="25" s="1"/>
  <c r="AJ31" i="25"/>
  <c r="AK31" i="25"/>
  <c r="AM31" i="25" s="1"/>
  <c r="AL31" i="25"/>
  <c r="AN31" i="25" s="1"/>
  <c r="AG31" i="25"/>
  <c r="AD31" i="25"/>
  <c r="O31" i="25"/>
  <c r="P31" i="25"/>
  <c r="Q31" i="25"/>
  <c r="R31" i="25"/>
  <c r="S31" i="25"/>
  <c r="T31" i="25"/>
  <c r="U31" i="25"/>
  <c r="V31" i="25"/>
  <c r="W31" i="25"/>
  <c r="X31" i="25"/>
  <c r="Y31" i="25"/>
  <c r="Z31" i="25"/>
  <c r="AA31" i="25"/>
  <c r="N26" i="25"/>
  <c r="N27" i="25"/>
  <c r="N28" i="25"/>
  <c r="N29" i="25"/>
  <c r="B22" i="25"/>
  <c r="B23" i="25"/>
  <c r="AG16" i="25"/>
  <c r="AG19" i="25"/>
  <c r="AG20" i="25"/>
  <c r="AL35" i="25" s="1"/>
  <c r="AD19" i="25"/>
  <c r="AD20" i="25"/>
  <c r="AK36" i="25" s="1"/>
  <c r="N19" i="25"/>
  <c r="O19" i="25"/>
  <c r="P19" i="25"/>
  <c r="Q19" i="25"/>
  <c r="R19" i="25"/>
  <c r="S19" i="25"/>
  <c r="T19" i="25"/>
  <c r="U19" i="25"/>
  <c r="V19" i="25"/>
  <c r="W19" i="25"/>
  <c r="X19" i="25"/>
  <c r="Y19" i="25"/>
  <c r="Z19" i="25"/>
  <c r="N20" i="25"/>
  <c r="O20" i="25"/>
  <c r="AA20" i="25" s="1"/>
  <c r="AJ47" i="25" s="1"/>
  <c r="P20" i="25"/>
  <c r="Q20" i="25"/>
  <c r="R20" i="25"/>
  <c r="S20" i="25"/>
  <c r="T20" i="25"/>
  <c r="U20" i="25"/>
  <c r="V20" i="25"/>
  <c r="W20" i="25"/>
  <c r="X20" i="25"/>
  <c r="Y20" i="25"/>
  <c r="Z20" i="25"/>
  <c r="G19" i="25"/>
  <c r="B17" i="25"/>
  <c r="B18" i="25"/>
  <c r="B19" i="25"/>
  <c r="O17" i="25"/>
  <c r="P17" i="25"/>
  <c r="Q17" i="25"/>
  <c r="R17" i="25"/>
  <c r="S17" i="25"/>
  <c r="T17" i="25"/>
  <c r="U17" i="25"/>
  <c r="V17" i="25"/>
  <c r="W17" i="25"/>
  <c r="X17" i="25"/>
  <c r="Y17" i="25"/>
  <c r="Z17" i="25"/>
  <c r="O16" i="25"/>
  <c r="P16" i="25"/>
  <c r="Q16" i="25"/>
  <c r="R16" i="25"/>
  <c r="S16" i="25"/>
  <c r="T16" i="25"/>
  <c r="U16" i="25"/>
  <c r="V16" i="25"/>
  <c r="W16" i="25"/>
  <c r="X16" i="25"/>
  <c r="Y16" i="25"/>
  <c r="A14" i="25"/>
  <c r="AG12" i="25"/>
  <c r="AG13" i="25"/>
  <c r="AD12" i="25"/>
  <c r="AD13" i="25"/>
  <c r="B12" i="25"/>
  <c r="Z16" i="25" s="1"/>
  <c r="B13" i="25"/>
  <c r="O12" i="25"/>
  <c r="P12" i="25"/>
  <c r="Q12" i="25"/>
  <c r="R12" i="25"/>
  <c r="S12" i="25"/>
  <c r="T12" i="25"/>
  <c r="U12" i="25"/>
  <c r="V12" i="25"/>
  <c r="W12" i="25"/>
  <c r="X12" i="25"/>
  <c r="Y12" i="25"/>
  <c r="Z12" i="25"/>
  <c r="AA12" i="25"/>
  <c r="O13" i="25"/>
  <c r="P13" i="25"/>
  <c r="Q13" i="25"/>
  <c r="R13" i="25"/>
  <c r="S13" i="25"/>
  <c r="T13" i="25"/>
  <c r="U13" i="25"/>
  <c r="V13" i="25"/>
  <c r="W13" i="25"/>
  <c r="X13" i="25"/>
  <c r="Y13" i="25"/>
  <c r="Z13" i="25"/>
  <c r="AA13" i="25"/>
  <c r="O11" i="25"/>
  <c r="P11" i="25"/>
  <c r="Q11" i="25"/>
  <c r="R11" i="25"/>
  <c r="S11" i="25"/>
  <c r="T11" i="25"/>
  <c r="U11" i="25"/>
  <c r="V11" i="25"/>
  <c r="W11" i="25"/>
  <c r="X11" i="25"/>
  <c r="Y11" i="25"/>
  <c r="Z11" i="25"/>
  <c r="C10" i="25"/>
  <c r="D10" i="25"/>
  <c r="C9" i="25"/>
  <c r="C1" i="25"/>
  <c r="C2" i="25"/>
  <c r="C3" i="25"/>
  <c r="C4" i="25"/>
  <c r="C5" i="25"/>
  <c r="C6" i="25"/>
  <c r="C7" i="25"/>
  <c r="C8" i="25"/>
  <c r="E6" i="25"/>
  <c r="B29" i="25" s="1"/>
  <c r="E4" i="25"/>
  <c r="F4" i="25"/>
  <c r="B3" i="25"/>
  <c r="N100" i="23"/>
  <c r="N98" i="23"/>
  <c r="I98" i="23"/>
  <c r="AA98" i="23" s="1"/>
  <c r="J98" i="23"/>
  <c r="N76" i="23"/>
  <c r="N77" i="23"/>
  <c r="N78" i="23"/>
  <c r="N79" i="23"/>
  <c r="N80" i="23"/>
  <c r="N81" i="23"/>
  <c r="N82" i="23"/>
  <c r="N83" i="23"/>
  <c r="N84" i="23"/>
  <c r="N85" i="23"/>
  <c r="N86" i="23"/>
  <c r="N87" i="23"/>
  <c r="N88" i="23"/>
  <c r="N89" i="23"/>
  <c r="N90" i="23"/>
  <c r="N91" i="23"/>
  <c r="N92" i="23"/>
  <c r="N93" i="23"/>
  <c r="N94" i="23"/>
  <c r="N95" i="23"/>
  <c r="AM95" i="23"/>
  <c r="AN95" i="23"/>
  <c r="AG77" i="23"/>
  <c r="AG78" i="23"/>
  <c r="AG79" i="23"/>
  <c r="AG80" i="23"/>
  <c r="AG81" i="23"/>
  <c r="AG82" i="23"/>
  <c r="AH82" i="23" s="1"/>
  <c r="AG83" i="23"/>
  <c r="AH83" i="23"/>
  <c r="AG84" i="23"/>
  <c r="AG85" i="23"/>
  <c r="AG86" i="23"/>
  <c r="AH86" i="23" s="1"/>
  <c r="AG87" i="23"/>
  <c r="AH87" i="23"/>
  <c r="AG88" i="23"/>
  <c r="AH88" i="23" s="1"/>
  <c r="AG89" i="23"/>
  <c r="AG90" i="23"/>
  <c r="AG91" i="23"/>
  <c r="AG92" i="23"/>
  <c r="AH92" i="23"/>
  <c r="AG93" i="23"/>
  <c r="AG94" i="23"/>
  <c r="AH94" i="23" s="1"/>
  <c r="AD77" i="23"/>
  <c r="AE77" i="23" s="1"/>
  <c r="AD78" i="23"/>
  <c r="AE78" i="23" s="1"/>
  <c r="AD79" i="23"/>
  <c r="AE79" i="23" s="1"/>
  <c r="AD80" i="23"/>
  <c r="AE80" i="23" s="1"/>
  <c r="AD81" i="23"/>
  <c r="AE81" i="23" s="1"/>
  <c r="AD82" i="23"/>
  <c r="AD83" i="23"/>
  <c r="AE83" i="23" s="1"/>
  <c r="AD84" i="23"/>
  <c r="AE84" i="23" s="1"/>
  <c r="AD85" i="23"/>
  <c r="AE85" i="23"/>
  <c r="AD86" i="23"/>
  <c r="AK86" i="23" s="1"/>
  <c r="AE86" i="23"/>
  <c r="AD87" i="23"/>
  <c r="AE87" i="23" s="1"/>
  <c r="AD88" i="23"/>
  <c r="AD89" i="23"/>
  <c r="AE89" i="23" s="1"/>
  <c r="AD90" i="23"/>
  <c r="AE90" i="23"/>
  <c r="AD91" i="23"/>
  <c r="AE91" i="23" s="1"/>
  <c r="AD92" i="23"/>
  <c r="AD93" i="23"/>
  <c r="AE93" i="23" s="1"/>
  <c r="AD94" i="23"/>
  <c r="O77" i="23"/>
  <c r="P77" i="23"/>
  <c r="Q77" i="23"/>
  <c r="R77" i="23"/>
  <c r="S77" i="23"/>
  <c r="T77" i="23"/>
  <c r="U77" i="23"/>
  <c r="V77" i="23"/>
  <c r="W77" i="23"/>
  <c r="X77" i="23"/>
  <c r="Y77" i="23"/>
  <c r="Z77" i="23"/>
  <c r="O78" i="23"/>
  <c r="P78" i="23"/>
  <c r="Q78" i="23"/>
  <c r="R78" i="23"/>
  <c r="S78" i="23"/>
  <c r="T78" i="23"/>
  <c r="U78" i="23"/>
  <c r="V78" i="23"/>
  <c r="W78" i="23"/>
  <c r="X78" i="23"/>
  <c r="Y78" i="23"/>
  <c r="Z78" i="23"/>
  <c r="O79" i="23"/>
  <c r="P79" i="23"/>
  <c r="Q79" i="23"/>
  <c r="R79" i="23"/>
  <c r="S79" i="23"/>
  <c r="T79" i="23"/>
  <c r="U79" i="23"/>
  <c r="V79" i="23"/>
  <c r="W79" i="23"/>
  <c r="X79" i="23"/>
  <c r="Y79" i="23"/>
  <c r="Z79" i="23"/>
  <c r="O80" i="23"/>
  <c r="P80" i="23"/>
  <c r="Q80" i="23"/>
  <c r="R80" i="23"/>
  <c r="S80" i="23"/>
  <c r="T80" i="23"/>
  <c r="U80" i="23"/>
  <c r="V80" i="23"/>
  <c r="W80" i="23"/>
  <c r="X80" i="23"/>
  <c r="Y80" i="23"/>
  <c r="Z80" i="23"/>
  <c r="O81" i="23"/>
  <c r="P81" i="23"/>
  <c r="Q81" i="23"/>
  <c r="R81" i="23"/>
  <c r="S81" i="23"/>
  <c r="T81" i="23"/>
  <c r="U81" i="23"/>
  <c r="V81" i="23"/>
  <c r="W81" i="23"/>
  <c r="X81" i="23"/>
  <c r="Y81" i="23"/>
  <c r="Z81" i="23"/>
  <c r="O82" i="23"/>
  <c r="P82" i="23"/>
  <c r="Q82" i="23"/>
  <c r="R82" i="23"/>
  <c r="S82" i="23"/>
  <c r="T82" i="23"/>
  <c r="U82" i="23"/>
  <c r="V82" i="23"/>
  <c r="W82" i="23"/>
  <c r="X82" i="23"/>
  <c r="Y82" i="23"/>
  <c r="Z82" i="23"/>
  <c r="O83" i="23"/>
  <c r="P83" i="23"/>
  <c r="Q83" i="23"/>
  <c r="R83" i="23"/>
  <c r="S83" i="23"/>
  <c r="T83" i="23"/>
  <c r="U83" i="23"/>
  <c r="V83" i="23"/>
  <c r="W83" i="23"/>
  <c r="X83" i="23"/>
  <c r="Y83" i="23"/>
  <c r="Z83" i="23"/>
  <c r="O84" i="23"/>
  <c r="P84" i="23"/>
  <c r="Q84" i="23"/>
  <c r="R84" i="23"/>
  <c r="S84" i="23"/>
  <c r="T84" i="23"/>
  <c r="U84" i="23"/>
  <c r="V84" i="23"/>
  <c r="W84" i="23"/>
  <c r="X84" i="23"/>
  <c r="Y84" i="23"/>
  <c r="Z84" i="23"/>
  <c r="O85" i="23"/>
  <c r="P85" i="23"/>
  <c r="Q85" i="23"/>
  <c r="R85" i="23"/>
  <c r="S85" i="23"/>
  <c r="T85" i="23"/>
  <c r="U85" i="23"/>
  <c r="V85" i="23"/>
  <c r="W85" i="23"/>
  <c r="X85" i="23"/>
  <c r="Y85" i="23"/>
  <c r="Z85" i="23"/>
  <c r="O86" i="23"/>
  <c r="P86" i="23"/>
  <c r="Q86" i="23"/>
  <c r="R86" i="23"/>
  <c r="S86" i="23"/>
  <c r="T86" i="23"/>
  <c r="U86" i="23"/>
  <c r="V86" i="23"/>
  <c r="W86" i="23"/>
  <c r="X86" i="23"/>
  <c r="Y86" i="23"/>
  <c r="Z86" i="23"/>
  <c r="O87" i="23"/>
  <c r="P87" i="23"/>
  <c r="Q87" i="23"/>
  <c r="R87" i="23"/>
  <c r="S87" i="23"/>
  <c r="T87" i="23"/>
  <c r="U87" i="23"/>
  <c r="V87" i="23"/>
  <c r="W87" i="23"/>
  <c r="X87" i="23"/>
  <c r="Y87" i="23"/>
  <c r="Z87" i="23"/>
  <c r="O88" i="23"/>
  <c r="P88" i="23"/>
  <c r="Q88" i="23"/>
  <c r="R88" i="23"/>
  <c r="S88" i="23"/>
  <c r="T88" i="23"/>
  <c r="U88" i="23"/>
  <c r="V88" i="23"/>
  <c r="W88" i="23"/>
  <c r="X88" i="23"/>
  <c r="Y88" i="23"/>
  <c r="Z88" i="23"/>
  <c r="O89" i="23"/>
  <c r="P89" i="23"/>
  <c r="Q89" i="23"/>
  <c r="R89" i="23"/>
  <c r="S89" i="23"/>
  <c r="T89" i="23"/>
  <c r="U89" i="23"/>
  <c r="V89" i="23"/>
  <c r="W89" i="23"/>
  <c r="X89" i="23"/>
  <c r="Y89" i="23"/>
  <c r="Z89" i="23"/>
  <c r="O90" i="23"/>
  <c r="P90" i="23"/>
  <c r="Q90" i="23"/>
  <c r="R90" i="23"/>
  <c r="S90" i="23"/>
  <c r="T90" i="23"/>
  <c r="U90" i="23"/>
  <c r="V90" i="23"/>
  <c r="W90" i="23"/>
  <c r="X90" i="23"/>
  <c r="Y90" i="23"/>
  <c r="Z90" i="23"/>
  <c r="O91" i="23"/>
  <c r="P91" i="23"/>
  <c r="Q91" i="23"/>
  <c r="R91" i="23"/>
  <c r="S91" i="23"/>
  <c r="T91" i="23"/>
  <c r="U91" i="23"/>
  <c r="V91" i="23"/>
  <c r="W91" i="23"/>
  <c r="X91" i="23"/>
  <c r="Y91" i="23"/>
  <c r="Z91" i="23"/>
  <c r="O92" i="23"/>
  <c r="P92" i="23"/>
  <c r="Q92" i="23"/>
  <c r="R92" i="23"/>
  <c r="S92" i="23"/>
  <c r="T92" i="23"/>
  <c r="U92" i="23"/>
  <c r="V92" i="23"/>
  <c r="W92" i="23"/>
  <c r="X92" i="23"/>
  <c r="Y92" i="23"/>
  <c r="Z92" i="23"/>
  <c r="O93" i="23"/>
  <c r="P93" i="23"/>
  <c r="Q93" i="23"/>
  <c r="R93" i="23"/>
  <c r="S93" i="23"/>
  <c r="T93" i="23"/>
  <c r="U93" i="23"/>
  <c r="V93" i="23"/>
  <c r="W93" i="23"/>
  <c r="X93" i="23"/>
  <c r="Y93" i="23"/>
  <c r="Z93" i="23"/>
  <c r="O94" i="23"/>
  <c r="P94" i="23"/>
  <c r="Q94" i="23"/>
  <c r="R94" i="23"/>
  <c r="S94" i="23"/>
  <c r="T94" i="23"/>
  <c r="U94" i="23"/>
  <c r="V94" i="23"/>
  <c r="W94" i="23"/>
  <c r="X94" i="23"/>
  <c r="Y94" i="23"/>
  <c r="Z94" i="23"/>
  <c r="I76" i="23"/>
  <c r="J76" i="23"/>
  <c r="I77" i="23"/>
  <c r="J77" i="23"/>
  <c r="I78" i="23"/>
  <c r="J78" i="23"/>
  <c r="I79" i="23"/>
  <c r="J79" i="23"/>
  <c r="I80" i="23"/>
  <c r="J80" i="23"/>
  <c r="I81" i="23"/>
  <c r="J81" i="23"/>
  <c r="I82" i="23"/>
  <c r="J82" i="23"/>
  <c r="I83" i="23"/>
  <c r="J83" i="23"/>
  <c r="I84" i="23"/>
  <c r="J84" i="23"/>
  <c r="I85" i="23"/>
  <c r="J85" i="23"/>
  <c r="I86" i="23"/>
  <c r="J86" i="23"/>
  <c r="I87" i="23"/>
  <c r="J87" i="23"/>
  <c r="I88" i="23"/>
  <c r="J88" i="23"/>
  <c r="I89" i="23"/>
  <c r="J89" i="23"/>
  <c r="I90" i="23"/>
  <c r="J90" i="23"/>
  <c r="I91" i="23"/>
  <c r="J91" i="23"/>
  <c r="I92" i="23"/>
  <c r="J92" i="23"/>
  <c r="I93" i="23"/>
  <c r="J93" i="23"/>
  <c r="I94" i="23"/>
  <c r="J94" i="23"/>
  <c r="I95" i="23"/>
  <c r="AA95" i="23" s="1"/>
  <c r="J95" i="23"/>
  <c r="B74" i="23"/>
  <c r="B68" i="23"/>
  <c r="B69" i="23"/>
  <c r="B70" i="23"/>
  <c r="A65" i="23"/>
  <c r="AH56" i="23"/>
  <c r="AH57" i="23"/>
  <c r="AH58" i="23"/>
  <c r="AH59" i="23"/>
  <c r="AH60" i="23"/>
  <c r="AH61" i="23"/>
  <c r="AM61" i="23"/>
  <c r="AN61" i="23"/>
  <c r="AH62" i="23"/>
  <c r="AH63" i="23"/>
  <c r="AI63" i="23"/>
  <c r="AH64" i="23"/>
  <c r="AH65" i="23"/>
  <c r="AH66" i="23"/>
  <c r="AH67" i="23"/>
  <c r="AH68" i="23"/>
  <c r="AH69" i="23"/>
  <c r="AN69" i="23"/>
  <c r="AH70" i="23"/>
  <c r="AN70" i="23" s="1"/>
  <c r="AK70" i="23"/>
  <c r="AH71" i="23"/>
  <c r="AH72" i="23"/>
  <c r="AH73" i="23"/>
  <c r="AK73" i="23"/>
  <c r="AM73" i="23"/>
  <c r="AH74" i="23"/>
  <c r="AE56" i="23"/>
  <c r="AM56" i="23" s="1"/>
  <c r="AE57" i="23"/>
  <c r="AE58" i="23"/>
  <c r="AE59" i="23"/>
  <c r="AM59" i="23" s="1"/>
  <c r="AE60" i="23"/>
  <c r="AE61" i="23"/>
  <c r="AF61" i="23"/>
  <c r="AE62" i="23"/>
  <c r="AE63" i="23"/>
  <c r="AE64" i="23"/>
  <c r="AE65" i="23"/>
  <c r="AE66" i="23"/>
  <c r="AE67" i="23"/>
  <c r="AE68" i="23"/>
  <c r="AE69" i="23"/>
  <c r="AM69" i="23" s="1"/>
  <c r="AE70" i="23"/>
  <c r="AE71" i="23"/>
  <c r="AE72" i="23"/>
  <c r="AM72" i="23" s="1"/>
  <c r="AE73" i="23"/>
  <c r="AE74" i="23"/>
  <c r="AB56" i="23"/>
  <c r="AB57" i="23"/>
  <c r="AB58" i="23"/>
  <c r="AA59" i="23"/>
  <c r="AF59" i="23" s="1"/>
  <c r="AB59" i="23"/>
  <c r="AN59" i="23" s="1"/>
  <c r="AB60" i="23"/>
  <c r="AN60" i="23" s="1"/>
  <c r="AB61" i="23"/>
  <c r="AB62" i="23"/>
  <c r="AM62" i="23" s="1"/>
  <c r="AA63" i="23"/>
  <c r="AB63" i="23"/>
  <c r="AB64" i="23"/>
  <c r="AA65" i="23"/>
  <c r="AB65" i="23"/>
  <c r="AB66" i="23"/>
  <c r="AB67" i="23"/>
  <c r="AB68" i="23"/>
  <c r="AN68" i="23" s="1"/>
  <c r="AB69" i="23"/>
  <c r="AB70" i="23"/>
  <c r="AB71" i="23"/>
  <c r="AB72" i="23"/>
  <c r="AB73" i="23"/>
  <c r="AN73" i="23" s="1"/>
  <c r="AB74" i="23"/>
  <c r="I56" i="23"/>
  <c r="AA56" i="23" s="1"/>
  <c r="J56" i="23"/>
  <c r="L56" i="23"/>
  <c r="M56" i="23"/>
  <c r="N56" i="23"/>
  <c r="I57" i="23"/>
  <c r="AA57" i="23" s="1"/>
  <c r="J57" i="23"/>
  <c r="L57" i="23"/>
  <c r="M57" i="23"/>
  <c r="N57" i="23"/>
  <c r="I58" i="23"/>
  <c r="J58" i="23"/>
  <c r="L58" i="23"/>
  <c r="M58" i="23"/>
  <c r="N58" i="23"/>
  <c r="I59" i="23"/>
  <c r="J59" i="23"/>
  <c r="K59" i="23"/>
  <c r="L59" i="23"/>
  <c r="M59" i="23"/>
  <c r="N59" i="23"/>
  <c r="I60" i="23"/>
  <c r="AA60" i="23" s="1"/>
  <c r="AI60" i="23" s="1"/>
  <c r="J60" i="23"/>
  <c r="L60" i="23"/>
  <c r="M60" i="23"/>
  <c r="N60" i="23"/>
  <c r="I61" i="23"/>
  <c r="AA61" i="23" s="1"/>
  <c r="AI61" i="23" s="1"/>
  <c r="J61" i="23"/>
  <c r="K61" i="23"/>
  <c r="L61" i="23"/>
  <c r="M61" i="23"/>
  <c r="N61" i="23"/>
  <c r="I62" i="23"/>
  <c r="J62" i="23"/>
  <c r="L62" i="23"/>
  <c r="M62" i="23"/>
  <c r="N62" i="23"/>
  <c r="I63" i="23"/>
  <c r="K63" i="23" s="1"/>
  <c r="J63" i="23"/>
  <c r="L63" i="23"/>
  <c r="M63" i="23"/>
  <c r="N63" i="23"/>
  <c r="I64" i="23"/>
  <c r="AA64" i="23" s="1"/>
  <c r="J64" i="23"/>
  <c r="L64" i="23"/>
  <c r="M64" i="23"/>
  <c r="N64" i="23"/>
  <c r="I65" i="23"/>
  <c r="J65" i="23"/>
  <c r="K65" i="23"/>
  <c r="L65" i="23"/>
  <c r="M65" i="23"/>
  <c r="N65" i="23"/>
  <c r="I66" i="23"/>
  <c r="J66" i="23"/>
  <c r="L66" i="23"/>
  <c r="M66" i="23"/>
  <c r="N66" i="23"/>
  <c r="I67" i="23"/>
  <c r="AA67" i="23" s="1"/>
  <c r="AF67" i="23" s="1"/>
  <c r="J67" i="23"/>
  <c r="L67" i="23"/>
  <c r="M67" i="23"/>
  <c r="N67" i="23"/>
  <c r="I68" i="23"/>
  <c r="AA68" i="23" s="1"/>
  <c r="J68" i="23"/>
  <c r="L68" i="23"/>
  <c r="M68" i="23"/>
  <c r="N68" i="23"/>
  <c r="I69" i="23"/>
  <c r="AA69" i="23" s="1"/>
  <c r="AI69" i="23" s="1"/>
  <c r="J69" i="23"/>
  <c r="L69" i="23"/>
  <c r="M69" i="23"/>
  <c r="N69" i="23"/>
  <c r="I70" i="23"/>
  <c r="J70" i="23"/>
  <c r="L70" i="23"/>
  <c r="M70" i="23"/>
  <c r="N70" i="23"/>
  <c r="I71" i="23"/>
  <c r="AA71" i="23" s="1"/>
  <c r="J71" i="23"/>
  <c r="K71" i="23"/>
  <c r="L71" i="23"/>
  <c r="M71" i="23"/>
  <c r="N71" i="23"/>
  <c r="I72" i="23"/>
  <c r="AA72" i="23" s="1"/>
  <c r="J72" i="23"/>
  <c r="L72" i="23"/>
  <c r="M72" i="23"/>
  <c r="N72" i="23"/>
  <c r="I73" i="23"/>
  <c r="K73" i="23" s="1"/>
  <c r="J73" i="23"/>
  <c r="L73" i="23"/>
  <c r="M73" i="23"/>
  <c r="N73" i="23"/>
  <c r="I74" i="23"/>
  <c r="J74" i="23"/>
  <c r="L74" i="23"/>
  <c r="M74" i="23"/>
  <c r="N74" i="23"/>
  <c r="N55" i="23"/>
  <c r="I55" i="23"/>
  <c r="J55" i="23"/>
  <c r="B44" i="23"/>
  <c r="B45" i="23"/>
  <c r="B39" i="23"/>
  <c r="B40" i="23"/>
  <c r="B41" i="23"/>
  <c r="A36" i="23"/>
  <c r="AH35" i="23"/>
  <c r="AH37" i="23"/>
  <c r="AH39" i="23"/>
  <c r="AH40" i="23"/>
  <c r="AH41" i="23"/>
  <c r="AH42" i="23"/>
  <c r="AH43" i="23"/>
  <c r="AI43" i="23"/>
  <c r="AH44" i="23"/>
  <c r="AH45" i="23"/>
  <c r="AH47" i="23"/>
  <c r="AH48" i="23"/>
  <c r="AH49" i="23"/>
  <c r="AH50" i="23"/>
  <c r="AH51" i="23"/>
  <c r="AH52" i="23"/>
  <c r="AE35" i="23"/>
  <c r="AE36" i="23"/>
  <c r="AE37" i="23"/>
  <c r="AF37" i="23"/>
  <c r="AE39" i="23"/>
  <c r="AE40" i="23"/>
  <c r="AE41" i="23"/>
  <c r="AE42" i="23"/>
  <c r="AE43" i="23"/>
  <c r="AE44" i="23"/>
  <c r="AE45" i="23"/>
  <c r="AE46" i="23"/>
  <c r="AE47" i="23"/>
  <c r="AE48" i="23"/>
  <c r="AE49" i="23"/>
  <c r="AE50" i="23"/>
  <c r="AE51" i="23"/>
  <c r="AE52" i="23"/>
  <c r="AF53" i="23"/>
  <c r="AA40" i="23"/>
  <c r="AA43" i="23"/>
  <c r="AF43" i="23" s="1"/>
  <c r="AA47" i="23"/>
  <c r="AF47" i="23" s="1"/>
  <c r="AB49" i="23"/>
  <c r="I34" i="23"/>
  <c r="K34" i="23" s="1"/>
  <c r="J34" i="23"/>
  <c r="L34" i="23"/>
  <c r="M34" i="23"/>
  <c r="N34" i="23"/>
  <c r="I35" i="23"/>
  <c r="K35" i="23" s="1"/>
  <c r="J35" i="23"/>
  <c r="L35" i="23"/>
  <c r="M35" i="23"/>
  <c r="N35" i="23"/>
  <c r="I36" i="23"/>
  <c r="J36" i="23"/>
  <c r="L36" i="23"/>
  <c r="M36" i="23"/>
  <c r="N36" i="23"/>
  <c r="I37" i="23"/>
  <c r="AA37" i="23" s="1"/>
  <c r="J37" i="23"/>
  <c r="K37" i="23"/>
  <c r="L37" i="23"/>
  <c r="M37" i="23"/>
  <c r="N37" i="23"/>
  <c r="I38" i="23"/>
  <c r="K38" i="23" s="1"/>
  <c r="J38" i="23"/>
  <c r="L38" i="23"/>
  <c r="M38" i="23"/>
  <c r="N38" i="23"/>
  <c r="I39" i="23"/>
  <c r="AA39" i="23" s="1"/>
  <c r="J39" i="23"/>
  <c r="K39" i="23"/>
  <c r="L39" i="23"/>
  <c r="M39" i="23"/>
  <c r="N39" i="23"/>
  <c r="I40" i="23"/>
  <c r="K40" i="23" s="1"/>
  <c r="J40" i="23"/>
  <c r="L40" i="23"/>
  <c r="M40" i="23"/>
  <c r="N40" i="23"/>
  <c r="I41" i="23"/>
  <c r="AA41" i="23" s="1"/>
  <c r="AI41" i="23" s="1"/>
  <c r="J41" i="23"/>
  <c r="L41" i="23"/>
  <c r="M41" i="23"/>
  <c r="N41" i="23"/>
  <c r="I42" i="23"/>
  <c r="K42" i="23" s="1"/>
  <c r="J42" i="23"/>
  <c r="L42" i="23"/>
  <c r="M42" i="23"/>
  <c r="N42" i="23"/>
  <c r="I43" i="23"/>
  <c r="J43" i="23"/>
  <c r="K43" i="23"/>
  <c r="L43" i="23"/>
  <c r="M43" i="23"/>
  <c r="N43" i="23"/>
  <c r="I44" i="23"/>
  <c r="K44" i="23" s="1"/>
  <c r="J44" i="23"/>
  <c r="L44" i="23"/>
  <c r="M44" i="23"/>
  <c r="N44" i="23"/>
  <c r="I45" i="23"/>
  <c r="AA45" i="23" s="1"/>
  <c r="AF45" i="23" s="1"/>
  <c r="J45" i="23"/>
  <c r="L45" i="23"/>
  <c r="M45" i="23"/>
  <c r="N45" i="23"/>
  <c r="I46" i="23"/>
  <c r="K46" i="23" s="1"/>
  <c r="J46" i="23"/>
  <c r="L46" i="23"/>
  <c r="M46" i="23"/>
  <c r="N46" i="23"/>
  <c r="I47" i="23"/>
  <c r="K47" i="23" s="1"/>
  <c r="J47" i="23"/>
  <c r="L47" i="23"/>
  <c r="M47" i="23"/>
  <c r="N47" i="23"/>
  <c r="I48" i="23"/>
  <c r="J48" i="23"/>
  <c r="L48" i="23"/>
  <c r="M48" i="23"/>
  <c r="N48" i="23"/>
  <c r="I49" i="23"/>
  <c r="AA49" i="23" s="1"/>
  <c r="AI49" i="23" s="1"/>
  <c r="J49" i="23"/>
  <c r="K49" i="23"/>
  <c r="L49" i="23"/>
  <c r="M49" i="23"/>
  <c r="N49" i="23"/>
  <c r="I50" i="23"/>
  <c r="K50" i="23" s="1"/>
  <c r="J50" i="23"/>
  <c r="L50" i="23"/>
  <c r="M50" i="23"/>
  <c r="N50" i="23"/>
  <c r="I51" i="23"/>
  <c r="AA51" i="23" s="1"/>
  <c r="J51" i="23"/>
  <c r="L51" i="23"/>
  <c r="M51" i="23"/>
  <c r="N51" i="23"/>
  <c r="I52" i="23"/>
  <c r="J52" i="23"/>
  <c r="L52" i="23"/>
  <c r="M52" i="23"/>
  <c r="N52" i="23"/>
  <c r="I53" i="23"/>
  <c r="AA53" i="23" s="1"/>
  <c r="J53" i="23"/>
  <c r="K53" i="23"/>
  <c r="L53" i="23"/>
  <c r="M53" i="23"/>
  <c r="N53" i="23"/>
  <c r="N33" i="23"/>
  <c r="I33" i="23"/>
  <c r="J33" i="23"/>
  <c r="AG32" i="23"/>
  <c r="AL32" i="23" s="1"/>
  <c r="AD32" i="23"/>
  <c r="AK32" i="23" s="1"/>
  <c r="O32" i="23"/>
  <c r="P32" i="23"/>
  <c r="Q32" i="23"/>
  <c r="R32" i="23"/>
  <c r="S32" i="23"/>
  <c r="T32" i="23"/>
  <c r="U32" i="23"/>
  <c r="V32" i="23"/>
  <c r="W32" i="23"/>
  <c r="X32" i="23"/>
  <c r="Y32" i="23"/>
  <c r="Z32" i="23"/>
  <c r="AJ32" i="23" s="1"/>
  <c r="AJ31" i="23"/>
  <c r="AK31" i="23"/>
  <c r="AL31" i="23"/>
  <c r="AM31" i="23"/>
  <c r="AN31" i="23"/>
  <c r="AG31" i="23"/>
  <c r="AD31" i="23"/>
  <c r="O31" i="23"/>
  <c r="P31" i="23"/>
  <c r="Q31" i="23"/>
  <c r="R31" i="23"/>
  <c r="S31" i="23"/>
  <c r="T31" i="23"/>
  <c r="U31" i="23"/>
  <c r="V31" i="23"/>
  <c r="W31" i="23"/>
  <c r="X31" i="23"/>
  <c r="Y31" i="23"/>
  <c r="Z31" i="23"/>
  <c r="AA31" i="23"/>
  <c r="N26" i="23"/>
  <c r="N27" i="23"/>
  <c r="N28" i="23"/>
  <c r="N29" i="23"/>
  <c r="B22" i="23"/>
  <c r="B23" i="23"/>
  <c r="AG16" i="23"/>
  <c r="AG19" i="23"/>
  <c r="AH36" i="23" s="1"/>
  <c r="AG20" i="23"/>
  <c r="AD19" i="23"/>
  <c r="AD20" i="23"/>
  <c r="AK37" i="23" s="1"/>
  <c r="N19" i="23"/>
  <c r="O19" i="23"/>
  <c r="P19" i="23"/>
  <c r="Q19" i="23"/>
  <c r="R19" i="23"/>
  <c r="S19" i="23"/>
  <c r="T19" i="23"/>
  <c r="U19" i="23"/>
  <c r="V19" i="23"/>
  <c r="W19" i="23"/>
  <c r="X19" i="23"/>
  <c r="Y19" i="23"/>
  <c r="Z19" i="23"/>
  <c r="N20" i="23"/>
  <c r="O20" i="23"/>
  <c r="AA20" i="23" s="1"/>
  <c r="P20" i="23"/>
  <c r="Q20" i="23"/>
  <c r="R20" i="23"/>
  <c r="S20" i="23"/>
  <c r="T20" i="23"/>
  <c r="U20" i="23"/>
  <c r="V20" i="23"/>
  <c r="W20" i="23"/>
  <c r="X20" i="23"/>
  <c r="Y20" i="23"/>
  <c r="Z20" i="23"/>
  <c r="G19" i="23"/>
  <c r="B17" i="23"/>
  <c r="B18" i="23"/>
  <c r="B19" i="23"/>
  <c r="AA18" i="23"/>
  <c r="O17" i="23"/>
  <c r="P17" i="23"/>
  <c r="Q17" i="23"/>
  <c r="R17" i="23"/>
  <c r="S17" i="23"/>
  <c r="T17" i="23"/>
  <c r="U17" i="23"/>
  <c r="V17" i="23"/>
  <c r="W17" i="23"/>
  <c r="X17" i="23"/>
  <c r="Y17" i="23"/>
  <c r="Z17" i="23"/>
  <c r="O16" i="23"/>
  <c r="P16" i="23"/>
  <c r="Q16" i="23"/>
  <c r="R16" i="23"/>
  <c r="S16" i="23"/>
  <c r="T16" i="23"/>
  <c r="U16" i="23"/>
  <c r="V16" i="23"/>
  <c r="W16" i="23"/>
  <c r="X16" i="23"/>
  <c r="Y16" i="23"/>
  <c r="A14" i="23"/>
  <c r="AG12" i="23"/>
  <c r="AG13" i="23"/>
  <c r="AD12" i="23"/>
  <c r="AD13" i="23"/>
  <c r="B12" i="23"/>
  <c r="AA16" i="23" s="1"/>
  <c r="B13" i="23"/>
  <c r="O12" i="23"/>
  <c r="P12" i="23"/>
  <c r="Q12" i="23"/>
  <c r="R12" i="23"/>
  <c r="S12" i="23"/>
  <c r="T12" i="23"/>
  <c r="U12" i="23"/>
  <c r="V12" i="23"/>
  <c r="W12" i="23"/>
  <c r="X12" i="23"/>
  <c r="Y12" i="23"/>
  <c r="Z12" i="23"/>
  <c r="AA12" i="23"/>
  <c r="O13" i="23"/>
  <c r="P13" i="23"/>
  <c r="Q13" i="23"/>
  <c r="R13" i="23"/>
  <c r="S13" i="23"/>
  <c r="T13" i="23"/>
  <c r="U13" i="23"/>
  <c r="V13" i="23"/>
  <c r="W13" i="23"/>
  <c r="X13" i="23"/>
  <c r="Y13" i="23"/>
  <c r="Z13" i="23"/>
  <c r="AA13" i="23"/>
  <c r="O11" i="23"/>
  <c r="P11" i="23"/>
  <c r="Q11" i="23"/>
  <c r="R11" i="23"/>
  <c r="S11" i="23"/>
  <c r="T11" i="23"/>
  <c r="U11" i="23"/>
  <c r="V11" i="23"/>
  <c r="W11" i="23"/>
  <c r="X11" i="23"/>
  <c r="Y11" i="23"/>
  <c r="Z11" i="23"/>
  <c r="C10" i="23"/>
  <c r="D10" i="23"/>
  <c r="C9" i="23"/>
  <c r="C1" i="23"/>
  <c r="C2" i="23"/>
  <c r="C3" i="23"/>
  <c r="C4" i="23"/>
  <c r="C5" i="23"/>
  <c r="C6" i="23"/>
  <c r="C7" i="23"/>
  <c r="C8" i="23"/>
  <c r="E6" i="23"/>
  <c r="B51" i="23" s="1"/>
  <c r="E4" i="23"/>
  <c r="F4" i="23"/>
  <c r="B3" i="23"/>
  <c r="B111" i="22"/>
  <c r="B105" i="22"/>
  <c r="B106" i="22"/>
  <c r="B107" i="22"/>
  <c r="A102" i="22"/>
  <c r="B79" i="22"/>
  <c r="B80" i="22"/>
  <c r="B74" i="22"/>
  <c r="B75" i="22"/>
  <c r="B76" i="22"/>
  <c r="AG74" i="22"/>
  <c r="AD74" i="22"/>
  <c r="O74" i="22"/>
  <c r="P74" i="22"/>
  <c r="Q74" i="22"/>
  <c r="R74" i="22"/>
  <c r="S74" i="22"/>
  <c r="T74" i="22"/>
  <c r="U74" i="22"/>
  <c r="V74" i="22"/>
  <c r="W74" i="22"/>
  <c r="X74" i="22"/>
  <c r="Y74" i="22"/>
  <c r="Z74" i="22"/>
  <c r="N75" i="22"/>
  <c r="O75" i="22"/>
  <c r="N71" i="22"/>
  <c r="N74" i="22" s="1"/>
  <c r="N72" i="22"/>
  <c r="AH71" i="22"/>
  <c r="AH72" i="22"/>
  <c r="AK72" i="22"/>
  <c r="AE71" i="22"/>
  <c r="AE72" i="22"/>
  <c r="AA71" i="22"/>
  <c r="I71" i="22"/>
  <c r="J71" i="22"/>
  <c r="I72" i="22"/>
  <c r="AA72" i="22" s="1"/>
  <c r="AF72" i="22" s="1"/>
  <c r="J72" i="22"/>
  <c r="A71" i="22"/>
  <c r="N66" i="22"/>
  <c r="N67" i="22"/>
  <c r="N68" i="22"/>
  <c r="N69" i="22"/>
  <c r="I69" i="22"/>
  <c r="AA69" i="22" s="1"/>
  <c r="J69" i="22"/>
  <c r="AH67" i="22"/>
  <c r="AH68" i="22"/>
  <c r="AH69" i="22"/>
  <c r="AE67" i="22"/>
  <c r="AE68" i="22"/>
  <c r="AE69" i="22"/>
  <c r="AB68" i="22"/>
  <c r="AN68" i="22" s="1"/>
  <c r="I67" i="22"/>
  <c r="J67" i="22"/>
  <c r="L67" i="22"/>
  <c r="M67" i="22"/>
  <c r="I68" i="22"/>
  <c r="AA68" i="22" s="1"/>
  <c r="AI68" i="22" s="1"/>
  <c r="J68" i="22"/>
  <c r="L68" i="22"/>
  <c r="M68" i="22"/>
  <c r="I66" i="22"/>
  <c r="J66" i="22"/>
  <c r="AH60" i="22"/>
  <c r="AH61" i="22"/>
  <c r="AH62" i="22"/>
  <c r="AH63" i="22"/>
  <c r="AH64" i="22"/>
  <c r="AE60" i="22"/>
  <c r="AE61" i="22"/>
  <c r="AE62" i="22"/>
  <c r="AE63" i="22"/>
  <c r="AE64" i="22"/>
  <c r="I60" i="22"/>
  <c r="AA60" i="22" s="1"/>
  <c r="J60" i="22"/>
  <c r="L60" i="22"/>
  <c r="M60" i="22"/>
  <c r="N60" i="22"/>
  <c r="I61" i="22"/>
  <c r="AA61" i="22" s="1"/>
  <c r="J61" i="22"/>
  <c r="L61" i="22"/>
  <c r="M61" i="22"/>
  <c r="N61" i="22"/>
  <c r="I62" i="22"/>
  <c r="AA62" i="22" s="1"/>
  <c r="AI62" i="22" s="1"/>
  <c r="J62" i="22"/>
  <c r="L62" i="22"/>
  <c r="M62" i="22"/>
  <c r="N62" i="22"/>
  <c r="I63" i="22"/>
  <c r="K63" i="22" s="1"/>
  <c r="J63" i="22"/>
  <c r="L63" i="22"/>
  <c r="M63" i="22"/>
  <c r="N63" i="22"/>
  <c r="I64" i="22"/>
  <c r="AA64" i="22" s="1"/>
  <c r="J64" i="22"/>
  <c r="K64" i="22"/>
  <c r="L64" i="22"/>
  <c r="M64" i="22"/>
  <c r="N64" i="22"/>
  <c r="N58" i="22"/>
  <c r="N59" i="22"/>
  <c r="I58" i="22"/>
  <c r="J58" i="22"/>
  <c r="I59" i="22"/>
  <c r="J59" i="22"/>
  <c r="AD56" i="22"/>
  <c r="AG56" i="22"/>
  <c r="AG75" i="22" s="1"/>
  <c r="AH56" i="22"/>
  <c r="N56" i="22"/>
  <c r="O56" i="22"/>
  <c r="P56" i="22"/>
  <c r="P75" i="22" s="1"/>
  <c r="Q56" i="22"/>
  <c r="Q75" i="22" s="1"/>
  <c r="R56" i="22"/>
  <c r="R75" i="22" s="1"/>
  <c r="S56" i="22"/>
  <c r="S75" i="22" s="1"/>
  <c r="T56" i="22"/>
  <c r="T75" i="22" s="1"/>
  <c r="U56" i="22"/>
  <c r="U75" i="22" s="1"/>
  <c r="V56" i="22"/>
  <c r="V75" i="22" s="1"/>
  <c r="W56" i="22"/>
  <c r="W75" i="22" s="1"/>
  <c r="X56" i="22"/>
  <c r="X75" i="22" s="1"/>
  <c r="Y56" i="22"/>
  <c r="Y75" i="22" s="1"/>
  <c r="Z56" i="22"/>
  <c r="Z75" i="22" s="1"/>
  <c r="AB46" i="22"/>
  <c r="AM46" i="22" s="1"/>
  <c r="AB47" i="22"/>
  <c r="AB48" i="22"/>
  <c r="AB49" i="22"/>
  <c r="AB50" i="22"/>
  <c r="AB51" i="22"/>
  <c r="AM51" i="22" s="1"/>
  <c r="AB52" i="22"/>
  <c r="AN52" i="22" s="1"/>
  <c r="AB53" i="22"/>
  <c r="AN53" i="22" s="1"/>
  <c r="AB54" i="22"/>
  <c r="AN54" i="22" s="1"/>
  <c r="AB55" i="22"/>
  <c r="N45" i="22"/>
  <c r="N46" i="22"/>
  <c r="N47" i="22"/>
  <c r="N48" i="22"/>
  <c r="N49" i="22"/>
  <c r="N50" i="22"/>
  <c r="N51" i="22"/>
  <c r="N52" i="22"/>
  <c r="N53" i="22"/>
  <c r="N54" i="22"/>
  <c r="N55" i="22"/>
  <c r="I55" i="22"/>
  <c r="K55" i="22" s="1"/>
  <c r="J55" i="22"/>
  <c r="I56" i="22"/>
  <c r="K56" i="22" s="1"/>
  <c r="J56" i="22"/>
  <c r="B51" i="22"/>
  <c r="B52" i="22"/>
  <c r="B46" i="22"/>
  <c r="B47" i="22"/>
  <c r="B48" i="22"/>
  <c r="AH46" i="22"/>
  <c r="AH47" i="22"/>
  <c r="AM47" i="22"/>
  <c r="AN47" i="22"/>
  <c r="AH48" i="22"/>
  <c r="AN48" i="22"/>
  <c r="AH49" i="22"/>
  <c r="AH50" i="22"/>
  <c r="AN50" i="22" s="1"/>
  <c r="AH51" i="22"/>
  <c r="AH52" i="22"/>
  <c r="AK52" i="22"/>
  <c r="AH53" i="22"/>
  <c r="AH54" i="22"/>
  <c r="AH55" i="22"/>
  <c r="AI55" i="22"/>
  <c r="AM55" i="22"/>
  <c r="AN55" i="22"/>
  <c r="AE46" i="22"/>
  <c r="AE47" i="22"/>
  <c r="AE48" i="22"/>
  <c r="AM48" i="22" s="1"/>
  <c r="AE49" i="22"/>
  <c r="AM49" i="22" s="1"/>
  <c r="AE50" i="22"/>
  <c r="AF50" i="22"/>
  <c r="AE51" i="22"/>
  <c r="AE52" i="22"/>
  <c r="AE53" i="22"/>
  <c r="AE54" i="22"/>
  <c r="AE55" i="22"/>
  <c r="AF55" i="22"/>
  <c r="I46" i="22"/>
  <c r="AA46" i="22" s="1"/>
  <c r="AF46" i="22" s="1"/>
  <c r="J46" i="22"/>
  <c r="L46" i="22"/>
  <c r="M46" i="22"/>
  <c r="I47" i="22"/>
  <c r="J47" i="22"/>
  <c r="L47" i="22"/>
  <c r="M47" i="22"/>
  <c r="I48" i="22"/>
  <c r="AA48" i="22" s="1"/>
  <c r="AI48" i="22" s="1"/>
  <c r="J48" i="22"/>
  <c r="L48" i="22"/>
  <c r="M48" i="22"/>
  <c r="I49" i="22"/>
  <c r="AA49" i="22" s="1"/>
  <c r="J49" i="22"/>
  <c r="K49" i="22"/>
  <c r="L49" i="22"/>
  <c r="M49" i="22"/>
  <c r="I50" i="22"/>
  <c r="AA50" i="22" s="1"/>
  <c r="AI50" i="22" s="1"/>
  <c r="J50" i="22"/>
  <c r="K50" i="22"/>
  <c r="L50" i="22"/>
  <c r="M50" i="22"/>
  <c r="I51" i="22"/>
  <c r="K51" i="22" s="1"/>
  <c r="J51" i="22"/>
  <c r="L51" i="22"/>
  <c r="M51" i="22"/>
  <c r="I52" i="22"/>
  <c r="AA52" i="22" s="1"/>
  <c r="J52" i="22"/>
  <c r="K52" i="22"/>
  <c r="L52" i="22"/>
  <c r="M52" i="22"/>
  <c r="I53" i="22"/>
  <c r="AA53" i="22" s="1"/>
  <c r="AF53" i="22" s="1"/>
  <c r="J53" i="22"/>
  <c r="L53" i="22"/>
  <c r="M53" i="22"/>
  <c r="I54" i="22"/>
  <c r="AA54" i="22" s="1"/>
  <c r="J54" i="22"/>
  <c r="L54" i="22"/>
  <c r="M54" i="22"/>
  <c r="I45" i="22"/>
  <c r="J45" i="22"/>
  <c r="A43" i="22"/>
  <c r="AH34" i="22"/>
  <c r="AK34" i="22"/>
  <c r="AH35" i="22"/>
  <c r="AH36" i="22"/>
  <c r="AH37" i="22"/>
  <c r="AH38" i="22"/>
  <c r="AH39" i="22"/>
  <c r="AH40" i="22"/>
  <c r="AH41" i="22"/>
  <c r="AH42" i="22"/>
  <c r="AH43" i="22"/>
  <c r="AE34" i="22"/>
  <c r="AE35" i="22"/>
  <c r="AE36" i="22"/>
  <c r="AF36" i="22"/>
  <c r="AE37" i="22"/>
  <c r="AE38" i="22"/>
  <c r="AE39" i="22"/>
  <c r="AE40" i="22"/>
  <c r="AF40" i="22"/>
  <c r="AE41" i="22"/>
  <c r="AE42" i="22"/>
  <c r="AE43" i="22"/>
  <c r="AA42" i="22"/>
  <c r="AF42" i="22" s="1"/>
  <c r="I34" i="22"/>
  <c r="AA34" i="22" s="1"/>
  <c r="J34" i="22"/>
  <c r="L34" i="22"/>
  <c r="M34" i="22"/>
  <c r="N34" i="22"/>
  <c r="I35" i="22"/>
  <c r="K35" i="22" s="1"/>
  <c r="J35" i="22"/>
  <c r="L35" i="22"/>
  <c r="M35" i="22"/>
  <c r="N35" i="22"/>
  <c r="I36" i="22"/>
  <c r="AA36" i="22" s="1"/>
  <c r="J36" i="22"/>
  <c r="L36" i="22"/>
  <c r="M36" i="22"/>
  <c r="N36" i="22"/>
  <c r="I37" i="22"/>
  <c r="AA37" i="22" s="1"/>
  <c r="J37" i="22"/>
  <c r="L37" i="22"/>
  <c r="M37" i="22"/>
  <c r="N37" i="22"/>
  <c r="I38" i="22"/>
  <c r="K38" i="22" s="1"/>
  <c r="J38" i="22"/>
  <c r="L38" i="22"/>
  <c r="M38" i="22"/>
  <c r="N38" i="22"/>
  <c r="I39" i="22"/>
  <c r="K39" i="22" s="1"/>
  <c r="J39" i="22"/>
  <c r="L39" i="22"/>
  <c r="M39" i="22"/>
  <c r="N39" i="22"/>
  <c r="I40" i="22"/>
  <c r="AA40" i="22" s="1"/>
  <c r="J40" i="22"/>
  <c r="L40" i="22"/>
  <c r="M40" i="22"/>
  <c r="N40" i="22"/>
  <c r="I41" i="22"/>
  <c r="AA41" i="22" s="1"/>
  <c r="AF41" i="22" s="1"/>
  <c r="J41" i="22"/>
  <c r="L41" i="22"/>
  <c r="M41" i="22"/>
  <c r="N41" i="22"/>
  <c r="I42" i="22"/>
  <c r="J42" i="22"/>
  <c r="K42" i="22"/>
  <c r="L42" i="22"/>
  <c r="M42" i="22"/>
  <c r="N42" i="22"/>
  <c r="I43" i="22"/>
  <c r="K43" i="22" s="1"/>
  <c r="J43" i="22"/>
  <c r="L43" i="22"/>
  <c r="M43" i="22"/>
  <c r="N43" i="22"/>
  <c r="N33" i="22"/>
  <c r="I33" i="22"/>
  <c r="J33" i="22"/>
  <c r="AG32" i="22"/>
  <c r="AL32" i="22" s="1"/>
  <c r="AD32" i="22"/>
  <c r="AK32" i="22" s="1"/>
  <c r="O32" i="22"/>
  <c r="P32" i="22"/>
  <c r="Q32" i="22"/>
  <c r="R32" i="22"/>
  <c r="S32" i="22"/>
  <c r="T32" i="22"/>
  <c r="U32" i="22"/>
  <c r="V32" i="22"/>
  <c r="W32" i="22"/>
  <c r="X32" i="22"/>
  <c r="Y32" i="22"/>
  <c r="Z32" i="22"/>
  <c r="AJ32" i="22" s="1"/>
  <c r="AJ31" i="22"/>
  <c r="AK31" i="22"/>
  <c r="AL31" i="22"/>
  <c r="AM31" i="22"/>
  <c r="AN31" i="22"/>
  <c r="AG31" i="22"/>
  <c r="AD31" i="22"/>
  <c r="O31" i="22"/>
  <c r="P31" i="22"/>
  <c r="Q31" i="22"/>
  <c r="R31" i="22"/>
  <c r="S31" i="22"/>
  <c r="T31" i="22"/>
  <c r="U31" i="22"/>
  <c r="V31" i="22"/>
  <c r="W31" i="22"/>
  <c r="X31" i="22"/>
  <c r="Y31" i="22"/>
  <c r="Z31" i="22"/>
  <c r="AA31" i="22"/>
  <c r="N26" i="22"/>
  <c r="N27" i="22"/>
  <c r="N28" i="22"/>
  <c r="N29" i="22"/>
  <c r="B22" i="22"/>
  <c r="B23" i="22"/>
  <c r="AG16" i="22"/>
  <c r="AG19" i="22"/>
  <c r="AG20" i="22"/>
  <c r="AL43" i="22" s="1"/>
  <c r="AD19" i="22"/>
  <c r="AD20" i="22"/>
  <c r="AK62" i="22" s="1"/>
  <c r="N19" i="22"/>
  <c r="O19" i="22"/>
  <c r="P19" i="22"/>
  <c r="Q19" i="22"/>
  <c r="R19" i="22"/>
  <c r="S19" i="22"/>
  <c r="T19" i="22"/>
  <c r="U19" i="22"/>
  <c r="V19" i="22"/>
  <c r="W19" i="22"/>
  <c r="X19" i="22"/>
  <c r="Y19" i="22"/>
  <c r="Z19" i="22"/>
  <c r="N20" i="22"/>
  <c r="O20" i="22"/>
  <c r="P20" i="22"/>
  <c r="Q20" i="22"/>
  <c r="R20" i="22"/>
  <c r="S20" i="22"/>
  <c r="T20" i="22"/>
  <c r="U20" i="22"/>
  <c r="V20" i="22"/>
  <c r="W20" i="22"/>
  <c r="X20" i="22"/>
  <c r="Y20" i="22"/>
  <c r="Z20" i="22"/>
  <c r="G19" i="22"/>
  <c r="B17" i="22"/>
  <c r="B18" i="22"/>
  <c r="B19" i="22"/>
  <c r="O16" i="22"/>
  <c r="P16" i="22"/>
  <c r="Q16" i="22"/>
  <c r="R16" i="22"/>
  <c r="S16" i="22"/>
  <c r="T16" i="22"/>
  <c r="U16" i="22"/>
  <c r="V16" i="22"/>
  <c r="W16" i="22"/>
  <c r="X16" i="22"/>
  <c r="Y16" i="22"/>
  <c r="O17" i="22"/>
  <c r="P17" i="22"/>
  <c r="Q17" i="22"/>
  <c r="R17" i="22"/>
  <c r="S17" i="22"/>
  <c r="T17" i="22"/>
  <c r="U17" i="22"/>
  <c r="V17" i="22"/>
  <c r="W17" i="22"/>
  <c r="X17" i="22"/>
  <c r="Y17" i="22"/>
  <c r="Z17" i="22"/>
  <c r="AA17" i="22" s="1"/>
  <c r="AA11" i="22" s="1"/>
  <c r="A14" i="22"/>
  <c r="AG12" i="22"/>
  <c r="AG13" i="22"/>
  <c r="AD12" i="22"/>
  <c r="AD13" i="22"/>
  <c r="B12" i="22"/>
  <c r="B13" i="22"/>
  <c r="O11" i="22"/>
  <c r="P11" i="22"/>
  <c r="Q11" i="22"/>
  <c r="R11" i="22"/>
  <c r="S11" i="22"/>
  <c r="T11" i="22"/>
  <c r="U11" i="22"/>
  <c r="V11" i="22"/>
  <c r="W11" i="22"/>
  <c r="X11" i="22"/>
  <c r="Y11" i="22"/>
  <c r="Z11" i="22"/>
  <c r="O12" i="22"/>
  <c r="P12" i="22"/>
  <c r="Q12" i="22"/>
  <c r="R12" i="22"/>
  <c r="S12" i="22"/>
  <c r="T12" i="22"/>
  <c r="U12" i="22"/>
  <c r="V12" i="22"/>
  <c r="W12" i="22"/>
  <c r="X12" i="22"/>
  <c r="Y12" i="22"/>
  <c r="Z12" i="22"/>
  <c r="AA12" i="22"/>
  <c r="O13" i="22"/>
  <c r="P13" i="22"/>
  <c r="Q13" i="22"/>
  <c r="R13" i="22"/>
  <c r="S13" i="22"/>
  <c r="T13" i="22"/>
  <c r="U13" i="22"/>
  <c r="V13" i="22"/>
  <c r="W13" i="22"/>
  <c r="X13" i="22"/>
  <c r="Y13" i="22"/>
  <c r="Z13" i="22"/>
  <c r="AA13" i="22"/>
  <c r="C10" i="22"/>
  <c r="D10" i="22"/>
  <c r="Z16" i="22" s="1"/>
  <c r="C9" i="22"/>
  <c r="C1" i="22"/>
  <c r="C2" i="22"/>
  <c r="C3" i="22"/>
  <c r="C4" i="22"/>
  <c r="C5" i="22"/>
  <c r="C6" i="22"/>
  <c r="C7" i="22"/>
  <c r="C8" i="22"/>
  <c r="E6" i="22"/>
  <c r="B29" i="22" s="1"/>
  <c r="E4" i="22"/>
  <c r="F4" i="22"/>
  <c r="B3" i="22"/>
  <c r="B110" i="21"/>
  <c r="B104" i="21"/>
  <c r="B105" i="21"/>
  <c r="B106" i="21"/>
  <c r="A101" i="21"/>
  <c r="B78" i="21"/>
  <c r="B79" i="21"/>
  <c r="AG76" i="21"/>
  <c r="AD76" i="21"/>
  <c r="O76" i="21"/>
  <c r="P76" i="21"/>
  <c r="Q76" i="21"/>
  <c r="R76" i="21"/>
  <c r="S76" i="21"/>
  <c r="T76" i="21"/>
  <c r="U76" i="21"/>
  <c r="V76" i="21"/>
  <c r="W76" i="21"/>
  <c r="X76" i="21"/>
  <c r="Y76" i="21"/>
  <c r="Z76" i="21"/>
  <c r="N77" i="21"/>
  <c r="B73" i="21"/>
  <c r="B74" i="21"/>
  <c r="B75" i="21"/>
  <c r="N73" i="21"/>
  <c r="N76" i="21" s="1"/>
  <c r="N74" i="21"/>
  <c r="AH73" i="21"/>
  <c r="AH74" i="21"/>
  <c r="AE73" i="21"/>
  <c r="AE74" i="21"/>
  <c r="AF74" i="21"/>
  <c r="I73" i="21"/>
  <c r="AA73" i="21" s="1"/>
  <c r="J73" i="21"/>
  <c r="I74" i="21"/>
  <c r="AA74" i="21" s="1"/>
  <c r="J74" i="21"/>
  <c r="N68" i="21"/>
  <c r="N69" i="21"/>
  <c r="N70" i="21"/>
  <c r="N71" i="21"/>
  <c r="I71" i="21"/>
  <c r="J71" i="21"/>
  <c r="A70" i="21"/>
  <c r="AH69" i="21"/>
  <c r="AH70" i="21"/>
  <c r="AK70" i="21"/>
  <c r="AH71" i="21"/>
  <c r="AE69" i="21"/>
  <c r="AE70" i="21"/>
  <c r="AE71" i="21"/>
  <c r="AA70" i="21"/>
  <c r="AB70" i="21" s="1"/>
  <c r="AA71" i="21"/>
  <c r="AB71" i="21" s="1"/>
  <c r="I69" i="21"/>
  <c r="AA69" i="21" s="1"/>
  <c r="J69" i="21"/>
  <c r="L69" i="21"/>
  <c r="M69" i="21"/>
  <c r="I70" i="21"/>
  <c r="J70" i="21"/>
  <c r="K70" i="21"/>
  <c r="L70" i="21"/>
  <c r="M70" i="21"/>
  <c r="I68" i="21"/>
  <c r="J68" i="21"/>
  <c r="AH62" i="21"/>
  <c r="AH63" i="21"/>
  <c r="AK63" i="21"/>
  <c r="AH64" i="21"/>
  <c r="AH65" i="21"/>
  <c r="AH66" i="21"/>
  <c r="AE62" i="21"/>
  <c r="AE63" i="21"/>
  <c r="AE64" i="21"/>
  <c r="AE65" i="21"/>
  <c r="AE66" i="21"/>
  <c r="AA62" i="21"/>
  <c r="AA65" i="21"/>
  <c r="I62" i="21"/>
  <c r="K62" i="21" s="1"/>
  <c r="J62" i="21"/>
  <c r="L62" i="21"/>
  <c r="M62" i="21"/>
  <c r="N62" i="21"/>
  <c r="I63" i="21"/>
  <c r="J63" i="21"/>
  <c r="L63" i="21"/>
  <c r="M63" i="21"/>
  <c r="N63" i="21"/>
  <c r="I64" i="21"/>
  <c r="AA64" i="21" s="1"/>
  <c r="J64" i="21"/>
  <c r="L64" i="21"/>
  <c r="M64" i="21"/>
  <c r="N64" i="21"/>
  <c r="I65" i="21"/>
  <c r="J65" i="21"/>
  <c r="K65" i="21"/>
  <c r="L65" i="21"/>
  <c r="M65" i="21"/>
  <c r="N65" i="21"/>
  <c r="I66" i="21"/>
  <c r="K66" i="21" s="1"/>
  <c r="J66" i="21"/>
  <c r="L66" i="21"/>
  <c r="M66" i="21"/>
  <c r="N66" i="21"/>
  <c r="N60" i="21"/>
  <c r="N61" i="21"/>
  <c r="I60" i="21"/>
  <c r="J60" i="21"/>
  <c r="I61" i="21"/>
  <c r="J61" i="21"/>
  <c r="AD58" i="21"/>
  <c r="AG58" i="21"/>
  <c r="AG77" i="21" s="1"/>
  <c r="N58" i="21"/>
  <c r="O58" i="21"/>
  <c r="O77" i="21" s="1"/>
  <c r="P58" i="21"/>
  <c r="P77" i="21" s="1"/>
  <c r="Q58" i="21"/>
  <c r="Q77" i="21" s="1"/>
  <c r="R58" i="21"/>
  <c r="R77" i="21" s="1"/>
  <c r="S58" i="21"/>
  <c r="S77" i="21" s="1"/>
  <c r="T58" i="21"/>
  <c r="T77" i="21" s="1"/>
  <c r="U58" i="21"/>
  <c r="U77" i="21" s="1"/>
  <c r="V58" i="21"/>
  <c r="V77" i="21" s="1"/>
  <c r="W58" i="21"/>
  <c r="W77" i="21" s="1"/>
  <c r="X58" i="21"/>
  <c r="X77" i="21" s="1"/>
  <c r="Y58" i="21"/>
  <c r="Y77" i="21" s="1"/>
  <c r="Z58" i="21"/>
  <c r="Z77" i="21" s="1"/>
  <c r="AH57" i="21"/>
  <c r="AI57" i="21"/>
  <c r="AB47" i="21"/>
  <c r="AB48" i="21"/>
  <c r="AN48" i="21" s="1"/>
  <c r="AB49" i="21"/>
  <c r="AN49" i="21" s="1"/>
  <c r="AB50" i="21"/>
  <c r="AB51" i="21"/>
  <c r="AM51" i="21" s="1"/>
  <c r="AB52" i="21"/>
  <c r="AB53" i="21"/>
  <c r="AB54" i="21"/>
  <c r="AB55" i="21"/>
  <c r="AB56" i="21"/>
  <c r="AN56" i="21" s="1"/>
  <c r="AB57" i="21"/>
  <c r="N46" i="21"/>
  <c r="N47" i="21"/>
  <c r="N48" i="21"/>
  <c r="N49" i="21"/>
  <c r="N50" i="21"/>
  <c r="N51" i="21"/>
  <c r="N52" i="21"/>
  <c r="N53" i="21"/>
  <c r="N54" i="21"/>
  <c r="N55" i="21"/>
  <c r="N56" i="21"/>
  <c r="N57" i="21"/>
  <c r="I57" i="21"/>
  <c r="J57" i="21"/>
  <c r="K57" i="21"/>
  <c r="I58" i="21"/>
  <c r="K58" i="21" s="1"/>
  <c r="J58" i="21"/>
  <c r="AA52" i="21"/>
  <c r="AA55" i="21"/>
  <c r="B50" i="21"/>
  <c r="B51" i="21"/>
  <c r="AH47" i="21"/>
  <c r="AN47" i="21"/>
  <c r="AH48" i="21"/>
  <c r="AH49" i="21"/>
  <c r="AK49" i="21"/>
  <c r="AL49" i="21"/>
  <c r="AH50" i="21"/>
  <c r="AH51" i="21"/>
  <c r="AH52" i="21"/>
  <c r="AI52" i="21"/>
  <c r="AN52" i="21"/>
  <c r="AH53" i="21"/>
  <c r="AH54" i="21"/>
  <c r="AN54" i="21" s="1"/>
  <c r="AI54" i="21"/>
  <c r="AK54" i="21"/>
  <c r="AH55" i="21"/>
  <c r="AN55" i="21"/>
  <c r="AH56" i="21"/>
  <c r="AK56" i="21"/>
  <c r="AM56" i="21"/>
  <c r="AE47" i="21"/>
  <c r="AE48" i="21"/>
  <c r="AE49" i="21"/>
  <c r="AE50" i="21"/>
  <c r="AE51" i="21"/>
  <c r="AE52" i="21"/>
  <c r="AM52" i="21" s="1"/>
  <c r="AF52" i="21"/>
  <c r="AE53" i="21"/>
  <c r="AE54" i="21"/>
  <c r="AM54" i="21" s="1"/>
  <c r="AE55" i="21"/>
  <c r="AM55" i="21" s="1"/>
  <c r="AE56" i="21"/>
  <c r="AE57" i="21"/>
  <c r="AF57" i="21"/>
  <c r="I47" i="21"/>
  <c r="K47" i="21" s="1"/>
  <c r="J47" i="21"/>
  <c r="L47" i="21"/>
  <c r="M47" i="21"/>
  <c r="I48" i="21"/>
  <c r="AA48" i="21" s="1"/>
  <c r="J48" i="21"/>
  <c r="L48" i="21"/>
  <c r="M48" i="21"/>
  <c r="I49" i="21"/>
  <c r="AA49" i="21" s="1"/>
  <c r="J49" i="21"/>
  <c r="L49" i="21"/>
  <c r="M49" i="21"/>
  <c r="I50" i="21"/>
  <c r="AA50" i="21" s="1"/>
  <c r="AF50" i="21" s="1"/>
  <c r="J50" i="21"/>
  <c r="L50" i="21"/>
  <c r="M50" i="21"/>
  <c r="I51" i="21"/>
  <c r="AA51" i="21" s="1"/>
  <c r="J51" i="21"/>
  <c r="L51" i="21"/>
  <c r="M51" i="21"/>
  <c r="I52" i="21"/>
  <c r="J52" i="21"/>
  <c r="K52" i="21"/>
  <c r="L52" i="21"/>
  <c r="M52" i="21"/>
  <c r="I53" i="21"/>
  <c r="AA53" i="21" s="1"/>
  <c r="J53" i="21"/>
  <c r="L53" i="21"/>
  <c r="M53" i="21"/>
  <c r="I54" i="21"/>
  <c r="AA54" i="21" s="1"/>
  <c r="J54" i="21"/>
  <c r="K54" i="21"/>
  <c r="L54" i="21"/>
  <c r="M54" i="21"/>
  <c r="I55" i="21"/>
  <c r="K55" i="21" s="1"/>
  <c r="J55" i="21"/>
  <c r="L55" i="21"/>
  <c r="M55" i="21"/>
  <c r="I56" i="21"/>
  <c r="AA56" i="21" s="1"/>
  <c r="J56" i="21"/>
  <c r="L56" i="21"/>
  <c r="M56" i="21"/>
  <c r="B45" i="21"/>
  <c r="B46" i="21"/>
  <c r="B47" i="21"/>
  <c r="I46" i="21"/>
  <c r="J46" i="21"/>
  <c r="A42" i="21"/>
  <c r="AH34" i="21"/>
  <c r="AH35" i="21"/>
  <c r="AH36" i="21"/>
  <c r="AH37" i="21"/>
  <c r="AK37" i="21"/>
  <c r="AH38" i="21"/>
  <c r="AH39" i="21"/>
  <c r="AH40" i="21"/>
  <c r="AH41" i="21"/>
  <c r="AH42" i="21"/>
  <c r="AH43" i="21"/>
  <c r="AH44" i="21"/>
  <c r="AE34" i="21"/>
  <c r="AE35" i="21"/>
  <c r="AF35" i="21"/>
  <c r="AE36" i="21"/>
  <c r="AE37" i="21"/>
  <c r="AE38" i="21"/>
  <c r="AE39" i="21"/>
  <c r="AE40" i="21"/>
  <c r="AE41" i="21"/>
  <c r="AE42" i="21"/>
  <c r="AE43" i="21"/>
  <c r="AE44" i="21"/>
  <c r="AA34" i="21"/>
  <c r="AI34" i="21" s="1"/>
  <c r="AA35" i="21"/>
  <c r="AI35" i="21" s="1"/>
  <c r="AB35" i="21"/>
  <c r="AA38" i="21"/>
  <c r="AB38" i="21" s="1"/>
  <c r="AA39" i="21"/>
  <c r="AI39" i="21" s="1"/>
  <c r="AB39" i="21"/>
  <c r="I34" i="21"/>
  <c r="J34" i="21"/>
  <c r="K34" i="21"/>
  <c r="L34" i="21"/>
  <c r="M34" i="21"/>
  <c r="N34" i="21"/>
  <c r="I35" i="21"/>
  <c r="J35" i="21"/>
  <c r="K35" i="21"/>
  <c r="L35" i="21"/>
  <c r="M35" i="21"/>
  <c r="N35" i="21"/>
  <c r="I36" i="21"/>
  <c r="AA36" i="21" s="1"/>
  <c r="AB36" i="21" s="1"/>
  <c r="J36" i="21"/>
  <c r="L36" i="21"/>
  <c r="M36" i="21"/>
  <c r="N36" i="21"/>
  <c r="I37" i="21"/>
  <c r="AA37" i="21" s="1"/>
  <c r="AI37" i="21" s="1"/>
  <c r="J37" i="21"/>
  <c r="L37" i="21"/>
  <c r="M37" i="21"/>
  <c r="N37" i="21"/>
  <c r="I38" i="21"/>
  <c r="J38" i="21"/>
  <c r="K38" i="21"/>
  <c r="L38" i="21"/>
  <c r="M38" i="21"/>
  <c r="N38" i="21"/>
  <c r="I39" i="21"/>
  <c r="J39" i="21"/>
  <c r="K39" i="21"/>
  <c r="L39" i="21"/>
  <c r="M39" i="21"/>
  <c r="N39" i="21"/>
  <c r="I40" i="21"/>
  <c r="AA40" i="21" s="1"/>
  <c r="J40" i="21"/>
  <c r="L40" i="21"/>
  <c r="M40" i="21"/>
  <c r="N40" i="21"/>
  <c r="I41" i="21"/>
  <c r="AA41" i="21" s="1"/>
  <c r="J41" i="21"/>
  <c r="K41" i="21"/>
  <c r="L41" i="21"/>
  <c r="M41" i="21"/>
  <c r="N41" i="21"/>
  <c r="I42" i="21"/>
  <c r="AA42" i="21" s="1"/>
  <c r="J42" i="21"/>
  <c r="K42" i="21"/>
  <c r="L42" i="21"/>
  <c r="M42" i="21"/>
  <c r="N42" i="21"/>
  <c r="I43" i="21"/>
  <c r="AA43" i="21" s="1"/>
  <c r="J43" i="21"/>
  <c r="L43" i="21"/>
  <c r="M43" i="21"/>
  <c r="N43" i="21"/>
  <c r="I44" i="21"/>
  <c r="AA44" i="21" s="1"/>
  <c r="J44" i="21"/>
  <c r="L44" i="21"/>
  <c r="M44" i="21"/>
  <c r="N44" i="21"/>
  <c r="N33" i="21"/>
  <c r="I33" i="21"/>
  <c r="J33" i="21"/>
  <c r="AJ32" i="21"/>
  <c r="AG32" i="21"/>
  <c r="AL32" i="21" s="1"/>
  <c r="AD32" i="21"/>
  <c r="AK32" i="21" s="1"/>
  <c r="O32" i="21"/>
  <c r="P32" i="21"/>
  <c r="Q32" i="21"/>
  <c r="R32" i="21"/>
  <c r="S32" i="21"/>
  <c r="T32" i="21"/>
  <c r="U32" i="21"/>
  <c r="V32" i="21"/>
  <c r="W32" i="21"/>
  <c r="X32" i="21"/>
  <c r="Y32" i="21"/>
  <c r="Z32" i="21"/>
  <c r="AJ31" i="21"/>
  <c r="AK31" i="21"/>
  <c r="AM31" i="21" s="1"/>
  <c r="AL31" i="21"/>
  <c r="AN31" i="21" s="1"/>
  <c r="AG31" i="21"/>
  <c r="AD31" i="21"/>
  <c r="O31" i="21"/>
  <c r="P31" i="21"/>
  <c r="Q31" i="21"/>
  <c r="R31" i="21"/>
  <c r="S31" i="21"/>
  <c r="T31" i="21"/>
  <c r="U31" i="21"/>
  <c r="V31" i="21"/>
  <c r="W31" i="21"/>
  <c r="X31" i="21"/>
  <c r="Y31" i="21"/>
  <c r="Z31" i="21"/>
  <c r="AA31" i="21"/>
  <c r="N26" i="21"/>
  <c r="N27" i="21"/>
  <c r="N28" i="21"/>
  <c r="N29" i="21"/>
  <c r="B22" i="21"/>
  <c r="B23" i="21"/>
  <c r="AG16" i="21"/>
  <c r="AG19" i="21"/>
  <c r="AG20" i="21"/>
  <c r="AL74" i="21" s="1"/>
  <c r="AD19" i="21"/>
  <c r="AD20" i="21"/>
  <c r="AK69" i="21" s="1"/>
  <c r="N19" i="21"/>
  <c r="O19" i="21"/>
  <c r="P19" i="21"/>
  <c r="Q19" i="21"/>
  <c r="R19" i="21"/>
  <c r="S19" i="21"/>
  <c r="T19" i="21"/>
  <c r="U19" i="21"/>
  <c r="V19" i="21"/>
  <c r="W19" i="21"/>
  <c r="X19" i="21"/>
  <c r="Y19" i="21"/>
  <c r="Z19" i="21"/>
  <c r="N20" i="21"/>
  <c r="O20" i="21"/>
  <c r="P20" i="21"/>
  <c r="Q20" i="21"/>
  <c r="R20" i="21"/>
  <c r="S20" i="21"/>
  <c r="T20" i="21"/>
  <c r="U20" i="21"/>
  <c r="V20" i="21"/>
  <c r="W20" i="21"/>
  <c r="X20" i="21"/>
  <c r="Y20" i="21"/>
  <c r="Z20" i="21"/>
  <c r="G19" i="21"/>
  <c r="B17" i="21"/>
  <c r="B18" i="21"/>
  <c r="B19" i="21"/>
  <c r="O16" i="21"/>
  <c r="P16" i="21"/>
  <c r="Q16" i="21"/>
  <c r="R16" i="21"/>
  <c r="S16" i="21"/>
  <c r="T16" i="21"/>
  <c r="U16" i="21"/>
  <c r="V16" i="21"/>
  <c r="W16" i="21"/>
  <c r="X16" i="21"/>
  <c r="Y16" i="21"/>
  <c r="AA16" i="21"/>
  <c r="O17" i="21"/>
  <c r="P17" i="21"/>
  <c r="Q17" i="21"/>
  <c r="R17" i="21"/>
  <c r="S17" i="21"/>
  <c r="T17" i="21"/>
  <c r="U17" i="21"/>
  <c r="V17" i="21"/>
  <c r="W17" i="21"/>
  <c r="X17" i="21"/>
  <c r="Y17" i="21"/>
  <c r="Z17" i="21"/>
  <c r="AA17" i="21" s="1"/>
  <c r="AA11" i="21" s="1"/>
  <c r="A14" i="21"/>
  <c r="AG12" i="21"/>
  <c r="AG13" i="21"/>
  <c r="AD12" i="21"/>
  <c r="AD13" i="21"/>
  <c r="B12" i="21"/>
  <c r="B13" i="21"/>
  <c r="O11" i="21"/>
  <c r="P11" i="21"/>
  <c r="Q11" i="21"/>
  <c r="R11" i="21"/>
  <c r="S11" i="21"/>
  <c r="T11" i="21"/>
  <c r="U11" i="21"/>
  <c r="V11" i="21"/>
  <c r="W11" i="21"/>
  <c r="X11" i="21"/>
  <c r="Y11" i="21"/>
  <c r="Z11" i="21"/>
  <c r="O12" i="21"/>
  <c r="P12" i="21"/>
  <c r="Q12" i="21"/>
  <c r="R12" i="21"/>
  <c r="S12" i="21"/>
  <c r="T12" i="21"/>
  <c r="U12" i="21"/>
  <c r="V12" i="21"/>
  <c r="W12" i="21"/>
  <c r="X12" i="21"/>
  <c r="Y12" i="21"/>
  <c r="Z12" i="21"/>
  <c r="AA12" i="21"/>
  <c r="O13" i="21"/>
  <c r="P13" i="21"/>
  <c r="Q13" i="21"/>
  <c r="R13" i="21"/>
  <c r="S13" i="21"/>
  <c r="T13" i="21"/>
  <c r="U13" i="21"/>
  <c r="V13" i="21"/>
  <c r="W13" i="21"/>
  <c r="X13" i="21"/>
  <c r="Y13" i="21"/>
  <c r="Z13" i="21"/>
  <c r="AA13" i="21"/>
  <c r="C10" i="21"/>
  <c r="D10" i="21"/>
  <c r="C9" i="21"/>
  <c r="C1" i="21"/>
  <c r="C2" i="21"/>
  <c r="C3" i="21"/>
  <c r="C4" i="21"/>
  <c r="C5" i="21"/>
  <c r="C6" i="21"/>
  <c r="C7" i="21"/>
  <c r="C8" i="21"/>
  <c r="E6" i="21"/>
  <c r="B57" i="21" s="1"/>
  <c r="E4" i="21"/>
  <c r="F4" i="21"/>
  <c r="B3" i="21"/>
  <c r="B111" i="20"/>
  <c r="B105" i="20"/>
  <c r="B106" i="20"/>
  <c r="B107" i="20"/>
  <c r="A102" i="20"/>
  <c r="B79" i="20"/>
  <c r="B80" i="20"/>
  <c r="B74" i="20"/>
  <c r="B75" i="20"/>
  <c r="B76" i="20"/>
  <c r="A71" i="20"/>
  <c r="AG62" i="20"/>
  <c r="AD62" i="20"/>
  <c r="N62" i="20"/>
  <c r="O62" i="20"/>
  <c r="P62" i="20"/>
  <c r="Q62" i="20"/>
  <c r="R62" i="20"/>
  <c r="S62" i="20"/>
  <c r="T62" i="20"/>
  <c r="U62" i="20"/>
  <c r="V62" i="20"/>
  <c r="W62" i="20"/>
  <c r="X62" i="20"/>
  <c r="Y62" i="20"/>
  <c r="Z62" i="20"/>
  <c r="R63" i="20"/>
  <c r="X63" i="20"/>
  <c r="Z63" i="20"/>
  <c r="N59" i="20"/>
  <c r="N60" i="20"/>
  <c r="N63" i="20" s="1"/>
  <c r="AH59" i="20"/>
  <c r="AH60" i="20"/>
  <c r="AE59" i="20"/>
  <c r="AE60" i="20"/>
  <c r="AA59" i="20"/>
  <c r="AA60" i="20"/>
  <c r="I59" i="20"/>
  <c r="J59" i="20"/>
  <c r="I60" i="20"/>
  <c r="J60" i="20"/>
  <c r="B58" i="20"/>
  <c r="N54" i="20"/>
  <c r="N55" i="20"/>
  <c r="N56" i="20"/>
  <c r="N57" i="20"/>
  <c r="I57" i="20"/>
  <c r="AA57" i="20" s="1"/>
  <c r="J57" i="20"/>
  <c r="AH55" i="20"/>
  <c r="AK55" i="20"/>
  <c r="AH56" i="20"/>
  <c r="AH57" i="20"/>
  <c r="AE55" i="20"/>
  <c r="AE56" i="20"/>
  <c r="AE57" i="20"/>
  <c r="I55" i="20"/>
  <c r="J55" i="20"/>
  <c r="L55" i="20"/>
  <c r="M55" i="20"/>
  <c r="I56" i="20"/>
  <c r="AA56" i="20" s="1"/>
  <c r="J56" i="20"/>
  <c r="K56" i="20"/>
  <c r="L56" i="20"/>
  <c r="M56" i="20"/>
  <c r="I54" i="20"/>
  <c r="J54" i="20"/>
  <c r="B51" i="20"/>
  <c r="B52" i="20"/>
  <c r="AH48" i="20"/>
  <c r="AH49" i="20"/>
  <c r="AK49" i="20"/>
  <c r="AH50" i="20"/>
  <c r="AK50" i="20"/>
  <c r="AH51" i="20"/>
  <c r="AH52" i="20"/>
  <c r="AE48" i="20"/>
  <c r="AE49" i="20"/>
  <c r="AE50" i="20"/>
  <c r="AE51" i="20"/>
  <c r="AE52" i="20"/>
  <c r="AA50" i="20"/>
  <c r="AI50" i="20" s="1"/>
  <c r="I48" i="20"/>
  <c r="AA48" i="20" s="1"/>
  <c r="J48" i="20"/>
  <c r="L48" i="20"/>
  <c r="M48" i="20"/>
  <c r="N48" i="20"/>
  <c r="I49" i="20"/>
  <c r="AA49" i="20" s="1"/>
  <c r="AF49" i="20" s="1"/>
  <c r="J49" i="20"/>
  <c r="K49" i="20"/>
  <c r="L49" i="20"/>
  <c r="M49" i="20"/>
  <c r="N49" i="20"/>
  <c r="I50" i="20"/>
  <c r="K50" i="20" s="1"/>
  <c r="J50" i="20"/>
  <c r="L50" i="20"/>
  <c r="M50" i="20"/>
  <c r="N50" i="20"/>
  <c r="I51" i="20"/>
  <c r="AA51" i="20" s="1"/>
  <c r="J51" i="20"/>
  <c r="L51" i="20"/>
  <c r="M51" i="20"/>
  <c r="N51" i="20"/>
  <c r="I52" i="20"/>
  <c r="AA52" i="20" s="1"/>
  <c r="J52" i="20"/>
  <c r="K52" i="20"/>
  <c r="L52" i="20"/>
  <c r="M52" i="20"/>
  <c r="N52" i="20"/>
  <c r="B46" i="20"/>
  <c r="B47" i="20"/>
  <c r="B48" i="20"/>
  <c r="N46" i="20"/>
  <c r="N47" i="20"/>
  <c r="I46" i="20"/>
  <c r="J46" i="20"/>
  <c r="I47" i="20"/>
  <c r="J47" i="20"/>
  <c r="AD44" i="20"/>
  <c r="AD63" i="20" s="1"/>
  <c r="AE44" i="20"/>
  <c r="AG44" i="20"/>
  <c r="AH44" i="20"/>
  <c r="N44" i="20"/>
  <c r="O44" i="20"/>
  <c r="O63" i="20" s="1"/>
  <c r="P44" i="20"/>
  <c r="P63" i="20" s="1"/>
  <c r="Q44" i="20"/>
  <c r="Q63" i="20" s="1"/>
  <c r="R44" i="20"/>
  <c r="S44" i="20"/>
  <c r="S63" i="20" s="1"/>
  <c r="T44" i="20"/>
  <c r="T63" i="20" s="1"/>
  <c r="U44" i="20"/>
  <c r="U63" i="20" s="1"/>
  <c r="V44" i="20"/>
  <c r="V63" i="20" s="1"/>
  <c r="W44" i="20"/>
  <c r="W63" i="20" s="1"/>
  <c r="X44" i="20"/>
  <c r="Y44" i="20"/>
  <c r="Y63" i="20" s="1"/>
  <c r="Z44" i="20"/>
  <c r="N40" i="20"/>
  <c r="N41" i="20"/>
  <c r="N42" i="20"/>
  <c r="N43" i="20"/>
  <c r="I43" i="20"/>
  <c r="K43" i="20" s="1"/>
  <c r="J43" i="20"/>
  <c r="I44" i="20"/>
  <c r="J44" i="20"/>
  <c r="K44" i="20"/>
  <c r="A43" i="20"/>
  <c r="AH41" i="20"/>
  <c r="AN41" i="20" s="1"/>
  <c r="AI41" i="20"/>
  <c r="AH42" i="20"/>
  <c r="AH43" i="20"/>
  <c r="AN43" i="20" s="1"/>
  <c r="AI43" i="20"/>
  <c r="AE41" i="20"/>
  <c r="AF41" i="20"/>
  <c r="AE42" i="20"/>
  <c r="AE43" i="20"/>
  <c r="AM43" i="20" s="1"/>
  <c r="AF43" i="20"/>
  <c r="AB41" i="20"/>
  <c r="AB42" i="20"/>
  <c r="I41" i="20"/>
  <c r="AA41" i="20" s="1"/>
  <c r="J41" i="20"/>
  <c r="K41" i="20"/>
  <c r="L41" i="20"/>
  <c r="M41" i="20"/>
  <c r="I42" i="20"/>
  <c r="AA42" i="20" s="1"/>
  <c r="J42" i="20"/>
  <c r="K42" i="20"/>
  <c r="L42" i="20"/>
  <c r="M42" i="20"/>
  <c r="I40" i="20"/>
  <c r="J40" i="20"/>
  <c r="AH34" i="20"/>
  <c r="AH35" i="20"/>
  <c r="AL35" i="20"/>
  <c r="AH36" i="20"/>
  <c r="AK36" i="20"/>
  <c r="AH37" i="20"/>
  <c r="AH38" i="20"/>
  <c r="AE34" i="20"/>
  <c r="AE35" i="20"/>
  <c r="AE36" i="20"/>
  <c r="AE37" i="20"/>
  <c r="AE38" i="20"/>
  <c r="AA37" i="20"/>
  <c r="AB37" i="20" s="1"/>
  <c r="I34" i="20"/>
  <c r="K34" i="20" s="1"/>
  <c r="J34" i="20"/>
  <c r="L34" i="20"/>
  <c r="M34" i="20"/>
  <c r="N34" i="20"/>
  <c r="I35" i="20"/>
  <c r="AA35" i="20" s="1"/>
  <c r="J35" i="20"/>
  <c r="L35" i="20"/>
  <c r="M35" i="20"/>
  <c r="N35" i="20"/>
  <c r="I36" i="20"/>
  <c r="J36" i="20"/>
  <c r="L36" i="20"/>
  <c r="M36" i="20"/>
  <c r="N36" i="20"/>
  <c r="I37" i="20"/>
  <c r="K37" i="20" s="1"/>
  <c r="J37" i="20"/>
  <c r="L37" i="20"/>
  <c r="M37" i="20"/>
  <c r="N37" i="20"/>
  <c r="I38" i="20"/>
  <c r="AA38" i="20" s="1"/>
  <c r="AI38" i="20" s="1"/>
  <c r="J38" i="20"/>
  <c r="L38" i="20"/>
  <c r="M38" i="20"/>
  <c r="N38" i="20"/>
  <c r="N33" i="20"/>
  <c r="I33" i="20"/>
  <c r="J33" i="20"/>
  <c r="AG32" i="20"/>
  <c r="AL32" i="20" s="1"/>
  <c r="AD32" i="20"/>
  <c r="AK32" i="20" s="1"/>
  <c r="O32" i="20"/>
  <c r="P32" i="20"/>
  <c r="Q32" i="20"/>
  <c r="R32" i="20"/>
  <c r="S32" i="20"/>
  <c r="T32" i="20"/>
  <c r="U32" i="20"/>
  <c r="V32" i="20"/>
  <c r="W32" i="20"/>
  <c r="X32" i="20"/>
  <c r="Y32" i="20"/>
  <c r="Z32" i="20"/>
  <c r="AJ32" i="20" s="1"/>
  <c r="AJ31" i="20"/>
  <c r="AK31" i="20"/>
  <c r="AM31" i="20" s="1"/>
  <c r="AL31" i="20"/>
  <c r="AN31" i="20" s="1"/>
  <c r="AG31" i="20"/>
  <c r="AD31" i="20"/>
  <c r="O31" i="20"/>
  <c r="P31" i="20"/>
  <c r="Q31" i="20"/>
  <c r="R31" i="20"/>
  <c r="S31" i="20"/>
  <c r="T31" i="20"/>
  <c r="U31" i="20"/>
  <c r="V31" i="20"/>
  <c r="W31" i="20"/>
  <c r="X31" i="20"/>
  <c r="Y31" i="20"/>
  <c r="Z31" i="20"/>
  <c r="AA31" i="20"/>
  <c r="N26" i="20"/>
  <c r="N27" i="20"/>
  <c r="N28" i="20"/>
  <c r="N29" i="20"/>
  <c r="B22" i="20"/>
  <c r="B23" i="20"/>
  <c r="AG16" i="20"/>
  <c r="AG19" i="20"/>
  <c r="AG20" i="20"/>
  <c r="AL55" i="20" s="1"/>
  <c r="AD19" i="20"/>
  <c r="AD20" i="20"/>
  <c r="AK42" i="20" s="1"/>
  <c r="N19" i="20"/>
  <c r="O19" i="20"/>
  <c r="P19" i="20"/>
  <c r="AA19" i="20" s="1"/>
  <c r="Q19" i="20"/>
  <c r="R19" i="20"/>
  <c r="S19" i="20"/>
  <c r="T19" i="20"/>
  <c r="U19" i="20"/>
  <c r="V19" i="20"/>
  <c r="W19" i="20"/>
  <c r="X19" i="20"/>
  <c r="Y19" i="20"/>
  <c r="Z19" i="20"/>
  <c r="N20" i="20"/>
  <c r="O20" i="20"/>
  <c r="P20" i="20"/>
  <c r="Q20" i="20"/>
  <c r="R20" i="20"/>
  <c r="S20" i="20"/>
  <c r="T20" i="20"/>
  <c r="U20" i="20"/>
  <c r="V20" i="20"/>
  <c r="W20" i="20"/>
  <c r="X20" i="20"/>
  <c r="Y20" i="20"/>
  <c r="Z20" i="20"/>
  <c r="G19" i="20"/>
  <c r="B17" i="20"/>
  <c r="B18" i="20"/>
  <c r="B19" i="20"/>
  <c r="O16" i="20"/>
  <c r="P16" i="20"/>
  <c r="Q16" i="20"/>
  <c r="R16" i="20"/>
  <c r="S16" i="20"/>
  <c r="T16" i="20"/>
  <c r="U16" i="20"/>
  <c r="V16" i="20"/>
  <c r="W16" i="20"/>
  <c r="X16" i="20"/>
  <c r="Y16" i="20"/>
  <c r="O17" i="20"/>
  <c r="P17" i="20"/>
  <c r="Q17" i="20"/>
  <c r="R17" i="20"/>
  <c r="S17" i="20"/>
  <c r="T17" i="20"/>
  <c r="U17" i="20"/>
  <c r="V17" i="20"/>
  <c r="W17" i="20"/>
  <c r="X17" i="20"/>
  <c r="Y17" i="20"/>
  <c r="Z17" i="20"/>
  <c r="AA17" i="20" s="1"/>
  <c r="AA11" i="20" s="1"/>
  <c r="A14" i="20"/>
  <c r="AG12" i="20"/>
  <c r="AG13" i="20"/>
  <c r="AD12" i="20"/>
  <c r="AD13" i="20"/>
  <c r="B12" i="20"/>
  <c r="B13" i="20"/>
  <c r="O11" i="20"/>
  <c r="P11" i="20"/>
  <c r="Q11" i="20"/>
  <c r="R11" i="20"/>
  <c r="S11" i="20"/>
  <c r="T11" i="20"/>
  <c r="U11" i="20"/>
  <c r="V11" i="20"/>
  <c r="W11" i="20"/>
  <c r="X11" i="20"/>
  <c r="Y11" i="20"/>
  <c r="Z11" i="20"/>
  <c r="O12" i="20"/>
  <c r="P12" i="20"/>
  <c r="Q12" i="20"/>
  <c r="R12" i="20"/>
  <c r="S12" i="20"/>
  <c r="T12" i="20"/>
  <c r="U12" i="20"/>
  <c r="V12" i="20"/>
  <c r="W12" i="20"/>
  <c r="X12" i="20"/>
  <c r="Y12" i="20"/>
  <c r="Z12" i="20"/>
  <c r="AA12" i="20"/>
  <c r="O13" i="20"/>
  <c r="P13" i="20"/>
  <c r="Q13" i="20"/>
  <c r="R13" i="20"/>
  <c r="S13" i="20"/>
  <c r="T13" i="20"/>
  <c r="U13" i="20"/>
  <c r="V13" i="20"/>
  <c r="W13" i="20"/>
  <c r="X13" i="20"/>
  <c r="Y13" i="20"/>
  <c r="Z13" i="20"/>
  <c r="AA13" i="20"/>
  <c r="C10" i="20"/>
  <c r="D10" i="20"/>
  <c r="C9" i="20"/>
  <c r="C1" i="20"/>
  <c r="C2" i="20"/>
  <c r="C3" i="20"/>
  <c r="C4" i="20"/>
  <c r="C5" i="20"/>
  <c r="C6" i="20"/>
  <c r="C7" i="20"/>
  <c r="C8" i="20"/>
  <c r="E6" i="20"/>
  <c r="B29" i="20" s="1"/>
  <c r="E4" i="20"/>
  <c r="F4" i="20"/>
  <c r="B3" i="20"/>
  <c r="B111" i="19"/>
  <c r="B105" i="19"/>
  <c r="B106" i="19"/>
  <c r="B107" i="19"/>
  <c r="A102" i="19"/>
  <c r="B79" i="19"/>
  <c r="B80" i="19"/>
  <c r="B74" i="19"/>
  <c r="B75" i="19"/>
  <c r="B76" i="19"/>
  <c r="A71" i="19"/>
  <c r="AG69" i="19"/>
  <c r="AD69" i="19"/>
  <c r="O69" i="19"/>
  <c r="P69" i="19"/>
  <c r="Q69" i="19"/>
  <c r="R69" i="19"/>
  <c r="S69" i="19"/>
  <c r="T69" i="19"/>
  <c r="U69" i="19"/>
  <c r="V69" i="19"/>
  <c r="W69" i="19"/>
  <c r="X69" i="19"/>
  <c r="Y69" i="19"/>
  <c r="Z69" i="19"/>
  <c r="N70" i="19"/>
  <c r="T70" i="19"/>
  <c r="N66" i="19"/>
  <c r="N69" i="19" s="1"/>
  <c r="N67" i="19"/>
  <c r="AH66" i="19"/>
  <c r="AH67" i="19"/>
  <c r="AI67" i="19"/>
  <c r="AE66" i="19"/>
  <c r="AE67" i="19"/>
  <c r="I66" i="19"/>
  <c r="AA66" i="19" s="1"/>
  <c r="J66" i="19"/>
  <c r="I67" i="19"/>
  <c r="AA67" i="19" s="1"/>
  <c r="J67" i="19"/>
  <c r="N61" i="19"/>
  <c r="N62" i="19"/>
  <c r="N63" i="19"/>
  <c r="N64" i="19"/>
  <c r="I64" i="19"/>
  <c r="AA64" i="19" s="1"/>
  <c r="AB64" i="19" s="1"/>
  <c r="J64" i="19"/>
  <c r="AH62" i="19"/>
  <c r="AH63" i="19"/>
  <c r="AH64" i="19"/>
  <c r="AE62" i="19"/>
  <c r="AE63" i="19"/>
  <c r="AE64" i="19"/>
  <c r="I62" i="19"/>
  <c r="K62" i="19" s="1"/>
  <c r="J62" i="19"/>
  <c r="L62" i="19"/>
  <c r="M62" i="19"/>
  <c r="I63" i="19"/>
  <c r="J63" i="19"/>
  <c r="L63" i="19"/>
  <c r="M63" i="19"/>
  <c r="I61" i="19"/>
  <c r="J61" i="19"/>
  <c r="AH55" i="19"/>
  <c r="AH56" i="19"/>
  <c r="AH57" i="19"/>
  <c r="AH58" i="19"/>
  <c r="AH59" i="19"/>
  <c r="AE55" i="19"/>
  <c r="AE56" i="19"/>
  <c r="AE57" i="19"/>
  <c r="AF57" i="19"/>
  <c r="AE58" i="19"/>
  <c r="AE59" i="19"/>
  <c r="AA55" i="19"/>
  <c r="AA57" i="19"/>
  <c r="AI57" i="19" s="1"/>
  <c r="AA59" i="19"/>
  <c r="AI59" i="19" s="1"/>
  <c r="I55" i="19"/>
  <c r="K55" i="19" s="1"/>
  <c r="J55" i="19"/>
  <c r="L55" i="19"/>
  <c r="M55" i="19"/>
  <c r="N55" i="19"/>
  <c r="I56" i="19"/>
  <c r="AA56" i="19" s="1"/>
  <c r="J56" i="19"/>
  <c r="L56" i="19"/>
  <c r="M56" i="19"/>
  <c r="N56" i="19"/>
  <c r="I57" i="19"/>
  <c r="J57" i="19"/>
  <c r="K57" i="19"/>
  <c r="L57" i="19"/>
  <c r="M57" i="19"/>
  <c r="N57" i="19"/>
  <c r="I58" i="19"/>
  <c r="AA58" i="19" s="1"/>
  <c r="J58" i="19"/>
  <c r="L58" i="19"/>
  <c r="M58" i="19"/>
  <c r="N58" i="19"/>
  <c r="I59" i="19"/>
  <c r="K59" i="19" s="1"/>
  <c r="J59" i="19"/>
  <c r="L59" i="19"/>
  <c r="M59" i="19"/>
  <c r="N59" i="19"/>
  <c r="N53" i="19"/>
  <c r="N54" i="19"/>
  <c r="I53" i="19"/>
  <c r="J53" i="19"/>
  <c r="I54" i="19"/>
  <c r="J54" i="19"/>
  <c r="B51" i="19"/>
  <c r="B52" i="19"/>
  <c r="AD51" i="19"/>
  <c r="AG51" i="19"/>
  <c r="N51" i="19"/>
  <c r="O51" i="19"/>
  <c r="O70" i="19" s="1"/>
  <c r="P51" i="19"/>
  <c r="P70" i="19" s="1"/>
  <c r="Q51" i="19"/>
  <c r="Q70" i="19" s="1"/>
  <c r="R51" i="19"/>
  <c r="R70" i="19" s="1"/>
  <c r="S51" i="19"/>
  <c r="S70" i="19" s="1"/>
  <c r="T51" i="19"/>
  <c r="U51" i="19"/>
  <c r="U70" i="19" s="1"/>
  <c r="V51" i="19"/>
  <c r="V70" i="19" s="1"/>
  <c r="W51" i="19"/>
  <c r="W70" i="19" s="1"/>
  <c r="X51" i="19"/>
  <c r="X70" i="19" s="1"/>
  <c r="Y51" i="19"/>
  <c r="Y70" i="19" s="1"/>
  <c r="Z51" i="19"/>
  <c r="Z70" i="19" s="1"/>
  <c r="N46" i="19"/>
  <c r="N47" i="19"/>
  <c r="N48" i="19"/>
  <c r="N49" i="19"/>
  <c r="N50" i="19"/>
  <c r="I50" i="19"/>
  <c r="K50" i="19" s="1"/>
  <c r="J50" i="19"/>
  <c r="I51" i="19"/>
  <c r="K51" i="19" s="1"/>
  <c r="J51" i="19"/>
  <c r="B46" i="19"/>
  <c r="B47" i="19"/>
  <c r="B48" i="19"/>
  <c r="AH47" i="19"/>
  <c r="AH48" i="19"/>
  <c r="AN48" i="19" s="1"/>
  <c r="AH49" i="19"/>
  <c r="AL49" i="19"/>
  <c r="AM49" i="19"/>
  <c r="AN49" i="19"/>
  <c r="AH50" i="19"/>
  <c r="AE47" i="19"/>
  <c r="AE48" i="19"/>
  <c r="AM48" i="19" s="1"/>
  <c r="AE49" i="19"/>
  <c r="AE50" i="19"/>
  <c r="AB47" i="19"/>
  <c r="AN47" i="19" s="1"/>
  <c r="AA48" i="19"/>
  <c r="AF48" i="19" s="1"/>
  <c r="AB48" i="19"/>
  <c r="AB49" i="19"/>
  <c r="AB50" i="19"/>
  <c r="AM50" i="19" s="1"/>
  <c r="I47" i="19"/>
  <c r="K47" i="19" s="1"/>
  <c r="J47" i="19"/>
  <c r="L47" i="19"/>
  <c r="M47" i="19"/>
  <c r="I48" i="19"/>
  <c r="K48" i="19" s="1"/>
  <c r="J48" i="19"/>
  <c r="L48" i="19"/>
  <c r="M48" i="19"/>
  <c r="I49" i="19"/>
  <c r="K49" i="19" s="1"/>
  <c r="J49" i="19"/>
  <c r="L49" i="19"/>
  <c r="M49" i="19"/>
  <c r="I46" i="19"/>
  <c r="J46" i="19"/>
  <c r="A43" i="19"/>
  <c r="AH34" i="19"/>
  <c r="AH35" i="19"/>
  <c r="AH36" i="19"/>
  <c r="AH37" i="19"/>
  <c r="AH38" i="19"/>
  <c r="AH39" i="19"/>
  <c r="AH40" i="19"/>
  <c r="AH41" i="19"/>
  <c r="AH42" i="19"/>
  <c r="AH43" i="19"/>
  <c r="AH44" i="19"/>
  <c r="AE34" i="19"/>
  <c r="AE35" i="19"/>
  <c r="AE36" i="19"/>
  <c r="AE37" i="19"/>
  <c r="AE38" i="19"/>
  <c r="AE39" i="19"/>
  <c r="AE40" i="19"/>
  <c r="AE41" i="19"/>
  <c r="AE42" i="19"/>
  <c r="AE43" i="19"/>
  <c r="AE44" i="19"/>
  <c r="AA35" i="19"/>
  <c r="AB35" i="19" s="1"/>
  <c r="AA42" i="19"/>
  <c r="AI42" i="19" s="1"/>
  <c r="I34" i="19"/>
  <c r="K34" i="19" s="1"/>
  <c r="J34" i="19"/>
  <c r="L34" i="19"/>
  <c r="M34" i="19"/>
  <c r="N34" i="19"/>
  <c r="I35" i="19"/>
  <c r="J35" i="19"/>
  <c r="K35" i="19"/>
  <c r="L35" i="19"/>
  <c r="M35" i="19"/>
  <c r="N35" i="19"/>
  <c r="I36" i="19"/>
  <c r="J36" i="19"/>
  <c r="L36" i="19"/>
  <c r="M36" i="19"/>
  <c r="N36" i="19"/>
  <c r="I37" i="19"/>
  <c r="AA37" i="19" s="1"/>
  <c r="J37" i="19"/>
  <c r="L37" i="19"/>
  <c r="M37" i="19"/>
  <c r="N37" i="19"/>
  <c r="I38" i="19"/>
  <c r="K38" i="19" s="1"/>
  <c r="J38" i="19"/>
  <c r="L38" i="19"/>
  <c r="M38" i="19"/>
  <c r="N38" i="19"/>
  <c r="I39" i="19"/>
  <c r="AA39" i="19" s="1"/>
  <c r="AB39" i="19" s="1"/>
  <c r="J39" i="19"/>
  <c r="K39" i="19"/>
  <c r="L39" i="19"/>
  <c r="M39" i="19"/>
  <c r="N39" i="19"/>
  <c r="I40" i="19"/>
  <c r="J40" i="19"/>
  <c r="L40" i="19"/>
  <c r="M40" i="19"/>
  <c r="N40" i="19"/>
  <c r="I41" i="19"/>
  <c r="AA41" i="19" s="1"/>
  <c r="AI41" i="19" s="1"/>
  <c r="J41" i="19"/>
  <c r="L41" i="19"/>
  <c r="M41" i="19"/>
  <c r="N41" i="19"/>
  <c r="I42" i="19"/>
  <c r="J42" i="19"/>
  <c r="K42" i="19"/>
  <c r="L42" i="19"/>
  <c r="M42" i="19"/>
  <c r="N42" i="19"/>
  <c r="I43" i="19"/>
  <c r="AA43" i="19" s="1"/>
  <c r="AB43" i="19" s="1"/>
  <c r="AM43" i="19" s="1"/>
  <c r="J43" i="19"/>
  <c r="L43" i="19"/>
  <c r="M43" i="19"/>
  <c r="N43" i="19"/>
  <c r="I44" i="19"/>
  <c r="J44" i="19"/>
  <c r="L44" i="19"/>
  <c r="M44" i="19"/>
  <c r="N44" i="19"/>
  <c r="N33" i="19"/>
  <c r="I33" i="19"/>
  <c r="J33" i="19"/>
  <c r="AK32" i="19"/>
  <c r="AG32" i="19"/>
  <c r="AL32" i="19" s="1"/>
  <c r="AD32" i="19"/>
  <c r="O32" i="19"/>
  <c r="P32" i="19"/>
  <c r="Q32" i="19"/>
  <c r="R32" i="19"/>
  <c r="S32" i="19"/>
  <c r="T32" i="19"/>
  <c r="U32" i="19"/>
  <c r="V32" i="19"/>
  <c r="W32" i="19"/>
  <c r="X32" i="19"/>
  <c r="Y32" i="19"/>
  <c r="Z32" i="19"/>
  <c r="AJ32" i="19" s="1"/>
  <c r="AJ31" i="19"/>
  <c r="AK31" i="19"/>
  <c r="AM31" i="19" s="1"/>
  <c r="AL31" i="19"/>
  <c r="AN31" i="19"/>
  <c r="AG31" i="19"/>
  <c r="AD31" i="19"/>
  <c r="O31" i="19"/>
  <c r="P31" i="19"/>
  <c r="Q31" i="19"/>
  <c r="R31" i="19"/>
  <c r="S31" i="19"/>
  <c r="T31" i="19"/>
  <c r="U31" i="19"/>
  <c r="V31" i="19"/>
  <c r="W31" i="19"/>
  <c r="X31" i="19"/>
  <c r="Y31" i="19"/>
  <c r="Z31" i="19"/>
  <c r="AA31" i="19"/>
  <c r="N26" i="19"/>
  <c r="N27" i="19"/>
  <c r="N28" i="19"/>
  <c r="N29" i="19"/>
  <c r="B29" i="19"/>
  <c r="B22" i="19"/>
  <c r="B23" i="19"/>
  <c r="AG16" i="19"/>
  <c r="AG19" i="19"/>
  <c r="AG20" i="19"/>
  <c r="AL36" i="19" s="1"/>
  <c r="AD19" i="19"/>
  <c r="AD20" i="19"/>
  <c r="AK39" i="19" s="1"/>
  <c r="N19" i="19"/>
  <c r="O19" i="19"/>
  <c r="P19" i="19"/>
  <c r="Q19" i="19"/>
  <c r="R19" i="19"/>
  <c r="S19" i="19"/>
  <c r="T19" i="19"/>
  <c r="U19" i="19"/>
  <c r="V19" i="19"/>
  <c r="W19" i="19"/>
  <c r="X19" i="19"/>
  <c r="Y19" i="19"/>
  <c r="Z19" i="19"/>
  <c r="N20" i="19"/>
  <c r="O20" i="19"/>
  <c r="P20" i="19"/>
  <c r="Q20" i="19"/>
  <c r="R20" i="19"/>
  <c r="S20" i="19"/>
  <c r="T20" i="19"/>
  <c r="U20" i="19"/>
  <c r="V20" i="19"/>
  <c r="W20" i="19"/>
  <c r="X20" i="19"/>
  <c r="Y20" i="19"/>
  <c r="Z20" i="19"/>
  <c r="G19" i="19"/>
  <c r="B17" i="19"/>
  <c r="B18" i="19"/>
  <c r="B19" i="19"/>
  <c r="O16" i="19"/>
  <c r="P16" i="19"/>
  <c r="Q16" i="19"/>
  <c r="R16" i="19"/>
  <c r="S16" i="19"/>
  <c r="T16" i="19"/>
  <c r="U16" i="19"/>
  <c r="V16" i="19"/>
  <c r="W16" i="19"/>
  <c r="X16" i="19"/>
  <c r="Y16" i="19"/>
  <c r="O17" i="19"/>
  <c r="P17" i="19"/>
  <c r="Q17" i="19"/>
  <c r="R17" i="19"/>
  <c r="S17" i="19"/>
  <c r="T17" i="19"/>
  <c r="U17" i="19"/>
  <c r="V17" i="19"/>
  <c r="W17" i="19"/>
  <c r="X17" i="19"/>
  <c r="Y17" i="19"/>
  <c r="Z17" i="19"/>
  <c r="AA17" i="19"/>
  <c r="AA11" i="19" s="1"/>
  <c r="A14" i="19"/>
  <c r="AG12" i="19"/>
  <c r="AG13" i="19"/>
  <c r="AD12" i="19"/>
  <c r="AD13" i="19"/>
  <c r="B12" i="19"/>
  <c r="B13" i="19"/>
  <c r="O11" i="19"/>
  <c r="P11" i="19"/>
  <c r="Q11" i="19"/>
  <c r="R11" i="19"/>
  <c r="S11" i="19"/>
  <c r="T11" i="19"/>
  <c r="U11" i="19"/>
  <c r="V11" i="19"/>
  <c r="W11" i="19"/>
  <c r="X11" i="19"/>
  <c r="Y11" i="19"/>
  <c r="Z11" i="19"/>
  <c r="O12" i="19"/>
  <c r="P12" i="19"/>
  <c r="Q12" i="19"/>
  <c r="R12" i="19"/>
  <c r="S12" i="19"/>
  <c r="T12" i="19"/>
  <c r="U12" i="19"/>
  <c r="V12" i="19"/>
  <c r="W12" i="19"/>
  <c r="X12" i="19"/>
  <c r="Y12" i="19"/>
  <c r="Z12" i="19"/>
  <c r="AA12" i="19"/>
  <c r="O13" i="19"/>
  <c r="P13" i="19"/>
  <c r="Q13" i="19"/>
  <c r="R13" i="19"/>
  <c r="S13" i="19"/>
  <c r="T13" i="19"/>
  <c r="U13" i="19"/>
  <c r="V13" i="19"/>
  <c r="W13" i="19"/>
  <c r="X13" i="19"/>
  <c r="Y13" i="19"/>
  <c r="Z13" i="19"/>
  <c r="AA13" i="19"/>
  <c r="C10" i="19"/>
  <c r="D10" i="19"/>
  <c r="Z16" i="19" s="1"/>
  <c r="C9" i="19"/>
  <c r="C1" i="19"/>
  <c r="C2" i="19"/>
  <c r="C3" i="19"/>
  <c r="C4" i="19"/>
  <c r="C5" i="19"/>
  <c r="C6" i="19"/>
  <c r="C7" i="19"/>
  <c r="C8" i="19"/>
  <c r="E6" i="19"/>
  <c r="B58" i="19" s="1"/>
  <c r="E4" i="19"/>
  <c r="F4" i="19"/>
  <c r="B3" i="19"/>
  <c r="B112" i="18"/>
  <c r="B106" i="18"/>
  <c r="B107" i="18"/>
  <c r="B108" i="18"/>
  <c r="A103" i="18"/>
  <c r="B80" i="18"/>
  <c r="B81" i="18"/>
  <c r="B75" i="18"/>
  <c r="B76" i="18"/>
  <c r="B77" i="18"/>
  <c r="A72" i="18"/>
  <c r="AG66" i="18"/>
  <c r="AD66" i="18"/>
  <c r="N66" i="18"/>
  <c r="O66" i="18"/>
  <c r="P66" i="18"/>
  <c r="Q66" i="18"/>
  <c r="R66" i="18"/>
  <c r="S66" i="18"/>
  <c r="T66" i="18"/>
  <c r="U66" i="18"/>
  <c r="V66" i="18"/>
  <c r="W66" i="18"/>
  <c r="X66" i="18"/>
  <c r="Y66" i="18"/>
  <c r="Z66" i="18"/>
  <c r="U67" i="18"/>
  <c r="W67" i="18"/>
  <c r="N63" i="18"/>
  <c r="N64" i="18"/>
  <c r="N67" i="18" s="1"/>
  <c r="AH63" i="18"/>
  <c r="AH64" i="18"/>
  <c r="AE63" i="18"/>
  <c r="AF63" i="18"/>
  <c r="AE64" i="18"/>
  <c r="AA63" i="18"/>
  <c r="AI63" i="18" s="1"/>
  <c r="AB63" i="18"/>
  <c r="AA64" i="18"/>
  <c r="I63" i="18"/>
  <c r="J63" i="18"/>
  <c r="I64" i="18"/>
  <c r="J64" i="18"/>
  <c r="N58" i="18"/>
  <c r="N59" i="18"/>
  <c r="N60" i="18"/>
  <c r="N61" i="18"/>
  <c r="I61" i="18"/>
  <c r="AA61" i="18" s="1"/>
  <c r="J61" i="18"/>
  <c r="AH59" i="18"/>
  <c r="AH60" i="18"/>
  <c r="AI60" i="18"/>
  <c r="AH61" i="18"/>
  <c r="AE59" i="18"/>
  <c r="AE60" i="18"/>
  <c r="AE61" i="18"/>
  <c r="AF61" i="18"/>
  <c r="I59" i="18"/>
  <c r="K59" i="18" s="1"/>
  <c r="J59" i="18"/>
  <c r="L59" i="18"/>
  <c r="M59" i="18"/>
  <c r="I60" i="18"/>
  <c r="AA60" i="18" s="1"/>
  <c r="J60" i="18"/>
  <c r="L60" i="18"/>
  <c r="M60" i="18"/>
  <c r="I58" i="18"/>
  <c r="J58" i="18"/>
  <c r="AH52" i="18"/>
  <c r="AH53" i="18"/>
  <c r="AH54" i="18"/>
  <c r="AH55" i="18"/>
  <c r="AH56" i="18"/>
  <c r="AE52" i="18"/>
  <c r="AE53" i="18"/>
  <c r="AE54" i="18"/>
  <c r="AE55" i="18"/>
  <c r="AE56" i="18"/>
  <c r="AB52" i="18"/>
  <c r="AB53" i="18"/>
  <c r="AB54" i="18"/>
  <c r="AA55" i="18"/>
  <c r="AI55" i="18" s="1"/>
  <c r="AB55" i="18"/>
  <c r="AB56" i="18"/>
  <c r="I52" i="18"/>
  <c r="AA52" i="18" s="1"/>
  <c r="J52" i="18"/>
  <c r="K52" i="18"/>
  <c r="L52" i="18"/>
  <c r="M52" i="18"/>
  <c r="N52" i="18"/>
  <c r="I53" i="18"/>
  <c r="J53" i="18"/>
  <c r="L53" i="18"/>
  <c r="M53" i="18"/>
  <c r="N53" i="18"/>
  <c r="I54" i="18"/>
  <c r="J54" i="18"/>
  <c r="L54" i="18"/>
  <c r="M54" i="18"/>
  <c r="N54" i="18"/>
  <c r="I55" i="18"/>
  <c r="J55" i="18"/>
  <c r="K55" i="18"/>
  <c r="L55" i="18"/>
  <c r="M55" i="18"/>
  <c r="N55" i="18"/>
  <c r="I56" i="18"/>
  <c r="AA56" i="18" s="1"/>
  <c r="J56" i="18"/>
  <c r="L56" i="18"/>
  <c r="M56" i="18"/>
  <c r="N56" i="18"/>
  <c r="B51" i="18"/>
  <c r="B52" i="18"/>
  <c r="N50" i="18"/>
  <c r="N51" i="18"/>
  <c r="I50" i="18"/>
  <c r="J50" i="18"/>
  <c r="I51" i="18"/>
  <c r="J51" i="18"/>
  <c r="AD48" i="18"/>
  <c r="AD67" i="18" s="1"/>
  <c r="AG48" i="18"/>
  <c r="AH48" i="18" s="1"/>
  <c r="N48" i="18"/>
  <c r="O48" i="18"/>
  <c r="O67" i="18" s="1"/>
  <c r="P48" i="18"/>
  <c r="P67" i="18" s="1"/>
  <c r="Q48" i="18"/>
  <c r="Q67" i="18" s="1"/>
  <c r="R48" i="18"/>
  <c r="R67" i="18" s="1"/>
  <c r="S48" i="18"/>
  <c r="S67" i="18" s="1"/>
  <c r="T48" i="18"/>
  <c r="T67" i="18" s="1"/>
  <c r="U48" i="18"/>
  <c r="V48" i="18"/>
  <c r="V67" i="18" s="1"/>
  <c r="W48" i="18"/>
  <c r="X48" i="18"/>
  <c r="X67" i="18" s="1"/>
  <c r="Y48" i="18"/>
  <c r="Y67" i="18" s="1"/>
  <c r="Z48" i="18"/>
  <c r="Z67" i="18" s="1"/>
  <c r="B46" i="18"/>
  <c r="B47" i="18"/>
  <c r="B48" i="18"/>
  <c r="AB42" i="18"/>
  <c r="AB43" i="18"/>
  <c r="AB44" i="18"/>
  <c r="AB45" i="18"/>
  <c r="AB46" i="18"/>
  <c r="AB47" i="18"/>
  <c r="N41" i="18"/>
  <c r="N42" i="18"/>
  <c r="N43" i="18"/>
  <c r="N44" i="18"/>
  <c r="N45" i="18"/>
  <c r="N46" i="18"/>
  <c r="N47" i="18"/>
  <c r="I47" i="18"/>
  <c r="J47" i="18"/>
  <c r="K47" i="18"/>
  <c r="I48" i="18"/>
  <c r="J48" i="18"/>
  <c r="AA46" i="18"/>
  <c r="A43" i="18"/>
  <c r="AH42" i="18"/>
  <c r="AH43" i="18"/>
  <c r="AH44" i="18"/>
  <c r="AH45" i="18"/>
  <c r="AH46" i="18"/>
  <c r="AH47" i="18"/>
  <c r="AI47" i="18"/>
  <c r="AE42" i="18"/>
  <c r="AE43" i="18"/>
  <c r="AE44" i="18"/>
  <c r="AE45" i="18"/>
  <c r="AE46" i="18"/>
  <c r="AE47" i="18"/>
  <c r="AF47" i="18"/>
  <c r="I42" i="18"/>
  <c r="J42" i="18"/>
  <c r="L42" i="18"/>
  <c r="M42" i="18"/>
  <c r="I43" i="18"/>
  <c r="AA43" i="18" s="1"/>
  <c r="J43" i="18"/>
  <c r="K43" i="18"/>
  <c r="L43" i="18"/>
  <c r="M43" i="18"/>
  <c r="I44" i="18"/>
  <c r="AA44" i="18" s="1"/>
  <c r="J44" i="18"/>
  <c r="L44" i="18"/>
  <c r="M44" i="18"/>
  <c r="I45" i="18"/>
  <c r="J45" i="18"/>
  <c r="L45" i="18"/>
  <c r="M45" i="18"/>
  <c r="I46" i="18"/>
  <c r="K46" i="18" s="1"/>
  <c r="J46" i="18"/>
  <c r="L46" i="18"/>
  <c r="M46" i="18"/>
  <c r="I41" i="18"/>
  <c r="J41" i="18"/>
  <c r="AH34" i="18"/>
  <c r="AH35" i="18"/>
  <c r="AH36" i="18"/>
  <c r="AH37" i="18"/>
  <c r="AH38" i="18"/>
  <c r="AH39" i="18"/>
  <c r="AE34" i="18"/>
  <c r="AE35" i="18"/>
  <c r="AE36" i="18"/>
  <c r="AE37" i="18"/>
  <c r="AE38" i="18"/>
  <c r="AE39" i="18"/>
  <c r="I34" i="18"/>
  <c r="J34" i="18"/>
  <c r="L34" i="18"/>
  <c r="M34" i="18"/>
  <c r="N34" i="18"/>
  <c r="I35" i="18"/>
  <c r="AA35" i="18" s="1"/>
  <c r="J35" i="18"/>
  <c r="L35" i="18"/>
  <c r="M35" i="18"/>
  <c r="N35" i="18"/>
  <c r="I36" i="18"/>
  <c r="K36" i="18" s="1"/>
  <c r="J36" i="18"/>
  <c r="L36" i="18"/>
  <c r="M36" i="18"/>
  <c r="N36" i="18"/>
  <c r="I37" i="18"/>
  <c r="J37" i="18"/>
  <c r="L37" i="18"/>
  <c r="M37" i="18"/>
  <c r="N37" i="18"/>
  <c r="I38" i="18"/>
  <c r="J38" i="18"/>
  <c r="L38" i="18"/>
  <c r="M38" i="18"/>
  <c r="N38" i="18"/>
  <c r="I39" i="18"/>
  <c r="AA39" i="18" s="1"/>
  <c r="J39" i="18"/>
  <c r="K39" i="18"/>
  <c r="L39" i="18"/>
  <c r="M39" i="18"/>
  <c r="N39" i="18"/>
  <c r="N33" i="18"/>
  <c r="I33" i="18"/>
  <c r="J33" i="18"/>
  <c r="AG32" i="18"/>
  <c r="AD32" i="18"/>
  <c r="O32" i="18"/>
  <c r="P32" i="18"/>
  <c r="Q32" i="18"/>
  <c r="R32" i="18"/>
  <c r="S32" i="18"/>
  <c r="T32" i="18"/>
  <c r="U32" i="18"/>
  <c r="V32" i="18"/>
  <c r="W32" i="18"/>
  <c r="X32" i="18"/>
  <c r="Y32" i="18"/>
  <c r="Z32" i="18"/>
  <c r="AG31" i="18"/>
  <c r="AD31" i="18"/>
  <c r="O31" i="18"/>
  <c r="P31" i="18"/>
  <c r="Q31" i="18"/>
  <c r="R31" i="18"/>
  <c r="S31" i="18"/>
  <c r="T31" i="18"/>
  <c r="U31" i="18"/>
  <c r="V31" i="18"/>
  <c r="W31" i="18"/>
  <c r="X31" i="18"/>
  <c r="Y31" i="18"/>
  <c r="Z31" i="18"/>
  <c r="AA31" i="18"/>
  <c r="N26" i="18"/>
  <c r="N27" i="18"/>
  <c r="N28" i="18"/>
  <c r="N29" i="18"/>
  <c r="B22" i="18"/>
  <c r="B23" i="18"/>
  <c r="AG16" i="18"/>
  <c r="AG19" i="18"/>
  <c r="AD19" i="18"/>
  <c r="N19" i="18"/>
  <c r="O19" i="18"/>
  <c r="P19" i="18"/>
  <c r="Q19" i="18"/>
  <c r="R19" i="18"/>
  <c r="S19" i="18"/>
  <c r="T19" i="18"/>
  <c r="U19" i="18"/>
  <c r="V19" i="18"/>
  <c r="W19" i="18"/>
  <c r="X19" i="18"/>
  <c r="Y19" i="18"/>
  <c r="Z19" i="18"/>
  <c r="AA19" i="18"/>
  <c r="G19" i="18"/>
  <c r="B17" i="18"/>
  <c r="B18" i="18"/>
  <c r="B19" i="18"/>
  <c r="O16" i="18"/>
  <c r="P16" i="18"/>
  <c r="Q16" i="18"/>
  <c r="R16" i="18"/>
  <c r="S16" i="18"/>
  <c r="T16" i="18"/>
  <c r="U16" i="18"/>
  <c r="V16" i="18"/>
  <c r="W16" i="18"/>
  <c r="X16" i="18"/>
  <c r="Y16" i="18"/>
  <c r="Z16" i="18"/>
  <c r="AA16" i="18"/>
  <c r="O17" i="18"/>
  <c r="P17" i="18"/>
  <c r="Q17" i="18"/>
  <c r="R17" i="18"/>
  <c r="S17" i="18"/>
  <c r="T17" i="18"/>
  <c r="U17" i="18"/>
  <c r="V17" i="18"/>
  <c r="W17" i="18"/>
  <c r="X17" i="18"/>
  <c r="Y17" i="18"/>
  <c r="Z17" i="18"/>
  <c r="AA17" i="18" s="1"/>
  <c r="AA11" i="18" s="1"/>
  <c r="A14" i="18"/>
  <c r="AG12" i="18"/>
  <c r="AG13" i="18"/>
  <c r="AD12" i="18"/>
  <c r="AD13" i="18"/>
  <c r="B12" i="18"/>
  <c r="B13" i="18"/>
  <c r="O11" i="18"/>
  <c r="P11" i="18"/>
  <c r="Q11" i="18"/>
  <c r="R11" i="18"/>
  <c r="S11" i="18"/>
  <c r="T11" i="18"/>
  <c r="U11" i="18"/>
  <c r="V11" i="18"/>
  <c r="W11" i="18"/>
  <c r="X11" i="18"/>
  <c r="Y11" i="18"/>
  <c r="Z11" i="18"/>
  <c r="O12" i="18"/>
  <c r="P12" i="18"/>
  <c r="Q12" i="18"/>
  <c r="R12" i="18"/>
  <c r="S12" i="18"/>
  <c r="T12" i="18"/>
  <c r="U12" i="18"/>
  <c r="V12" i="18"/>
  <c r="W12" i="18"/>
  <c r="X12" i="18"/>
  <c r="Y12" i="18"/>
  <c r="Z12" i="18"/>
  <c r="AA12" i="18"/>
  <c r="O13" i="18"/>
  <c r="P13" i="18"/>
  <c r="Q13" i="18"/>
  <c r="R13" i="18"/>
  <c r="S13" i="18"/>
  <c r="T13" i="18"/>
  <c r="U13" i="18"/>
  <c r="V13" i="18"/>
  <c r="W13" i="18"/>
  <c r="X13" i="18"/>
  <c r="Y13" i="18"/>
  <c r="Z13" i="18"/>
  <c r="AA13" i="18"/>
  <c r="C10" i="18"/>
  <c r="D10" i="18"/>
  <c r="C9" i="18"/>
  <c r="C1" i="18"/>
  <c r="C2" i="18"/>
  <c r="C3" i="18"/>
  <c r="C4" i="18"/>
  <c r="C5" i="18"/>
  <c r="C6" i="18"/>
  <c r="C7" i="18"/>
  <c r="C8" i="18"/>
  <c r="E6" i="18"/>
  <c r="E4" i="18"/>
  <c r="F4" i="18"/>
  <c r="B3" i="18"/>
  <c r="AC60" i="24"/>
  <c r="AF60" i="24"/>
  <c r="M60" i="24"/>
  <c r="N60" i="24"/>
  <c r="O60" i="24"/>
  <c r="P60" i="24"/>
  <c r="P62" i="24" s="1"/>
  <c r="Q60" i="24"/>
  <c r="R60" i="24"/>
  <c r="S60" i="24"/>
  <c r="T60" i="24"/>
  <c r="U60" i="24"/>
  <c r="U62" i="24" s="1"/>
  <c r="V60" i="24"/>
  <c r="V62" i="24" s="1"/>
  <c r="W60" i="24"/>
  <c r="X60" i="24"/>
  <c r="X62" i="24" s="1"/>
  <c r="Y60" i="24"/>
  <c r="I60" i="24"/>
  <c r="J60" i="24"/>
  <c r="M51" i="24"/>
  <c r="M62" i="24" s="1"/>
  <c r="M52" i="24"/>
  <c r="M53" i="24"/>
  <c r="M54" i="24"/>
  <c r="M55" i="24"/>
  <c r="M56" i="24"/>
  <c r="M57" i="24"/>
  <c r="AC52" i="24"/>
  <c r="AD52" i="24"/>
  <c r="AF52" i="24"/>
  <c r="AC53" i="24"/>
  <c r="AF53" i="24"/>
  <c r="AC54" i="24"/>
  <c r="AD54" i="24" s="1"/>
  <c r="AF54" i="24"/>
  <c r="AG54" i="24" s="1"/>
  <c r="AC55" i="24"/>
  <c r="AJ55" i="24" s="1"/>
  <c r="AF55" i="24"/>
  <c r="AC56" i="24"/>
  <c r="AD56" i="24"/>
  <c r="AF56" i="24"/>
  <c r="AG56" i="24" s="1"/>
  <c r="AJ56" i="24"/>
  <c r="AK56" i="24"/>
  <c r="AC57" i="24"/>
  <c r="AJ57" i="24" s="1"/>
  <c r="AD57" i="24"/>
  <c r="AF57" i="24"/>
  <c r="AG57" i="24"/>
  <c r="N52" i="24"/>
  <c r="O52" i="24"/>
  <c r="P52" i="24"/>
  <c r="Q52" i="24"/>
  <c r="R52" i="24"/>
  <c r="S52" i="24"/>
  <c r="T52" i="24"/>
  <c r="U52" i="24"/>
  <c r="V52" i="24"/>
  <c r="W52" i="24"/>
  <c r="X52" i="24"/>
  <c r="Y52" i="24"/>
  <c r="N53" i="24"/>
  <c r="O53" i="24"/>
  <c r="P53" i="24"/>
  <c r="Q53" i="24"/>
  <c r="R53" i="24"/>
  <c r="S53" i="24"/>
  <c r="T53" i="24"/>
  <c r="U53" i="24"/>
  <c r="V53" i="24"/>
  <c r="W53" i="24"/>
  <c r="X53" i="24"/>
  <c r="Y53" i="24"/>
  <c r="N54" i="24"/>
  <c r="O54" i="24"/>
  <c r="P54" i="24"/>
  <c r="Q54" i="24"/>
  <c r="R54" i="24"/>
  <c r="S54" i="24"/>
  <c r="T54" i="24"/>
  <c r="U54" i="24"/>
  <c r="V54" i="24"/>
  <c r="W54" i="24"/>
  <c r="X54" i="24"/>
  <c r="Y54" i="24"/>
  <c r="N55" i="24"/>
  <c r="O55" i="24"/>
  <c r="P55" i="24"/>
  <c r="Q55" i="24"/>
  <c r="R55" i="24"/>
  <c r="S55" i="24"/>
  <c r="T55" i="24"/>
  <c r="U55" i="24"/>
  <c r="V55" i="24"/>
  <c r="W55" i="24"/>
  <c r="X55" i="24"/>
  <c r="Y55" i="24"/>
  <c r="N56" i="24"/>
  <c r="O56" i="24"/>
  <c r="P56" i="24"/>
  <c r="Q56" i="24"/>
  <c r="R56" i="24"/>
  <c r="S56" i="24"/>
  <c r="T56" i="24"/>
  <c r="U56" i="24"/>
  <c r="V56" i="24"/>
  <c r="W56" i="24"/>
  <c r="X56" i="24"/>
  <c r="Y56" i="24"/>
  <c r="N57" i="24"/>
  <c r="O57" i="24"/>
  <c r="P57" i="24"/>
  <c r="Q57" i="24"/>
  <c r="R57" i="24"/>
  <c r="S57" i="24"/>
  <c r="T57" i="24"/>
  <c r="U57" i="24"/>
  <c r="V57" i="24"/>
  <c r="W57" i="24"/>
  <c r="X57" i="24"/>
  <c r="Y57" i="24"/>
  <c r="R58" i="24"/>
  <c r="I51" i="24"/>
  <c r="J51" i="24"/>
  <c r="I52" i="24"/>
  <c r="J52" i="24"/>
  <c r="I53" i="24"/>
  <c r="J53" i="24"/>
  <c r="I54" i="24"/>
  <c r="J54" i="24"/>
  <c r="I55" i="24"/>
  <c r="J55" i="24"/>
  <c r="I56" i="24"/>
  <c r="J56" i="24"/>
  <c r="I57" i="24"/>
  <c r="J57" i="24"/>
  <c r="AC49" i="24"/>
  <c r="AF49" i="24"/>
  <c r="AK49" i="24" s="1"/>
  <c r="AG49" i="24"/>
  <c r="N49" i="24"/>
  <c r="O49" i="24"/>
  <c r="P49" i="24"/>
  <c r="Q49" i="24"/>
  <c r="R49" i="24"/>
  <c r="S49" i="24"/>
  <c r="T49" i="24"/>
  <c r="U49" i="24"/>
  <c r="V49" i="24"/>
  <c r="W49" i="24"/>
  <c r="X49" i="24"/>
  <c r="Y49" i="24"/>
  <c r="M42" i="24"/>
  <c r="M43" i="24"/>
  <c r="M44" i="24"/>
  <c r="M45" i="24"/>
  <c r="M46" i="24"/>
  <c r="M47" i="24"/>
  <c r="M48" i="24"/>
  <c r="AG43" i="24"/>
  <c r="AK43" i="24"/>
  <c r="AG44" i="24"/>
  <c r="AG45" i="24"/>
  <c r="AG46" i="24"/>
  <c r="AK46" i="24"/>
  <c r="AG47" i="24"/>
  <c r="AG48" i="24"/>
  <c r="AD43" i="24"/>
  <c r="AD44" i="24"/>
  <c r="AD45" i="24"/>
  <c r="AD46" i="24"/>
  <c r="AD47" i="24"/>
  <c r="AD48" i="24"/>
  <c r="AA44" i="24"/>
  <c r="Z46" i="24"/>
  <c r="Z47" i="24"/>
  <c r="AE47" i="24" s="1"/>
  <c r="I42" i="24"/>
  <c r="J42" i="24"/>
  <c r="I43" i="24"/>
  <c r="Z43" i="24" s="1"/>
  <c r="AH43" i="24" s="1"/>
  <c r="J43" i="24"/>
  <c r="I44" i="24"/>
  <c r="Z44" i="24" s="1"/>
  <c r="J44" i="24"/>
  <c r="I45" i="24"/>
  <c r="Z45" i="24" s="1"/>
  <c r="J45" i="24"/>
  <c r="I46" i="24"/>
  <c r="J46" i="24"/>
  <c r="I47" i="24"/>
  <c r="J47" i="24"/>
  <c r="I48" i="24"/>
  <c r="Z48" i="24" s="1"/>
  <c r="J48" i="24"/>
  <c r="AC40" i="24"/>
  <c r="AF40" i="24"/>
  <c r="AK40" i="24" s="1"/>
  <c r="N40" i="24"/>
  <c r="O40" i="24"/>
  <c r="P40" i="24"/>
  <c r="Q40" i="24"/>
  <c r="Q62" i="24" s="1"/>
  <c r="R40" i="24"/>
  <c r="S40" i="24"/>
  <c r="T40" i="24"/>
  <c r="U40" i="24"/>
  <c r="V40" i="24"/>
  <c r="W40" i="24"/>
  <c r="X40" i="24"/>
  <c r="Y40" i="24"/>
  <c r="Y62" i="24" s="1"/>
  <c r="M33" i="24"/>
  <c r="M34" i="24"/>
  <c r="M35" i="24"/>
  <c r="M36" i="24"/>
  <c r="M37" i="24"/>
  <c r="M38" i="24"/>
  <c r="M39" i="24"/>
  <c r="AG34" i="24"/>
  <c r="AG35" i="24"/>
  <c r="AG36" i="24"/>
  <c r="AG37" i="24"/>
  <c r="AJ37" i="24"/>
  <c r="AK37" i="24"/>
  <c r="AG38" i="24"/>
  <c r="AJ38" i="24"/>
  <c r="AD34" i="24"/>
  <c r="AD35" i="24"/>
  <c r="AD36" i="24"/>
  <c r="AD37" i="24"/>
  <c r="AD38" i="24"/>
  <c r="Z35" i="24"/>
  <c r="AE35" i="24" s="1"/>
  <c r="Z39" i="24"/>
  <c r="I34" i="24"/>
  <c r="J34" i="24"/>
  <c r="I35" i="24"/>
  <c r="J35" i="24"/>
  <c r="K35" i="24"/>
  <c r="I36" i="24"/>
  <c r="J36" i="24"/>
  <c r="I37" i="24"/>
  <c r="J37" i="24"/>
  <c r="I38" i="24"/>
  <c r="Z38" i="24" s="1"/>
  <c r="J38" i="24"/>
  <c r="I39" i="24"/>
  <c r="K39" i="24" s="1"/>
  <c r="J39" i="24"/>
  <c r="I33" i="24"/>
  <c r="J33" i="24"/>
  <c r="AJ32" i="24"/>
  <c r="AF32" i="24"/>
  <c r="AK32" i="24" s="1"/>
  <c r="AC32" i="24"/>
  <c r="N32" i="24"/>
  <c r="O32" i="24"/>
  <c r="P32" i="24"/>
  <c r="Q32" i="24"/>
  <c r="R32" i="24"/>
  <c r="S32" i="24"/>
  <c r="T32" i="24"/>
  <c r="U32" i="24"/>
  <c r="V32" i="24"/>
  <c r="W32" i="24"/>
  <c r="X32" i="24"/>
  <c r="Y32" i="24"/>
  <c r="AI32" i="24" s="1"/>
  <c r="AI31" i="24"/>
  <c r="AJ31" i="24"/>
  <c r="AL31" i="24" s="1"/>
  <c r="AK31" i="24"/>
  <c r="AM31" i="24" s="1"/>
  <c r="AF31" i="24"/>
  <c r="AC31" i="24"/>
  <c r="N31" i="24"/>
  <c r="O31" i="24"/>
  <c r="P31" i="24"/>
  <c r="Q31" i="24"/>
  <c r="R31" i="24"/>
  <c r="S31" i="24"/>
  <c r="T31" i="24"/>
  <c r="U31" i="24"/>
  <c r="V31" i="24"/>
  <c r="W31" i="24"/>
  <c r="X31" i="24"/>
  <c r="Y31" i="24"/>
  <c r="Z31" i="24"/>
  <c r="M26" i="24"/>
  <c r="M27" i="24"/>
  <c r="M28" i="24"/>
  <c r="M29" i="24"/>
  <c r="B22" i="24"/>
  <c r="B23" i="24"/>
  <c r="AF16" i="24"/>
  <c r="AF19" i="24"/>
  <c r="AG39" i="24" s="1"/>
  <c r="AF20" i="24"/>
  <c r="AK57" i="24" s="1"/>
  <c r="AC19" i="24"/>
  <c r="AD39" i="24" s="1"/>
  <c r="AC20" i="24"/>
  <c r="AJ44" i="24" s="1"/>
  <c r="M19" i="24"/>
  <c r="N19" i="24"/>
  <c r="O19" i="24"/>
  <c r="P19" i="24"/>
  <c r="Q19" i="24"/>
  <c r="R19" i="24"/>
  <c r="S19" i="24"/>
  <c r="T19" i="24"/>
  <c r="U19" i="24"/>
  <c r="V19" i="24"/>
  <c r="W19" i="24"/>
  <c r="X19" i="24"/>
  <c r="Y19" i="24"/>
  <c r="M20" i="24"/>
  <c r="N20" i="24"/>
  <c r="O20" i="24"/>
  <c r="P20" i="24"/>
  <c r="Q20" i="24"/>
  <c r="R20" i="24"/>
  <c r="S20" i="24"/>
  <c r="T20" i="24"/>
  <c r="U20" i="24"/>
  <c r="V20" i="24"/>
  <c r="W20" i="24"/>
  <c r="X20" i="24"/>
  <c r="Y20" i="24"/>
  <c r="G19" i="24"/>
  <c r="B17" i="24"/>
  <c r="B18" i="24"/>
  <c r="B19" i="24"/>
  <c r="N17" i="24"/>
  <c r="O17" i="24"/>
  <c r="P17" i="24"/>
  <c r="Q17" i="24"/>
  <c r="R17" i="24"/>
  <c r="S17" i="24"/>
  <c r="T17" i="24"/>
  <c r="U17" i="24"/>
  <c r="V17" i="24"/>
  <c r="W17" i="24"/>
  <c r="X17" i="24"/>
  <c r="Y17" i="24"/>
  <c r="N16" i="24"/>
  <c r="O16" i="24"/>
  <c r="P16" i="24"/>
  <c r="Q16" i="24"/>
  <c r="R16" i="24"/>
  <c r="S16" i="24"/>
  <c r="T16" i="24"/>
  <c r="U16" i="24"/>
  <c r="V16" i="24"/>
  <c r="W16" i="24"/>
  <c r="X16" i="24"/>
  <c r="A14" i="24"/>
  <c r="AF12" i="24"/>
  <c r="AF13" i="24"/>
  <c r="AC12" i="24"/>
  <c r="AC13" i="24"/>
  <c r="B12" i="24"/>
  <c r="B13" i="24"/>
  <c r="N12" i="24"/>
  <c r="O12" i="24"/>
  <c r="P12" i="24"/>
  <c r="Q12" i="24"/>
  <c r="R12" i="24"/>
  <c r="S12" i="24"/>
  <c r="T12" i="24"/>
  <c r="U12" i="24"/>
  <c r="V12" i="24"/>
  <c r="W12" i="24"/>
  <c r="X12" i="24"/>
  <c r="Y12" i="24"/>
  <c r="Z12" i="24"/>
  <c r="N13" i="24"/>
  <c r="O13" i="24"/>
  <c r="P13" i="24"/>
  <c r="Q13" i="24"/>
  <c r="R13" i="24"/>
  <c r="S13" i="24"/>
  <c r="T13" i="24"/>
  <c r="U13" i="24"/>
  <c r="V13" i="24"/>
  <c r="W13" i="24"/>
  <c r="X13" i="24"/>
  <c r="Y13" i="24"/>
  <c r="Z13" i="24"/>
  <c r="N11" i="24"/>
  <c r="O11" i="24"/>
  <c r="P11" i="24"/>
  <c r="Q11" i="24"/>
  <c r="R11" i="24"/>
  <c r="S11" i="24"/>
  <c r="T11" i="24"/>
  <c r="U11" i="24"/>
  <c r="V11" i="24"/>
  <c r="W11" i="24"/>
  <c r="X11" i="24"/>
  <c r="Y11" i="24"/>
  <c r="C10" i="24"/>
  <c r="D10" i="24"/>
  <c r="C9" i="24"/>
  <c r="C1" i="24"/>
  <c r="C2" i="24"/>
  <c r="C3" i="24"/>
  <c r="C4" i="24"/>
  <c r="C5" i="24"/>
  <c r="C6" i="24"/>
  <c r="C7" i="24"/>
  <c r="C8" i="24"/>
  <c r="E6" i="24"/>
  <c r="E4" i="24"/>
  <c r="F4" i="24"/>
  <c r="B3" i="24"/>
  <c r="B118" i="15"/>
  <c r="B112" i="15"/>
  <c r="B113" i="15"/>
  <c r="B114" i="15"/>
  <c r="A109" i="15"/>
  <c r="B86" i="15"/>
  <c r="B87" i="15"/>
  <c r="B81" i="15"/>
  <c r="B82" i="15"/>
  <c r="B83" i="15"/>
  <c r="A78" i="15"/>
  <c r="AG75" i="15"/>
  <c r="AD75" i="15"/>
  <c r="O75" i="15"/>
  <c r="P75" i="15"/>
  <c r="Q75" i="15"/>
  <c r="R75" i="15"/>
  <c r="S75" i="15"/>
  <c r="T75" i="15"/>
  <c r="U75" i="15"/>
  <c r="V75" i="15"/>
  <c r="W75" i="15"/>
  <c r="X75" i="15"/>
  <c r="Y75" i="15"/>
  <c r="Z75" i="15"/>
  <c r="N72" i="15"/>
  <c r="N75" i="15" s="1"/>
  <c r="N73" i="15"/>
  <c r="N76" i="15" s="1"/>
  <c r="AH72" i="15"/>
  <c r="AK72" i="15"/>
  <c r="I72" i="15"/>
  <c r="AA72" i="15" s="1"/>
  <c r="J72" i="15"/>
  <c r="I73" i="15"/>
  <c r="AA73" i="15" s="1"/>
  <c r="J73" i="15"/>
  <c r="N67" i="15"/>
  <c r="N68" i="15"/>
  <c r="N69" i="15"/>
  <c r="N70" i="15"/>
  <c r="I70" i="15"/>
  <c r="AA70" i="15" s="1"/>
  <c r="AF70" i="15" s="1"/>
  <c r="J70" i="15"/>
  <c r="AH68" i="15"/>
  <c r="AK68" i="15"/>
  <c r="AH69" i="15"/>
  <c r="AH70" i="15"/>
  <c r="AE68" i="15"/>
  <c r="AE69" i="15"/>
  <c r="AE70" i="15"/>
  <c r="AA68" i="15"/>
  <c r="I68" i="15"/>
  <c r="K68" i="15" s="1"/>
  <c r="J68" i="15"/>
  <c r="L68" i="15"/>
  <c r="M68" i="15"/>
  <c r="I69" i="15"/>
  <c r="K69" i="15" s="1"/>
  <c r="J69" i="15"/>
  <c r="L69" i="15"/>
  <c r="M69" i="15"/>
  <c r="I67" i="15"/>
  <c r="J67" i="15"/>
  <c r="AH55" i="15"/>
  <c r="AH56" i="15"/>
  <c r="AH57" i="15"/>
  <c r="AH58" i="15"/>
  <c r="AH59" i="15"/>
  <c r="AH60" i="15"/>
  <c r="AH61" i="15"/>
  <c r="AH62" i="15"/>
  <c r="AH63" i="15"/>
  <c r="AH64" i="15"/>
  <c r="AK64" i="15"/>
  <c r="AH65" i="15"/>
  <c r="AK65" i="15"/>
  <c r="AE55" i="15"/>
  <c r="AE56" i="15"/>
  <c r="AE57" i="15"/>
  <c r="AE61" i="15"/>
  <c r="AE64" i="15"/>
  <c r="AA61" i="15"/>
  <c r="AA62" i="15"/>
  <c r="I55" i="15"/>
  <c r="J55" i="15"/>
  <c r="L55" i="15"/>
  <c r="M55" i="15"/>
  <c r="N55" i="15"/>
  <c r="I56" i="15"/>
  <c r="AA56" i="15" s="1"/>
  <c r="J56" i="15"/>
  <c r="L56" i="15"/>
  <c r="M56" i="15"/>
  <c r="N56" i="15"/>
  <c r="I57" i="15"/>
  <c r="AA57" i="15" s="1"/>
  <c r="AI57" i="15" s="1"/>
  <c r="J57" i="15"/>
  <c r="L57" i="15"/>
  <c r="M57" i="15"/>
  <c r="N57" i="15"/>
  <c r="I58" i="15"/>
  <c r="J58" i="15"/>
  <c r="L58" i="15"/>
  <c r="M58" i="15"/>
  <c r="N58" i="15"/>
  <c r="I59" i="15"/>
  <c r="J59" i="15"/>
  <c r="L59" i="15"/>
  <c r="M59" i="15"/>
  <c r="N59" i="15"/>
  <c r="I60" i="15"/>
  <c r="AA60" i="15" s="1"/>
  <c r="J60" i="15"/>
  <c r="K60" i="15"/>
  <c r="L60" i="15"/>
  <c r="M60" i="15"/>
  <c r="N60" i="15"/>
  <c r="I61" i="15"/>
  <c r="J61" i="15"/>
  <c r="K61" i="15" s="1"/>
  <c r="L61" i="15"/>
  <c r="M61" i="15"/>
  <c r="N61" i="15"/>
  <c r="I62" i="15"/>
  <c r="K62" i="15" s="1"/>
  <c r="J62" i="15"/>
  <c r="L62" i="15"/>
  <c r="M62" i="15"/>
  <c r="N62" i="15"/>
  <c r="I63" i="15"/>
  <c r="J63" i="15"/>
  <c r="L63" i="15"/>
  <c r="M63" i="15"/>
  <c r="N63" i="15"/>
  <c r="I64" i="15"/>
  <c r="AA64" i="15" s="1"/>
  <c r="J64" i="15"/>
  <c r="L64" i="15"/>
  <c r="M64" i="15"/>
  <c r="N64" i="15"/>
  <c r="I65" i="15"/>
  <c r="J65" i="15"/>
  <c r="L65" i="15"/>
  <c r="M65" i="15"/>
  <c r="N65" i="15"/>
  <c r="B54" i="15"/>
  <c r="B55" i="15"/>
  <c r="N53" i="15"/>
  <c r="N54" i="15"/>
  <c r="I53" i="15"/>
  <c r="J53" i="15"/>
  <c r="I54" i="15"/>
  <c r="J54" i="15"/>
  <c r="AD51" i="15"/>
  <c r="AG51" i="15"/>
  <c r="AG76" i="15" s="1"/>
  <c r="N51" i="15"/>
  <c r="O51" i="15"/>
  <c r="O76" i="15" s="1"/>
  <c r="P51" i="15"/>
  <c r="P76" i="15" s="1"/>
  <c r="Q51" i="15"/>
  <c r="Q76" i="15" s="1"/>
  <c r="R51" i="15"/>
  <c r="R76" i="15" s="1"/>
  <c r="S51" i="15"/>
  <c r="S76" i="15" s="1"/>
  <c r="T51" i="15"/>
  <c r="T76" i="15" s="1"/>
  <c r="U51" i="15"/>
  <c r="U76" i="15" s="1"/>
  <c r="V51" i="15"/>
  <c r="V76" i="15" s="1"/>
  <c r="W51" i="15"/>
  <c r="W76" i="15" s="1"/>
  <c r="X51" i="15"/>
  <c r="X76" i="15" s="1"/>
  <c r="Y51" i="15"/>
  <c r="Y76" i="15" s="1"/>
  <c r="Z51" i="15"/>
  <c r="Z76" i="15" s="1"/>
  <c r="B49" i="15"/>
  <c r="B50" i="15"/>
  <c r="B51" i="15"/>
  <c r="AB45" i="15"/>
  <c r="AB46" i="15"/>
  <c r="AB47" i="15"/>
  <c r="AB48" i="15"/>
  <c r="AB49" i="15"/>
  <c r="AM49" i="15" s="1"/>
  <c r="AB50" i="15"/>
  <c r="N43" i="15"/>
  <c r="N44" i="15"/>
  <c r="N45" i="15"/>
  <c r="N46" i="15"/>
  <c r="N47" i="15"/>
  <c r="N48" i="15"/>
  <c r="N49" i="15"/>
  <c r="N50" i="15"/>
  <c r="I50" i="15"/>
  <c r="K50" i="15" s="1"/>
  <c r="J50" i="15"/>
  <c r="I51" i="15"/>
  <c r="J51" i="15"/>
  <c r="AA48" i="15"/>
  <c r="AA49" i="15"/>
  <c r="AF49" i="15" s="1"/>
  <c r="A46" i="15"/>
  <c r="AH45" i="15"/>
  <c r="AN45" i="15" s="1"/>
  <c r="AH46" i="15"/>
  <c r="AH47" i="15"/>
  <c r="AH48" i="15"/>
  <c r="AK48" i="15"/>
  <c r="AH49" i="15"/>
  <c r="AI49" i="15"/>
  <c r="AH50" i="15"/>
  <c r="AI50" i="15"/>
  <c r="AK50" i="15"/>
  <c r="AE45" i="15"/>
  <c r="AM45" i="15" s="1"/>
  <c r="AE46" i="15"/>
  <c r="AE47" i="15"/>
  <c r="AE48" i="15"/>
  <c r="AE49" i="15"/>
  <c r="AE50" i="15"/>
  <c r="AM50" i="15" s="1"/>
  <c r="AF50" i="15"/>
  <c r="I45" i="15"/>
  <c r="AA45" i="15" s="1"/>
  <c r="J45" i="15"/>
  <c r="L45" i="15"/>
  <c r="M45" i="15"/>
  <c r="I46" i="15"/>
  <c r="AA46" i="15" s="1"/>
  <c r="J46" i="15"/>
  <c r="K46" i="15"/>
  <c r="L46" i="15"/>
  <c r="M46" i="15"/>
  <c r="I47" i="15"/>
  <c r="J47" i="15"/>
  <c r="L47" i="15"/>
  <c r="M47" i="15"/>
  <c r="I48" i="15"/>
  <c r="K48" i="15" s="1"/>
  <c r="J48" i="15"/>
  <c r="L48" i="15"/>
  <c r="M48" i="15"/>
  <c r="I49" i="15"/>
  <c r="J49" i="15"/>
  <c r="K49" i="15"/>
  <c r="L49" i="15"/>
  <c r="M49" i="15"/>
  <c r="I43" i="15"/>
  <c r="J43" i="15"/>
  <c r="I44" i="15"/>
  <c r="J44" i="15"/>
  <c r="AK35" i="15"/>
  <c r="AK36" i="15"/>
  <c r="AH37" i="15"/>
  <c r="AK37" i="15"/>
  <c r="AK38" i="15"/>
  <c r="AH40" i="15"/>
  <c r="AK41" i="15"/>
  <c r="AE35" i="15"/>
  <c r="AE36" i="15"/>
  <c r="AE37" i="15"/>
  <c r="AE39" i="15"/>
  <c r="AE40" i="15"/>
  <c r="AA38" i="15"/>
  <c r="I35" i="15"/>
  <c r="J35" i="15"/>
  <c r="L35" i="15"/>
  <c r="M35" i="15"/>
  <c r="N35" i="15"/>
  <c r="I36" i="15"/>
  <c r="J36" i="15"/>
  <c r="L36" i="15"/>
  <c r="M36" i="15"/>
  <c r="N36" i="15"/>
  <c r="I37" i="15"/>
  <c r="AA37" i="15" s="1"/>
  <c r="AB37" i="15" s="1"/>
  <c r="AM37" i="15" s="1"/>
  <c r="J37" i="15"/>
  <c r="L37" i="15"/>
  <c r="M37" i="15"/>
  <c r="N37" i="15"/>
  <c r="I38" i="15"/>
  <c r="J38" i="15"/>
  <c r="K38" i="15"/>
  <c r="L38" i="15"/>
  <c r="M38" i="15"/>
  <c r="N38" i="15"/>
  <c r="I39" i="15"/>
  <c r="J39" i="15"/>
  <c r="L39" i="15"/>
  <c r="M39" i="15"/>
  <c r="N39" i="15"/>
  <c r="I40" i="15"/>
  <c r="AA40" i="15" s="1"/>
  <c r="AI40" i="15" s="1"/>
  <c r="J40" i="15"/>
  <c r="K40" i="15"/>
  <c r="L40" i="15"/>
  <c r="M40" i="15"/>
  <c r="N40" i="15"/>
  <c r="I41" i="15"/>
  <c r="AA41" i="15" s="1"/>
  <c r="J41" i="15"/>
  <c r="K41" i="15"/>
  <c r="L41" i="15"/>
  <c r="M41" i="15"/>
  <c r="N41" i="15"/>
  <c r="N33" i="15"/>
  <c r="I33" i="15"/>
  <c r="J33" i="15"/>
  <c r="AK32" i="15"/>
  <c r="AG32" i="15"/>
  <c r="AL32" i="15" s="1"/>
  <c r="AD32" i="15"/>
  <c r="O32" i="15"/>
  <c r="P32" i="15"/>
  <c r="Q32" i="15"/>
  <c r="R32" i="15"/>
  <c r="S32" i="15"/>
  <c r="T32" i="15"/>
  <c r="U32" i="15"/>
  <c r="V32" i="15"/>
  <c r="W32" i="15"/>
  <c r="X32" i="15"/>
  <c r="Y32" i="15"/>
  <c r="Z32" i="15"/>
  <c r="AJ32" i="15" s="1"/>
  <c r="AJ31" i="15"/>
  <c r="AK31" i="15"/>
  <c r="AM31" i="15" s="1"/>
  <c r="AL31" i="15"/>
  <c r="AN31" i="15" s="1"/>
  <c r="AG31" i="15"/>
  <c r="AD31" i="15"/>
  <c r="O31" i="15"/>
  <c r="P31" i="15"/>
  <c r="Q31" i="15"/>
  <c r="R31" i="15"/>
  <c r="S31" i="15"/>
  <c r="T31" i="15"/>
  <c r="U31" i="15"/>
  <c r="V31" i="15"/>
  <c r="W31" i="15"/>
  <c r="X31" i="15"/>
  <c r="Y31" i="15"/>
  <c r="Z31" i="15"/>
  <c r="AA31" i="15"/>
  <c r="N26" i="15"/>
  <c r="N27" i="15"/>
  <c r="N28" i="15"/>
  <c r="N29" i="15"/>
  <c r="B29" i="15"/>
  <c r="B22" i="15"/>
  <c r="B23" i="15"/>
  <c r="AG16" i="15"/>
  <c r="AG19" i="15"/>
  <c r="AH51" i="15" s="1"/>
  <c r="AG20" i="15"/>
  <c r="AL50" i="15" s="1"/>
  <c r="AD19" i="15"/>
  <c r="AE72" i="15" s="1"/>
  <c r="AD20" i="15"/>
  <c r="AK70" i="15" s="1"/>
  <c r="N19" i="15"/>
  <c r="O19" i="15"/>
  <c r="P19" i="15"/>
  <c r="Q19" i="15"/>
  <c r="R19" i="15"/>
  <c r="S19" i="15"/>
  <c r="T19" i="15"/>
  <c r="U19" i="15"/>
  <c r="V19" i="15"/>
  <c r="W19" i="15"/>
  <c r="X19" i="15"/>
  <c r="Y19" i="15"/>
  <c r="Z19" i="15"/>
  <c r="N20" i="15"/>
  <c r="O20" i="15"/>
  <c r="P20" i="15"/>
  <c r="Q20" i="15"/>
  <c r="R20" i="15"/>
  <c r="S20" i="15"/>
  <c r="T20" i="15"/>
  <c r="U20" i="15"/>
  <c r="V20" i="15"/>
  <c r="W20" i="15"/>
  <c r="X20" i="15"/>
  <c r="Y20" i="15"/>
  <c r="Z20" i="15"/>
  <c r="G19" i="15"/>
  <c r="B17" i="15"/>
  <c r="B18" i="15"/>
  <c r="B19" i="15"/>
  <c r="O16" i="15"/>
  <c r="P16" i="15"/>
  <c r="Q16" i="15"/>
  <c r="R16" i="15"/>
  <c r="S16" i="15"/>
  <c r="T16" i="15"/>
  <c r="U16" i="15"/>
  <c r="V16" i="15"/>
  <c r="W16" i="15"/>
  <c r="X16" i="15"/>
  <c r="Y16" i="15"/>
  <c r="Z16" i="15"/>
  <c r="AA16" i="15"/>
  <c r="O17" i="15"/>
  <c r="P17" i="15"/>
  <c r="Q17" i="15"/>
  <c r="R17" i="15"/>
  <c r="S17" i="15"/>
  <c r="T17" i="15"/>
  <c r="U17" i="15"/>
  <c r="V17" i="15"/>
  <c r="W17" i="15"/>
  <c r="X17" i="15"/>
  <c r="Y17" i="15"/>
  <c r="Z17" i="15"/>
  <c r="AA17" i="15" s="1"/>
  <c r="A14" i="15"/>
  <c r="AG12" i="15"/>
  <c r="AG13" i="15"/>
  <c r="AD12" i="15"/>
  <c r="AD13" i="15"/>
  <c r="B12" i="15"/>
  <c r="B13" i="15"/>
  <c r="O11" i="15"/>
  <c r="P11" i="15"/>
  <c r="Q11" i="15"/>
  <c r="R11" i="15"/>
  <c r="S11" i="15"/>
  <c r="T11" i="15"/>
  <c r="U11" i="15"/>
  <c r="V11" i="15"/>
  <c r="W11" i="15"/>
  <c r="X11" i="15"/>
  <c r="Y11" i="15"/>
  <c r="Z11" i="15"/>
  <c r="AA11" i="15"/>
  <c r="O12" i="15"/>
  <c r="P12" i="15"/>
  <c r="Q12" i="15"/>
  <c r="R12" i="15"/>
  <c r="S12" i="15"/>
  <c r="T12" i="15"/>
  <c r="U12" i="15"/>
  <c r="V12" i="15"/>
  <c r="W12" i="15"/>
  <c r="X12" i="15"/>
  <c r="Y12" i="15"/>
  <c r="Z12" i="15"/>
  <c r="AA12" i="15"/>
  <c r="O13" i="15"/>
  <c r="P13" i="15"/>
  <c r="Q13" i="15"/>
  <c r="R13" i="15"/>
  <c r="S13" i="15"/>
  <c r="T13" i="15"/>
  <c r="U13" i="15"/>
  <c r="V13" i="15"/>
  <c r="W13" i="15"/>
  <c r="X13" i="15"/>
  <c r="Y13" i="15"/>
  <c r="Z13" i="15"/>
  <c r="AA13" i="15"/>
  <c r="C10" i="15"/>
  <c r="D10" i="15"/>
  <c r="C9" i="15"/>
  <c r="C1" i="15"/>
  <c r="C2" i="15"/>
  <c r="C3" i="15"/>
  <c r="C4" i="15"/>
  <c r="C5" i="15"/>
  <c r="C6" i="15"/>
  <c r="C7" i="15"/>
  <c r="C8" i="15"/>
  <c r="E6" i="15"/>
  <c r="B61" i="15" s="1"/>
  <c r="E4" i="15"/>
  <c r="F4" i="15"/>
  <c r="B3" i="15"/>
  <c r="AG116" i="70"/>
  <c r="AG117" i="70"/>
  <c r="AG118" i="70"/>
  <c r="AD116" i="70"/>
  <c r="AD117" i="70"/>
  <c r="AD118" i="70"/>
  <c r="O116" i="70"/>
  <c r="P116" i="70"/>
  <c r="Q116" i="70"/>
  <c r="R116" i="70"/>
  <c r="S116" i="70"/>
  <c r="T116" i="70"/>
  <c r="U116" i="70"/>
  <c r="V116" i="70"/>
  <c r="W116" i="70"/>
  <c r="X116" i="70"/>
  <c r="Y116" i="70"/>
  <c r="Z116" i="70"/>
  <c r="O117" i="70"/>
  <c r="P117" i="70"/>
  <c r="Q117" i="70"/>
  <c r="R117" i="70"/>
  <c r="S117" i="70"/>
  <c r="T117" i="70"/>
  <c r="U117" i="70"/>
  <c r="V117" i="70"/>
  <c r="W117" i="70"/>
  <c r="X117" i="70"/>
  <c r="Y117" i="70"/>
  <c r="Z117" i="70"/>
  <c r="O118" i="70"/>
  <c r="P118" i="70"/>
  <c r="Q118" i="70"/>
  <c r="R118" i="70"/>
  <c r="S118" i="70"/>
  <c r="T118" i="70"/>
  <c r="U118" i="70"/>
  <c r="V118" i="70"/>
  <c r="W118" i="70"/>
  <c r="X118" i="70"/>
  <c r="Y118" i="70"/>
  <c r="Z118" i="70"/>
  <c r="AG108" i="70"/>
  <c r="AH108" i="70" s="1"/>
  <c r="AG109" i="70"/>
  <c r="AH109" i="70" s="1"/>
  <c r="AG110" i="70"/>
  <c r="AH110" i="70" s="1"/>
  <c r="AG111" i="70"/>
  <c r="AD108" i="70"/>
  <c r="AE108" i="70" s="1"/>
  <c r="AD109" i="70"/>
  <c r="AD110" i="70"/>
  <c r="AD111" i="70"/>
  <c r="AH111" i="70"/>
  <c r="AE111" i="70"/>
  <c r="L108" i="70"/>
  <c r="M108" i="70"/>
  <c r="N108" i="70"/>
  <c r="O108" i="70"/>
  <c r="P108" i="70"/>
  <c r="Q108" i="70"/>
  <c r="R108" i="70"/>
  <c r="S108" i="70"/>
  <c r="S112" i="70" s="1"/>
  <c r="S113" i="70" s="1"/>
  <c r="T108" i="70"/>
  <c r="U108" i="70"/>
  <c r="U112" i="70" s="1"/>
  <c r="U113" i="70" s="1"/>
  <c r="V108" i="70"/>
  <c r="W108" i="70"/>
  <c r="X108" i="70"/>
  <c r="Y108" i="70"/>
  <c r="Z108" i="70"/>
  <c r="L109" i="70"/>
  <c r="M109" i="70"/>
  <c r="N109" i="70"/>
  <c r="O109" i="70"/>
  <c r="P109" i="70"/>
  <c r="Q109" i="70"/>
  <c r="R109" i="70"/>
  <c r="S109" i="70"/>
  <c r="T109" i="70"/>
  <c r="U109" i="70"/>
  <c r="V109" i="70"/>
  <c r="W109" i="70"/>
  <c r="X109" i="70"/>
  <c r="Y109" i="70"/>
  <c r="Z109" i="70"/>
  <c r="AA109" i="70"/>
  <c r="L110" i="70"/>
  <c r="M110" i="70"/>
  <c r="N110" i="70"/>
  <c r="O110" i="70"/>
  <c r="P110" i="70"/>
  <c r="Q110" i="70"/>
  <c r="R110" i="70"/>
  <c r="S110" i="70"/>
  <c r="T110" i="70"/>
  <c r="U110" i="70"/>
  <c r="V110" i="70"/>
  <c r="W110" i="70"/>
  <c r="X110" i="70"/>
  <c r="Y110" i="70"/>
  <c r="Z110" i="70"/>
  <c r="L111" i="70"/>
  <c r="M111" i="70"/>
  <c r="N111" i="70"/>
  <c r="O111" i="70"/>
  <c r="P111" i="70"/>
  <c r="Q111" i="70"/>
  <c r="R111" i="70"/>
  <c r="S111" i="70"/>
  <c r="T111" i="70"/>
  <c r="AA111" i="70" s="1"/>
  <c r="AF111" i="70" s="1"/>
  <c r="U111" i="70"/>
  <c r="V111" i="70"/>
  <c r="W111" i="70"/>
  <c r="X111" i="70"/>
  <c r="Y111" i="70"/>
  <c r="Z111" i="70"/>
  <c r="L112" i="70"/>
  <c r="M112" i="70"/>
  <c r="N112" i="70"/>
  <c r="P112" i="70"/>
  <c r="P113" i="70" s="1"/>
  <c r="AH102" i="70"/>
  <c r="AH103" i="70"/>
  <c r="AH104" i="70"/>
  <c r="AH105" i="70"/>
  <c r="AI105" i="70"/>
  <c r="AH106" i="70"/>
  <c r="AE102" i="70"/>
  <c r="AE103" i="70"/>
  <c r="AE105" i="70"/>
  <c r="AF106" i="70"/>
  <c r="AA102" i="70"/>
  <c r="AB102" i="70"/>
  <c r="AA103" i="70"/>
  <c r="AF103" i="70" s="1"/>
  <c r="AA104" i="70"/>
  <c r="AB104" i="70" s="1"/>
  <c r="AA105" i="70"/>
  <c r="AF105" i="70" s="1"/>
  <c r="AA106" i="70"/>
  <c r="AI106" i="70" s="1"/>
  <c r="AB106" i="70"/>
  <c r="L102" i="70"/>
  <c r="M102" i="70"/>
  <c r="N102" i="70"/>
  <c r="L103" i="70"/>
  <c r="M103" i="70"/>
  <c r="N103" i="70"/>
  <c r="L104" i="70"/>
  <c r="M104" i="70"/>
  <c r="N104" i="70"/>
  <c r="L105" i="70"/>
  <c r="M105" i="70"/>
  <c r="N105" i="70"/>
  <c r="L106" i="70"/>
  <c r="M106" i="70"/>
  <c r="N106" i="70"/>
  <c r="AH95" i="70"/>
  <c r="AI95" i="70"/>
  <c r="AH96" i="70"/>
  <c r="AH97" i="70"/>
  <c r="AH98" i="70"/>
  <c r="AH99" i="70"/>
  <c r="AE95" i="70"/>
  <c r="AF95" i="70"/>
  <c r="AE96" i="70"/>
  <c r="AE98" i="70"/>
  <c r="AA95" i="70"/>
  <c r="AB95" i="70"/>
  <c r="AA96" i="70"/>
  <c r="AI96" i="70" s="1"/>
  <c r="AA97" i="70"/>
  <c r="AA98" i="70"/>
  <c r="AA99" i="70"/>
  <c r="AF99" i="70" s="1"/>
  <c r="AB99" i="70"/>
  <c r="L95" i="70"/>
  <c r="M95" i="70"/>
  <c r="N95" i="70"/>
  <c r="L96" i="70"/>
  <c r="M96" i="70"/>
  <c r="N96" i="70"/>
  <c r="L97" i="70"/>
  <c r="M97" i="70"/>
  <c r="N97" i="70"/>
  <c r="L98" i="70"/>
  <c r="M98" i="70"/>
  <c r="N98" i="70"/>
  <c r="L99" i="70"/>
  <c r="M99" i="70"/>
  <c r="N99" i="70"/>
  <c r="AH88" i="70"/>
  <c r="AH89" i="70"/>
  <c r="AI89" i="70"/>
  <c r="AH90" i="70"/>
  <c r="AH91" i="70"/>
  <c r="AH92" i="70"/>
  <c r="AE88" i="70"/>
  <c r="AE89" i="70"/>
  <c r="AE91" i="70"/>
  <c r="AF91" i="70"/>
  <c r="AA88" i="70"/>
  <c r="AA89" i="70"/>
  <c r="AA90" i="70"/>
  <c r="AF90" i="70" s="1"/>
  <c r="AA91" i="70"/>
  <c r="AI91" i="70" s="1"/>
  <c r="AB91" i="70"/>
  <c r="AA92" i="70"/>
  <c r="AI92" i="70" s="1"/>
  <c r="L88" i="70"/>
  <c r="M88" i="70"/>
  <c r="N88" i="70"/>
  <c r="L89" i="70"/>
  <c r="M89" i="70"/>
  <c r="N89" i="70"/>
  <c r="L90" i="70"/>
  <c r="M90" i="70"/>
  <c r="N90" i="70"/>
  <c r="L91" i="70"/>
  <c r="M91" i="70"/>
  <c r="N91" i="70"/>
  <c r="L92" i="70"/>
  <c r="M92" i="70"/>
  <c r="N92" i="70"/>
  <c r="AI82" i="70"/>
  <c r="AI83" i="70"/>
  <c r="AF83" i="70"/>
  <c r="AA82" i="70"/>
  <c r="AF82" i="70" s="1"/>
  <c r="AA83" i="70"/>
  <c r="N82" i="70"/>
  <c r="N116" i="70" s="1"/>
  <c r="N83" i="70"/>
  <c r="N117" i="70" s="1"/>
  <c r="N84" i="70"/>
  <c r="N118" i="70" s="1"/>
  <c r="L82" i="70"/>
  <c r="M82" i="70"/>
  <c r="L83" i="70"/>
  <c r="M83" i="70"/>
  <c r="I82" i="70"/>
  <c r="J82" i="70"/>
  <c r="I83" i="70"/>
  <c r="J83" i="70"/>
  <c r="I84" i="70"/>
  <c r="J84" i="70"/>
  <c r="AH80" i="70"/>
  <c r="AE80" i="70"/>
  <c r="AF80" i="70"/>
  <c r="AA80" i="70"/>
  <c r="AI80" i="70" s="1"/>
  <c r="L80" i="70"/>
  <c r="M80" i="70"/>
  <c r="N80" i="70"/>
  <c r="I80" i="70"/>
  <c r="J80" i="70"/>
  <c r="AH79" i="70"/>
  <c r="AG78" i="70"/>
  <c r="AD78" i="70"/>
  <c r="AE79" i="70" s="1"/>
  <c r="O78" i="70"/>
  <c r="O79" i="70" s="1"/>
  <c r="P78" i="70"/>
  <c r="P79" i="70" s="1"/>
  <c r="Q78" i="70"/>
  <c r="Q79" i="70" s="1"/>
  <c r="R78" i="70"/>
  <c r="R79" i="70" s="1"/>
  <c r="S78" i="70"/>
  <c r="S79" i="70" s="1"/>
  <c r="T78" i="70"/>
  <c r="U78" i="70"/>
  <c r="V78" i="70"/>
  <c r="W78" i="70"/>
  <c r="X78" i="70"/>
  <c r="X79" i="70" s="1"/>
  <c r="Y78" i="70"/>
  <c r="Y79" i="70" s="1"/>
  <c r="Z78" i="70"/>
  <c r="T79" i="70"/>
  <c r="U79" i="70"/>
  <c r="V79" i="70"/>
  <c r="W79" i="70"/>
  <c r="Z79" i="70"/>
  <c r="AA35" i="70"/>
  <c r="AA36" i="70"/>
  <c r="AB36" i="70" s="1"/>
  <c r="AA37" i="70"/>
  <c r="AA38" i="70"/>
  <c r="AI38" i="70" s="1"/>
  <c r="AA39" i="70"/>
  <c r="AF39" i="70" s="1"/>
  <c r="AA40" i="70"/>
  <c r="AA41" i="70"/>
  <c r="AA45" i="70"/>
  <c r="AA46" i="70"/>
  <c r="AA47" i="70"/>
  <c r="AA48" i="70"/>
  <c r="AA49" i="70"/>
  <c r="AA52" i="70" s="1"/>
  <c r="AA50" i="70"/>
  <c r="AF50" i="70" s="1"/>
  <c r="AA51" i="70"/>
  <c r="AA55" i="70"/>
  <c r="AA56" i="70"/>
  <c r="AA57" i="70"/>
  <c r="AI57" i="70" s="1"/>
  <c r="AA58" i="70"/>
  <c r="AF58" i="70" s="1"/>
  <c r="AA59" i="70"/>
  <c r="AF59" i="70" s="1"/>
  <c r="AA60" i="70"/>
  <c r="AI60" i="70" s="1"/>
  <c r="AA61" i="70"/>
  <c r="AB61" i="70" s="1"/>
  <c r="AA65" i="70"/>
  <c r="AB65" i="70" s="1"/>
  <c r="AA66" i="70"/>
  <c r="AA67" i="70"/>
  <c r="AF67" i="70" s="1"/>
  <c r="AA68" i="70"/>
  <c r="AF68" i="70" s="1"/>
  <c r="AA69" i="70"/>
  <c r="AF69" i="70" s="1"/>
  <c r="AA70" i="70"/>
  <c r="AA74" i="70"/>
  <c r="AF74" i="70" s="1"/>
  <c r="AA75" i="70"/>
  <c r="AI75" i="70" s="1"/>
  <c r="AA76" i="70"/>
  <c r="AB76" i="70" s="1"/>
  <c r="AH74" i="70"/>
  <c r="AH75" i="70"/>
  <c r="AH76" i="70"/>
  <c r="AE74" i="70"/>
  <c r="AE75" i="70"/>
  <c r="AE76" i="70"/>
  <c r="L74" i="70"/>
  <c r="M74" i="70"/>
  <c r="N74" i="70"/>
  <c r="L75" i="70"/>
  <c r="M75" i="70"/>
  <c r="N75" i="70"/>
  <c r="L76" i="70"/>
  <c r="M76" i="70"/>
  <c r="N76" i="70"/>
  <c r="L77" i="70"/>
  <c r="M77" i="70"/>
  <c r="N77" i="70"/>
  <c r="I74" i="70"/>
  <c r="J74" i="70"/>
  <c r="I75" i="70"/>
  <c r="J75" i="70"/>
  <c r="I76" i="70"/>
  <c r="J76" i="70"/>
  <c r="I77" i="70"/>
  <c r="J77" i="70"/>
  <c r="AG72" i="70"/>
  <c r="AH73" i="70" s="1"/>
  <c r="AD72" i="70"/>
  <c r="AE73" i="70" s="1"/>
  <c r="O72" i="70"/>
  <c r="P72" i="70"/>
  <c r="Q72" i="70"/>
  <c r="R72" i="70"/>
  <c r="R73" i="70" s="1"/>
  <c r="S72" i="70"/>
  <c r="S73" i="70" s="1"/>
  <c r="T72" i="70"/>
  <c r="T73" i="70" s="1"/>
  <c r="U72" i="70"/>
  <c r="U73" i="70" s="1"/>
  <c r="V72" i="70"/>
  <c r="W72" i="70"/>
  <c r="W73" i="70" s="1"/>
  <c r="X72" i="70"/>
  <c r="Y72" i="70"/>
  <c r="Y73" i="70" s="1"/>
  <c r="Z72" i="70"/>
  <c r="Z73" i="70" s="1"/>
  <c r="O73" i="70"/>
  <c r="P73" i="70"/>
  <c r="Q73" i="70"/>
  <c r="V73" i="70"/>
  <c r="X73" i="70"/>
  <c r="AI65" i="70"/>
  <c r="AI66" i="70"/>
  <c r="AI67" i="70"/>
  <c r="AI68" i="70"/>
  <c r="AI69" i="70"/>
  <c r="AI70" i="70"/>
  <c r="AF65" i="70"/>
  <c r="AF66" i="70"/>
  <c r="AH65" i="70"/>
  <c r="AH66" i="70"/>
  <c r="AH67" i="70"/>
  <c r="AH68" i="70"/>
  <c r="AH69" i="70"/>
  <c r="AH70" i="70"/>
  <c r="AE65" i="70"/>
  <c r="AE66" i="70"/>
  <c r="AE67" i="70"/>
  <c r="AE68" i="70"/>
  <c r="AE69" i="70"/>
  <c r="AE70" i="70"/>
  <c r="AB66" i="70"/>
  <c r="AB69" i="70"/>
  <c r="L65" i="70"/>
  <c r="M65" i="70"/>
  <c r="N65" i="70"/>
  <c r="L66" i="70"/>
  <c r="M66" i="70"/>
  <c r="N66" i="70"/>
  <c r="L67" i="70"/>
  <c r="M67" i="70"/>
  <c r="N67" i="70"/>
  <c r="L68" i="70"/>
  <c r="M68" i="70"/>
  <c r="N68" i="70"/>
  <c r="L69" i="70"/>
  <c r="M69" i="70"/>
  <c r="N69" i="70"/>
  <c r="L70" i="70"/>
  <c r="M70" i="70"/>
  <c r="N70" i="70"/>
  <c r="L71" i="70"/>
  <c r="M71" i="70"/>
  <c r="N71" i="70"/>
  <c r="I65" i="70"/>
  <c r="J65" i="70"/>
  <c r="I66" i="70"/>
  <c r="J66" i="70"/>
  <c r="I67" i="70"/>
  <c r="J67" i="70"/>
  <c r="I68" i="70"/>
  <c r="J68" i="70"/>
  <c r="I69" i="70"/>
  <c r="J69" i="70"/>
  <c r="I70" i="70"/>
  <c r="J70" i="70"/>
  <c r="I71" i="70"/>
  <c r="J71" i="70"/>
  <c r="AG63" i="70"/>
  <c r="AH64" i="70" s="1"/>
  <c r="AD63" i="70"/>
  <c r="AE64" i="70" s="1"/>
  <c r="O63" i="70"/>
  <c r="O64" i="70" s="1"/>
  <c r="P63" i="70"/>
  <c r="Q63" i="70"/>
  <c r="Q64" i="70" s="1"/>
  <c r="R63" i="70"/>
  <c r="R64" i="70" s="1"/>
  <c r="S63" i="70"/>
  <c r="S64" i="70" s="1"/>
  <c r="T63" i="70"/>
  <c r="T64" i="70" s="1"/>
  <c r="U63" i="70"/>
  <c r="U64" i="70" s="1"/>
  <c r="V63" i="70"/>
  <c r="V64" i="70" s="1"/>
  <c r="W63" i="70"/>
  <c r="W64" i="70" s="1"/>
  <c r="X63" i="70"/>
  <c r="X64" i="70" s="1"/>
  <c r="Y63" i="70"/>
  <c r="Y64" i="70" s="1"/>
  <c r="Z63" i="70"/>
  <c r="P64" i="70"/>
  <c r="Z64" i="70"/>
  <c r="AI55" i="70"/>
  <c r="AI56" i="70"/>
  <c r="AI59" i="70"/>
  <c r="AI61" i="70"/>
  <c r="AF55" i="70"/>
  <c r="AF56" i="70"/>
  <c r="AF57" i="70"/>
  <c r="AF60" i="70"/>
  <c r="AH61" i="70"/>
  <c r="AE61" i="70"/>
  <c r="AH56" i="70"/>
  <c r="AH57" i="70"/>
  <c r="AH58" i="70"/>
  <c r="L55" i="70"/>
  <c r="M55" i="70"/>
  <c r="N55" i="70"/>
  <c r="L56" i="70"/>
  <c r="M56" i="70"/>
  <c r="N56" i="70"/>
  <c r="L57" i="70"/>
  <c r="M57" i="70"/>
  <c r="N57" i="70"/>
  <c r="L58" i="70"/>
  <c r="M58" i="70"/>
  <c r="N58" i="70"/>
  <c r="L59" i="70"/>
  <c r="M59" i="70"/>
  <c r="N59" i="70"/>
  <c r="L60" i="70"/>
  <c r="M60" i="70"/>
  <c r="N60" i="70"/>
  <c r="L61" i="70"/>
  <c r="M61" i="70"/>
  <c r="N61" i="70"/>
  <c r="L62" i="70"/>
  <c r="M62" i="70"/>
  <c r="N62" i="70"/>
  <c r="I55" i="70"/>
  <c r="J55" i="70"/>
  <c r="I56" i="70"/>
  <c r="J56" i="70"/>
  <c r="I57" i="70"/>
  <c r="J57" i="70"/>
  <c r="I58" i="70"/>
  <c r="J58" i="70"/>
  <c r="I59" i="70"/>
  <c r="J59" i="70"/>
  <c r="I60" i="70"/>
  <c r="J60" i="70"/>
  <c r="I61" i="70"/>
  <c r="J61" i="70"/>
  <c r="I62" i="70"/>
  <c r="J62" i="70"/>
  <c r="AG53" i="70"/>
  <c r="AH54" i="70" s="1"/>
  <c r="AD53" i="70"/>
  <c r="AE54" i="70" s="1"/>
  <c r="O53" i="70"/>
  <c r="O54" i="70" s="1"/>
  <c r="P53" i="70"/>
  <c r="P54" i="70" s="1"/>
  <c r="Q53" i="70"/>
  <c r="Q54" i="70" s="1"/>
  <c r="R53" i="70"/>
  <c r="S53" i="70"/>
  <c r="T53" i="70"/>
  <c r="U53" i="70"/>
  <c r="U54" i="70" s="1"/>
  <c r="V53" i="70"/>
  <c r="V54" i="70" s="1"/>
  <c r="W53" i="70"/>
  <c r="W54" i="70" s="1"/>
  <c r="X53" i="70"/>
  <c r="X54" i="70" s="1"/>
  <c r="Y53" i="70"/>
  <c r="Z53" i="70"/>
  <c r="R54" i="70"/>
  <c r="S54" i="70"/>
  <c r="T54" i="70"/>
  <c r="Y54" i="70"/>
  <c r="Z54" i="70"/>
  <c r="AI45" i="70"/>
  <c r="AI47" i="70"/>
  <c r="AI48" i="70"/>
  <c r="AI50" i="70"/>
  <c r="AI51" i="70"/>
  <c r="AF45" i="70"/>
  <c r="AF47" i="70"/>
  <c r="AF48" i="70"/>
  <c r="AF51" i="70"/>
  <c r="AH51" i="70"/>
  <c r="AE51" i="70"/>
  <c r="AB51" i="70"/>
  <c r="AH44" i="70"/>
  <c r="AH46" i="70"/>
  <c r="AH47" i="70"/>
  <c r="AH48" i="70"/>
  <c r="AE46" i="70"/>
  <c r="AE47" i="70"/>
  <c r="AE48" i="70"/>
  <c r="AB46" i="70"/>
  <c r="AB47" i="70"/>
  <c r="AB48" i="70"/>
  <c r="L45" i="70"/>
  <c r="M45" i="70"/>
  <c r="N45" i="70"/>
  <c r="L46" i="70"/>
  <c r="M46" i="70"/>
  <c r="N46" i="70"/>
  <c r="L47" i="70"/>
  <c r="M47" i="70"/>
  <c r="N47" i="70"/>
  <c r="L48" i="70"/>
  <c r="M48" i="70"/>
  <c r="N48" i="70"/>
  <c r="L49" i="70"/>
  <c r="M49" i="70"/>
  <c r="N49" i="70"/>
  <c r="L50" i="70"/>
  <c r="M50" i="70"/>
  <c r="N50" i="70"/>
  <c r="L51" i="70"/>
  <c r="M51" i="70"/>
  <c r="N51" i="70"/>
  <c r="L52" i="70"/>
  <c r="M52" i="70"/>
  <c r="N52" i="70"/>
  <c r="I45" i="70"/>
  <c r="J45" i="70"/>
  <c r="I46" i="70"/>
  <c r="J46" i="70"/>
  <c r="I47" i="70"/>
  <c r="J47" i="70"/>
  <c r="I48" i="70"/>
  <c r="J48" i="70"/>
  <c r="I49" i="70"/>
  <c r="J49" i="70"/>
  <c r="I50" i="70"/>
  <c r="J50" i="70"/>
  <c r="I51" i="70"/>
  <c r="J51" i="70"/>
  <c r="I52" i="70"/>
  <c r="J52" i="70"/>
  <c r="AG43" i="70"/>
  <c r="AD43" i="70"/>
  <c r="AE44" i="70" s="1"/>
  <c r="O43" i="70"/>
  <c r="O44" i="70" s="1"/>
  <c r="P43" i="70"/>
  <c r="P44" i="70" s="1"/>
  <c r="Q43" i="70"/>
  <c r="Q44" i="70" s="1"/>
  <c r="R43" i="70"/>
  <c r="R44" i="70" s="1"/>
  <c r="S43" i="70"/>
  <c r="T43" i="70"/>
  <c r="T44" i="70" s="1"/>
  <c r="U43" i="70"/>
  <c r="V43" i="70"/>
  <c r="V44" i="70" s="1"/>
  <c r="W43" i="70"/>
  <c r="W44" i="70" s="1"/>
  <c r="X43" i="70"/>
  <c r="X44" i="70" s="1"/>
  <c r="Y43" i="70"/>
  <c r="Y44" i="70" s="1"/>
  <c r="Z43" i="70"/>
  <c r="S44" i="70"/>
  <c r="U44" i="70"/>
  <c r="Z44" i="70"/>
  <c r="AI36" i="70"/>
  <c r="AI39" i="70"/>
  <c r="AI40" i="70"/>
  <c r="AI41" i="70"/>
  <c r="AF36" i="70"/>
  <c r="AF40" i="70"/>
  <c r="AF41" i="70"/>
  <c r="AH41" i="70"/>
  <c r="AE41" i="70"/>
  <c r="AB41" i="70"/>
  <c r="AH35" i="70"/>
  <c r="AH36" i="70"/>
  <c r="AH37" i="70"/>
  <c r="AH38" i="70"/>
  <c r="AH39" i="70"/>
  <c r="AE35" i="70"/>
  <c r="AE36" i="70"/>
  <c r="AE37" i="70"/>
  <c r="AE38" i="70"/>
  <c r="AE39" i="70"/>
  <c r="AB37" i="70"/>
  <c r="AB38" i="70"/>
  <c r="AB39" i="70"/>
  <c r="L35" i="70"/>
  <c r="M35" i="70"/>
  <c r="N35" i="70"/>
  <c r="L36" i="70"/>
  <c r="M36" i="70"/>
  <c r="N36" i="70"/>
  <c r="L37" i="70"/>
  <c r="M37" i="70"/>
  <c r="N37" i="70"/>
  <c r="L38" i="70"/>
  <c r="M38" i="70"/>
  <c r="N38" i="70"/>
  <c r="L39" i="70"/>
  <c r="M39" i="70"/>
  <c r="N39" i="70"/>
  <c r="L40" i="70"/>
  <c r="M40" i="70"/>
  <c r="N40" i="70"/>
  <c r="L41" i="70"/>
  <c r="M41" i="70"/>
  <c r="N41" i="70"/>
  <c r="L42" i="70"/>
  <c r="M42" i="70"/>
  <c r="N42" i="70"/>
  <c r="I35" i="70"/>
  <c r="J35" i="70"/>
  <c r="I36" i="70"/>
  <c r="J36" i="70"/>
  <c r="I37" i="70"/>
  <c r="J37" i="70"/>
  <c r="I38" i="70"/>
  <c r="J38" i="70"/>
  <c r="I39" i="70"/>
  <c r="J39" i="70"/>
  <c r="I40" i="70"/>
  <c r="J40" i="70"/>
  <c r="I41" i="70"/>
  <c r="J41" i="70"/>
  <c r="I42" i="70"/>
  <c r="J42" i="70"/>
  <c r="AG32" i="70"/>
  <c r="AD32" i="70"/>
  <c r="O32" i="70"/>
  <c r="P32" i="70"/>
  <c r="Q32" i="70"/>
  <c r="R32" i="70"/>
  <c r="S32" i="70"/>
  <c r="T32" i="70"/>
  <c r="U32" i="70"/>
  <c r="V32" i="70"/>
  <c r="W32" i="70"/>
  <c r="X32" i="70"/>
  <c r="Y32" i="70"/>
  <c r="Z32" i="70"/>
  <c r="AG31" i="70"/>
  <c r="AD31" i="70"/>
  <c r="O31" i="70"/>
  <c r="P31" i="70"/>
  <c r="Q31" i="70"/>
  <c r="R31" i="70"/>
  <c r="S31" i="70"/>
  <c r="T31" i="70"/>
  <c r="U31" i="70"/>
  <c r="V31" i="70"/>
  <c r="W31" i="70"/>
  <c r="X31" i="70"/>
  <c r="Y31" i="70"/>
  <c r="Z31" i="70"/>
  <c r="AA31" i="70"/>
  <c r="N26" i="70"/>
  <c r="N27" i="70"/>
  <c r="N28" i="70"/>
  <c r="N29" i="70"/>
  <c r="B23" i="70"/>
  <c r="AG16" i="70"/>
  <c r="AG19" i="70"/>
  <c r="AG20" i="70"/>
  <c r="AH83" i="70" s="1"/>
  <c r="AD19" i="70"/>
  <c r="AD20" i="70"/>
  <c r="AE83" i="70" s="1"/>
  <c r="G19" i="70"/>
  <c r="G20" i="70"/>
  <c r="N19" i="70"/>
  <c r="O19" i="70"/>
  <c r="P19" i="70"/>
  <c r="Q19" i="70"/>
  <c r="R19" i="70"/>
  <c r="S19" i="70"/>
  <c r="T19" i="70"/>
  <c r="U19" i="70"/>
  <c r="V19" i="70"/>
  <c r="W19" i="70"/>
  <c r="X19" i="70"/>
  <c r="Y19" i="70"/>
  <c r="Z19" i="70"/>
  <c r="N20" i="70"/>
  <c r="O20" i="70"/>
  <c r="P20" i="70"/>
  <c r="Q20" i="70"/>
  <c r="R20" i="70"/>
  <c r="S20" i="70"/>
  <c r="T20" i="70"/>
  <c r="U20" i="70"/>
  <c r="V20" i="70"/>
  <c r="W20" i="70"/>
  <c r="X20" i="70"/>
  <c r="Y20" i="70"/>
  <c r="Z20" i="70"/>
  <c r="B17" i="70"/>
  <c r="B18" i="70"/>
  <c r="B19" i="70"/>
  <c r="O16" i="70"/>
  <c r="P16" i="70"/>
  <c r="Q16" i="70"/>
  <c r="R16" i="70"/>
  <c r="S16" i="70"/>
  <c r="T16" i="70"/>
  <c r="U16" i="70"/>
  <c r="V16" i="70"/>
  <c r="W16" i="70"/>
  <c r="X16" i="70"/>
  <c r="Y16" i="70"/>
  <c r="O17" i="70"/>
  <c r="P17" i="70"/>
  <c r="Q17" i="70"/>
  <c r="R17" i="70"/>
  <c r="S17" i="70"/>
  <c r="T17" i="70"/>
  <c r="U17" i="70"/>
  <c r="V17" i="70"/>
  <c r="W17" i="70"/>
  <c r="X17" i="70"/>
  <c r="Y17" i="70"/>
  <c r="Z17" i="70"/>
  <c r="AA17" i="70" s="1"/>
  <c r="AA11" i="70" s="1"/>
  <c r="AA18" i="70" s="1"/>
  <c r="A14" i="70"/>
  <c r="AG12" i="70"/>
  <c r="AG13" i="70"/>
  <c r="AD12" i="70"/>
  <c r="AD13" i="70"/>
  <c r="B12" i="70"/>
  <c r="B13" i="70"/>
  <c r="O11" i="70"/>
  <c r="P11" i="70"/>
  <c r="Q11" i="70"/>
  <c r="R11" i="70"/>
  <c r="S11" i="70"/>
  <c r="T11" i="70"/>
  <c r="U11" i="70"/>
  <c r="V11" i="70"/>
  <c r="W11" i="70"/>
  <c r="X11" i="70"/>
  <c r="Y11" i="70"/>
  <c r="Z11" i="70"/>
  <c r="O12" i="70"/>
  <c r="P12" i="70"/>
  <c r="Q12" i="70"/>
  <c r="R12" i="70"/>
  <c r="S12" i="70"/>
  <c r="T12" i="70"/>
  <c r="U12" i="70"/>
  <c r="V12" i="70"/>
  <c r="W12" i="70"/>
  <c r="X12" i="70"/>
  <c r="Y12" i="70"/>
  <c r="Z12" i="70"/>
  <c r="AA12" i="70"/>
  <c r="O13" i="70"/>
  <c r="P13" i="70"/>
  <c r="Q13" i="70"/>
  <c r="R13" i="70"/>
  <c r="S13" i="70"/>
  <c r="T13" i="70"/>
  <c r="U13" i="70"/>
  <c r="V13" i="70"/>
  <c r="W13" i="70"/>
  <c r="X13" i="70"/>
  <c r="Y13" i="70"/>
  <c r="Z13" i="70"/>
  <c r="AA13" i="70"/>
  <c r="C10" i="70"/>
  <c r="D10" i="70"/>
  <c r="AA16" i="70" s="1"/>
  <c r="C9" i="70"/>
  <c r="C1" i="70"/>
  <c r="C2" i="70"/>
  <c r="C3" i="70"/>
  <c r="C4" i="70"/>
  <c r="C5" i="70"/>
  <c r="C6" i="70"/>
  <c r="C7" i="70"/>
  <c r="C8" i="70"/>
  <c r="E6" i="70"/>
  <c r="E4" i="70"/>
  <c r="F4" i="70"/>
  <c r="B3" i="70"/>
  <c r="B120" i="69"/>
  <c r="B114" i="69"/>
  <c r="B115" i="69"/>
  <c r="B116" i="69"/>
  <c r="B88" i="69"/>
  <c r="B89" i="69"/>
  <c r="B83" i="69"/>
  <c r="B84" i="69"/>
  <c r="B85" i="69"/>
  <c r="B55" i="69"/>
  <c r="B56" i="69"/>
  <c r="B50" i="69"/>
  <c r="B51" i="69"/>
  <c r="B52" i="69"/>
  <c r="AH35" i="69"/>
  <c r="AH38" i="69"/>
  <c r="AH39" i="69"/>
  <c r="AK39" i="69"/>
  <c r="AH41" i="69"/>
  <c r="AH42" i="69"/>
  <c r="AL42" i="69"/>
  <c r="AH43" i="69"/>
  <c r="AH44" i="69"/>
  <c r="AH45" i="69"/>
  <c r="AH46" i="69"/>
  <c r="AH47" i="69"/>
  <c r="AK47" i="69"/>
  <c r="AK48" i="69"/>
  <c r="AL48" i="69"/>
  <c r="AH49" i="69"/>
  <c r="AH50" i="69"/>
  <c r="AH52" i="69"/>
  <c r="AH53" i="69"/>
  <c r="AH54" i="69"/>
  <c r="AE35" i="69"/>
  <c r="AE37" i="69"/>
  <c r="AE38" i="69"/>
  <c r="AE39" i="69"/>
  <c r="AE41" i="69"/>
  <c r="AE42" i="69"/>
  <c r="AE43" i="69"/>
  <c r="AE45" i="69"/>
  <c r="AE47" i="69"/>
  <c r="AE49" i="69"/>
  <c r="AE53" i="69"/>
  <c r="AE54" i="69"/>
  <c r="AA39" i="69"/>
  <c r="AF39" i="69" s="1"/>
  <c r="AB39" i="69"/>
  <c r="AA43" i="69"/>
  <c r="AI43" i="69" s="1"/>
  <c r="AA51" i="69"/>
  <c r="AI51" i="69" s="1"/>
  <c r="AB54" i="69"/>
  <c r="AA55" i="69"/>
  <c r="AF55" i="69" s="1"/>
  <c r="I35" i="69"/>
  <c r="K35" i="69" s="1"/>
  <c r="J35" i="69"/>
  <c r="L35" i="69"/>
  <c r="M35" i="69"/>
  <c r="N35" i="69"/>
  <c r="I36" i="69"/>
  <c r="AA36" i="69" s="1"/>
  <c r="J36" i="69"/>
  <c r="L36" i="69"/>
  <c r="M36" i="69"/>
  <c r="N36" i="69"/>
  <c r="I37" i="69"/>
  <c r="K37" i="69" s="1"/>
  <c r="J37" i="69"/>
  <c r="L37" i="69"/>
  <c r="M37" i="69"/>
  <c r="N37" i="69"/>
  <c r="I38" i="69"/>
  <c r="AA38" i="69" s="1"/>
  <c r="AB38" i="69" s="1"/>
  <c r="J38" i="69"/>
  <c r="L38" i="69"/>
  <c r="M38" i="69"/>
  <c r="N38" i="69"/>
  <c r="I39" i="69"/>
  <c r="K39" i="69" s="1"/>
  <c r="J39" i="69"/>
  <c r="L39" i="69"/>
  <c r="M39" i="69"/>
  <c r="N39" i="69"/>
  <c r="I40" i="69"/>
  <c r="AA40" i="69" s="1"/>
  <c r="AF40" i="69" s="1"/>
  <c r="J40" i="69"/>
  <c r="L40" i="69"/>
  <c r="M40" i="69"/>
  <c r="N40" i="69"/>
  <c r="I41" i="69"/>
  <c r="K41" i="69" s="1"/>
  <c r="J41" i="69"/>
  <c r="L41" i="69"/>
  <c r="M41" i="69"/>
  <c r="N41" i="69"/>
  <c r="I42" i="69"/>
  <c r="AA42" i="69" s="1"/>
  <c r="J42" i="69"/>
  <c r="K42" i="69"/>
  <c r="L42" i="69"/>
  <c r="M42" i="69"/>
  <c r="N42" i="69"/>
  <c r="I43" i="69"/>
  <c r="K43" i="69" s="1"/>
  <c r="J43" i="69"/>
  <c r="L43" i="69"/>
  <c r="M43" i="69"/>
  <c r="N43" i="69"/>
  <c r="I44" i="69"/>
  <c r="AA44" i="69" s="1"/>
  <c r="AF44" i="69" s="1"/>
  <c r="J44" i="69"/>
  <c r="L44" i="69"/>
  <c r="M44" i="69"/>
  <c r="N44" i="69"/>
  <c r="I45" i="69"/>
  <c r="K45" i="69" s="1"/>
  <c r="J45" i="69"/>
  <c r="L45" i="69"/>
  <c r="M45" i="69"/>
  <c r="N45" i="69"/>
  <c r="I46" i="69"/>
  <c r="AA46" i="69" s="1"/>
  <c r="J46" i="69"/>
  <c r="L46" i="69"/>
  <c r="M46" i="69"/>
  <c r="N46" i="69"/>
  <c r="I47" i="69"/>
  <c r="K47" i="69" s="1"/>
  <c r="J47" i="69"/>
  <c r="L47" i="69"/>
  <c r="M47" i="69"/>
  <c r="N47" i="69"/>
  <c r="I48" i="69"/>
  <c r="AA48" i="69" s="1"/>
  <c r="J48" i="69"/>
  <c r="L48" i="69"/>
  <c r="M48" i="69"/>
  <c r="N48" i="69"/>
  <c r="I49" i="69"/>
  <c r="K49" i="69" s="1"/>
  <c r="J49" i="69"/>
  <c r="L49" i="69"/>
  <c r="M49" i="69"/>
  <c r="N49" i="69"/>
  <c r="I50" i="69"/>
  <c r="AA50" i="69" s="1"/>
  <c r="J50" i="69"/>
  <c r="L50" i="69"/>
  <c r="M50" i="69"/>
  <c r="N50" i="69"/>
  <c r="I51" i="69"/>
  <c r="K51" i="69" s="1"/>
  <c r="J51" i="69"/>
  <c r="L51" i="69"/>
  <c r="M51" i="69"/>
  <c r="N51" i="69"/>
  <c r="I52" i="69"/>
  <c r="AA52" i="69" s="1"/>
  <c r="AF52" i="69" s="1"/>
  <c r="J52" i="69"/>
  <c r="L52" i="69"/>
  <c r="M52" i="69"/>
  <c r="N52" i="69"/>
  <c r="I53" i="69"/>
  <c r="K53" i="69" s="1"/>
  <c r="J53" i="69"/>
  <c r="L53" i="69"/>
  <c r="M53" i="69"/>
  <c r="N53" i="69"/>
  <c r="I54" i="69"/>
  <c r="AA54" i="69" s="1"/>
  <c r="J54" i="69"/>
  <c r="K54" i="69"/>
  <c r="L54" i="69"/>
  <c r="M54" i="69"/>
  <c r="N54" i="69"/>
  <c r="I55" i="69"/>
  <c r="K55" i="69" s="1"/>
  <c r="J55" i="69"/>
  <c r="L55" i="69"/>
  <c r="M55" i="69"/>
  <c r="N55" i="69"/>
  <c r="I56" i="69"/>
  <c r="AA56" i="69" s="1"/>
  <c r="AF56" i="69" s="1"/>
  <c r="J56" i="69"/>
  <c r="L56" i="69"/>
  <c r="M56" i="69"/>
  <c r="N56" i="69"/>
  <c r="N33" i="69"/>
  <c r="N34" i="69"/>
  <c r="I33" i="69"/>
  <c r="J33" i="69"/>
  <c r="I34" i="69"/>
  <c r="J34" i="69"/>
  <c r="AK32" i="69"/>
  <c r="AG32" i="69"/>
  <c r="AL32" i="69" s="1"/>
  <c r="AD32" i="69"/>
  <c r="O32" i="69"/>
  <c r="P32" i="69"/>
  <c r="Q32" i="69"/>
  <c r="R32" i="69"/>
  <c r="S32" i="69"/>
  <c r="T32" i="69"/>
  <c r="U32" i="69"/>
  <c r="V32" i="69"/>
  <c r="W32" i="69"/>
  <c r="X32" i="69"/>
  <c r="Y32" i="69"/>
  <c r="Z32" i="69"/>
  <c r="AJ32" i="69" s="1"/>
  <c r="AJ31" i="69"/>
  <c r="AK31" i="69"/>
  <c r="AM31" i="69" s="1"/>
  <c r="AL31" i="69"/>
  <c r="AN31" i="69" s="1"/>
  <c r="AG31" i="69"/>
  <c r="AD31" i="69"/>
  <c r="O31" i="69"/>
  <c r="P31" i="69"/>
  <c r="Q31" i="69"/>
  <c r="R31" i="69"/>
  <c r="S31" i="69"/>
  <c r="T31" i="69"/>
  <c r="U31" i="69"/>
  <c r="V31" i="69"/>
  <c r="W31" i="69"/>
  <c r="X31" i="69"/>
  <c r="Y31" i="69"/>
  <c r="Z31" i="69"/>
  <c r="AA31" i="69"/>
  <c r="N26" i="69"/>
  <c r="N27" i="69"/>
  <c r="N28" i="69"/>
  <c r="N29" i="69"/>
  <c r="B22" i="69"/>
  <c r="B23" i="69"/>
  <c r="AG16" i="69"/>
  <c r="AG19" i="69"/>
  <c r="AH51" i="69" s="1"/>
  <c r="AG20" i="69"/>
  <c r="AL39" i="69" s="1"/>
  <c r="AD19" i="69"/>
  <c r="AE46" i="69" s="1"/>
  <c r="AD20" i="69"/>
  <c r="AK38" i="69" s="1"/>
  <c r="G19" i="69"/>
  <c r="G20" i="69"/>
  <c r="N19" i="69"/>
  <c r="O19" i="69"/>
  <c r="P19" i="69"/>
  <c r="Q19" i="69"/>
  <c r="R19" i="69"/>
  <c r="S19" i="69"/>
  <c r="T19" i="69"/>
  <c r="U19" i="69"/>
  <c r="V19" i="69"/>
  <c r="W19" i="69"/>
  <c r="X19" i="69"/>
  <c r="Y19" i="69"/>
  <c r="Z19" i="69"/>
  <c r="N20" i="69"/>
  <c r="O20" i="69"/>
  <c r="AA20" i="69" s="1"/>
  <c r="P20" i="69"/>
  <c r="Q20" i="69"/>
  <c r="R20" i="69"/>
  <c r="S20" i="69"/>
  <c r="T20" i="69"/>
  <c r="U20" i="69"/>
  <c r="V20" i="69"/>
  <c r="W20" i="69"/>
  <c r="X20" i="69"/>
  <c r="Y20" i="69"/>
  <c r="Z20" i="69"/>
  <c r="B17" i="69"/>
  <c r="B18" i="69"/>
  <c r="B19" i="69"/>
  <c r="O16" i="69"/>
  <c r="P16" i="69"/>
  <c r="Q16" i="69"/>
  <c r="R16" i="69"/>
  <c r="S16" i="69"/>
  <c r="T16" i="69"/>
  <c r="U16" i="69"/>
  <c r="V16" i="69"/>
  <c r="W16" i="69"/>
  <c r="X16" i="69"/>
  <c r="Y16" i="69"/>
  <c r="AA16" i="69"/>
  <c r="O17" i="69"/>
  <c r="P17" i="69"/>
  <c r="Q17" i="69"/>
  <c r="R17" i="69"/>
  <c r="S17" i="69"/>
  <c r="T17" i="69"/>
  <c r="U17" i="69"/>
  <c r="V17" i="69"/>
  <c r="W17" i="69"/>
  <c r="X17" i="69"/>
  <c r="Y17" i="69"/>
  <c r="Z17" i="69"/>
  <c r="AA17" i="69" s="1"/>
  <c r="AA11" i="69" s="1"/>
  <c r="A14" i="69"/>
  <c r="AG12" i="69"/>
  <c r="AG13" i="69"/>
  <c r="AD12" i="69"/>
  <c r="AD13" i="69"/>
  <c r="B12" i="69"/>
  <c r="B13" i="69"/>
  <c r="O11" i="69"/>
  <c r="P11" i="69"/>
  <c r="Q11" i="69"/>
  <c r="R11" i="69"/>
  <c r="S11" i="69"/>
  <c r="T11" i="69"/>
  <c r="U11" i="69"/>
  <c r="V11" i="69"/>
  <c r="W11" i="69"/>
  <c r="X11" i="69"/>
  <c r="Y11" i="69"/>
  <c r="Z11" i="69"/>
  <c r="O12" i="69"/>
  <c r="P12" i="69"/>
  <c r="Q12" i="69"/>
  <c r="R12" i="69"/>
  <c r="S12" i="69"/>
  <c r="T12" i="69"/>
  <c r="U12" i="69"/>
  <c r="V12" i="69"/>
  <c r="W12" i="69"/>
  <c r="X12" i="69"/>
  <c r="Y12" i="69"/>
  <c r="Z12" i="69"/>
  <c r="AA12" i="69"/>
  <c r="O13" i="69"/>
  <c r="P13" i="69"/>
  <c r="Q13" i="69"/>
  <c r="R13" i="69"/>
  <c r="S13" i="69"/>
  <c r="T13" i="69"/>
  <c r="U13" i="69"/>
  <c r="V13" i="69"/>
  <c r="W13" i="69"/>
  <c r="X13" i="69"/>
  <c r="Y13" i="69"/>
  <c r="Z13" i="69"/>
  <c r="AA13" i="69"/>
  <c r="C10" i="69"/>
  <c r="D10" i="69"/>
  <c r="C9" i="69"/>
  <c r="C1" i="69"/>
  <c r="C2" i="69"/>
  <c r="C3" i="69"/>
  <c r="C4" i="69"/>
  <c r="C5" i="69"/>
  <c r="C6" i="69"/>
  <c r="C7" i="69"/>
  <c r="C8" i="69"/>
  <c r="E6" i="69"/>
  <c r="B62" i="69" s="1"/>
  <c r="E4" i="69"/>
  <c r="F4" i="69"/>
  <c r="B3" i="69"/>
  <c r="AG118" i="68"/>
  <c r="AG119" i="68"/>
  <c r="AG120" i="68"/>
  <c r="AD118" i="68"/>
  <c r="AD119" i="68"/>
  <c r="AD120" i="68"/>
  <c r="O118" i="68"/>
  <c r="P118" i="68"/>
  <c r="Q118" i="68"/>
  <c r="R118" i="68"/>
  <c r="S118" i="68"/>
  <c r="T118" i="68"/>
  <c r="U118" i="68"/>
  <c r="V118" i="68"/>
  <c r="W118" i="68"/>
  <c r="X118" i="68"/>
  <c r="Y118" i="68"/>
  <c r="Z118" i="68"/>
  <c r="O119" i="68"/>
  <c r="P119" i="68"/>
  <c r="Q119" i="68"/>
  <c r="R119" i="68"/>
  <c r="S119" i="68"/>
  <c r="T119" i="68"/>
  <c r="U119" i="68"/>
  <c r="V119" i="68"/>
  <c r="W119" i="68"/>
  <c r="X119" i="68"/>
  <c r="Y119" i="68"/>
  <c r="Z119" i="68"/>
  <c r="O120" i="68"/>
  <c r="P120" i="68"/>
  <c r="Q120" i="68"/>
  <c r="R120" i="68"/>
  <c r="S120" i="68"/>
  <c r="T120" i="68"/>
  <c r="U120" i="68"/>
  <c r="V120" i="68"/>
  <c r="W120" i="68"/>
  <c r="X120" i="68"/>
  <c r="Y120" i="68"/>
  <c r="Z120" i="68"/>
  <c r="AI115" i="68"/>
  <c r="AF115" i="68"/>
  <c r="L115" i="68"/>
  <c r="M115" i="68"/>
  <c r="AG108" i="68"/>
  <c r="AG109" i="68"/>
  <c r="AG110" i="68"/>
  <c r="AG111" i="68"/>
  <c r="AG112" i="68"/>
  <c r="AD108" i="68"/>
  <c r="AD109" i="68"/>
  <c r="AD110" i="68"/>
  <c r="AD111" i="68"/>
  <c r="AH108" i="68"/>
  <c r="AH111" i="68"/>
  <c r="AE111" i="68"/>
  <c r="L108" i="68"/>
  <c r="M108" i="68"/>
  <c r="N108" i="68"/>
  <c r="O108" i="68"/>
  <c r="P108" i="68"/>
  <c r="Q108" i="68"/>
  <c r="R108" i="68"/>
  <c r="AA108" i="68" s="1"/>
  <c r="S108" i="68"/>
  <c r="T108" i="68"/>
  <c r="U108" i="68"/>
  <c r="V108" i="68"/>
  <c r="W108" i="68"/>
  <c r="X108" i="68"/>
  <c r="Y108" i="68"/>
  <c r="Y112" i="68" s="1"/>
  <c r="Y113" i="68" s="1"/>
  <c r="Z108" i="68"/>
  <c r="L109" i="68"/>
  <c r="M109" i="68"/>
  <c r="N109" i="68"/>
  <c r="O109" i="68"/>
  <c r="P109" i="68"/>
  <c r="Q109" i="68"/>
  <c r="R109" i="68"/>
  <c r="S109" i="68"/>
  <c r="T109" i="68"/>
  <c r="U109" i="68"/>
  <c r="V109" i="68"/>
  <c r="W109" i="68"/>
  <c r="X109" i="68"/>
  <c r="Y109" i="68"/>
  <c r="Z109" i="68"/>
  <c r="L110" i="68"/>
  <c r="M110" i="68"/>
  <c r="N110" i="68"/>
  <c r="O110" i="68"/>
  <c r="P110" i="68"/>
  <c r="Q110" i="68"/>
  <c r="R110" i="68"/>
  <c r="S110" i="68"/>
  <c r="T110" i="68"/>
  <c r="U110" i="68"/>
  <c r="V110" i="68"/>
  <c r="W110" i="68"/>
  <c r="X110" i="68"/>
  <c r="Y110" i="68"/>
  <c r="Z110" i="68"/>
  <c r="AA110" i="68"/>
  <c r="L111" i="68"/>
  <c r="M111" i="68"/>
  <c r="N111" i="68"/>
  <c r="O111" i="68"/>
  <c r="P111" i="68"/>
  <c r="Q111" i="68"/>
  <c r="R111" i="68"/>
  <c r="S111" i="68"/>
  <c r="T111" i="68"/>
  <c r="U111" i="68"/>
  <c r="V111" i="68"/>
  <c r="W111" i="68"/>
  <c r="X111" i="68"/>
  <c r="X112" i="68" s="1"/>
  <c r="X113" i="68" s="1"/>
  <c r="Y111" i="68"/>
  <c r="Z111" i="68"/>
  <c r="L112" i="68"/>
  <c r="M112" i="68"/>
  <c r="N112" i="68"/>
  <c r="O112" i="68"/>
  <c r="O113" i="68" s="1"/>
  <c r="W112" i="68"/>
  <c r="W113" i="68" s="1"/>
  <c r="AH102" i="68"/>
  <c r="AH103" i="68"/>
  <c r="AI103" i="68"/>
  <c r="AH104" i="68"/>
  <c r="AI104" i="68"/>
  <c r="AH105" i="68"/>
  <c r="AH106" i="68"/>
  <c r="AE102" i="68"/>
  <c r="AE103" i="68"/>
  <c r="AF103" i="68"/>
  <c r="AF104" i="68"/>
  <c r="AE105" i="68"/>
  <c r="AA102" i="68"/>
  <c r="AA103" i="68"/>
  <c r="AA104" i="68"/>
  <c r="AA105" i="68"/>
  <c r="AA106" i="68"/>
  <c r="L102" i="68"/>
  <c r="M102" i="68"/>
  <c r="N102" i="68"/>
  <c r="L103" i="68"/>
  <c r="M103" i="68"/>
  <c r="N103" i="68"/>
  <c r="L104" i="68"/>
  <c r="M104" i="68"/>
  <c r="N104" i="68"/>
  <c r="L105" i="68"/>
  <c r="M105" i="68"/>
  <c r="N105" i="68"/>
  <c r="L106" i="68"/>
  <c r="M106" i="68"/>
  <c r="N106" i="68"/>
  <c r="AH95" i="68"/>
  <c r="AH96" i="68"/>
  <c r="AH97" i="68"/>
  <c r="AH98" i="68"/>
  <c r="AH99" i="68"/>
  <c r="AI99" i="68"/>
  <c r="AE95" i="68"/>
  <c r="AE96" i="68"/>
  <c r="AE98" i="68"/>
  <c r="AF99" i="68"/>
  <c r="AA95" i="68"/>
  <c r="AI95" i="68" s="1"/>
  <c r="AA96" i="68"/>
  <c r="AI96" i="68" s="1"/>
  <c r="AA97" i="68"/>
  <c r="AI97" i="68" s="1"/>
  <c r="AA98" i="68"/>
  <c r="AF98" i="68" s="1"/>
  <c r="AA99" i="68"/>
  <c r="L95" i="68"/>
  <c r="M95" i="68"/>
  <c r="N95" i="68"/>
  <c r="L96" i="68"/>
  <c r="M96" i="68"/>
  <c r="N96" i="68"/>
  <c r="L97" i="68"/>
  <c r="M97" i="68"/>
  <c r="N97" i="68"/>
  <c r="L98" i="68"/>
  <c r="M98" i="68"/>
  <c r="N98" i="68"/>
  <c r="L99" i="68"/>
  <c r="M99" i="68"/>
  <c r="N99" i="68"/>
  <c r="AH88" i="68"/>
  <c r="AI89" i="68"/>
  <c r="AH91" i="68"/>
  <c r="AI92" i="68"/>
  <c r="AE88" i="68"/>
  <c r="AE91" i="68"/>
  <c r="AF92" i="68"/>
  <c r="AA88" i="68"/>
  <c r="AB88" i="68" s="1"/>
  <c r="AA89" i="68"/>
  <c r="AF89" i="68" s="1"/>
  <c r="AA90" i="68"/>
  <c r="AA91" i="68"/>
  <c r="AA92" i="68"/>
  <c r="L88" i="68"/>
  <c r="M88" i="68"/>
  <c r="N88" i="68"/>
  <c r="L89" i="68"/>
  <c r="M89" i="68"/>
  <c r="N89" i="68"/>
  <c r="L90" i="68"/>
  <c r="M90" i="68"/>
  <c r="N90" i="68"/>
  <c r="L91" i="68"/>
  <c r="M91" i="68"/>
  <c r="N91" i="68"/>
  <c r="L92" i="68"/>
  <c r="M92" i="68"/>
  <c r="N92" i="68"/>
  <c r="AF83" i="68"/>
  <c r="AA82" i="68"/>
  <c r="AI82" i="68" s="1"/>
  <c r="AA83" i="68"/>
  <c r="AI83" i="68" s="1"/>
  <c r="N82" i="68"/>
  <c r="N118" i="68" s="1"/>
  <c r="N83" i="68"/>
  <c r="N119" i="68" s="1"/>
  <c r="N84" i="68"/>
  <c r="N120" i="68" s="1"/>
  <c r="L82" i="68"/>
  <c r="M82" i="68"/>
  <c r="L83" i="68"/>
  <c r="M83" i="68"/>
  <c r="I82" i="68"/>
  <c r="J82" i="68"/>
  <c r="I83" i="68"/>
  <c r="J83" i="68"/>
  <c r="I84" i="68"/>
  <c r="J84" i="68"/>
  <c r="AH80" i="68"/>
  <c r="AI80" i="68"/>
  <c r="AE80" i="68"/>
  <c r="AA80" i="68"/>
  <c r="AF80" i="68" s="1"/>
  <c r="L80" i="68"/>
  <c r="M80" i="68"/>
  <c r="N80" i="68"/>
  <c r="I80" i="68"/>
  <c r="J80" i="68"/>
  <c r="AH79" i="68"/>
  <c r="AG78" i="68"/>
  <c r="AD78" i="68"/>
  <c r="AE79" i="68" s="1"/>
  <c r="O78" i="68"/>
  <c r="O79" i="68" s="1"/>
  <c r="P78" i="68"/>
  <c r="P79" i="68" s="1"/>
  <c r="Q78" i="68"/>
  <c r="R78" i="68"/>
  <c r="S78" i="68"/>
  <c r="S79" i="68" s="1"/>
  <c r="T78" i="68"/>
  <c r="T79" i="68" s="1"/>
  <c r="U78" i="68"/>
  <c r="U79" i="68" s="1"/>
  <c r="V78" i="68"/>
  <c r="V79" i="68" s="1"/>
  <c r="W78" i="68"/>
  <c r="W79" i="68" s="1"/>
  <c r="X78" i="68"/>
  <c r="X79" i="68" s="1"/>
  <c r="Y78" i="68"/>
  <c r="Z78" i="68"/>
  <c r="Z79" i="68" s="1"/>
  <c r="Q79" i="68"/>
  <c r="R79" i="68"/>
  <c r="Y79" i="68"/>
  <c r="AA35" i="68"/>
  <c r="AA36" i="68"/>
  <c r="AA37" i="68"/>
  <c r="AA38" i="68"/>
  <c r="AA39" i="68"/>
  <c r="AA40" i="68"/>
  <c r="AA41" i="68"/>
  <c r="AA43" i="68" s="1"/>
  <c r="AA42" i="68"/>
  <c r="AA45" i="68"/>
  <c r="AF45" i="68" s="1"/>
  <c r="AA46" i="68"/>
  <c r="AA47" i="68"/>
  <c r="AA48" i="68"/>
  <c r="AF48" i="68" s="1"/>
  <c r="AA49" i="68"/>
  <c r="AI49" i="68" s="1"/>
  <c r="AA50" i="68"/>
  <c r="AA51" i="68"/>
  <c r="AA55" i="68"/>
  <c r="AI55" i="68" s="1"/>
  <c r="AA56" i="68"/>
  <c r="AA57" i="68"/>
  <c r="AI57" i="68" s="1"/>
  <c r="AA58" i="68"/>
  <c r="AA59" i="68"/>
  <c r="AA62" i="68" s="1"/>
  <c r="AA60" i="68"/>
  <c r="AA61" i="68"/>
  <c r="AA65" i="68"/>
  <c r="AA66" i="68"/>
  <c r="AA67" i="68"/>
  <c r="AF67" i="68" s="1"/>
  <c r="AA68" i="68"/>
  <c r="AF68" i="68" s="1"/>
  <c r="AA69" i="68"/>
  <c r="AA71" i="68" s="1"/>
  <c r="AA70" i="68"/>
  <c r="AA74" i="68"/>
  <c r="AA75" i="68"/>
  <c r="AI75" i="68" s="1"/>
  <c r="AA76" i="68"/>
  <c r="AI76" i="68" s="1"/>
  <c r="AH74" i="68"/>
  <c r="AH75" i="68"/>
  <c r="AH76" i="68"/>
  <c r="AE74" i="68"/>
  <c r="AE75" i="68"/>
  <c r="AE76" i="68"/>
  <c r="AB76" i="68"/>
  <c r="L74" i="68"/>
  <c r="M74" i="68"/>
  <c r="N74" i="68"/>
  <c r="L75" i="68"/>
  <c r="M75" i="68"/>
  <c r="N75" i="68"/>
  <c r="L76" i="68"/>
  <c r="M76" i="68"/>
  <c r="N76" i="68"/>
  <c r="L77" i="68"/>
  <c r="M77" i="68"/>
  <c r="N77" i="68"/>
  <c r="I74" i="68"/>
  <c r="J74" i="68"/>
  <c r="I75" i="68"/>
  <c r="J75" i="68"/>
  <c r="I76" i="68"/>
  <c r="J76" i="68"/>
  <c r="I77" i="68"/>
  <c r="J77" i="68"/>
  <c r="AG72" i="68"/>
  <c r="AH73" i="68" s="1"/>
  <c r="AD72" i="68"/>
  <c r="AE73" i="68" s="1"/>
  <c r="O72" i="68"/>
  <c r="O73" i="68" s="1"/>
  <c r="P72" i="68"/>
  <c r="P73" i="68" s="1"/>
  <c r="Q72" i="68"/>
  <c r="Q73" i="68" s="1"/>
  <c r="R72" i="68"/>
  <c r="R73" i="68" s="1"/>
  <c r="S72" i="68"/>
  <c r="T72" i="68"/>
  <c r="U72" i="68"/>
  <c r="V72" i="68"/>
  <c r="W72" i="68"/>
  <c r="W73" i="68" s="1"/>
  <c r="X72" i="68"/>
  <c r="X73" i="68" s="1"/>
  <c r="Y72" i="68"/>
  <c r="Y73" i="68" s="1"/>
  <c r="Z72" i="68"/>
  <c r="Z73" i="68" s="1"/>
  <c r="S73" i="68"/>
  <c r="T73" i="68"/>
  <c r="U73" i="68"/>
  <c r="V73" i="68"/>
  <c r="AI65" i="68"/>
  <c r="AI67" i="68"/>
  <c r="AI68" i="68"/>
  <c r="AI69" i="68"/>
  <c r="AI70" i="68"/>
  <c r="AF70" i="68"/>
  <c r="AH65" i="68"/>
  <c r="AH66" i="68"/>
  <c r="AH67" i="68"/>
  <c r="AH68" i="68"/>
  <c r="AH69" i="68"/>
  <c r="AH70" i="68"/>
  <c r="AE65" i="68"/>
  <c r="AE66" i="68"/>
  <c r="AE67" i="68"/>
  <c r="AE68" i="68"/>
  <c r="AE69" i="68"/>
  <c r="AE70" i="68"/>
  <c r="L65" i="68"/>
  <c r="M65" i="68"/>
  <c r="N65" i="68"/>
  <c r="L66" i="68"/>
  <c r="M66" i="68"/>
  <c r="N66" i="68"/>
  <c r="L67" i="68"/>
  <c r="M67" i="68"/>
  <c r="N67" i="68"/>
  <c r="L68" i="68"/>
  <c r="M68" i="68"/>
  <c r="N68" i="68"/>
  <c r="L69" i="68"/>
  <c r="M69" i="68"/>
  <c r="N69" i="68"/>
  <c r="L70" i="68"/>
  <c r="M70" i="68"/>
  <c r="N70" i="68"/>
  <c r="L71" i="68"/>
  <c r="M71" i="68"/>
  <c r="N71" i="68"/>
  <c r="I65" i="68"/>
  <c r="J65" i="68"/>
  <c r="I66" i="68"/>
  <c r="J66" i="68"/>
  <c r="I67" i="68"/>
  <c r="J67" i="68"/>
  <c r="I68" i="68"/>
  <c r="J68" i="68"/>
  <c r="I69" i="68"/>
  <c r="J69" i="68"/>
  <c r="I70" i="68"/>
  <c r="J70" i="68"/>
  <c r="I71" i="68"/>
  <c r="J71" i="68"/>
  <c r="AG63" i="68"/>
  <c r="AH64" i="68" s="1"/>
  <c r="AD63" i="68"/>
  <c r="AE64" i="68" s="1"/>
  <c r="O63" i="68"/>
  <c r="O64" i="68" s="1"/>
  <c r="P63" i="68"/>
  <c r="P64" i="68" s="1"/>
  <c r="Q63" i="68"/>
  <c r="Q64" i="68" s="1"/>
  <c r="R63" i="68"/>
  <c r="R64" i="68" s="1"/>
  <c r="S63" i="68"/>
  <c r="T63" i="68"/>
  <c r="U63" i="68"/>
  <c r="V63" i="68"/>
  <c r="W63" i="68"/>
  <c r="W64" i="68" s="1"/>
  <c r="X63" i="68"/>
  <c r="X64" i="68" s="1"/>
  <c r="Y63" i="68"/>
  <c r="Y64" i="68" s="1"/>
  <c r="Z63" i="68"/>
  <c r="Z64" i="68" s="1"/>
  <c r="S64" i="68"/>
  <c r="T64" i="68"/>
  <c r="U64" i="68"/>
  <c r="V64" i="68"/>
  <c r="AI59" i="68"/>
  <c r="AI60" i="68"/>
  <c r="AI61" i="68"/>
  <c r="AF55" i="68"/>
  <c r="AF57" i="68"/>
  <c r="AF59" i="68"/>
  <c r="AF60" i="68"/>
  <c r="AF61" i="68"/>
  <c r="AH61" i="68"/>
  <c r="AE61" i="68"/>
  <c r="AB61" i="68"/>
  <c r="AH57" i="68"/>
  <c r="AH58" i="68"/>
  <c r="AE54" i="68"/>
  <c r="L55" i="68"/>
  <c r="M55" i="68"/>
  <c r="N55" i="68"/>
  <c r="L56" i="68"/>
  <c r="M56" i="68"/>
  <c r="N56" i="68"/>
  <c r="L57" i="68"/>
  <c r="M57" i="68"/>
  <c r="N57" i="68"/>
  <c r="L58" i="68"/>
  <c r="M58" i="68"/>
  <c r="N58" i="68"/>
  <c r="L59" i="68"/>
  <c r="M59" i="68"/>
  <c r="N59" i="68"/>
  <c r="L60" i="68"/>
  <c r="M60" i="68"/>
  <c r="N60" i="68"/>
  <c r="L61" i="68"/>
  <c r="M61" i="68"/>
  <c r="N61" i="68"/>
  <c r="L62" i="68"/>
  <c r="M62" i="68"/>
  <c r="N62" i="68"/>
  <c r="I55" i="68"/>
  <c r="J55" i="68"/>
  <c r="I56" i="68"/>
  <c r="J56" i="68"/>
  <c r="I57" i="68"/>
  <c r="J57" i="68"/>
  <c r="I58" i="68"/>
  <c r="J58" i="68"/>
  <c r="I59" i="68"/>
  <c r="J59" i="68"/>
  <c r="I60" i="68"/>
  <c r="J60" i="68"/>
  <c r="I61" i="68"/>
  <c r="J61" i="68"/>
  <c r="I62" i="68"/>
  <c r="J62" i="68"/>
  <c r="AG53" i="68"/>
  <c r="AH54" i="68" s="1"/>
  <c r="AD53" i="68"/>
  <c r="O53" i="68"/>
  <c r="P53" i="68"/>
  <c r="P54" i="68" s="1"/>
  <c r="Q53" i="68"/>
  <c r="Q54" i="68" s="1"/>
  <c r="R53" i="68"/>
  <c r="R54" i="68" s="1"/>
  <c r="S53" i="68"/>
  <c r="S54" i="68" s="1"/>
  <c r="T53" i="68"/>
  <c r="U53" i="68"/>
  <c r="V53" i="68"/>
  <c r="W53" i="68"/>
  <c r="X53" i="68"/>
  <c r="X54" i="68" s="1"/>
  <c r="Y53" i="68"/>
  <c r="Y54" i="68" s="1"/>
  <c r="Z53" i="68"/>
  <c r="Z54" i="68" s="1"/>
  <c r="O54" i="68"/>
  <c r="T54" i="68"/>
  <c r="U54" i="68"/>
  <c r="V54" i="68"/>
  <c r="W54" i="68"/>
  <c r="AI45" i="68"/>
  <c r="AI46" i="68"/>
  <c r="AI47" i="68"/>
  <c r="AI48" i="68"/>
  <c r="AI51" i="68"/>
  <c r="AF46" i="68"/>
  <c r="AF47" i="68"/>
  <c r="AF51" i="68"/>
  <c r="AH51" i="68"/>
  <c r="AE51" i="68"/>
  <c r="AB51" i="68"/>
  <c r="AH47" i="68"/>
  <c r="AH48" i="68"/>
  <c r="AE45" i="68"/>
  <c r="AE46" i="68"/>
  <c r="AE47" i="68"/>
  <c r="AE48" i="68"/>
  <c r="L45" i="68"/>
  <c r="M45" i="68"/>
  <c r="N45" i="68"/>
  <c r="L46" i="68"/>
  <c r="M46" i="68"/>
  <c r="N46" i="68"/>
  <c r="L47" i="68"/>
  <c r="M47" i="68"/>
  <c r="N47" i="68"/>
  <c r="L48" i="68"/>
  <c r="M48" i="68"/>
  <c r="N48" i="68"/>
  <c r="L49" i="68"/>
  <c r="M49" i="68"/>
  <c r="N49" i="68"/>
  <c r="L50" i="68"/>
  <c r="M50" i="68"/>
  <c r="N50" i="68"/>
  <c r="L51" i="68"/>
  <c r="M51" i="68"/>
  <c r="N51" i="68"/>
  <c r="L52" i="68"/>
  <c r="M52" i="68"/>
  <c r="N52" i="68"/>
  <c r="I45" i="68"/>
  <c r="J45" i="68"/>
  <c r="I46" i="68"/>
  <c r="J46" i="68"/>
  <c r="I47" i="68"/>
  <c r="J47" i="68"/>
  <c r="I48" i="68"/>
  <c r="J48" i="68"/>
  <c r="I49" i="68"/>
  <c r="J49" i="68"/>
  <c r="I50" i="68"/>
  <c r="J50" i="68"/>
  <c r="I51" i="68"/>
  <c r="J51" i="68"/>
  <c r="I52" i="68"/>
  <c r="J52" i="68"/>
  <c r="AG43" i="68"/>
  <c r="AH44" i="68" s="1"/>
  <c r="AD43" i="68"/>
  <c r="AE44" i="68" s="1"/>
  <c r="O43" i="68"/>
  <c r="P43" i="68"/>
  <c r="Q43" i="68"/>
  <c r="Q44" i="68" s="1"/>
  <c r="R43" i="68"/>
  <c r="R44" i="68" s="1"/>
  <c r="S43" i="68"/>
  <c r="S44" i="68" s="1"/>
  <c r="T43" i="68"/>
  <c r="T44" i="68" s="1"/>
  <c r="U43" i="68"/>
  <c r="V43" i="68"/>
  <c r="W43" i="68"/>
  <c r="X43" i="68"/>
  <c r="Y43" i="68"/>
  <c r="Y44" i="68" s="1"/>
  <c r="Z43" i="68"/>
  <c r="Z44" i="68" s="1"/>
  <c r="O44" i="68"/>
  <c r="P44" i="68"/>
  <c r="U44" i="68"/>
  <c r="V44" i="68"/>
  <c r="W44" i="68"/>
  <c r="X44" i="68"/>
  <c r="AI35" i="68"/>
  <c r="AI36" i="68"/>
  <c r="AI37" i="68"/>
  <c r="AI38" i="68"/>
  <c r="AI39" i="68"/>
  <c r="AF35" i="68"/>
  <c r="AF36" i="68"/>
  <c r="AF37" i="68"/>
  <c r="AF38" i="68"/>
  <c r="AF39" i="68"/>
  <c r="AH41" i="68"/>
  <c r="AE41" i="68"/>
  <c r="AB41" i="68"/>
  <c r="AH36" i="68"/>
  <c r="AH37" i="68"/>
  <c r="AH38" i="68"/>
  <c r="AE36" i="68"/>
  <c r="AE37" i="68"/>
  <c r="AE38" i="68"/>
  <c r="AB36" i="68"/>
  <c r="AB37" i="68"/>
  <c r="AB38" i="68"/>
  <c r="L35" i="68"/>
  <c r="M35" i="68"/>
  <c r="N35" i="68"/>
  <c r="L36" i="68"/>
  <c r="M36" i="68"/>
  <c r="N36" i="68"/>
  <c r="L37" i="68"/>
  <c r="M37" i="68"/>
  <c r="N37" i="68"/>
  <c r="L38" i="68"/>
  <c r="M38" i="68"/>
  <c r="N38" i="68"/>
  <c r="L39" i="68"/>
  <c r="M39" i="68"/>
  <c r="N39" i="68"/>
  <c r="L40" i="68"/>
  <c r="M40" i="68"/>
  <c r="N40" i="68"/>
  <c r="L41" i="68"/>
  <c r="M41" i="68"/>
  <c r="N41" i="68"/>
  <c r="L42" i="68"/>
  <c r="M42" i="68"/>
  <c r="N42" i="68"/>
  <c r="I35" i="68"/>
  <c r="J35" i="68"/>
  <c r="I36" i="68"/>
  <c r="J36" i="68"/>
  <c r="I37" i="68"/>
  <c r="J37" i="68"/>
  <c r="I38" i="68"/>
  <c r="J38" i="68"/>
  <c r="I39" i="68"/>
  <c r="J39" i="68"/>
  <c r="I40" i="68"/>
  <c r="J40" i="68"/>
  <c r="I41" i="68"/>
  <c r="J41" i="68"/>
  <c r="I42" i="68"/>
  <c r="J42" i="68"/>
  <c r="AG32" i="68"/>
  <c r="AD32" i="68"/>
  <c r="O32" i="68"/>
  <c r="P32" i="68"/>
  <c r="Q32" i="68"/>
  <c r="R32" i="68"/>
  <c r="S32" i="68"/>
  <c r="T32" i="68"/>
  <c r="U32" i="68"/>
  <c r="V32" i="68"/>
  <c r="W32" i="68"/>
  <c r="X32" i="68"/>
  <c r="Y32" i="68"/>
  <c r="Z32" i="68"/>
  <c r="AG31" i="68"/>
  <c r="AD31" i="68"/>
  <c r="O31" i="68"/>
  <c r="P31" i="68"/>
  <c r="Q31" i="68"/>
  <c r="R31" i="68"/>
  <c r="S31" i="68"/>
  <c r="T31" i="68"/>
  <c r="U31" i="68"/>
  <c r="V31" i="68"/>
  <c r="W31" i="68"/>
  <c r="X31" i="68"/>
  <c r="Y31" i="68"/>
  <c r="Z31" i="68"/>
  <c r="AA31" i="68"/>
  <c r="N26" i="68"/>
  <c r="N27" i="68"/>
  <c r="N28" i="68"/>
  <c r="N29" i="68"/>
  <c r="B23" i="68"/>
  <c r="AG16" i="68"/>
  <c r="AG19" i="68"/>
  <c r="AG115" i="68" s="1"/>
  <c r="AG21" i="68"/>
  <c r="AD19" i="68"/>
  <c r="AE110" i="68" s="1"/>
  <c r="AD21" i="68"/>
  <c r="G19" i="68"/>
  <c r="G20" i="68"/>
  <c r="N19" i="68"/>
  <c r="O19" i="68"/>
  <c r="O115" i="68" s="1"/>
  <c r="P19" i="68"/>
  <c r="P115" i="68" s="1"/>
  <c r="Q19" i="68"/>
  <c r="R19" i="68"/>
  <c r="R115" i="68" s="1"/>
  <c r="S19" i="68"/>
  <c r="T19" i="68"/>
  <c r="U19" i="68"/>
  <c r="U115" i="68" s="1"/>
  <c r="V19" i="68"/>
  <c r="V115" i="68" s="1"/>
  <c r="W19" i="68"/>
  <c r="W115" i="68" s="1"/>
  <c r="X19" i="68"/>
  <c r="X115" i="68" s="1"/>
  <c r="Y19" i="68"/>
  <c r="Z19" i="68"/>
  <c r="N20" i="68"/>
  <c r="O20" i="68"/>
  <c r="P20" i="68"/>
  <c r="Q20" i="68"/>
  <c r="R20" i="68"/>
  <c r="S20" i="68"/>
  <c r="T20" i="68"/>
  <c r="U20" i="68"/>
  <c r="V20" i="68"/>
  <c r="W20" i="68"/>
  <c r="X20" i="68"/>
  <c r="Y20" i="68"/>
  <c r="Z20" i="68"/>
  <c r="N21" i="68"/>
  <c r="O21" i="68"/>
  <c r="P21" i="68"/>
  <c r="Q21" i="68"/>
  <c r="R21" i="68"/>
  <c r="S21" i="68"/>
  <c r="T21" i="68"/>
  <c r="T115" i="68" s="1"/>
  <c r="U21" i="68"/>
  <c r="V21" i="68"/>
  <c r="W21" i="68"/>
  <c r="X21" i="68"/>
  <c r="Y21" i="68"/>
  <c r="Z21" i="68"/>
  <c r="Z115" i="68" s="1"/>
  <c r="AA21" i="68"/>
  <c r="B17" i="68"/>
  <c r="B18" i="68"/>
  <c r="B19" i="68"/>
  <c r="O16" i="68"/>
  <c r="P16" i="68"/>
  <c r="Q16" i="68"/>
  <c r="R16" i="68"/>
  <c r="S16" i="68"/>
  <c r="T16" i="68"/>
  <c r="U16" i="68"/>
  <c r="V16" i="68"/>
  <c r="W16" i="68"/>
  <c r="X16" i="68"/>
  <c r="Y16" i="68"/>
  <c r="O17" i="68"/>
  <c r="P17" i="68"/>
  <c r="Q17" i="68"/>
  <c r="R17" i="68"/>
  <c r="S17" i="68"/>
  <c r="T17" i="68"/>
  <c r="U17" i="68"/>
  <c r="V17" i="68"/>
  <c r="W17" i="68"/>
  <c r="X17" i="68"/>
  <c r="Y17" i="68"/>
  <c r="Z17" i="68"/>
  <c r="AA17" i="68" s="1"/>
  <c r="AA11" i="68" s="1"/>
  <c r="AA18" i="68" s="1"/>
  <c r="A14" i="68"/>
  <c r="AG12" i="68"/>
  <c r="AG13" i="68"/>
  <c r="AD12" i="68"/>
  <c r="AD13" i="68"/>
  <c r="B12" i="68"/>
  <c r="B13" i="68"/>
  <c r="O11" i="68"/>
  <c r="P11" i="68"/>
  <c r="Q11" i="68"/>
  <c r="R11" i="68"/>
  <c r="S11" i="68"/>
  <c r="T11" i="68"/>
  <c r="U11" i="68"/>
  <c r="V11" i="68"/>
  <c r="W11" i="68"/>
  <c r="X11" i="68"/>
  <c r="Y11" i="68"/>
  <c r="Z11" i="68"/>
  <c r="O12" i="68"/>
  <c r="P12" i="68"/>
  <c r="Q12" i="68"/>
  <c r="R12" i="68"/>
  <c r="S12" i="68"/>
  <c r="T12" i="68"/>
  <c r="U12" i="68"/>
  <c r="V12" i="68"/>
  <c r="W12" i="68"/>
  <c r="X12" i="68"/>
  <c r="Y12" i="68"/>
  <c r="Z12" i="68"/>
  <c r="AA12" i="68"/>
  <c r="O13" i="68"/>
  <c r="P13" i="68"/>
  <c r="Q13" i="68"/>
  <c r="R13" i="68"/>
  <c r="S13" i="68"/>
  <c r="T13" i="68"/>
  <c r="U13" i="68"/>
  <c r="V13" i="68"/>
  <c r="W13" i="68"/>
  <c r="X13" i="68"/>
  <c r="Y13" i="68"/>
  <c r="Z13" i="68"/>
  <c r="AA13" i="68"/>
  <c r="C10" i="68"/>
  <c r="D10" i="68"/>
  <c r="C9" i="68"/>
  <c r="C1" i="68"/>
  <c r="C2" i="68"/>
  <c r="C3" i="68"/>
  <c r="C4" i="68"/>
  <c r="C5" i="68"/>
  <c r="C6" i="68"/>
  <c r="C7" i="68"/>
  <c r="C8" i="68"/>
  <c r="E6" i="68"/>
  <c r="E4" i="68"/>
  <c r="F4" i="68"/>
  <c r="B3" i="68"/>
  <c r="B120" i="67"/>
  <c r="B114" i="67"/>
  <c r="B115" i="67"/>
  <c r="B116" i="67"/>
  <c r="B88" i="67"/>
  <c r="B89" i="67"/>
  <c r="B83" i="67"/>
  <c r="B84" i="67"/>
  <c r="B85" i="67"/>
  <c r="B55" i="67"/>
  <c r="B56" i="67"/>
  <c r="B50" i="67"/>
  <c r="B51" i="67"/>
  <c r="B52" i="67"/>
  <c r="AL37" i="67"/>
  <c r="AH38" i="67"/>
  <c r="AH39" i="67"/>
  <c r="AH41" i="67"/>
  <c r="AH42" i="67"/>
  <c r="AK44" i="67"/>
  <c r="AH45" i="67"/>
  <c r="AH47" i="67"/>
  <c r="AH49" i="67"/>
  <c r="AI50" i="67"/>
  <c r="AH54" i="67"/>
  <c r="AK54" i="67"/>
  <c r="AE38" i="67"/>
  <c r="AE39" i="67"/>
  <c r="AE41" i="67"/>
  <c r="AE42" i="67"/>
  <c r="AE45" i="67"/>
  <c r="AE47" i="67"/>
  <c r="AE49" i="67"/>
  <c r="AE54" i="67"/>
  <c r="AA41" i="67"/>
  <c r="AA45" i="67"/>
  <c r="I35" i="67"/>
  <c r="J35" i="67"/>
  <c r="L35" i="67"/>
  <c r="M35" i="67"/>
  <c r="N35" i="67"/>
  <c r="I36" i="67"/>
  <c r="K36" i="67" s="1"/>
  <c r="J36" i="67"/>
  <c r="L36" i="67"/>
  <c r="M36" i="67"/>
  <c r="N36" i="67"/>
  <c r="I37" i="67"/>
  <c r="K37" i="67" s="1"/>
  <c r="J37" i="67"/>
  <c r="L37" i="67"/>
  <c r="M37" i="67"/>
  <c r="N37" i="67"/>
  <c r="I38" i="67"/>
  <c r="AA38" i="67" s="1"/>
  <c r="J38" i="67"/>
  <c r="L38" i="67"/>
  <c r="M38" i="67"/>
  <c r="N38" i="67"/>
  <c r="I39" i="67"/>
  <c r="J39" i="67"/>
  <c r="L39" i="67"/>
  <c r="M39" i="67"/>
  <c r="N39" i="67"/>
  <c r="I40" i="67"/>
  <c r="K40" i="67" s="1"/>
  <c r="J40" i="67"/>
  <c r="L40" i="67"/>
  <c r="M40" i="67"/>
  <c r="N40" i="67"/>
  <c r="I41" i="67"/>
  <c r="K41" i="67" s="1"/>
  <c r="J41" i="67"/>
  <c r="L41" i="67"/>
  <c r="M41" i="67"/>
  <c r="N41" i="67"/>
  <c r="I42" i="67"/>
  <c r="AA42" i="67" s="1"/>
  <c r="AB42" i="67" s="1"/>
  <c r="J42" i="67"/>
  <c r="L42" i="67"/>
  <c r="M42" i="67"/>
  <c r="N42" i="67"/>
  <c r="I43" i="67"/>
  <c r="J43" i="67"/>
  <c r="L43" i="67"/>
  <c r="M43" i="67"/>
  <c r="N43" i="67"/>
  <c r="I44" i="67"/>
  <c r="J44" i="67"/>
  <c r="L44" i="67"/>
  <c r="M44" i="67"/>
  <c r="N44" i="67"/>
  <c r="I45" i="67"/>
  <c r="K45" i="67" s="1"/>
  <c r="J45" i="67"/>
  <c r="L45" i="67"/>
  <c r="M45" i="67"/>
  <c r="N45" i="67"/>
  <c r="I46" i="67"/>
  <c r="AA46" i="67" s="1"/>
  <c r="AF46" i="67" s="1"/>
  <c r="J46" i="67"/>
  <c r="L46" i="67"/>
  <c r="M46" i="67"/>
  <c r="N46" i="67"/>
  <c r="I47" i="67"/>
  <c r="J47" i="67"/>
  <c r="L47" i="67"/>
  <c r="M47" i="67"/>
  <c r="N47" i="67"/>
  <c r="I48" i="67"/>
  <c r="AA48" i="67" s="1"/>
  <c r="J48" i="67"/>
  <c r="L48" i="67"/>
  <c r="M48" i="67"/>
  <c r="N48" i="67"/>
  <c r="I49" i="67"/>
  <c r="AA49" i="67" s="1"/>
  <c r="J49" i="67"/>
  <c r="L49" i="67"/>
  <c r="M49" i="67"/>
  <c r="N49" i="67"/>
  <c r="I50" i="67"/>
  <c r="AA50" i="67" s="1"/>
  <c r="J50" i="67"/>
  <c r="L50" i="67"/>
  <c r="M50" i="67"/>
  <c r="N50" i="67"/>
  <c r="I51" i="67"/>
  <c r="J51" i="67"/>
  <c r="L51" i="67"/>
  <c r="M51" i="67"/>
  <c r="N51" i="67"/>
  <c r="I52" i="67"/>
  <c r="K52" i="67" s="1"/>
  <c r="J52" i="67"/>
  <c r="L52" i="67"/>
  <c r="M52" i="67"/>
  <c r="N52" i="67"/>
  <c r="I53" i="67"/>
  <c r="AA53" i="67" s="1"/>
  <c r="J53" i="67"/>
  <c r="K53" i="67"/>
  <c r="L53" i="67"/>
  <c r="M53" i="67"/>
  <c r="N53" i="67"/>
  <c r="I54" i="67"/>
  <c r="AA54" i="67" s="1"/>
  <c r="AF54" i="67" s="1"/>
  <c r="J54" i="67"/>
  <c r="L54" i="67"/>
  <c r="M54" i="67"/>
  <c r="N54" i="67"/>
  <c r="I55" i="67"/>
  <c r="J55" i="67"/>
  <c r="L55" i="67"/>
  <c r="M55" i="67"/>
  <c r="N55" i="67"/>
  <c r="I56" i="67"/>
  <c r="K56" i="67" s="1"/>
  <c r="J56" i="67"/>
  <c r="L56" i="67"/>
  <c r="M56" i="67"/>
  <c r="N56" i="67"/>
  <c r="N33" i="67"/>
  <c r="N34" i="67"/>
  <c r="I33" i="67"/>
  <c r="J33" i="67"/>
  <c r="I34" i="67"/>
  <c r="J34" i="67"/>
  <c r="AG32" i="67"/>
  <c r="AL32" i="67" s="1"/>
  <c r="AD32" i="67"/>
  <c r="AK32" i="67" s="1"/>
  <c r="O32" i="67"/>
  <c r="P32" i="67"/>
  <c r="Q32" i="67"/>
  <c r="R32" i="67"/>
  <c r="S32" i="67"/>
  <c r="T32" i="67"/>
  <c r="U32" i="67"/>
  <c r="V32" i="67"/>
  <c r="W32" i="67"/>
  <c r="X32" i="67"/>
  <c r="Y32" i="67"/>
  <c r="Z32" i="67"/>
  <c r="AJ32" i="67" s="1"/>
  <c r="AJ31" i="67"/>
  <c r="AK31" i="67"/>
  <c r="AM31" i="67" s="1"/>
  <c r="AL31" i="67"/>
  <c r="AN31" i="67" s="1"/>
  <c r="AG31" i="67"/>
  <c r="AD31" i="67"/>
  <c r="O31" i="67"/>
  <c r="P31" i="67"/>
  <c r="Q31" i="67"/>
  <c r="R31" i="67"/>
  <c r="S31" i="67"/>
  <c r="T31" i="67"/>
  <c r="U31" i="67"/>
  <c r="V31" i="67"/>
  <c r="W31" i="67"/>
  <c r="X31" i="67"/>
  <c r="Y31" i="67"/>
  <c r="Z31" i="67"/>
  <c r="AA31" i="67"/>
  <c r="N26" i="67"/>
  <c r="N27" i="67"/>
  <c r="N28" i="67"/>
  <c r="N29" i="67"/>
  <c r="B22" i="67"/>
  <c r="B23" i="67"/>
  <c r="AG16" i="67"/>
  <c r="AG19" i="67"/>
  <c r="AH40" i="67" s="1"/>
  <c r="AG20" i="67"/>
  <c r="AL36" i="67" s="1"/>
  <c r="AD19" i="67"/>
  <c r="AD20" i="67"/>
  <c r="AK36" i="67" s="1"/>
  <c r="G19" i="67"/>
  <c r="G20" i="67"/>
  <c r="N19" i="67"/>
  <c r="O19" i="67"/>
  <c r="P19" i="67"/>
  <c r="Q19" i="67"/>
  <c r="R19" i="67"/>
  <c r="S19" i="67"/>
  <c r="T19" i="67"/>
  <c r="U19" i="67"/>
  <c r="V19" i="67"/>
  <c r="W19" i="67"/>
  <c r="X19" i="67"/>
  <c r="Y19" i="67"/>
  <c r="Z19" i="67"/>
  <c r="N20" i="67"/>
  <c r="O20" i="67"/>
  <c r="P20" i="67"/>
  <c r="Q20" i="67"/>
  <c r="R20" i="67"/>
  <c r="S20" i="67"/>
  <c r="T20" i="67"/>
  <c r="U20" i="67"/>
  <c r="V20" i="67"/>
  <c r="W20" i="67"/>
  <c r="X20" i="67"/>
  <c r="Y20" i="67"/>
  <c r="Z20" i="67"/>
  <c r="B17" i="67"/>
  <c r="B18" i="67"/>
  <c r="B19" i="67"/>
  <c r="O16" i="67"/>
  <c r="P16" i="67"/>
  <c r="Q16" i="67"/>
  <c r="R16" i="67"/>
  <c r="S16" i="67"/>
  <c r="T16" i="67"/>
  <c r="U16" i="67"/>
  <c r="V16" i="67"/>
  <c r="W16" i="67"/>
  <c r="X16" i="67"/>
  <c r="Y16" i="67"/>
  <c r="O17" i="67"/>
  <c r="P17" i="67"/>
  <c r="Q17" i="67"/>
  <c r="R17" i="67"/>
  <c r="S17" i="67"/>
  <c r="T17" i="67"/>
  <c r="U17" i="67"/>
  <c r="V17" i="67"/>
  <c r="W17" i="67"/>
  <c r="X17" i="67"/>
  <c r="Y17" i="67"/>
  <c r="Z17" i="67"/>
  <c r="AA17" i="67" s="1"/>
  <c r="AA11" i="67" s="1"/>
  <c r="A14" i="67"/>
  <c r="AG12" i="67"/>
  <c r="AG13" i="67"/>
  <c r="AD12" i="67"/>
  <c r="AD13" i="67"/>
  <c r="B12" i="67"/>
  <c r="B13" i="67"/>
  <c r="O11" i="67"/>
  <c r="P11" i="67"/>
  <c r="Q11" i="67"/>
  <c r="R11" i="67"/>
  <c r="S11" i="67"/>
  <c r="T11" i="67"/>
  <c r="U11" i="67"/>
  <c r="V11" i="67"/>
  <c r="W11" i="67"/>
  <c r="X11" i="67"/>
  <c r="Y11" i="67"/>
  <c r="Z11" i="67"/>
  <c r="O12" i="67"/>
  <c r="P12" i="67"/>
  <c r="Q12" i="67"/>
  <c r="R12" i="67"/>
  <c r="S12" i="67"/>
  <c r="T12" i="67"/>
  <c r="U12" i="67"/>
  <c r="V12" i="67"/>
  <c r="W12" i="67"/>
  <c r="X12" i="67"/>
  <c r="Y12" i="67"/>
  <c r="Z12" i="67"/>
  <c r="AA12" i="67"/>
  <c r="O13" i="67"/>
  <c r="P13" i="67"/>
  <c r="Q13" i="67"/>
  <c r="R13" i="67"/>
  <c r="S13" i="67"/>
  <c r="T13" i="67"/>
  <c r="U13" i="67"/>
  <c r="V13" i="67"/>
  <c r="W13" i="67"/>
  <c r="X13" i="67"/>
  <c r="Y13" i="67"/>
  <c r="Z13" i="67"/>
  <c r="AA13" i="67"/>
  <c r="C10" i="67"/>
  <c r="D10" i="67"/>
  <c r="C9" i="67"/>
  <c r="C1" i="67"/>
  <c r="C2" i="67"/>
  <c r="C3" i="67"/>
  <c r="C4" i="67"/>
  <c r="C5" i="67"/>
  <c r="C6" i="67"/>
  <c r="C7" i="67"/>
  <c r="C8" i="67"/>
  <c r="E6" i="67"/>
  <c r="E4" i="67"/>
  <c r="F4" i="67"/>
  <c r="B3" i="67"/>
  <c r="AG139" i="66"/>
  <c r="AG140" i="66"/>
  <c r="AG141" i="66"/>
  <c r="AG142" i="66"/>
  <c r="AD139" i="66"/>
  <c r="AD140" i="66"/>
  <c r="AD141" i="66"/>
  <c r="AD142" i="66"/>
  <c r="O139" i="66"/>
  <c r="P139" i="66"/>
  <c r="Q139" i="66"/>
  <c r="R139" i="66"/>
  <c r="S139" i="66"/>
  <c r="T139" i="66"/>
  <c r="U139" i="66"/>
  <c r="V139" i="66"/>
  <c r="W139" i="66"/>
  <c r="X139" i="66"/>
  <c r="Y139" i="66"/>
  <c r="Z139" i="66"/>
  <c r="O140" i="66"/>
  <c r="P140" i="66"/>
  <c r="Q140" i="66"/>
  <c r="R140" i="66"/>
  <c r="S140" i="66"/>
  <c r="T140" i="66"/>
  <c r="U140" i="66"/>
  <c r="V140" i="66"/>
  <c r="W140" i="66"/>
  <c r="X140" i="66"/>
  <c r="Y140" i="66"/>
  <c r="Z140" i="66"/>
  <c r="O141" i="66"/>
  <c r="P141" i="66"/>
  <c r="Q141" i="66"/>
  <c r="R141" i="66"/>
  <c r="S141" i="66"/>
  <c r="T141" i="66"/>
  <c r="U141" i="66"/>
  <c r="V141" i="66"/>
  <c r="W141" i="66"/>
  <c r="X141" i="66"/>
  <c r="Y141" i="66"/>
  <c r="Z141" i="66"/>
  <c r="O142" i="66"/>
  <c r="P142" i="66"/>
  <c r="Q142" i="66"/>
  <c r="R142" i="66"/>
  <c r="S142" i="66"/>
  <c r="T142" i="66"/>
  <c r="U142" i="66"/>
  <c r="V142" i="66"/>
  <c r="W142" i="66"/>
  <c r="X142" i="66"/>
  <c r="Y142" i="66"/>
  <c r="Z142" i="66"/>
  <c r="AI127" i="66"/>
  <c r="AI129" i="66"/>
  <c r="AI131" i="66"/>
  <c r="AI133" i="66"/>
  <c r="AI135" i="66"/>
  <c r="AI136" i="66"/>
  <c r="AG137" i="66"/>
  <c r="AD137" i="66"/>
  <c r="O137" i="66"/>
  <c r="P137" i="66"/>
  <c r="Q137" i="66"/>
  <c r="R137" i="66"/>
  <c r="S137" i="66"/>
  <c r="T137" i="66"/>
  <c r="U137" i="66"/>
  <c r="V137" i="66"/>
  <c r="W137" i="66"/>
  <c r="X137" i="66"/>
  <c r="Y137" i="66"/>
  <c r="Z137" i="66"/>
  <c r="AH136" i="66"/>
  <c r="AE136" i="66"/>
  <c r="AF136" i="66"/>
  <c r="AA136" i="66"/>
  <c r="AB136" i="66"/>
  <c r="AF127" i="66"/>
  <c r="AF129" i="66"/>
  <c r="AF131" i="66"/>
  <c r="AF133" i="66"/>
  <c r="AF135" i="66"/>
  <c r="AH134" i="66"/>
  <c r="AE134" i="66"/>
  <c r="AA134" i="66"/>
  <c r="AF134" i="66" s="1"/>
  <c r="AB134" i="66"/>
  <c r="AH132" i="66"/>
  <c r="AE132" i="66"/>
  <c r="AA132" i="66"/>
  <c r="AI132" i="66" s="1"/>
  <c r="AB132" i="66"/>
  <c r="AH130" i="66"/>
  <c r="AE130" i="66"/>
  <c r="AA130" i="66"/>
  <c r="AI130" i="66" s="1"/>
  <c r="AB130" i="66"/>
  <c r="AH128" i="66"/>
  <c r="AE128" i="66"/>
  <c r="AA128" i="66"/>
  <c r="AI128" i="66" s="1"/>
  <c r="AB128" i="66"/>
  <c r="AH126" i="66"/>
  <c r="AE126" i="66"/>
  <c r="AA126" i="66"/>
  <c r="AI126" i="66" s="1"/>
  <c r="AB126" i="66"/>
  <c r="L126" i="66"/>
  <c r="M126" i="66"/>
  <c r="N126" i="66"/>
  <c r="L127" i="66"/>
  <c r="M127" i="66"/>
  <c r="N127" i="66"/>
  <c r="L128" i="66"/>
  <c r="M128" i="66"/>
  <c r="N128" i="66"/>
  <c r="L129" i="66"/>
  <c r="M129" i="66"/>
  <c r="N129" i="66"/>
  <c r="L130" i="66"/>
  <c r="M130" i="66"/>
  <c r="N130" i="66"/>
  <c r="L131" i="66"/>
  <c r="M131" i="66"/>
  <c r="N131" i="66"/>
  <c r="L132" i="66"/>
  <c r="M132" i="66"/>
  <c r="N132" i="66"/>
  <c r="L133" i="66"/>
  <c r="M133" i="66"/>
  <c r="N133" i="66"/>
  <c r="L134" i="66"/>
  <c r="M134" i="66"/>
  <c r="N134" i="66"/>
  <c r="L135" i="66"/>
  <c r="M135" i="66"/>
  <c r="N135" i="66"/>
  <c r="L136" i="66"/>
  <c r="M136" i="66"/>
  <c r="N136" i="66"/>
  <c r="N125" i="66"/>
  <c r="AG118" i="66"/>
  <c r="AG119" i="66"/>
  <c r="AG120" i="66"/>
  <c r="AG121" i="66"/>
  <c r="AD118" i="66"/>
  <c r="AD122" i="66" s="1"/>
  <c r="AD119" i="66"/>
  <c r="AD120" i="66"/>
  <c r="AD121" i="66"/>
  <c r="Z123" i="66"/>
  <c r="AH118" i="66"/>
  <c r="AH121" i="66"/>
  <c r="AE121" i="66"/>
  <c r="L118" i="66"/>
  <c r="M118" i="66"/>
  <c r="N118" i="66"/>
  <c r="O118" i="66"/>
  <c r="P118" i="66"/>
  <c r="Q118" i="66"/>
  <c r="R118" i="66"/>
  <c r="S118" i="66"/>
  <c r="T118" i="66"/>
  <c r="U118" i="66"/>
  <c r="V118" i="66"/>
  <c r="V122" i="66" s="1"/>
  <c r="V123" i="66" s="1"/>
  <c r="W118" i="66"/>
  <c r="X118" i="66"/>
  <c r="Y118" i="66"/>
  <c r="Z118" i="66"/>
  <c r="L119" i="66"/>
  <c r="M119" i="66"/>
  <c r="N119" i="66"/>
  <c r="O119" i="66"/>
  <c r="P119" i="66"/>
  <c r="P122" i="66" s="1"/>
  <c r="P123" i="66" s="1"/>
  <c r="Q119" i="66"/>
  <c r="R119" i="66"/>
  <c r="S119" i="66"/>
  <c r="T119" i="66"/>
  <c r="U119" i="66"/>
  <c r="V119" i="66"/>
  <c r="W119" i="66"/>
  <c r="X119" i="66"/>
  <c r="Y119" i="66"/>
  <c r="Z119" i="66"/>
  <c r="L120" i="66"/>
  <c r="M120" i="66"/>
  <c r="N120" i="66"/>
  <c r="O120" i="66"/>
  <c r="P120" i="66"/>
  <c r="Q120" i="66"/>
  <c r="R120" i="66"/>
  <c r="S120" i="66"/>
  <c r="T120" i="66"/>
  <c r="U120" i="66"/>
  <c r="V120" i="66"/>
  <c r="W120" i="66"/>
  <c r="X120" i="66"/>
  <c r="Y120" i="66"/>
  <c r="Z120" i="66"/>
  <c r="L121" i="66"/>
  <c r="M121" i="66"/>
  <c r="N121" i="66"/>
  <c r="O121" i="66"/>
  <c r="P121" i="66"/>
  <c r="AA121" i="66" s="1"/>
  <c r="Q121" i="66"/>
  <c r="Q122" i="66" s="1"/>
  <c r="Q123" i="66" s="1"/>
  <c r="R121" i="66"/>
  <c r="S121" i="66"/>
  <c r="T121" i="66"/>
  <c r="U121" i="66"/>
  <c r="V121" i="66"/>
  <c r="W121" i="66"/>
  <c r="X121" i="66"/>
  <c r="Y121" i="66"/>
  <c r="Y122" i="66" s="1"/>
  <c r="Y123" i="66" s="1"/>
  <c r="Z121" i="66"/>
  <c r="L122" i="66"/>
  <c r="M122" i="66"/>
  <c r="N122" i="66"/>
  <c r="R122" i="66"/>
  <c r="R123" i="66" s="1"/>
  <c r="X122" i="66"/>
  <c r="X123" i="66" s="1"/>
  <c r="Z122" i="66"/>
  <c r="AH112" i="66"/>
  <c r="AH113" i="66"/>
  <c r="AH114" i="66"/>
  <c r="AH115" i="66"/>
  <c r="AI115" i="66"/>
  <c r="AH116" i="66"/>
  <c r="AE112" i="66"/>
  <c r="AE113" i="66"/>
  <c r="AE115" i="66"/>
  <c r="AF116" i="66"/>
  <c r="AA112" i="66"/>
  <c r="AI112" i="66" s="1"/>
  <c r="AA113" i="66"/>
  <c r="AI113" i="66" s="1"/>
  <c r="AA114" i="66"/>
  <c r="AI114" i="66" s="1"/>
  <c r="AA115" i="66"/>
  <c r="AF115" i="66" s="1"/>
  <c r="AA116" i="66"/>
  <c r="AI116" i="66" s="1"/>
  <c r="L112" i="66"/>
  <c r="M112" i="66"/>
  <c r="N112" i="66"/>
  <c r="L113" i="66"/>
  <c r="M113" i="66"/>
  <c r="N113" i="66"/>
  <c r="L114" i="66"/>
  <c r="M114" i="66"/>
  <c r="N114" i="66"/>
  <c r="L115" i="66"/>
  <c r="M115" i="66"/>
  <c r="N115" i="66"/>
  <c r="L116" i="66"/>
  <c r="M116" i="66"/>
  <c r="N116" i="66"/>
  <c r="AH105" i="66"/>
  <c r="AI105" i="66"/>
  <c r="AH106" i="66"/>
  <c r="AH107" i="66"/>
  <c r="AH108" i="66"/>
  <c r="AH109" i="66"/>
  <c r="AE105" i="66"/>
  <c r="AE106" i="66"/>
  <c r="AE108" i="66"/>
  <c r="AA105" i="66"/>
  <c r="AB105" i="66" s="1"/>
  <c r="AA106" i="66"/>
  <c r="AA107" i="66"/>
  <c r="AA108" i="66"/>
  <c r="AF108" i="66" s="1"/>
  <c r="AA109" i="66"/>
  <c r="AF109" i="66" s="1"/>
  <c r="L105" i="66"/>
  <c r="M105" i="66"/>
  <c r="N105" i="66"/>
  <c r="L106" i="66"/>
  <c r="M106" i="66"/>
  <c r="N106" i="66"/>
  <c r="L107" i="66"/>
  <c r="M107" i="66"/>
  <c r="N107" i="66"/>
  <c r="L108" i="66"/>
  <c r="M108" i="66"/>
  <c r="N108" i="66"/>
  <c r="L109" i="66"/>
  <c r="M109" i="66"/>
  <c r="N109" i="66"/>
  <c r="AH98" i="66"/>
  <c r="AH101" i="66"/>
  <c r="AE98" i="66"/>
  <c r="AF98" i="66"/>
  <c r="AF99" i="66"/>
  <c r="AE101" i="66"/>
  <c r="AA98" i="66"/>
  <c r="AI98" i="66" s="1"/>
  <c r="AB98" i="66"/>
  <c r="AA99" i="66"/>
  <c r="AI99" i="66" s="1"/>
  <c r="AA100" i="66"/>
  <c r="AF100" i="66" s="1"/>
  <c r="AA101" i="66"/>
  <c r="AI101" i="66" s="1"/>
  <c r="AA102" i="66"/>
  <c r="AF102" i="66" s="1"/>
  <c r="L98" i="66"/>
  <c r="M98" i="66"/>
  <c r="N98" i="66"/>
  <c r="L99" i="66"/>
  <c r="M99" i="66"/>
  <c r="N99" i="66"/>
  <c r="L100" i="66"/>
  <c r="M100" i="66"/>
  <c r="N100" i="66"/>
  <c r="L101" i="66"/>
  <c r="M101" i="66"/>
  <c r="N101" i="66"/>
  <c r="L102" i="66"/>
  <c r="M102" i="66"/>
  <c r="N102" i="66"/>
  <c r="AD92" i="66"/>
  <c r="AD93" i="66"/>
  <c r="AD94" i="66"/>
  <c r="AG92" i="66"/>
  <c r="AG93" i="66"/>
  <c r="AG94" i="66"/>
  <c r="O92" i="66"/>
  <c r="P92" i="66"/>
  <c r="Q92" i="66"/>
  <c r="R92" i="66"/>
  <c r="S92" i="66"/>
  <c r="T92" i="66"/>
  <c r="U92" i="66"/>
  <c r="V92" i="66"/>
  <c r="W92" i="66"/>
  <c r="X92" i="66"/>
  <c r="Y92" i="66"/>
  <c r="Z92" i="66"/>
  <c r="O93" i="66"/>
  <c r="P93" i="66"/>
  <c r="Q93" i="66"/>
  <c r="R93" i="66"/>
  <c r="S93" i="66"/>
  <c r="T93" i="66"/>
  <c r="U93" i="66"/>
  <c r="V93" i="66"/>
  <c r="W93" i="66"/>
  <c r="X93" i="66"/>
  <c r="Y93" i="66"/>
  <c r="Z93" i="66"/>
  <c r="O94" i="66"/>
  <c r="P94" i="66"/>
  <c r="Q94" i="66"/>
  <c r="R94" i="66"/>
  <c r="S94" i="66"/>
  <c r="T94" i="66"/>
  <c r="U94" i="66"/>
  <c r="V94" i="66"/>
  <c r="W94" i="66"/>
  <c r="X94" i="66"/>
  <c r="Y94" i="66"/>
  <c r="Z94" i="66"/>
  <c r="AA94" i="66"/>
  <c r="AA89" i="66"/>
  <c r="AI89" i="66" s="1"/>
  <c r="AA90" i="66"/>
  <c r="AI90" i="66" s="1"/>
  <c r="AA91" i="66"/>
  <c r="AI91" i="66" s="1"/>
  <c r="N89" i="66"/>
  <c r="N90" i="66"/>
  <c r="N91" i="66"/>
  <c r="I89" i="66"/>
  <c r="J89" i="66"/>
  <c r="I90" i="66"/>
  <c r="J90" i="66"/>
  <c r="I91" i="66"/>
  <c r="J91" i="66"/>
  <c r="AI82" i="66"/>
  <c r="AA82" i="66"/>
  <c r="AF82" i="66" s="1"/>
  <c r="AA83" i="66"/>
  <c r="AF83" i="66" s="1"/>
  <c r="AA84" i="66"/>
  <c r="AI84" i="66" s="1"/>
  <c r="N82" i="66"/>
  <c r="N139" i="66" s="1"/>
  <c r="N83" i="66"/>
  <c r="N84" i="66"/>
  <c r="N140" i="66" s="1"/>
  <c r="N85" i="66"/>
  <c r="N86" i="66"/>
  <c r="N141" i="66" s="1"/>
  <c r="L82" i="66"/>
  <c r="M82" i="66"/>
  <c r="L83" i="66"/>
  <c r="M83" i="66"/>
  <c r="L84" i="66"/>
  <c r="M84" i="66"/>
  <c r="I82" i="66"/>
  <c r="J82" i="66"/>
  <c r="I83" i="66"/>
  <c r="J83" i="66"/>
  <c r="I84" i="66"/>
  <c r="J84" i="66"/>
  <c r="I85" i="66"/>
  <c r="J85" i="66"/>
  <c r="I86" i="66"/>
  <c r="J86" i="66"/>
  <c r="AH80" i="66"/>
  <c r="AE80" i="66"/>
  <c r="AA80" i="66"/>
  <c r="AF80" i="66" s="1"/>
  <c r="AB80" i="66"/>
  <c r="L80" i="66"/>
  <c r="M80" i="66"/>
  <c r="N80" i="66"/>
  <c r="I80" i="66"/>
  <c r="J80" i="66"/>
  <c r="AG78" i="66"/>
  <c r="AH79" i="66" s="1"/>
  <c r="AD78" i="66"/>
  <c r="AE79" i="66" s="1"/>
  <c r="O78" i="66"/>
  <c r="O79" i="66" s="1"/>
  <c r="P78" i="66"/>
  <c r="P79" i="66" s="1"/>
  <c r="Q78" i="66"/>
  <c r="R78" i="66"/>
  <c r="S78" i="66"/>
  <c r="T78" i="66"/>
  <c r="T79" i="66" s="1"/>
  <c r="U78" i="66"/>
  <c r="U79" i="66" s="1"/>
  <c r="V78" i="66"/>
  <c r="V79" i="66" s="1"/>
  <c r="W78" i="66"/>
  <c r="W79" i="66" s="1"/>
  <c r="X78" i="66"/>
  <c r="X79" i="66" s="1"/>
  <c r="Y78" i="66"/>
  <c r="Z78" i="66"/>
  <c r="Q79" i="66"/>
  <c r="R79" i="66"/>
  <c r="S79" i="66"/>
  <c r="Y79" i="66"/>
  <c r="Z79" i="66"/>
  <c r="AF75" i="66"/>
  <c r="AF76" i="66"/>
  <c r="AA35" i="66"/>
  <c r="AA36" i="66"/>
  <c r="AA37" i="66"/>
  <c r="AA38" i="66"/>
  <c r="AA39" i="66"/>
  <c r="AA40" i="66"/>
  <c r="AA41" i="66"/>
  <c r="AA45" i="66"/>
  <c r="AA46" i="66"/>
  <c r="AF46" i="66" s="1"/>
  <c r="AA47" i="66"/>
  <c r="AI47" i="66" s="1"/>
  <c r="AA48" i="66"/>
  <c r="AA49" i="66"/>
  <c r="AA50" i="66"/>
  <c r="AI50" i="66" s="1"/>
  <c r="AA51" i="66"/>
  <c r="AA55" i="66"/>
  <c r="AA56" i="66"/>
  <c r="AA57" i="66"/>
  <c r="AA58" i="66"/>
  <c r="AI58" i="66" s="1"/>
  <c r="AA59" i="66"/>
  <c r="AI59" i="66" s="1"/>
  <c r="AA60" i="66"/>
  <c r="AA61" i="66"/>
  <c r="AI61" i="66" s="1"/>
  <c r="AA65" i="66"/>
  <c r="AA66" i="66"/>
  <c r="AI66" i="66" s="1"/>
  <c r="AA67" i="66"/>
  <c r="AF67" i="66" s="1"/>
  <c r="AA68" i="66"/>
  <c r="AI68" i="66" s="1"/>
  <c r="AA69" i="66"/>
  <c r="AF69" i="66" s="1"/>
  <c r="AA70" i="66"/>
  <c r="AA74" i="66"/>
  <c r="AI74" i="66" s="1"/>
  <c r="AA75" i="66"/>
  <c r="AI75" i="66" s="1"/>
  <c r="AA76" i="66"/>
  <c r="AB76" i="66" s="1"/>
  <c r="AA77" i="66"/>
  <c r="AF77" i="66" s="1"/>
  <c r="AH73" i="66"/>
  <c r="AH74" i="66"/>
  <c r="AH75" i="66"/>
  <c r="AH76" i="66"/>
  <c r="AE74" i="66"/>
  <c r="AE75" i="66"/>
  <c r="AE76" i="66"/>
  <c r="AB74" i="66"/>
  <c r="AB75" i="66"/>
  <c r="L74" i="66"/>
  <c r="M74" i="66"/>
  <c r="N74" i="66"/>
  <c r="L75" i="66"/>
  <c r="M75" i="66"/>
  <c r="N75" i="66"/>
  <c r="L76" i="66"/>
  <c r="M76" i="66"/>
  <c r="N76" i="66"/>
  <c r="L77" i="66"/>
  <c r="M77" i="66"/>
  <c r="N77" i="66"/>
  <c r="I74" i="66"/>
  <c r="J74" i="66"/>
  <c r="I75" i="66"/>
  <c r="J75" i="66"/>
  <c r="I76" i="66"/>
  <c r="J76" i="66"/>
  <c r="I77" i="66"/>
  <c r="J77" i="66"/>
  <c r="AG72" i="66"/>
  <c r="AD72" i="66"/>
  <c r="AE73" i="66" s="1"/>
  <c r="O72" i="66"/>
  <c r="O73" i="66" s="1"/>
  <c r="P72" i="66"/>
  <c r="Q72" i="66"/>
  <c r="R72" i="66"/>
  <c r="S72" i="66"/>
  <c r="T72" i="66"/>
  <c r="T73" i="66" s="1"/>
  <c r="U72" i="66"/>
  <c r="U73" i="66" s="1"/>
  <c r="V72" i="66"/>
  <c r="V73" i="66" s="1"/>
  <c r="W72" i="66"/>
  <c r="W73" i="66" s="1"/>
  <c r="X72" i="66"/>
  <c r="Y72" i="66"/>
  <c r="Y73" i="66" s="1"/>
  <c r="Z72" i="66"/>
  <c r="P73" i="66"/>
  <c r="Q73" i="66"/>
  <c r="R73" i="66"/>
  <c r="S73" i="66"/>
  <c r="X73" i="66"/>
  <c r="Z73" i="66"/>
  <c r="AI65" i="66"/>
  <c r="AI67" i="66"/>
  <c r="AF65" i="66"/>
  <c r="AF66" i="66"/>
  <c r="AF68" i="66"/>
  <c r="AH65" i="66"/>
  <c r="AH66" i="66"/>
  <c r="AH67" i="66"/>
  <c r="AH68" i="66"/>
  <c r="AH69" i="66"/>
  <c r="AH70" i="66"/>
  <c r="AE65" i="66"/>
  <c r="AE66" i="66"/>
  <c r="AE67" i="66"/>
  <c r="AE68" i="66"/>
  <c r="AE69" i="66"/>
  <c r="AE70" i="66"/>
  <c r="L65" i="66"/>
  <c r="M65" i="66"/>
  <c r="N65" i="66"/>
  <c r="L66" i="66"/>
  <c r="M66" i="66"/>
  <c r="N66" i="66"/>
  <c r="L67" i="66"/>
  <c r="M67" i="66"/>
  <c r="N67" i="66"/>
  <c r="L68" i="66"/>
  <c r="M68" i="66"/>
  <c r="N68" i="66"/>
  <c r="L69" i="66"/>
  <c r="M69" i="66"/>
  <c r="N69" i="66"/>
  <c r="L70" i="66"/>
  <c r="M70" i="66"/>
  <c r="N70" i="66"/>
  <c r="L71" i="66"/>
  <c r="M71" i="66"/>
  <c r="N71" i="66"/>
  <c r="I65" i="66"/>
  <c r="J65" i="66"/>
  <c r="I66" i="66"/>
  <c r="J66" i="66"/>
  <c r="I67" i="66"/>
  <c r="J67" i="66"/>
  <c r="I68" i="66"/>
  <c r="J68" i="66"/>
  <c r="I69" i="66"/>
  <c r="J69" i="66"/>
  <c r="I70" i="66"/>
  <c r="J70" i="66"/>
  <c r="I71" i="66"/>
  <c r="J71" i="66"/>
  <c r="AG63" i="66"/>
  <c r="AH64" i="66" s="1"/>
  <c r="AD63" i="66"/>
  <c r="AE64" i="66" s="1"/>
  <c r="O63" i="66"/>
  <c r="O64" i="66" s="1"/>
  <c r="P63" i="66"/>
  <c r="Q63" i="66"/>
  <c r="R63" i="66"/>
  <c r="R64" i="66" s="1"/>
  <c r="S63" i="66"/>
  <c r="S64" i="66" s="1"/>
  <c r="T63" i="66"/>
  <c r="T64" i="66" s="1"/>
  <c r="U63" i="66"/>
  <c r="U64" i="66" s="1"/>
  <c r="V63" i="66"/>
  <c r="V64" i="66" s="1"/>
  <c r="W63" i="66"/>
  <c r="W64" i="66" s="1"/>
  <c r="X63" i="66"/>
  <c r="Y63" i="66"/>
  <c r="Z63" i="66"/>
  <c r="Z64" i="66" s="1"/>
  <c r="P64" i="66"/>
  <c r="Q64" i="66"/>
  <c r="X64" i="66"/>
  <c r="Y64" i="66"/>
  <c r="AI55" i="66"/>
  <c r="AI57" i="66"/>
  <c r="AI60" i="66"/>
  <c r="AF55" i="66"/>
  <c r="AF57" i="66"/>
  <c r="AF60" i="66"/>
  <c r="AH61" i="66"/>
  <c r="AE61" i="66"/>
  <c r="AB61" i="66"/>
  <c r="AH57" i="66"/>
  <c r="AH58" i="66"/>
  <c r="L55" i="66"/>
  <c r="M55" i="66"/>
  <c r="N55" i="66"/>
  <c r="L56" i="66"/>
  <c r="M56" i="66"/>
  <c r="N56" i="66"/>
  <c r="L57" i="66"/>
  <c r="M57" i="66"/>
  <c r="N57" i="66"/>
  <c r="L58" i="66"/>
  <c r="M58" i="66"/>
  <c r="N58" i="66"/>
  <c r="L59" i="66"/>
  <c r="M59" i="66"/>
  <c r="N59" i="66"/>
  <c r="L60" i="66"/>
  <c r="M60" i="66"/>
  <c r="N60" i="66"/>
  <c r="L61" i="66"/>
  <c r="M61" i="66"/>
  <c r="N61" i="66"/>
  <c r="L62" i="66"/>
  <c r="M62" i="66"/>
  <c r="N62" i="66"/>
  <c r="I55" i="66"/>
  <c r="J55" i="66"/>
  <c r="I56" i="66"/>
  <c r="J56" i="66"/>
  <c r="I57" i="66"/>
  <c r="J57" i="66"/>
  <c r="I58" i="66"/>
  <c r="J58" i="66"/>
  <c r="I59" i="66"/>
  <c r="J59" i="66"/>
  <c r="I60" i="66"/>
  <c r="J60" i="66"/>
  <c r="I61" i="66"/>
  <c r="J61" i="66"/>
  <c r="I62" i="66"/>
  <c r="J62" i="66"/>
  <c r="AG53" i="66"/>
  <c r="AH54" i="66" s="1"/>
  <c r="AD53" i="66"/>
  <c r="AE54" i="66" s="1"/>
  <c r="O53" i="66"/>
  <c r="O54" i="66" s="1"/>
  <c r="P53" i="66"/>
  <c r="P54" i="66" s="1"/>
  <c r="Q53" i="66"/>
  <c r="R53" i="66"/>
  <c r="S53" i="66"/>
  <c r="T53" i="66"/>
  <c r="U53" i="66"/>
  <c r="U54" i="66" s="1"/>
  <c r="V53" i="66"/>
  <c r="V54" i="66" s="1"/>
  <c r="W53" i="66"/>
  <c r="W54" i="66" s="1"/>
  <c r="X53" i="66"/>
  <c r="X54" i="66" s="1"/>
  <c r="Y53" i="66"/>
  <c r="Z53" i="66"/>
  <c r="Q54" i="66"/>
  <c r="R54" i="66"/>
  <c r="S54" i="66"/>
  <c r="T54" i="66"/>
  <c r="Y54" i="66"/>
  <c r="Z54" i="66"/>
  <c r="AI45" i="66"/>
  <c r="AI46" i="66"/>
  <c r="AI49" i="66"/>
  <c r="AI51" i="66"/>
  <c r="AF45" i="66"/>
  <c r="AF49" i="66"/>
  <c r="AF51" i="66"/>
  <c r="AH51" i="66"/>
  <c r="AE51" i="66"/>
  <c r="AB51" i="66"/>
  <c r="AH47" i="66"/>
  <c r="AH48" i="66"/>
  <c r="AE44" i="66"/>
  <c r="AE47" i="66"/>
  <c r="AE48" i="66"/>
  <c r="L45" i="66"/>
  <c r="M45" i="66"/>
  <c r="N45" i="66"/>
  <c r="L46" i="66"/>
  <c r="M46" i="66"/>
  <c r="N46" i="66"/>
  <c r="L47" i="66"/>
  <c r="M47" i="66"/>
  <c r="N47" i="66"/>
  <c r="L48" i="66"/>
  <c r="M48" i="66"/>
  <c r="N48" i="66"/>
  <c r="L49" i="66"/>
  <c r="M49" i="66"/>
  <c r="N49" i="66"/>
  <c r="L50" i="66"/>
  <c r="M50" i="66"/>
  <c r="N50" i="66"/>
  <c r="L51" i="66"/>
  <c r="M51" i="66"/>
  <c r="N51" i="66"/>
  <c r="L52" i="66"/>
  <c r="M52" i="66"/>
  <c r="N52" i="66"/>
  <c r="I45" i="66"/>
  <c r="J45" i="66"/>
  <c r="I46" i="66"/>
  <c r="J46" i="66"/>
  <c r="I47" i="66"/>
  <c r="J47" i="66"/>
  <c r="I48" i="66"/>
  <c r="J48" i="66"/>
  <c r="I49" i="66"/>
  <c r="J49" i="66"/>
  <c r="I50" i="66"/>
  <c r="J50" i="66"/>
  <c r="I51" i="66"/>
  <c r="J51" i="66"/>
  <c r="I52" i="66"/>
  <c r="J52" i="66"/>
  <c r="AG43" i="66"/>
  <c r="AH44" i="66" s="1"/>
  <c r="AD43" i="66"/>
  <c r="O43" i="66"/>
  <c r="O44" i="66" s="1"/>
  <c r="P43" i="66"/>
  <c r="P44" i="66" s="1"/>
  <c r="Q43" i="66"/>
  <c r="Q44" i="66" s="1"/>
  <c r="R43" i="66"/>
  <c r="S43" i="66"/>
  <c r="S44" i="66" s="1"/>
  <c r="T43" i="66"/>
  <c r="U43" i="66"/>
  <c r="V43" i="66"/>
  <c r="V44" i="66" s="1"/>
  <c r="W43" i="66"/>
  <c r="W44" i="66" s="1"/>
  <c r="X43" i="66"/>
  <c r="X44" i="66" s="1"/>
  <c r="Y43" i="66"/>
  <c r="Y44" i="66" s="1"/>
  <c r="Z43" i="66"/>
  <c r="Z44" i="66" s="1"/>
  <c r="R44" i="66"/>
  <c r="T44" i="66"/>
  <c r="U44" i="66"/>
  <c r="AI35" i="66"/>
  <c r="AI36" i="66"/>
  <c r="AI37" i="66"/>
  <c r="AI39" i="66"/>
  <c r="AI41" i="66"/>
  <c r="AF35" i="66"/>
  <c r="AF36" i="66"/>
  <c r="AF37" i="66"/>
  <c r="AF39" i="66"/>
  <c r="AF41" i="66"/>
  <c r="AH41" i="66"/>
  <c r="AE41" i="66"/>
  <c r="AB41" i="66"/>
  <c r="AH36" i="66"/>
  <c r="AH37" i="66"/>
  <c r="AH38" i="66"/>
  <c r="AE36" i="66"/>
  <c r="AE37" i="66"/>
  <c r="AE38" i="66"/>
  <c r="AB36" i="66"/>
  <c r="AB37" i="66"/>
  <c r="AB38" i="66"/>
  <c r="L35" i="66"/>
  <c r="M35" i="66"/>
  <c r="N35" i="66"/>
  <c r="L36" i="66"/>
  <c r="M36" i="66"/>
  <c r="N36" i="66"/>
  <c r="L37" i="66"/>
  <c r="M37" i="66"/>
  <c r="N37" i="66"/>
  <c r="L38" i="66"/>
  <c r="M38" i="66"/>
  <c r="N38" i="66"/>
  <c r="L39" i="66"/>
  <c r="M39" i="66"/>
  <c r="N39" i="66"/>
  <c r="L40" i="66"/>
  <c r="M40" i="66"/>
  <c r="N40" i="66"/>
  <c r="L41" i="66"/>
  <c r="M41" i="66"/>
  <c r="N41" i="66"/>
  <c r="L42" i="66"/>
  <c r="M42" i="66"/>
  <c r="N42" i="66"/>
  <c r="I35" i="66"/>
  <c r="J35" i="66"/>
  <c r="I36" i="66"/>
  <c r="J36" i="66"/>
  <c r="I37" i="66"/>
  <c r="J37" i="66"/>
  <c r="I38" i="66"/>
  <c r="J38" i="66"/>
  <c r="I39" i="66"/>
  <c r="J39" i="66"/>
  <c r="I40" i="66"/>
  <c r="J40" i="66"/>
  <c r="I41" i="66"/>
  <c r="J41" i="66"/>
  <c r="I42" i="66"/>
  <c r="J42" i="66"/>
  <c r="AG32" i="66"/>
  <c r="AD32" i="66"/>
  <c r="O32" i="66"/>
  <c r="P32" i="66"/>
  <c r="Q32" i="66"/>
  <c r="R32" i="66"/>
  <c r="S32" i="66"/>
  <c r="T32" i="66"/>
  <c r="U32" i="66"/>
  <c r="V32" i="66"/>
  <c r="W32" i="66"/>
  <c r="X32" i="66"/>
  <c r="Y32" i="66"/>
  <c r="Z32" i="66"/>
  <c r="AG31" i="66"/>
  <c r="AD31" i="66"/>
  <c r="O31" i="66"/>
  <c r="P31" i="66"/>
  <c r="Q31" i="66"/>
  <c r="R31" i="66"/>
  <c r="S31" i="66"/>
  <c r="T31" i="66"/>
  <c r="U31" i="66"/>
  <c r="V31" i="66"/>
  <c r="W31" i="66"/>
  <c r="X31" i="66"/>
  <c r="Y31" i="66"/>
  <c r="Z31" i="66"/>
  <c r="AA31" i="66"/>
  <c r="N26" i="66"/>
  <c r="N27" i="66"/>
  <c r="N28" i="66"/>
  <c r="N29" i="66"/>
  <c r="B23" i="66"/>
  <c r="AG16" i="66"/>
  <c r="AG19" i="66"/>
  <c r="AH100" i="66" s="1"/>
  <c r="AG20" i="66"/>
  <c r="AH84" i="66" s="1"/>
  <c r="AD19" i="66"/>
  <c r="AE114" i="66" s="1"/>
  <c r="AD20" i="66"/>
  <c r="AE84" i="66" s="1"/>
  <c r="G19" i="66"/>
  <c r="G20" i="66"/>
  <c r="N19" i="66"/>
  <c r="O19" i="66"/>
  <c r="P19" i="66"/>
  <c r="Q19" i="66"/>
  <c r="R19" i="66"/>
  <c r="S19" i="66"/>
  <c r="T19" i="66"/>
  <c r="U19" i="66"/>
  <c r="V19" i="66"/>
  <c r="W19" i="66"/>
  <c r="X19" i="66"/>
  <c r="Y19" i="66"/>
  <c r="Z19" i="66"/>
  <c r="N20" i="66"/>
  <c r="O20" i="66"/>
  <c r="P20" i="66"/>
  <c r="Q20" i="66"/>
  <c r="R20" i="66"/>
  <c r="S20" i="66"/>
  <c r="T20" i="66"/>
  <c r="U20" i="66"/>
  <c r="V20" i="66"/>
  <c r="W20" i="66"/>
  <c r="X20" i="66"/>
  <c r="Y20" i="66"/>
  <c r="Z20" i="66"/>
  <c r="B17" i="66"/>
  <c r="B18" i="66"/>
  <c r="B19" i="66"/>
  <c r="O16" i="66"/>
  <c r="P16" i="66"/>
  <c r="Q16" i="66"/>
  <c r="R16" i="66"/>
  <c r="S16" i="66"/>
  <c r="T16" i="66"/>
  <c r="U16" i="66"/>
  <c r="V16" i="66"/>
  <c r="W16" i="66"/>
  <c r="X16" i="66"/>
  <c r="Y16" i="66"/>
  <c r="O17" i="66"/>
  <c r="P17" i="66"/>
  <c r="Q17" i="66"/>
  <c r="R17" i="66"/>
  <c r="S17" i="66"/>
  <c r="T17" i="66"/>
  <c r="U17" i="66"/>
  <c r="V17" i="66"/>
  <c r="W17" i="66"/>
  <c r="X17" i="66"/>
  <c r="Y17" i="66"/>
  <c r="Z17" i="66"/>
  <c r="AA17" i="66" s="1"/>
  <c r="AA11" i="66" s="1"/>
  <c r="AA18" i="66" s="1"/>
  <c r="A14" i="66"/>
  <c r="AG12" i="66"/>
  <c r="AG13" i="66"/>
  <c r="AD12" i="66"/>
  <c r="AD13" i="66"/>
  <c r="B12" i="66"/>
  <c r="B13" i="66"/>
  <c r="O11" i="66"/>
  <c r="P11" i="66"/>
  <c r="Q11" i="66"/>
  <c r="R11" i="66"/>
  <c r="S11" i="66"/>
  <c r="T11" i="66"/>
  <c r="U11" i="66"/>
  <c r="V11" i="66"/>
  <c r="W11" i="66"/>
  <c r="X11" i="66"/>
  <c r="Y11" i="66"/>
  <c r="Z11" i="66"/>
  <c r="O12" i="66"/>
  <c r="P12" i="66"/>
  <c r="Q12" i="66"/>
  <c r="R12" i="66"/>
  <c r="S12" i="66"/>
  <c r="T12" i="66"/>
  <c r="U12" i="66"/>
  <c r="V12" i="66"/>
  <c r="W12" i="66"/>
  <c r="X12" i="66"/>
  <c r="Y12" i="66"/>
  <c r="Z12" i="66"/>
  <c r="AA12" i="66"/>
  <c r="O13" i="66"/>
  <c r="P13" i="66"/>
  <c r="Q13" i="66"/>
  <c r="R13" i="66"/>
  <c r="S13" i="66"/>
  <c r="T13" i="66"/>
  <c r="U13" i="66"/>
  <c r="V13" i="66"/>
  <c r="W13" i="66"/>
  <c r="X13" i="66"/>
  <c r="Y13" i="66"/>
  <c r="Z13" i="66"/>
  <c r="AA13" i="66"/>
  <c r="C10" i="66"/>
  <c r="D10" i="66"/>
  <c r="C9" i="66"/>
  <c r="C1" i="66"/>
  <c r="C2" i="66"/>
  <c r="C3" i="66"/>
  <c r="C4" i="66"/>
  <c r="C5" i="66"/>
  <c r="C6" i="66"/>
  <c r="C7" i="66"/>
  <c r="C8" i="66"/>
  <c r="E6" i="66"/>
  <c r="E4" i="66"/>
  <c r="F4" i="66"/>
  <c r="B3" i="66"/>
  <c r="B120" i="65"/>
  <c r="B114" i="65"/>
  <c r="B115" i="65"/>
  <c r="B116" i="65"/>
  <c r="AG107" i="65"/>
  <c r="AG108" i="65"/>
  <c r="AG109" i="65"/>
  <c r="AG110" i="65"/>
  <c r="AG111" i="65"/>
  <c r="AG112" i="65"/>
  <c r="AG113" i="65"/>
  <c r="AG114" i="65"/>
  <c r="AG115" i="65"/>
  <c r="AD107" i="65"/>
  <c r="AD108" i="65"/>
  <c r="AD109" i="65"/>
  <c r="AD110" i="65"/>
  <c r="AD111" i="65"/>
  <c r="AD112" i="65"/>
  <c r="AD113" i="65"/>
  <c r="AD114" i="65"/>
  <c r="AD115" i="65"/>
  <c r="N113" i="65"/>
  <c r="A111" i="65"/>
  <c r="N110" i="65"/>
  <c r="O107" i="65"/>
  <c r="P107" i="65"/>
  <c r="Q107" i="65"/>
  <c r="R107" i="65"/>
  <c r="S107" i="65"/>
  <c r="T107" i="65"/>
  <c r="U107" i="65"/>
  <c r="V107" i="65"/>
  <c r="W107" i="65"/>
  <c r="X107" i="65"/>
  <c r="Y107" i="65"/>
  <c r="Z107" i="65"/>
  <c r="AA107" i="65"/>
  <c r="O108" i="65"/>
  <c r="P108" i="65"/>
  <c r="Q108" i="65"/>
  <c r="R108" i="65"/>
  <c r="S108" i="65"/>
  <c r="T108" i="65"/>
  <c r="U108" i="65"/>
  <c r="V108" i="65"/>
  <c r="W108" i="65"/>
  <c r="X108" i="65"/>
  <c r="Y108" i="65"/>
  <c r="Z108" i="65"/>
  <c r="AA108" i="65"/>
  <c r="O109" i="65"/>
  <c r="P109" i="65"/>
  <c r="Q109" i="65"/>
  <c r="R109" i="65"/>
  <c r="S109" i="65"/>
  <c r="T109" i="65"/>
  <c r="U109" i="65"/>
  <c r="V109" i="65"/>
  <c r="W109" i="65"/>
  <c r="X109" i="65"/>
  <c r="Y109" i="65"/>
  <c r="Z109" i="65"/>
  <c r="AA109" i="65"/>
  <c r="O110" i="65"/>
  <c r="P110" i="65"/>
  <c r="Q110" i="65"/>
  <c r="R110" i="65"/>
  <c r="S110" i="65"/>
  <c r="T110" i="65"/>
  <c r="U110" i="65"/>
  <c r="V110" i="65"/>
  <c r="W110" i="65"/>
  <c r="X110" i="65"/>
  <c r="Y110" i="65"/>
  <c r="Z110" i="65"/>
  <c r="AA110" i="65"/>
  <c r="O111" i="65"/>
  <c r="P111" i="65"/>
  <c r="Q111" i="65"/>
  <c r="R111" i="65"/>
  <c r="S111" i="65"/>
  <c r="T111" i="65"/>
  <c r="U111" i="65"/>
  <c r="V111" i="65"/>
  <c r="W111" i="65"/>
  <c r="X111" i="65"/>
  <c r="Y111" i="65"/>
  <c r="Z111" i="65"/>
  <c r="AA111" i="65"/>
  <c r="O112" i="65"/>
  <c r="P112" i="65"/>
  <c r="Q112" i="65"/>
  <c r="R112" i="65"/>
  <c r="S112" i="65"/>
  <c r="T112" i="65"/>
  <c r="U112" i="65"/>
  <c r="V112" i="65"/>
  <c r="W112" i="65"/>
  <c r="X112" i="65"/>
  <c r="Y112" i="65"/>
  <c r="Z112" i="65"/>
  <c r="AA112" i="65"/>
  <c r="O113" i="65"/>
  <c r="P113" i="65"/>
  <c r="Q113" i="65"/>
  <c r="R113" i="65"/>
  <c r="S113" i="65"/>
  <c r="T113" i="65"/>
  <c r="U113" i="65"/>
  <c r="V113" i="65"/>
  <c r="W113" i="65"/>
  <c r="X113" i="65"/>
  <c r="Y113" i="65"/>
  <c r="Z113" i="65"/>
  <c r="AA113" i="65"/>
  <c r="O114" i="65"/>
  <c r="P114" i="65"/>
  <c r="Q114" i="65"/>
  <c r="R114" i="65"/>
  <c r="S114" i="65"/>
  <c r="T114" i="65"/>
  <c r="U114" i="65"/>
  <c r="V114" i="65"/>
  <c r="W114" i="65"/>
  <c r="X114" i="65"/>
  <c r="Y114" i="65"/>
  <c r="Z114" i="65"/>
  <c r="AA114" i="65"/>
  <c r="O115" i="65"/>
  <c r="P115" i="65"/>
  <c r="Q115" i="65"/>
  <c r="R115" i="65"/>
  <c r="S115" i="65"/>
  <c r="T115" i="65"/>
  <c r="U115" i="65"/>
  <c r="V115" i="65"/>
  <c r="W115" i="65"/>
  <c r="X115" i="65"/>
  <c r="Y115" i="65"/>
  <c r="Z115" i="65"/>
  <c r="AA115" i="65"/>
  <c r="N107" i="65"/>
  <c r="I107" i="65"/>
  <c r="J107" i="65"/>
  <c r="I108" i="65"/>
  <c r="J108" i="65"/>
  <c r="I109" i="65"/>
  <c r="J109" i="65"/>
  <c r="I110" i="65"/>
  <c r="J110" i="65"/>
  <c r="I111" i="65"/>
  <c r="J111" i="65"/>
  <c r="I112" i="65"/>
  <c r="J112" i="65"/>
  <c r="I113" i="65"/>
  <c r="J113" i="65"/>
  <c r="I114" i="65"/>
  <c r="J114" i="65"/>
  <c r="I115" i="65"/>
  <c r="J115" i="65"/>
  <c r="AG102" i="65"/>
  <c r="AD102" i="65"/>
  <c r="O102" i="65"/>
  <c r="P102" i="65"/>
  <c r="Q102" i="65"/>
  <c r="R102" i="65"/>
  <c r="S102" i="65"/>
  <c r="T102" i="65"/>
  <c r="U102" i="65"/>
  <c r="V102" i="65"/>
  <c r="W102" i="65"/>
  <c r="X102" i="65"/>
  <c r="Y102" i="65"/>
  <c r="Z102" i="65"/>
  <c r="N99" i="65"/>
  <c r="N102" i="65" s="1"/>
  <c r="N100" i="65"/>
  <c r="N103" i="65" s="1"/>
  <c r="AA99" i="65"/>
  <c r="I99" i="65"/>
  <c r="J99" i="65"/>
  <c r="I100" i="65"/>
  <c r="AA100" i="65" s="1"/>
  <c r="J100" i="65"/>
  <c r="N89" i="65"/>
  <c r="N90" i="65"/>
  <c r="N91" i="65"/>
  <c r="N92" i="65"/>
  <c r="N93" i="65"/>
  <c r="N94" i="65"/>
  <c r="N95" i="65"/>
  <c r="N96" i="65"/>
  <c r="N97" i="65"/>
  <c r="I97" i="65"/>
  <c r="AA97" i="65" s="1"/>
  <c r="J97" i="65"/>
  <c r="AH93" i="65"/>
  <c r="AE91" i="65"/>
  <c r="AE92" i="65"/>
  <c r="AE93" i="65"/>
  <c r="AE94" i="65"/>
  <c r="AE95" i="65"/>
  <c r="AA94" i="65"/>
  <c r="AI94" i="65" s="1"/>
  <c r="I90" i="65"/>
  <c r="AA90" i="65" s="1"/>
  <c r="J90" i="65"/>
  <c r="L90" i="65"/>
  <c r="M90" i="65"/>
  <c r="I91" i="65"/>
  <c r="AA91" i="65" s="1"/>
  <c r="J91" i="65"/>
  <c r="L91" i="65"/>
  <c r="M91" i="65"/>
  <c r="I92" i="65"/>
  <c r="AA92" i="65" s="1"/>
  <c r="J92" i="65"/>
  <c r="L92" i="65"/>
  <c r="M92" i="65"/>
  <c r="I93" i="65"/>
  <c r="J93" i="65"/>
  <c r="L93" i="65"/>
  <c r="M93" i="65"/>
  <c r="I94" i="65"/>
  <c r="J94" i="65"/>
  <c r="L94" i="65"/>
  <c r="M94" i="65"/>
  <c r="I95" i="65"/>
  <c r="AA95" i="65" s="1"/>
  <c r="J95" i="65"/>
  <c r="L95" i="65"/>
  <c r="M95" i="65"/>
  <c r="I96" i="65"/>
  <c r="K96" i="65" s="1"/>
  <c r="J96" i="65"/>
  <c r="L96" i="65"/>
  <c r="M96" i="65"/>
  <c r="I89" i="65"/>
  <c r="J89" i="65"/>
  <c r="B88" i="65"/>
  <c r="B89" i="65"/>
  <c r="B83" i="65"/>
  <c r="B84" i="65"/>
  <c r="B85" i="65"/>
  <c r="A80" i="65"/>
  <c r="AH74" i="65"/>
  <c r="AH75" i="65"/>
  <c r="AH76" i="65"/>
  <c r="AH78" i="65"/>
  <c r="AH81" i="65"/>
  <c r="AE74" i="65"/>
  <c r="AE75" i="65"/>
  <c r="AE76" i="65"/>
  <c r="AE77" i="65"/>
  <c r="AE78" i="65"/>
  <c r="AE79" i="65"/>
  <c r="AE81" i="65"/>
  <c r="AE83" i="65"/>
  <c r="AE84" i="65"/>
  <c r="AE85" i="65"/>
  <c r="AE86" i="65"/>
  <c r="I74" i="65"/>
  <c r="AA74" i="65" s="1"/>
  <c r="J74" i="65"/>
  <c r="L74" i="65"/>
  <c r="M74" i="65"/>
  <c r="N74" i="65"/>
  <c r="I75" i="65"/>
  <c r="AA75" i="65" s="1"/>
  <c r="J75" i="65"/>
  <c r="K75" i="65"/>
  <c r="L75" i="65"/>
  <c r="M75" i="65"/>
  <c r="N75" i="65"/>
  <c r="I76" i="65"/>
  <c r="K76" i="65" s="1"/>
  <c r="J76" i="65"/>
  <c r="L76" i="65"/>
  <c r="M76" i="65"/>
  <c r="N76" i="65"/>
  <c r="I77" i="65"/>
  <c r="K77" i="65" s="1"/>
  <c r="J77" i="65"/>
  <c r="L77" i="65"/>
  <c r="M77" i="65"/>
  <c r="N77" i="65"/>
  <c r="I78" i="65"/>
  <c r="AA78" i="65" s="1"/>
  <c r="J78" i="65"/>
  <c r="K78" i="65"/>
  <c r="L78" i="65"/>
  <c r="M78" i="65"/>
  <c r="N78" i="65"/>
  <c r="I79" i="65"/>
  <c r="AA79" i="65" s="1"/>
  <c r="AI79" i="65" s="1"/>
  <c r="J79" i="65"/>
  <c r="L79" i="65"/>
  <c r="M79" i="65"/>
  <c r="N79" i="65"/>
  <c r="I80" i="65"/>
  <c r="K80" i="65" s="1"/>
  <c r="J80" i="65"/>
  <c r="L80" i="65"/>
  <c r="M80" i="65"/>
  <c r="N80" i="65"/>
  <c r="I81" i="65"/>
  <c r="K81" i="65" s="1"/>
  <c r="J81" i="65"/>
  <c r="L81" i="65"/>
  <c r="M81" i="65"/>
  <c r="N81" i="65"/>
  <c r="I82" i="65"/>
  <c r="AA82" i="65" s="1"/>
  <c r="J82" i="65"/>
  <c r="L82" i="65"/>
  <c r="M82" i="65"/>
  <c r="N82" i="65"/>
  <c r="I83" i="65"/>
  <c r="AA83" i="65" s="1"/>
  <c r="J83" i="65"/>
  <c r="L83" i="65"/>
  <c r="M83" i="65"/>
  <c r="N83" i="65"/>
  <c r="I84" i="65"/>
  <c r="K84" i="65" s="1"/>
  <c r="J84" i="65"/>
  <c r="L84" i="65"/>
  <c r="M84" i="65"/>
  <c r="N84" i="65"/>
  <c r="I85" i="65"/>
  <c r="K85" i="65" s="1"/>
  <c r="J85" i="65"/>
  <c r="L85" i="65"/>
  <c r="M85" i="65"/>
  <c r="N85" i="65"/>
  <c r="I86" i="65"/>
  <c r="J86" i="65"/>
  <c r="L86" i="65"/>
  <c r="M86" i="65"/>
  <c r="N86" i="65"/>
  <c r="I87" i="65"/>
  <c r="AA87" i="65" s="1"/>
  <c r="J87" i="65"/>
  <c r="L87" i="65"/>
  <c r="M87" i="65"/>
  <c r="N87" i="65"/>
  <c r="N72" i="65"/>
  <c r="N73" i="65"/>
  <c r="I72" i="65"/>
  <c r="J72" i="65"/>
  <c r="I73" i="65"/>
  <c r="J73" i="65"/>
  <c r="AD70" i="65"/>
  <c r="AG70" i="65"/>
  <c r="AG103" i="65" s="1"/>
  <c r="N70" i="65"/>
  <c r="O70" i="65"/>
  <c r="O103" i="65" s="1"/>
  <c r="P70" i="65"/>
  <c r="P103" i="65" s="1"/>
  <c r="Q70" i="65"/>
  <c r="Q103" i="65" s="1"/>
  <c r="R70" i="65"/>
  <c r="R103" i="65" s="1"/>
  <c r="S70" i="65"/>
  <c r="S103" i="65" s="1"/>
  <c r="T70" i="65"/>
  <c r="T103" i="65" s="1"/>
  <c r="U70" i="65"/>
  <c r="U103" i="65" s="1"/>
  <c r="V70" i="65"/>
  <c r="V103" i="65" s="1"/>
  <c r="W70" i="65"/>
  <c r="W103" i="65" s="1"/>
  <c r="X70" i="65"/>
  <c r="X103" i="65" s="1"/>
  <c r="Y70" i="65"/>
  <c r="Y103" i="65" s="1"/>
  <c r="Z70" i="65"/>
  <c r="Z103" i="65" s="1"/>
  <c r="AB60" i="65"/>
  <c r="AB61" i="65"/>
  <c r="AB62" i="65"/>
  <c r="AB63" i="65"/>
  <c r="AN63" i="65" s="1"/>
  <c r="AB64" i="65"/>
  <c r="AB65" i="65"/>
  <c r="AB66" i="65"/>
  <c r="AB67" i="65"/>
  <c r="AB68" i="65"/>
  <c r="AB69" i="65"/>
  <c r="N58" i="65"/>
  <c r="N59" i="65"/>
  <c r="N60" i="65"/>
  <c r="N61" i="65"/>
  <c r="N62" i="65"/>
  <c r="N63" i="65"/>
  <c r="N64" i="65"/>
  <c r="N65" i="65"/>
  <c r="N66" i="65"/>
  <c r="N67" i="65"/>
  <c r="N68" i="65"/>
  <c r="N69" i="65"/>
  <c r="I69" i="65"/>
  <c r="K69" i="65" s="1"/>
  <c r="J69" i="65"/>
  <c r="I70" i="65"/>
  <c r="K70" i="65" s="1"/>
  <c r="J70" i="65"/>
  <c r="AA62" i="65"/>
  <c r="AH60" i="65"/>
  <c r="AH61" i="65"/>
  <c r="AL61" i="65"/>
  <c r="AH62" i="65"/>
  <c r="AN62" i="65" s="1"/>
  <c r="AH63" i="65"/>
  <c r="AH64" i="65"/>
  <c r="AL64" i="65"/>
  <c r="AH65" i="65"/>
  <c r="AH66" i="65"/>
  <c r="AH67" i="65"/>
  <c r="AM67" i="65"/>
  <c r="AN67" i="65"/>
  <c r="AH68" i="65"/>
  <c r="AH69" i="65"/>
  <c r="AI69" i="65"/>
  <c r="AE60" i="65"/>
  <c r="AE61" i="65"/>
  <c r="AE62" i="65"/>
  <c r="AM62" i="65" s="1"/>
  <c r="AE63" i="65"/>
  <c r="AE64" i="65"/>
  <c r="AE65" i="65"/>
  <c r="AE66" i="65"/>
  <c r="AE67" i="65"/>
  <c r="AE68" i="65"/>
  <c r="AE69" i="65"/>
  <c r="AF69" i="65"/>
  <c r="I60" i="65"/>
  <c r="K60" i="65" s="1"/>
  <c r="J60" i="65"/>
  <c r="L60" i="65"/>
  <c r="M60" i="65"/>
  <c r="I61" i="65"/>
  <c r="K61" i="65" s="1"/>
  <c r="J61" i="65"/>
  <c r="L61" i="65"/>
  <c r="M61" i="65"/>
  <c r="I62" i="65"/>
  <c r="K62" i="65" s="1"/>
  <c r="J62" i="65"/>
  <c r="L62" i="65"/>
  <c r="M62" i="65"/>
  <c r="I63" i="65"/>
  <c r="AA63" i="65" s="1"/>
  <c r="J63" i="65"/>
  <c r="K63" i="65"/>
  <c r="L63" i="65"/>
  <c r="M63" i="65"/>
  <c r="I64" i="65"/>
  <c r="AA64" i="65" s="1"/>
  <c r="J64" i="65"/>
  <c r="K64" i="65"/>
  <c r="L64" i="65"/>
  <c r="M64" i="65"/>
  <c r="I65" i="65"/>
  <c r="AA65" i="65" s="1"/>
  <c r="J65" i="65"/>
  <c r="L65" i="65"/>
  <c r="M65" i="65"/>
  <c r="I66" i="65"/>
  <c r="J66" i="65"/>
  <c r="L66" i="65"/>
  <c r="M66" i="65"/>
  <c r="I67" i="65"/>
  <c r="AA67" i="65" s="1"/>
  <c r="J67" i="65"/>
  <c r="L67" i="65"/>
  <c r="M67" i="65"/>
  <c r="I68" i="65"/>
  <c r="K68" i="65" s="1"/>
  <c r="J68" i="65"/>
  <c r="L68" i="65"/>
  <c r="M68" i="65"/>
  <c r="I58" i="65"/>
  <c r="J58" i="65"/>
  <c r="I59" i="65"/>
  <c r="J59" i="65"/>
  <c r="B55" i="65"/>
  <c r="B56" i="65"/>
  <c r="B50" i="65"/>
  <c r="B51" i="65"/>
  <c r="B52" i="65"/>
  <c r="A47" i="65"/>
  <c r="AH38" i="65"/>
  <c r="AL38" i="65"/>
  <c r="AH39" i="65"/>
  <c r="AL40" i="65"/>
  <c r="AH41" i="65"/>
  <c r="AH42" i="65"/>
  <c r="AL42" i="65"/>
  <c r="AH45" i="65"/>
  <c r="AH47" i="65"/>
  <c r="AH49" i="65"/>
  <c r="AL50" i="65"/>
  <c r="AL53" i="65"/>
  <c r="AH54" i="65"/>
  <c r="AL56" i="65"/>
  <c r="AE35" i="65"/>
  <c r="AE38" i="65"/>
  <c r="AE39" i="65"/>
  <c r="AE41" i="65"/>
  <c r="AE42" i="65"/>
  <c r="AE43" i="65"/>
  <c r="AE45" i="65"/>
  <c r="AE47" i="65"/>
  <c r="AE49" i="65"/>
  <c r="AE51" i="65"/>
  <c r="AE53" i="65"/>
  <c r="AE54" i="65"/>
  <c r="AE55" i="65"/>
  <c r="AA47" i="65"/>
  <c r="AF47" i="65" s="1"/>
  <c r="AA55" i="65"/>
  <c r="AF55" i="65" s="1"/>
  <c r="I35" i="65"/>
  <c r="K35" i="65" s="1"/>
  <c r="J35" i="65"/>
  <c r="L35" i="65"/>
  <c r="M35" i="65"/>
  <c r="N35" i="65"/>
  <c r="I36" i="65"/>
  <c r="AA36" i="65" s="1"/>
  <c r="J36" i="65"/>
  <c r="K36" i="65"/>
  <c r="L36" i="65"/>
  <c r="M36" i="65"/>
  <c r="N36" i="65"/>
  <c r="I37" i="65"/>
  <c r="K37" i="65" s="1"/>
  <c r="J37" i="65"/>
  <c r="L37" i="65"/>
  <c r="M37" i="65"/>
  <c r="N37" i="65"/>
  <c r="I38" i="65"/>
  <c r="AA38" i="65" s="1"/>
  <c r="AB38" i="65" s="1"/>
  <c r="J38" i="65"/>
  <c r="L38" i="65"/>
  <c r="M38" i="65"/>
  <c r="N38" i="65"/>
  <c r="I39" i="65"/>
  <c r="K39" i="65" s="1"/>
  <c r="J39" i="65"/>
  <c r="L39" i="65"/>
  <c r="M39" i="65"/>
  <c r="N39" i="65"/>
  <c r="I40" i="65"/>
  <c r="AA40" i="65" s="1"/>
  <c r="AF40" i="65" s="1"/>
  <c r="J40" i="65"/>
  <c r="L40" i="65"/>
  <c r="M40" i="65"/>
  <c r="N40" i="65"/>
  <c r="I41" i="65"/>
  <c r="K41" i="65" s="1"/>
  <c r="J41" i="65"/>
  <c r="L41" i="65"/>
  <c r="M41" i="65"/>
  <c r="N41" i="65"/>
  <c r="I42" i="65"/>
  <c r="AA42" i="65" s="1"/>
  <c r="J42" i="65"/>
  <c r="K42" i="65"/>
  <c r="L42" i="65"/>
  <c r="M42" i="65"/>
  <c r="N42" i="65"/>
  <c r="I43" i="65"/>
  <c r="K43" i="65" s="1"/>
  <c r="J43" i="65"/>
  <c r="L43" i="65"/>
  <c r="M43" i="65"/>
  <c r="N43" i="65"/>
  <c r="I44" i="65"/>
  <c r="AA44" i="65" s="1"/>
  <c r="J44" i="65"/>
  <c r="K44" i="65"/>
  <c r="L44" i="65"/>
  <c r="M44" i="65"/>
  <c r="N44" i="65"/>
  <c r="I45" i="65"/>
  <c r="K45" i="65" s="1"/>
  <c r="J45" i="65"/>
  <c r="L45" i="65"/>
  <c r="M45" i="65"/>
  <c r="N45" i="65"/>
  <c r="I46" i="65"/>
  <c r="AA46" i="65" s="1"/>
  <c r="J46" i="65"/>
  <c r="K46" i="65"/>
  <c r="L46" i="65"/>
  <c r="M46" i="65"/>
  <c r="N46" i="65"/>
  <c r="I47" i="65"/>
  <c r="K47" i="65" s="1"/>
  <c r="J47" i="65"/>
  <c r="L47" i="65"/>
  <c r="M47" i="65"/>
  <c r="N47" i="65"/>
  <c r="I48" i="65"/>
  <c r="AA48" i="65" s="1"/>
  <c r="J48" i="65"/>
  <c r="L48" i="65"/>
  <c r="M48" i="65"/>
  <c r="N48" i="65"/>
  <c r="I49" i="65"/>
  <c r="K49" i="65" s="1"/>
  <c r="J49" i="65"/>
  <c r="L49" i="65"/>
  <c r="M49" i="65"/>
  <c r="N49" i="65"/>
  <c r="I50" i="65"/>
  <c r="AA50" i="65" s="1"/>
  <c r="J50" i="65"/>
  <c r="K50" i="65"/>
  <c r="L50" i="65"/>
  <c r="M50" i="65"/>
  <c r="N50" i="65"/>
  <c r="I51" i="65"/>
  <c r="K51" i="65" s="1"/>
  <c r="J51" i="65"/>
  <c r="L51" i="65"/>
  <c r="M51" i="65"/>
  <c r="N51" i="65"/>
  <c r="I52" i="65"/>
  <c r="AA52" i="65" s="1"/>
  <c r="J52" i="65"/>
  <c r="K52" i="65"/>
  <c r="L52" i="65"/>
  <c r="M52" i="65"/>
  <c r="N52" i="65"/>
  <c r="I53" i="65"/>
  <c r="K53" i="65" s="1"/>
  <c r="J53" i="65"/>
  <c r="L53" i="65"/>
  <c r="M53" i="65"/>
  <c r="N53" i="65"/>
  <c r="I54" i="65"/>
  <c r="AA54" i="65" s="1"/>
  <c r="AB54" i="65" s="1"/>
  <c r="J54" i="65"/>
  <c r="L54" i="65"/>
  <c r="M54" i="65"/>
  <c r="N54" i="65"/>
  <c r="I55" i="65"/>
  <c r="K55" i="65" s="1"/>
  <c r="J55" i="65"/>
  <c r="L55" i="65"/>
  <c r="M55" i="65"/>
  <c r="N55" i="65"/>
  <c r="I56" i="65"/>
  <c r="AA56" i="65" s="1"/>
  <c r="J56" i="65"/>
  <c r="L56" i="65"/>
  <c r="M56" i="65"/>
  <c r="N56" i="65"/>
  <c r="N33" i="65"/>
  <c r="N34" i="65"/>
  <c r="I33" i="65"/>
  <c r="J33" i="65"/>
  <c r="I34" i="65"/>
  <c r="J34" i="65"/>
  <c r="AK32" i="65"/>
  <c r="AG32" i="65"/>
  <c r="AL32" i="65" s="1"/>
  <c r="AD32" i="65"/>
  <c r="O32" i="65"/>
  <c r="P32" i="65"/>
  <c r="Q32" i="65"/>
  <c r="R32" i="65"/>
  <c r="S32" i="65"/>
  <c r="T32" i="65"/>
  <c r="U32" i="65"/>
  <c r="V32" i="65"/>
  <c r="W32" i="65"/>
  <c r="X32" i="65"/>
  <c r="Y32" i="65"/>
  <c r="Z32" i="65"/>
  <c r="AJ32" i="65" s="1"/>
  <c r="AJ31" i="65"/>
  <c r="AK31" i="65"/>
  <c r="AM31" i="65" s="1"/>
  <c r="AL31" i="65"/>
  <c r="AN31" i="65" s="1"/>
  <c r="AG31" i="65"/>
  <c r="AD31" i="65"/>
  <c r="O31" i="65"/>
  <c r="P31" i="65"/>
  <c r="Q31" i="65"/>
  <c r="R31" i="65"/>
  <c r="S31" i="65"/>
  <c r="T31" i="65"/>
  <c r="U31" i="65"/>
  <c r="V31" i="65"/>
  <c r="W31" i="65"/>
  <c r="X31" i="65"/>
  <c r="Y31" i="65"/>
  <c r="Z31" i="65"/>
  <c r="AA31" i="65"/>
  <c r="N26" i="65"/>
  <c r="N27" i="65"/>
  <c r="N28" i="65"/>
  <c r="N29" i="65"/>
  <c r="B22" i="65"/>
  <c r="B23" i="65"/>
  <c r="AG16" i="65"/>
  <c r="AG19" i="65"/>
  <c r="AH90" i="65" s="1"/>
  <c r="AG20" i="65"/>
  <c r="AL94" i="65" s="1"/>
  <c r="AD19" i="65"/>
  <c r="AE90" i="65" s="1"/>
  <c r="AD20" i="65"/>
  <c r="AK93" i="65" s="1"/>
  <c r="G19" i="65"/>
  <c r="G20" i="65"/>
  <c r="N19" i="65"/>
  <c r="O19" i="65"/>
  <c r="P19" i="65"/>
  <c r="Q19" i="65"/>
  <c r="R19" i="65"/>
  <c r="S19" i="65"/>
  <c r="T19" i="65"/>
  <c r="U19" i="65"/>
  <c r="V19" i="65"/>
  <c r="W19" i="65"/>
  <c r="X19" i="65"/>
  <c r="Y19" i="65"/>
  <c r="Z19" i="65"/>
  <c r="N20" i="65"/>
  <c r="O20" i="65"/>
  <c r="P20" i="65"/>
  <c r="Q20" i="65"/>
  <c r="R20" i="65"/>
  <c r="S20" i="65"/>
  <c r="T20" i="65"/>
  <c r="U20" i="65"/>
  <c r="V20" i="65"/>
  <c r="AA20" i="65" s="1"/>
  <c r="AJ82" i="65" s="1"/>
  <c r="W20" i="65"/>
  <c r="X20" i="65"/>
  <c r="Y20" i="65"/>
  <c r="Z20" i="65"/>
  <c r="B17" i="65"/>
  <c r="B18" i="65"/>
  <c r="B19" i="65"/>
  <c r="O16" i="65"/>
  <c r="P16" i="65"/>
  <c r="Q16" i="65"/>
  <c r="R16" i="65"/>
  <c r="S16" i="65"/>
  <c r="T16" i="65"/>
  <c r="U16" i="65"/>
  <c r="V16" i="65"/>
  <c r="W16" i="65"/>
  <c r="X16" i="65"/>
  <c r="Y16" i="65"/>
  <c r="AA16" i="65"/>
  <c r="O17" i="65"/>
  <c r="P17" i="65"/>
  <c r="Q17" i="65"/>
  <c r="R17" i="65"/>
  <c r="S17" i="65"/>
  <c r="T17" i="65"/>
  <c r="U17" i="65"/>
  <c r="V17" i="65"/>
  <c r="W17" i="65"/>
  <c r="X17" i="65"/>
  <c r="Y17" i="65"/>
  <c r="Z17" i="65"/>
  <c r="AA17" i="65" s="1"/>
  <c r="AA11" i="65" s="1"/>
  <c r="A14" i="65"/>
  <c r="AG12" i="65"/>
  <c r="AG13" i="65"/>
  <c r="AD12" i="65"/>
  <c r="AD13" i="65"/>
  <c r="B12" i="65"/>
  <c r="B13" i="65"/>
  <c r="O11" i="65"/>
  <c r="P11" i="65"/>
  <c r="Q11" i="65"/>
  <c r="R11" i="65"/>
  <c r="S11" i="65"/>
  <c r="T11" i="65"/>
  <c r="U11" i="65"/>
  <c r="V11" i="65"/>
  <c r="W11" i="65"/>
  <c r="X11" i="65"/>
  <c r="Y11" i="65"/>
  <c r="Z11" i="65"/>
  <c r="O12" i="65"/>
  <c r="P12" i="65"/>
  <c r="Q12" i="65"/>
  <c r="R12" i="65"/>
  <c r="S12" i="65"/>
  <c r="T12" i="65"/>
  <c r="U12" i="65"/>
  <c r="V12" i="65"/>
  <c r="W12" i="65"/>
  <c r="X12" i="65"/>
  <c r="Y12" i="65"/>
  <c r="Z12" i="65"/>
  <c r="AA12" i="65"/>
  <c r="O13" i="65"/>
  <c r="P13" i="65"/>
  <c r="Q13" i="65"/>
  <c r="R13" i="65"/>
  <c r="S13" i="65"/>
  <c r="T13" i="65"/>
  <c r="U13" i="65"/>
  <c r="V13" i="65"/>
  <c r="W13" i="65"/>
  <c r="X13" i="65"/>
  <c r="Y13" i="65"/>
  <c r="Z13" i="65"/>
  <c r="AA13" i="65"/>
  <c r="C10" i="65"/>
  <c r="D10" i="65"/>
  <c r="C9" i="65"/>
  <c r="C1" i="65"/>
  <c r="C2" i="65"/>
  <c r="C3" i="65"/>
  <c r="C4" i="65"/>
  <c r="C5" i="65"/>
  <c r="C6" i="65"/>
  <c r="C7" i="65"/>
  <c r="C8" i="65"/>
  <c r="E6" i="65"/>
  <c r="B62" i="65" s="1"/>
  <c r="E4" i="65"/>
  <c r="F4" i="65"/>
  <c r="B3" i="65"/>
  <c r="AG143" i="59"/>
  <c r="AG144" i="59"/>
  <c r="AG145" i="59"/>
  <c r="AG146" i="59"/>
  <c r="AD143" i="59"/>
  <c r="AD144" i="59"/>
  <c r="AD145" i="59"/>
  <c r="AD146" i="59"/>
  <c r="O143" i="59"/>
  <c r="P143" i="59"/>
  <c r="Q143" i="59"/>
  <c r="R143" i="59"/>
  <c r="S143" i="59"/>
  <c r="T143" i="59"/>
  <c r="U143" i="59"/>
  <c r="V143" i="59"/>
  <c r="W143" i="59"/>
  <c r="X143" i="59"/>
  <c r="Y143" i="59"/>
  <c r="Z143" i="59"/>
  <c r="O144" i="59"/>
  <c r="P144" i="59"/>
  <c r="Q144" i="59"/>
  <c r="R144" i="59"/>
  <c r="S144" i="59"/>
  <c r="T144" i="59"/>
  <c r="U144" i="59"/>
  <c r="V144" i="59"/>
  <c r="W144" i="59"/>
  <c r="X144" i="59"/>
  <c r="Y144" i="59"/>
  <c r="Z144" i="59"/>
  <c r="O145" i="59"/>
  <c r="P145" i="59"/>
  <c r="Q145" i="59"/>
  <c r="R145" i="59"/>
  <c r="S145" i="59"/>
  <c r="T145" i="59"/>
  <c r="U145" i="59"/>
  <c r="V145" i="59"/>
  <c r="W145" i="59"/>
  <c r="X145" i="59"/>
  <c r="Y145" i="59"/>
  <c r="Z145" i="59"/>
  <c r="O146" i="59"/>
  <c r="P146" i="59"/>
  <c r="Q146" i="59"/>
  <c r="R146" i="59"/>
  <c r="S146" i="59"/>
  <c r="T146" i="59"/>
  <c r="U146" i="59"/>
  <c r="V146" i="59"/>
  <c r="W146" i="59"/>
  <c r="X146" i="59"/>
  <c r="Y146" i="59"/>
  <c r="Z146" i="59"/>
  <c r="AI131" i="59"/>
  <c r="AI133" i="59"/>
  <c r="AI135" i="59"/>
  <c r="AI137" i="59"/>
  <c r="AI139" i="59"/>
  <c r="AI140" i="59"/>
  <c r="AG141" i="59"/>
  <c r="AD141" i="59"/>
  <c r="O141" i="59"/>
  <c r="P141" i="59"/>
  <c r="Q141" i="59"/>
  <c r="R141" i="59"/>
  <c r="S141" i="59"/>
  <c r="T141" i="59"/>
  <c r="U141" i="59"/>
  <c r="V141" i="59"/>
  <c r="W141" i="59"/>
  <c r="X141" i="59"/>
  <c r="Y141" i="59"/>
  <c r="Z141" i="59"/>
  <c r="AH140" i="59"/>
  <c r="AE140" i="59"/>
  <c r="AF140" i="59"/>
  <c r="AA140" i="59"/>
  <c r="AB140" i="59"/>
  <c r="AF131" i="59"/>
  <c r="AF133" i="59"/>
  <c r="AF135" i="59"/>
  <c r="AF137" i="59"/>
  <c r="AF139" i="59"/>
  <c r="AH138" i="59"/>
  <c r="AE138" i="59"/>
  <c r="AA138" i="59"/>
  <c r="AI138" i="59" s="1"/>
  <c r="AB138" i="59"/>
  <c r="AH136" i="59"/>
  <c r="AE136" i="59"/>
  <c r="AA136" i="59"/>
  <c r="AI136" i="59" s="1"/>
  <c r="AB136" i="59"/>
  <c r="AH134" i="59"/>
  <c r="AE134" i="59"/>
  <c r="AA134" i="59"/>
  <c r="AF134" i="59" s="1"/>
  <c r="AB134" i="59"/>
  <c r="AH132" i="59"/>
  <c r="AE132" i="59"/>
  <c r="AA132" i="59"/>
  <c r="AF132" i="59" s="1"/>
  <c r="AB132" i="59"/>
  <c r="AH130" i="59"/>
  <c r="AE130" i="59"/>
  <c r="AA130" i="59"/>
  <c r="AA146" i="59" s="1"/>
  <c r="AB130" i="59"/>
  <c r="L130" i="59"/>
  <c r="M130" i="59"/>
  <c r="N130" i="59"/>
  <c r="L131" i="59"/>
  <c r="M131" i="59"/>
  <c r="N131" i="59"/>
  <c r="L132" i="59"/>
  <c r="M132" i="59"/>
  <c r="N132" i="59"/>
  <c r="L133" i="59"/>
  <c r="M133" i="59"/>
  <c r="N133" i="59"/>
  <c r="L134" i="59"/>
  <c r="M134" i="59"/>
  <c r="N134" i="59"/>
  <c r="L135" i="59"/>
  <c r="M135" i="59"/>
  <c r="N135" i="59"/>
  <c r="L136" i="59"/>
  <c r="M136" i="59"/>
  <c r="N136" i="59"/>
  <c r="L137" i="59"/>
  <c r="M137" i="59"/>
  <c r="N137" i="59"/>
  <c r="L138" i="59"/>
  <c r="M138" i="59"/>
  <c r="N138" i="59"/>
  <c r="L139" i="59"/>
  <c r="M139" i="59"/>
  <c r="N139" i="59"/>
  <c r="L140" i="59"/>
  <c r="M140" i="59"/>
  <c r="N140" i="59"/>
  <c r="N129" i="59"/>
  <c r="AG121" i="59"/>
  <c r="AG122" i="59"/>
  <c r="AH122" i="59" s="1"/>
  <c r="AG123" i="59"/>
  <c r="AH123" i="59" s="1"/>
  <c r="AG124" i="59"/>
  <c r="AH124" i="59" s="1"/>
  <c r="AG125" i="59"/>
  <c r="AH125" i="59" s="1"/>
  <c r="AD121" i="59"/>
  <c r="AD122" i="59"/>
  <c r="AD123" i="59"/>
  <c r="AE123" i="59" s="1"/>
  <c r="AD124" i="59"/>
  <c r="AD125" i="59"/>
  <c r="AE125" i="59" s="1"/>
  <c r="AH121" i="59"/>
  <c r="AE121" i="59"/>
  <c r="AE122" i="59"/>
  <c r="AE124" i="59"/>
  <c r="L121" i="59"/>
  <c r="M121" i="59"/>
  <c r="N121" i="59"/>
  <c r="O121" i="59"/>
  <c r="P121" i="59"/>
  <c r="Q121" i="59"/>
  <c r="R121" i="59"/>
  <c r="S121" i="59"/>
  <c r="T121" i="59"/>
  <c r="T126" i="59" s="1"/>
  <c r="T127" i="59" s="1"/>
  <c r="U121" i="59"/>
  <c r="U126" i="59" s="1"/>
  <c r="U127" i="59" s="1"/>
  <c r="V121" i="59"/>
  <c r="W121" i="59"/>
  <c r="X121" i="59"/>
  <c r="Y121" i="59"/>
  <c r="Z121" i="59"/>
  <c r="L122" i="59"/>
  <c r="M122" i="59"/>
  <c r="N122" i="59"/>
  <c r="O122" i="59"/>
  <c r="P122" i="59"/>
  <c r="Q122" i="59"/>
  <c r="R122" i="59"/>
  <c r="S122" i="59"/>
  <c r="T122" i="59"/>
  <c r="U122" i="59"/>
  <c r="V122" i="59"/>
  <c r="W122" i="59"/>
  <c r="X122" i="59"/>
  <c r="Y122" i="59"/>
  <c r="Z122" i="59"/>
  <c r="L123" i="59"/>
  <c r="M123" i="59"/>
  <c r="N123" i="59"/>
  <c r="O123" i="59"/>
  <c r="P123" i="59"/>
  <c r="Q123" i="59"/>
  <c r="R123" i="59"/>
  <c r="S123" i="59"/>
  <c r="T123" i="59"/>
  <c r="U123" i="59"/>
  <c r="V123" i="59"/>
  <c r="W123" i="59"/>
  <c r="X123" i="59"/>
  <c r="Y123" i="59"/>
  <c r="Z123" i="59"/>
  <c r="L124" i="59"/>
  <c r="M124" i="59"/>
  <c r="N124" i="59"/>
  <c r="O124" i="59"/>
  <c r="P124" i="59"/>
  <c r="Q124" i="59"/>
  <c r="R124" i="59"/>
  <c r="S124" i="59"/>
  <c r="T124" i="59"/>
  <c r="U124" i="59"/>
  <c r="V124" i="59"/>
  <c r="W124" i="59"/>
  <c r="X124" i="59"/>
  <c r="Y124" i="59"/>
  <c r="Z124" i="59"/>
  <c r="L125" i="59"/>
  <c r="M125" i="59"/>
  <c r="N125" i="59"/>
  <c r="O125" i="59"/>
  <c r="P125" i="59"/>
  <c r="Q125" i="59"/>
  <c r="R125" i="59"/>
  <c r="S125" i="59"/>
  <c r="S126" i="59" s="1"/>
  <c r="S127" i="59" s="1"/>
  <c r="T125" i="59"/>
  <c r="U125" i="59"/>
  <c r="V125" i="59"/>
  <c r="W125" i="59"/>
  <c r="X125" i="59"/>
  <c r="Y125" i="59"/>
  <c r="Z125" i="59"/>
  <c r="L126" i="59"/>
  <c r="M126" i="59"/>
  <c r="N126" i="59"/>
  <c r="W126" i="59"/>
  <c r="W127" i="59" s="1"/>
  <c r="AH114" i="59"/>
  <c r="AH115" i="59"/>
  <c r="AH116" i="59"/>
  <c r="AH117" i="59"/>
  <c r="AH118" i="59"/>
  <c r="AH119" i="59"/>
  <c r="AE114" i="59"/>
  <c r="AE115" i="59"/>
  <c r="AE116" i="59"/>
  <c r="AE117" i="59"/>
  <c r="AE118" i="59"/>
  <c r="AE119" i="59"/>
  <c r="AA114" i="59"/>
  <c r="AA115" i="59"/>
  <c r="AA116" i="59"/>
  <c r="AF116" i="59" s="1"/>
  <c r="AA117" i="59"/>
  <c r="AA118" i="59"/>
  <c r="AA119" i="59"/>
  <c r="L114" i="59"/>
  <c r="M114" i="59"/>
  <c r="N114" i="59"/>
  <c r="L115" i="59"/>
  <c r="M115" i="59"/>
  <c r="N115" i="59"/>
  <c r="L116" i="59"/>
  <c r="M116" i="59"/>
  <c r="N116" i="59"/>
  <c r="L117" i="59"/>
  <c r="M117" i="59"/>
  <c r="N117" i="59"/>
  <c r="L118" i="59"/>
  <c r="M118" i="59"/>
  <c r="N118" i="59"/>
  <c r="L119" i="59"/>
  <c r="M119" i="59"/>
  <c r="N119" i="59"/>
  <c r="AH106" i="59"/>
  <c r="AH107" i="59"/>
  <c r="AH108" i="59"/>
  <c r="AH109" i="59"/>
  <c r="AH110" i="59"/>
  <c r="AH111" i="59"/>
  <c r="AE106" i="59"/>
  <c r="AE107" i="59"/>
  <c r="AE108" i="59"/>
  <c r="AE109" i="59"/>
  <c r="AE110" i="59"/>
  <c r="AE111" i="59"/>
  <c r="AA106" i="59"/>
  <c r="AA107" i="59"/>
  <c r="AA108" i="59"/>
  <c r="AA109" i="59"/>
  <c r="AF109" i="59" s="1"/>
  <c r="AA110" i="59"/>
  <c r="AA111" i="59"/>
  <c r="L106" i="59"/>
  <c r="M106" i="59"/>
  <c r="N106" i="59"/>
  <c r="L107" i="59"/>
  <c r="M107" i="59"/>
  <c r="N107" i="59"/>
  <c r="L108" i="59"/>
  <c r="M108" i="59"/>
  <c r="N108" i="59"/>
  <c r="L109" i="59"/>
  <c r="M109" i="59"/>
  <c r="N109" i="59"/>
  <c r="L110" i="59"/>
  <c r="M110" i="59"/>
  <c r="N110" i="59"/>
  <c r="L111" i="59"/>
  <c r="M111" i="59"/>
  <c r="N111" i="59"/>
  <c r="AH98" i="59"/>
  <c r="AH99" i="59"/>
  <c r="AH100" i="59"/>
  <c r="AH101" i="59"/>
  <c r="AH102" i="59"/>
  <c r="AH103" i="59"/>
  <c r="AE98" i="59"/>
  <c r="AE99" i="59"/>
  <c r="AE100" i="59"/>
  <c r="AE101" i="59"/>
  <c r="AE102" i="59"/>
  <c r="AE103" i="59"/>
  <c r="AA98" i="59"/>
  <c r="AF98" i="59" s="1"/>
  <c r="AA99" i="59"/>
  <c r="AA100" i="59"/>
  <c r="AA101" i="59"/>
  <c r="AA102" i="59"/>
  <c r="AF102" i="59" s="1"/>
  <c r="AA103" i="59"/>
  <c r="L98" i="59"/>
  <c r="M98" i="59"/>
  <c r="N98" i="59"/>
  <c r="L99" i="59"/>
  <c r="M99" i="59"/>
  <c r="N99" i="59"/>
  <c r="L100" i="59"/>
  <c r="M100" i="59"/>
  <c r="N100" i="59"/>
  <c r="L101" i="59"/>
  <c r="M101" i="59"/>
  <c r="N101" i="59"/>
  <c r="L102" i="59"/>
  <c r="M102" i="59"/>
  <c r="N102" i="59"/>
  <c r="L103" i="59"/>
  <c r="M103" i="59"/>
  <c r="N103" i="59"/>
  <c r="AD93" i="59"/>
  <c r="AD94" i="59"/>
  <c r="AG93" i="59"/>
  <c r="AG94" i="59"/>
  <c r="O93" i="59"/>
  <c r="P93" i="59"/>
  <c r="Q93" i="59"/>
  <c r="R93" i="59"/>
  <c r="S93" i="59"/>
  <c r="T93" i="59"/>
  <c r="U93" i="59"/>
  <c r="V93" i="59"/>
  <c r="W93" i="59"/>
  <c r="X93" i="59"/>
  <c r="Y93" i="59"/>
  <c r="Z93" i="59"/>
  <c r="O94" i="59"/>
  <c r="P94" i="59"/>
  <c r="Q94" i="59"/>
  <c r="R94" i="59"/>
  <c r="S94" i="59"/>
  <c r="T94" i="59"/>
  <c r="U94" i="59"/>
  <c r="V94" i="59"/>
  <c r="W94" i="59"/>
  <c r="X94" i="59"/>
  <c r="Y94" i="59"/>
  <c r="Z94" i="59"/>
  <c r="AF91" i="59"/>
  <c r="AA91" i="59"/>
  <c r="AA92" i="59"/>
  <c r="AI92" i="59" s="1"/>
  <c r="N91" i="59"/>
  <c r="N92" i="59"/>
  <c r="I91" i="59"/>
  <c r="J91" i="59"/>
  <c r="I92" i="59"/>
  <c r="J92" i="59"/>
  <c r="AA35" i="59"/>
  <c r="AA36" i="59"/>
  <c r="AB36" i="59" s="1"/>
  <c r="AA37" i="59"/>
  <c r="AA38" i="59"/>
  <c r="AA39" i="59"/>
  <c r="AF39" i="59" s="1"/>
  <c r="AA40" i="59"/>
  <c r="AI40" i="59" s="1"/>
  <c r="AA41" i="59"/>
  <c r="AA45" i="59"/>
  <c r="AA46" i="59"/>
  <c r="AF46" i="59" s="1"/>
  <c r="AA47" i="59"/>
  <c r="AF47" i="59" s="1"/>
  <c r="AA48" i="59"/>
  <c r="AF48" i="59" s="1"/>
  <c r="AA49" i="59"/>
  <c r="AA50" i="59"/>
  <c r="AA51" i="59"/>
  <c r="AA53" i="59" s="1"/>
  <c r="AA55" i="59"/>
  <c r="AA56" i="59"/>
  <c r="AA57" i="59"/>
  <c r="AA58" i="59"/>
  <c r="AA59" i="59"/>
  <c r="AB59" i="59" s="1"/>
  <c r="AA60" i="59"/>
  <c r="AA61" i="59"/>
  <c r="AB61" i="59" s="1"/>
  <c r="AA65" i="59"/>
  <c r="AB65" i="59" s="1"/>
  <c r="AA66" i="59"/>
  <c r="AA67" i="59"/>
  <c r="AF67" i="59" s="1"/>
  <c r="AA68" i="59"/>
  <c r="AA69" i="59"/>
  <c r="AA70" i="59"/>
  <c r="AA71" i="59"/>
  <c r="AA75" i="59"/>
  <c r="AB75" i="59" s="1"/>
  <c r="AA76" i="59"/>
  <c r="AA77" i="59"/>
  <c r="AA78" i="59"/>
  <c r="AI78" i="59" s="1"/>
  <c r="AA79" i="59"/>
  <c r="AA80" i="59"/>
  <c r="AA83" i="59"/>
  <c r="AA85" i="59"/>
  <c r="AA86" i="59"/>
  <c r="AI86" i="59" s="1"/>
  <c r="AA87" i="59"/>
  <c r="AA94" i="59" s="1"/>
  <c r="AI94" i="59" s="1"/>
  <c r="AH87" i="59"/>
  <c r="AE87" i="59"/>
  <c r="L85" i="59"/>
  <c r="L86" i="59"/>
  <c r="L87" i="59"/>
  <c r="AH83" i="59"/>
  <c r="AH85" i="59"/>
  <c r="AE83" i="59"/>
  <c r="AE84" i="59"/>
  <c r="AE85" i="59"/>
  <c r="M85" i="59"/>
  <c r="N85" i="59"/>
  <c r="N143" i="59" s="1"/>
  <c r="M86" i="59"/>
  <c r="N86" i="59"/>
  <c r="M87" i="59"/>
  <c r="N87" i="59"/>
  <c r="N144" i="59" s="1"/>
  <c r="M88" i="59"/>
  <c r="N88" i="59"/>
  <c r="N145" i="59" s="1"/>
  <c r="I85" i="59"/>
  <c r="J85" i="59"/>
  <c r="I86" i="59"/>
  <c r="J86" i="59"/>
  <c r="I87" i="59"/>
  <c r="J87" i="59"/>
  <c r="I88" i="59"/>
  <c r="J88" i="59"/>
  <c r="R84" i="59"/>
  <c r="Z84" i="59"/>
  <c r="AF83" i="59"/>
  <c r="L83" i="59"/>
  <c r="M83" i="59"/>
  <c r="N83" i="59"/>
  <c r="I83" i="59"/>
  <c r="J83" i="59"/>
  <c r="AG82" i="59"/>
  <c r="AH84" i="59" s="1"/>
  <c r="AD82" i="59"/>
  <c r="O82" i="59"/>
  <c r="O84" i="59" s="1"/>
  <c r="P82" i="59"/>
  <c r="P84" i="59" s="1"/>
  <c r="Q82" i="59"/>
  <c r="Q84" i="59" s="1"/>
  <c r="R82" i="59"/>
  <c r="S82" i="59"/>
  <c r="S84" i="59" s="1"/>
  <c r="T82" i="59"/>
  <c r="T84" i="59" s="1"/>
  <c r="U82" i="59"/>
  <c r="U84" i="59" s="1"/>
  <c r="V82" i="59"/>
  <c r="V84" i="59" s="1"/>
  <c r="W82" i="59"/>
  <c r="W84" i="59" s="1"/>
  <c r="X82" i="59"/>
  <c r="X84" i="59" s="1"/>
  <c r="Y82" i="59"/>
  <c r="Y84" i="59" s="1"/>
  <c r="Z82" i="59"/>
  <c r="AI76" i="59"/>
  <c r="AF76" i="59"/>
  <c r="AF77" i="59"/>
  <c r="AF78" i="59"/>
  <c r="AH75" i="59"/>
  <c r="AH76" i="59"/>
  <c r="AH77" i="59"/>
  <c r="AH78" i="59"/>
  <c r="AH79" i="59"/>
  <c r="AH80" i="59"/>
  <c r="AE74" i="59"/>
  <c r="AE75" i="59"/>
  <c r="AE76" i="59"/>
  <c r="AE77" i="59"/>
  <c r="AE78" i="59"/>
  <c r="AE79" i="59"/>
  <c r="AE80" i="59"/>
  <c r="AB76" i="59"/>
  <c r="L75" i="59"/>
  <c r="M75" i="59"/>
  <c r="N75" i="59"/>
  <c r="L76" i="59"/>
  <c r="M76" i="59"/>
  <c r="N76" i="59"/>
  <c r="L77" i="59"/>
  <c r="M77" i="59"/>
  <c r="N77" i="59"/>
  <c r="L78" i="59"/>
  <c r="M78" i="59"/>
  <c r="N78" i="59"/>
  <c r="L79" i="59"/>
  <c r="M79" i="59"/>
  <c r="N79" i="59"/>
  <c r="L80" i="59"/>
  <c r="M80" i="59"/>
  <c r="N80" i="59"/>
  <c r="L81" i="59"/>
  <c r="M81" i="59"/>
  <c r="N81" i="59"/>
  <c r="I75" i="59"/>
  <c r="J75" i="59"/>
  <c r="I76" i="59"/>
  <c r="J76" i="59"/>
  <c r="I77" i="59"/>
  <c r="J77" i="59"/>
  <c r="I78" i="59"/>
  <c r="J78" i="59"/>
  <c r="I79" i="59"/>
  <c r="J79" i="59"/>
  <c r="I80" i="59"/>
  <c r="J80" i="59"/>
  <c r="I81" i="59"/>
  <c r="J81" i="59"/>
  <c r="AG73" i="59"/>
  <c r="AH74" i="59" s="1"/>
  <c r="AD73" i="59"/>
  <c r="O73" i="59"/>
  <c r="O74" i="59" s="1"/>
  <c r="P73" i="59"/>
  <c r="Q73" i="59"/>
  <c r="Q74" i="59" s="1"/>
  <c r="R73" i="59"/>
  <c r="R74" i="59" s="1"/>
  <c r="S73" i="59"/>
  <c r="S74" i="59" s="1"/>
  <c r="T73" i="59"/>
  <c r="T74" i="59" s="1"/>
  <c r="U73" i="59"/>
  <c r="U74" i="59" s="1"/>
  <c r="V73" i="59"/>
  <c r="W73" i="59"/>
  <c r="X73" i="59"/>
  <c r="Y73" i="59"/>
  <c r="Y74" i="59" s="1"/>
  <c r="Z73" i="59"/>
  <c r="Z74" i="59" s="1"/>
  <c r="P74" i="59"/>
  <c r="V74" i="59"/>
  <c r="W74" i="59"/>
  <c r="X74" i="59"/>
  <c r="AI67" i="59"/>
  <c r="AI70" i="59"/>
  <c r="AI71" i="59"/>
  <c r="AF65" i="59"/>
  <c r="AF70" i="59"/>
  <c r="AF71" i="59"/>
  <c r="AH71" i="59"/>
  <c r="AE71" i="59"/>
  <c r="AB71" i="59"/>
  <c r="AH65" i="59"/>
  <c r="AH66" i="59"/>
  <c r="AH67" i="59"/>
  <c r="AH68" i="59"/>
  <c r="AH69" i="59"/>
  <c r="AE65" i="59"/>
  <c r="AE66" i="59"/>
  <c r="AE67" i="59"/>
  <c r="AE68" i="59"/>
  <c r="AE69" i="59"/>
  <c r="AB67" i="59"/>
  <c r="L65" i="59"/>
  <c r="M65" i="59"/>
  <c r="N65" i="59"/>
  <c r="L66" i="59"/>
  <c r="M66" i="59"/>
  <c r="N66" i="59"/>
  <c r="L67" i="59"/>
  <c r="M67" i="59"/>
  <c r="N67" i="59"/>
  <c r="L68" i="59"/>
  <c r="M68" i="59"/>
  <c r="N68" i="59"/>
  <c r="L69" i="59"/>
  <c r="M69" i="59"/>
  <c r="N69" i="59"/>
  <c r="L70" i="59"/>
  <c r="M70" i="59"/>
  <c r="N70" i="59"/>
  <c r="L71" i="59"/>
  <c r="M71" i="59"/>
  <c r="N71" i="59"/>
  <c r="L72" i="59"/>
  <c r="M72" i="59"/>
  <c r="N72" i="59"/>
  <c r="I65" i="59"/>
  <c r="J65" i="59"/>
  <c r="I66" i="59"/>
  <c r="J66" i="59"/>
  <c r="I67" i="59"/>
  <c r="J67" i="59"/>
  <c r="I68" i="59"/>
  <c r="J68" i="59"/>
  <c r="I69" i="59"/>
  <c r="J69" i="59"/>
  <c r="I70" i="59"/>
  <c r="J70" i="59"/>
  <c r="I71" i="59"/>
  <c r="J71" i="59"/>
  <c r="I72" i="59"/>
  <c r="J72" i="59"/>
  <c r="AG63" i="59"/>
  <c r="AH64" i="59" s="1"/>
  <c r="AD63" i="59"/>
  <c r="AE64" i="59" s="1"/>
  <c r="O63" i="59"/>
  <c r="O64" i="59" s="1"/>
  <c r="P63" i="59"/>
  <c r="P64" i="59" s="1"/>
  <c r="Q63" i="59"/>
  <c r="Q64" i="59" s="1"/>
  <c r="R63" i="59"/>
  <c r="R64" i="59" s="1"/>
  <c r="S63" i="59"/>
  <c r="S64" i="59" s="1"/>
  <c r="T63" i="59"/>
  <c r="U63" i="59"/>
  <c r="U64" i="59" s="1"/>
  <c r="V63" i="59"/>
  <c r="V64" i="59" s="1"/>
  <c r="W63" i="59"/>
  <c r="X63" i="59"/>
  <c r="X64" i="59" s="1"/>
  <c r="Y63" i="59"/>
  <c r="Y64" i="59" s="1"/>
  <c r="Z63" i="59"/>
  <c r="Z64" i="59" s="1"/>
  <c r="T64" i="59"/>
  <c r="W64" i="59"/>
  <c r="AI55" i="59"/>
  <c r="AI56" i="59"/>
  <c r="AI60" i="59"/>
  <c r="AF55" i="59"/>
  <c r="AF56" i="59"/>
  <c r="AF60" i="59"/>
  <c r="AH61" i="59"/>
  <c r="AE61" i="59"/>
  <c r="AH55" i="59"/>
  <c r="AH56" i="59"/>
  <c r="AH57" i="59"/>
  <c r="AH58" i="59"/>
  <c r="AH59" i="59"/>
  <c r="AE55" i="59"/>
  <c r="AE56" i="59"/>
  <c r="AE57" i="59"/>
  <c r="AE58" i="59"/>
  <c r="AE59" i="59"/>
  <c r="AB55" i="59"/>
  <c r="AB56" i="59"/>
  <c r="L55" i="59"/>
  <c r="M55" i="59"/>
  <c r="N55" i="59"/>
  <c r="L56" i="59"/>
  <c r="M56" i="59"/>
  <c r="N56" i="59"/>
  <c r="L57" i="59"/>
  <c r="M57" i="59"/>
  <c r="N57" i="59"/>
  <c r="L58" i="59"/>
  <c r="M58" i="59"/>
  <c r="N58" i="59"/>
  <c r="L59" i="59"/>
  <c r="M59" i="59"/>
  <c r="N59" i="59"/>
  <c r="L60" i="59"/>
  <c r="M60" i="59"/>
  <c r="N60" i="59"/>
  <c r="L61" i="59"/>
  <c r="M61" i="59"/>
  <c r="N61" i="59"/>
  <c r="L62" i="59"/>
  <c r="M62" i="59"/>
  <c r="N62" i="59"/>
  <c r="I55" i="59"/>
  <c r="J55" i="59"/>
  <c r="I56" i="59"/>
  <c r="J56" i="59"/>
  <c r="I57" i="59"/>
  <c r="J57" i="59"/>
  <c r="I58" i="59"/>
  <c r="J58" i="59"/>
  <c r="I59" i="59"/>
  <c r="J59" i="59"/>
  <c r="I60" i="59"/>
  <c r="J60" i="59"/>
  <c r="I61" i="59"/>
  <c r="J61" i="59"/>
  <c r="I62" i="59"/>
  <c r="J62" i="59"/>
  <c r="AG53" i="59"/>
  <c r="AH54" i="59" s="1"/>
  <c r="AD53" i="59"/>
  <c r="AE54" i="59" s="1"/>
  <c r="O53" i="59"/>
  <c r="P53" i="59"/>
  <c r="P54" i="59" s="1"/>
  <c r="Q53" i="59"/>
  <c r="R53" i="59"/>
  <c r="S53" i="59"/>
  <c r="S54" i="59" s="1"/>
  <c r="T53" i="59"/>
  <c r="T54" i="59" s="1"/>
  <c r="U53" i="59"/>
  <c r="U54" i="59" s="1"/>
  <c r="V53" i="59"/>
  <c r="W53" i="59"/>
  <c r="X53" i="59"/>
  <c r="Y53" i="59"/>
  <c r="Y54" i="59" s="1"/>
  <c r="Z53" i="59"/>
  <c r="Z54" i="59" s="1"/>
  <c r="O54" i="59"/>
  <c r="Q54" i="59"/>
  <c r="R54" i="59"/>
  <c r="V54" i="59"/>
  <c r="W54" i="59"/>
  <c r="X54" i="59"/>
  <c r="AI48" i="59"/>
  <c r="AI49" i="59"/>
  <c r="AI51" i="59"/>
  <c r="AF49" i="59"/>
  <c r="AF51" i="59"/>
  <c r="AH51" i="59"/>
  <c r="AE51" i="59"/>
  <c r="AB51" i="59"/>
  <c r="AH45" i="59"/>
  <c r="AH46" i="59"/>
  <c r="AH47" i="59"/>
  <c r="AH48" i="59"/>
  <c r="AH49" i="59"/>
  <c r="AE45" i="59"/>
  <c r="AE46" i="59"/>
  <c r="AE47" i="59"/>
  <c r="AE48" i="59"/>
  <c r="AE49" i="59"/>
  <c r="AB47" i="59"/>
  <c r="AB48" i="59"/>
  <c r="AB49" i="59"/>
  <c r="L45" i="59"/>
  <c r="M45" i="59"/>
  <c r="N45" i="59"/>
  <c r="L46" i="59"/>
  <c r="M46" i="59"/>
  <c r="N46" i="59"/>
  <c r="L47" i="59"/>
  <c r="M47" i="59"/>
  <c r="N47" i="59"/>
  <c r="L48" i="59"/>
  <c r="M48" i="59"/>
  <c r="N48" i="59"/>
  <c r="L49" i="59"/>
  <c r="M49" i="59"/>
  <c r="N49" i="59"/>
  <c r="L50" i="59"/>
  <c r="M50" i="59"/>
  <c r="N50" i="59"/>
  <c r="L51" i="59"/>
  <c r="M51" i="59"/>
  <c r="N51" i="59"/>
  <c r="L52" i="59"/>
  <c r="M52" i="59"/>
  <c r="N52" i="59"/>
  <c r="I45" i="59"/>
  <c r="J45" i="59"/>
  <c r="I46" i="59"/>
  <c r="J46" i="59"/>
  <c r="I47" i="59"/>
  <c r="J47" i="59"/>
  <c r="I48" i="59"/>
  <c r="J48" i="59"/>
  <c r="I49" i="59"/>
  <c r="J49" i="59"/>
  <c r="I50" i="59"/>
  <c r="J50" i="59"/>
  <c r="I51" i="59"/>
  <c r="J51" i="59"/>
  <c r="I52" i="59"/>
  <c r="J52" i="59"/>
  <c r="AG43" i="59"/>
  <c r="AH44" i="59" s="1"/>
  <c r="AD43" i="59"/>
  <c r="AE44" i="59" s="1"/>
  <c r="O43" i="59"/>
  <c r="O44" i="59" s="1"/>
  <c r="P43" i="59"/>
  <c r="P44" i="59" s="1"/>
  <c r="Q43" i="59"/>
  <c r="Q44" i="59" s="1"/>
  <c r="R43" i="59"/>
  <c r="R44" i="59" s="1"/>
  <c r="S43" i="59"/>
  <c r="S44" i="59" s="1"/>
  <c r="T43" i="59"/>
  <c r="U43" i="59"/>
  <c r="U44" i="59" s="1"/>
  <c r="V43" i="59"/>
  <c r="W43" i="59"/>
  <c r="W44" i="59" s="1"/>
  <c r="X43" i="59"/>
  <c r="Y43" i="59"/>
  <c r="Y44" i="59" s="1"/>
  <c r="Z43" i="59"/>
  <c r="Z44" i="59" s="1"/>
  <c r="T44" i="59"/>
  <c r="V44" i="59"/>
  <c r="X44" i="59"/>
  <c r="AI35" i="59"/>
  <c r="AI36" i="59"/>
  <c r="AI38" i="59"/>
  <c r="AF35" i="59"/>
  <c r="AF36" i="59"/>
  <c r="AF38" i="59"/>
  <c r="AF40" i="59"/>
  <c r="AH41" i="59"/>
  <c r="AE41" i="59"/>
  <c r="AH35" i="59"/>
  <c r="AH36" i="59"/>
  <c r="AH37" i="59"/>
  <c r="AH38" i="59"/>
  <c r="AH39" i="59"/>
  <c r="AE35" i="59"/>
  <c r="AE36" i="59"/>
  <c r="AE37" i="59"/>
  <c r="AE38" i="59"/>
  <c r="AE39" i="59"/>
  <c r="AB35" i="59"/>
  <c r="AB38" i="59"/>
  <c r="L35" i="59"/>
  <c r="M35" i="59"/>
  <c r="N35" i="59"/>
  <c r="L36" i="59"/>
  <c r="M36" i="59"/>
  <c r="N36" i="59"/>
  <c r="L37" i="59"/>
  <c r="M37" i="59"/>
  <c r="N37" i="59"/>
  <c r="L38" i="59"/>
  <c r="M38" i="59"/>
  <c r="N38" i="59"/>
  <c r="L39" i="59"/>
  <c r="M39" i="59"/>
  <c r="N39" i="59"/>
  <c r="L40" i="59"/>
  <c r="M40" i="59"/>
  <c r="N40" i="59"/>
  <c r="L41" i="59"/>
  <c r="M41" i="59"/>
  <c r="N41" i="59"/>
  <c r="L42" i="59"/>
  <c r="M42" i="59"/>
  <c r="N42" i="59"/>
  <c r="I35" i="59"/>
  <c r="J35" i="59"/>
  <c r="I36" i="59"/>
  <c r="J36" i="59"/>
  <c r="I37" i="59"/>
  <c r="J37" i="59"/>
  <c r="I38" i="59"/>
  <c r="J38" i="59"/>
  <c r="I39" i="59"/>
  <c r="J39" i="59"/>
  <c r="I40" i="59"/>
  <c r="J40" i="59"/>
  <c r="I41" i="59"/>
  <c r="J41" i="59"/>
  <c r="I42" i="59"/>
  <c r="J42" i="59"/>
  <c r="AG32" i="59"/>
  <c r="AD32" i="59"/>
  <c r="O32" i="59"/>
  <c r="P32" i="59"/>
  <c r="Q32" i="59"/>
  <c r="R32" i="59"/>
  <c r="S32" i="59"/>
  <c r="T32" i="59"/>
  <c r="U32" i="59"/>
  <c r="V32" i="59"/>
  <c r="W32" i="59"/>
  <c r="X32" i="59"/>
  <c r="Y32" i="59"/>
  <c r="Z32" i="59"/>
  <c r="AG31" i="59"/>
  <c r="AD31" i="59"/>
  <c r="O31" i="59"/>
  <c r="P31" i="59"/>
  <c r="Q31" i="59"/>
  <c r="R31" i="59"/>
  <c r="S31" i="59"/>
  <c r="T31" i="59"/>
  <c r="U31" i="59"/>
  <c r="V31" i="59"/>
  <c r="W31" i="59"/>
  <c r="X31" i="59"/>
  <c r="Y31" i="59"/>
  <c r="Z31" i="59"/>
  <c r="AA31" i="59"/>
  <c r="N26" i="59"/>
  <c r="N27" i="59"/>
  <c r="N28" i="59"/>
  <c r="N29" i="59"/>
  <c r="B23" i="59"/>
  <c r="AG16" i="59"/>
  <c r="AG19" i="59"/>
  <c r="AG20" i="59"/>
  <c r="AD19" i="59"/>
  <c r="AD20" i="59"/>
  <c r="G19" i="59"/>
  <c r="G20" i="59"/>
  <c r="N19" i="59"/>
  <c r="O19" i="59"/>
  <c r="P19" i="59"/>
  <c r="Q19" i="59"/>
  <c r="R19" i="59"/>
  <c r="S19" i="59"/>
  <c r="T19" i="59"/>
  <c r="U19" i="59"/>
  <c r="V19" i="59"/>
  <c r="W19" i="59"/>
  <c r="X19" i="59"/>
  <c r="Y19" i="59"/>
  <c r="Z19" i="59"/>
  <c r="N20" i="59"/>
  <c r="O20" i="59"/>
  <c r="P20" i="59"/>
  <c r="Q20" i="59"/>
  <c r="R20" i="59"/>
  <c r="S20" i="59"/>
  <c r="T20" i="59"/>
  <c r="U20" i="59"/>
  <c r="V20" i="59"/>
  <c r="W20" i="59"/>
  <c r="X20" i="59"/>
  <c r="Y20" i="59"/>
  <c r="Z20" i="59"/>
  <c r="B17" i="59"/>
  <c r="B18" i="59"/>
  <c r="B19" i="59"/>
  <c r="O16" i="59"/>
  <c r="P16" i="59"/>
  <c r="Q16" i="59"/>
  <c r="R16" i="59"/>
  <c r="S16" i="59"/>
  <c r="T16" i="59"/>
  <c r="U16" i="59"/>
  <c r="V16" i="59"/>
  <c r="W16" i="59"/>
  <c r="X16" i="59"/>
  <c r="Y16" i="59"/>
  <c r="O17" i="59"/>
  <c r="P17" i="59"/>
  <c r="Q17" i="59"/>
  <c r="R17" i="59"/>
  <c r="S17" i="59"/>
  <c r="T17" i="59"/>
  <c r="U17" i="59"/>
  <c r="V17" i="59"/>
  <c r="W17" i="59"/>
  <c r="X17" i="59"/>
  <c r="Y17" i="59"/>
  <c r="Z17" i="59"/>
  <c r="AA17" i="59" s="1"/>
  <c r="AA11" i="59" s="1"/>
  <c r="AA18" i="59" s="1"/>
  <c r="A14" i="59"/>
  <c r="AG12" i="59"/>
  <c r="AG13" i="59"/>
  <c r="AD12" i="59"/>
  <c r="AD13" i="59"/>
  <c r="B12" i="59"/>
  <c r="B13" i="59"/>
  <c r="O11" i="59"/>
  <c r="P11" i="59"/>
  <c r="Q11" i="59"/>
  <c r="R11" i="59"/>
  <c r="S11" i="59"/>
  <c r="T11" i="59"/>
  <c r="U11" i="59"/>
  <c r="V11" i="59"/>
  <c r="W11" i="59"/>
  <c r="X11" i="59"/>
  <c r="Y11" i="59"/>
  <c r="Z11" i="59"/>
  <c r="O12" i="59"/>
  <c r="P12" i="59"/>
  <c r="Q12" i="59"/>
  <c r="R12" i="59"/>
  <c r="S12" i="59"/>
  <c r="T12" i="59"/>
  <c r="U12" i="59"/>
  <c r="V12" i="59"/>
  <c r="W12" i="59"/>
  <c r="X12" i="59"/>
  <c r="Y12" i="59"/>
  <c r="Z12" i="59"/>
  <c r="AA12" i="59"/>
  <c r="O13" i="59"/>
  <c r="P13" i="59"/>
  <c r="Q13" i="59"/>
  <c r="R13" i="59"/>
  <c r="S13" i="59"/>
  <c r="T13" i="59"/>
  <c r="U13" i="59"/>
  <c r="V13" i="59"/>
  <c r="W13" i="59"/>
  <c r="X13" i="59"/>
  <c r="Y13" i="59"/>
  <c r="Z13" i="59"/>
  <c r="AA13" i="59"/>
  <c r="C10" i="59"/>
  <c r="D10" i="59"/>
  <c r="C9" i="59"/>
  <c r="C1" i="59"/>
  <c r="C2" i="59"/>
  <c r="C3" i="59"/>
  <c r="C4" i="59"/>
  <c r="C5" i="59"/>
  <c r="C6" i="59"/>
  <c r="C7" i="59"/>
  <c r="C8" i="59"/>
  <c r="E6" i="59"/>
  <c r="E4" i="59"/>
  <c r="F4" i="59"/>
  <c r="B3" i="59"/>
  <c r="B120" i="11"/>
  <c r="B114" i="11"/>
  <c r="B115" i="11"/>
  <c r="B116" i="11"/>
  <c r="A111" i="11"/>
  <c r="B88" i="11"/>
  <c r="B89" i="11"/>
  <c r="B83" i="11"/>
  <c r="B84" i="11"/>
  <c r="B85" i="11"/>
  <c r="AG81" i="11"/>
  <c r="AD81" i="11"/>
  <c r="O81" i="11"/>
  <c r="P81" i="11"/>
  <c r="Q81" i="11"/>
  <c r="R81" i="11"/>
  <c r="S81" i="11"/>
  <c r="T81" i="11"/>
  <c r="U81" i="11"/>
  <c r="V81" i="11"/>
  <c r="W81" i="11"/>
  <c r="X81" i="11"/>
  <c r="Y81" i="11"/>
  <c r="Z81" i="11"/>
  <c r="S82" i="11"/>
  <c r="Z82" i="11"/>
  <c r="A80" i="11"/>
  <c r="N78" i="11"/>
  <c r="N81" i="11" s="1"/>
  <c r="N79" i="11"/>
  <c r="N82" i="11" s="1"/>
  <c r="AE78" i="11"/>
  <c r="AE79" i="11"/>
  <c r="AB78" i="11"/>
  <c r="AA79" i="11"/>
  <c r="AB79" i="11" s="1"/>
  <c r="I78" i="11"/>
  <c r="AA78" i="11" s="1"/>
  <c r="J78" i="11"/>
  <c r="I79" i="11"/>
  <c r="J79" i="11"/>
  <c r="N73" i="11"/>
  <c r="N74" i="11"/>
  <c r="N75" i="11"/>
  <c r="N76" i="11"/>
  <c r="I76" i="11"/>
  <c r="AA76" i="11" s="1"/>
  <c r="J76" i="11"/>
  <c r="AH75" i="11"/>
  <c r="AE74" i="11"/>
  <c r="AE75" i="11"/>
  <c r="AE76" i="11"/>
  <c r="I74" i="11"/>
  <c r="AA74" i="11" s="1"/>
  <c r="J74" i="11"/>
  <c r="L74" i="11"/>
  <c r="M74" i="11"/>
  <c r="I75" i="11"/>
  <c r="AA75" i="11" s="1"/>
  <c r="J75" i="11"/>
  <c r="L75" i="11"/>
  <c r="M75" i="11"/>
  <c r="I73" i="11"/>
  <c r="J73" i="11"/>
  <c r="AH67" i="11"/>
  <c r="AL67" i="11"/>
  <c r="AH68" i="11"/>
  <c r="AH69" i="11"/>
  <c r="AH70" i="11"/>
  <c r="AH71" i="11"/>
  <c r="AE67" i="11"/>
  <c r="AE68" i="11"/>
  <c r="AE69" i="11"/>
  <c r="AE70" i="11"/>
  <c r="AE71" i="11"/>
  <c r="AF71" i="11"/>
  <c r="I67" i="11"/>
  <c r="AA67" i="11" s="1"/>
  <c r="AB67" i="11" s="1"/>
  <c r="J67" i="11"/>
  <c r="L67" i="11"/>
  <c r="M67" i="11"/>
  <c r="N67" i="11"/>
  <c r="I68" i="11"/>
  <c r="AA68" i="11" s="1"/>
  <c r="J68" i="11"/>
  <c r="L68" i="11"/>
  <c r="M68" i="11"/>
  <c r="N68" i="11"/>
  <c r="I69" i="11"/>
  <c r="AA69" i="11" s="1"/>
  <c r="AI69" i="11" s="1"/>
  <c r="J69" i="11"/>
  <c r="K69" i="11"/>
  <c r="L69" i="11"/>
  <c r="M69" i="11"/>
  <c r="N69" i="11"/>
  <c r="I70" i="11"/>
  <c r="AA70" i="11" s="1"/>
  <c r="J70" i="11"/>
  <c r="L70" i="11"/>
  <c r="M70" i="11"/>
  <c r="N70" i="11"/>
  <c r="I71" i="11"/>
  <c r="AA71" i="11" s="1"/>
  <c r="AI71" i="11" s="1"/>
  <c r="J71" i="11"/>
  <c r="K71" i="11"/>
  <c r="L71" i="11"/>
  <c r="M71" i="11"/>
  <c r="N71" i="11"/>
  <c r="N65" i="11"/>
  <c r="N66" i="11"/>
  <c r="I65" i="11"/>
  <c r="J65" i="11"/>
  <c r="I66" i="11"/>
  <c r="J66" i="11"/>
  <c r="AD63" i="11"/>
  <c r="AD82" i="11" s="1"/>
  <c r="AG63" i="11"/>
  <c r="N63" i="11"/>
  <c r="O63" i="11"/>
  <c r="O82" i="11" s="1"/>
  <c r="P63" i="11"/>
  <c r="P82" i="11" s="1"/>
  <c r="Q63" i="11"/>
  <c r="Q82" i="11" s="1"/>
  <c r="R63" i="11"/>
  <c r="R82" i="11" s="1"/>
  <c r="S63" i="11"/>
  <c r="T63" i="11"/>
  <c r="T82" i="11" s="1"/>
  <c r="U63" i="11"/>
  <c r="U82" i="11" s="1"/>
  <c r="V63" i="11"/>
  <c r="V82" i="11" s="1"/>
  <c r="W63" i="11"/>
  <c r="W82" i="11" s="1"/>
  <c r="X63" i="11"/>
  <c r="X82" i="11" s="1"/>
  <c r="Y63" i="11"/>
  <c r="Y82" i="11" s="1"/>
  <c r="Z63" i="11"/>
  <c r="AB55" i="11"/>
  <c r="AB56" i="11"/>
  <c r="AB57" i="11"/>
  <c r="AM57" i="11" s="1"/>
  <c r="AB58" i="11"/>
  <c r="AB59" i="11"/>
  <c r="AB60" i="11"/>
  <c r="AN60" i="11" s="1"/>
  <c r="AB61" i="11"/>
  <c r="AM61" i="11" s="1"/>
  <c r="AB62" i="11"/>
  <c r="N53" i="11"/>
  <c r="N54" i="11"/>
  <c r="N55" i="11"/>
  <c r="N56" i="11"/>
  <c r="N57" i="11"/>
  <c r="N58" i="11"/>
  <c r="N59" i="11"/>
  <c r="N60" i="11"/>
  <c r="N61" i="11"/>
  <c r="N62" i="11"/>
  <c r="I62" i="11"/>
  <c r="K62" i="11" s="1"/>
  <c r="J62" i="11"/>
  <c r="I63" i="11"/>
  <c r="J63" i="11"/>
  <c r="AA55" i="11"/>
  <c r="AA61" i="11"/>
  <c r="AF61" i="11" s="1"/>
  <c r="B55" i="11"/>
  <c r="B56" i="11"/>
  <c r="AH55" i="11"/>
  <c r="AM55" i="11"/>
  <c r="AH56" i="11"/>
  <c r="AH57" i="11"/>
  <c r="AH58" i="11"/>
  <c r="AH59" i="11"/>
  <c r="AN59" i="11"/>
  <c r="AH60" i="11"/>
  <c r="AL60" i="11"/>
  <c r="AH61" i="11"/>
  <c r="AH62" i="11"/>
  <c r="AI62" i="11"/>
  <c r="AL62" i="11"/>
  <c r="AE55" i="11"/>
  <c r="AE56" i="11"/>
  <c r="AE57" i="11"/>
  <c r="AE58" i="11"/>
  <c r="AM58" i="11" s="1"/>
  <c r="AE59" i="11"/>
  <c r="AE60" i="11"/>
  <c r="AM60" i="11" s="1"/>
  <c r="AE61" i="11"/>
  <c r="AE62" i="11"/>
  <c r="AF62" i="11"/>
  <c r="I55" i="11"/>
  <c r="K55" i="11" s="1"/>
  <c r="J55" i="11"/>
  <c r="L55" i="11"/>
  <c r="M55" i="11"/>
  <c r="I56" i="11"/>
  <c r="J56" i="11"/>
  <c r="L56" i="11"/>
  <c r="M56" i="11"/>
  <c r="I57" i="11"/>
  <c r="AA57" i="11" s="1"/>
  <c r="AI57" i="11" s="1"/>
  <c r="J57" i="11"/>
  <c r="L57" i="11"/>
  <c r="M57" i="11"/>
  <c r="I58" i="11"/>
  <c r="J58" i="11"/>
  <c r="L58" i="11"/>
  <c r="M58" i="11"/>
  <c r="I59" i="11"/>
  <c r="AA59" i="11" s="1"/>
  <c r="J59" i="11"/>
  <c r="L59" i="11"/>
  <c r="M59" i="11"/>
  <c r="I60" i="11"/>
  <c r="K60" i="11" s="1"/>
  <c r="J60" i="11"/>
  <c r="L60" i="11"/>
  <c r="M60" i="11"/>
  <c r="I61" i="11"/>
  <c r="J61" i="11"/>
  <c r="K61" i="11"/>
  <c r="L61" i="11"/>
  <c r="M61" i="11"/>
  <c r="I53" i="11"/>
  <c r="J53" i="11"/>
  <c r="I54" i="11"/>
  <c r="J54" i="11"/>
  <c r="B50" i="11"/>
  <c r="B51" i="11"/>
  <c r="B52" i="11"/>
  <c r="A47" i="11"/>
  <c r="AH35" i="11"/>
  <c r="AL35" i="11"/>
  <c r="AH36" i="11"/>
  <c r="AH37" i="11"/>
  <c r="AL37" i="11"/>
  <c r="AH38" i="11"/>
  <c r="AH39" i="11"/>
  <c r="AH40" i="11"/>
  <c r="AH41" i="11"/>
  <c r="AH42" i="11"/>
  <c r="AH43" i="11"/>
  <c r="AH44" i="11"/>
  <c r="AH45" i="11"/>
  <c r="AL45" i="11"/>
  <c r="AH46" i="11"/>
  <c r="AH47" i="11"/>
  <c r="AH48" i="11"/>
  <c r="AH49" i="11"/>
  <c r="AH50" i="11"/>
  <c r="AH51" i="11"/>
  <c r="AE35" i="11"/>
  <c r="AE36" i="11"/>
  <c r="AE37" i="11"/>
  <c r="AF37" i="11"/>
  <c r="AE38" i="11"/>
  <c r="AE39" i="11"/>
  <c r="AE40" i="11"/>
  <c r="AE41" i="11"/>
  <c r="AE42" i="11"/>
  <c r="AE43" i="11"/>
  <c r="AE44" i="11"/>
  <c r="AF44" i="11"/>
  <c r="AE45" i="11"/>
  <c r="AE46" i="11"/>
  <c r="AE47" i="11"/>
  <c r="AE48" i="11"/>
  <c r="AE49" i="11"/>
  <c r="AF49" i="11"/>
  <c r="AE50" i="11"/>
  <c r="AE51" i="11"/>
  <c r="AA36" i="11"/>
  <c r="AI36" i="11" s="1"/>
  <c r="AA38" i="11"/>
  <c r="AI38" i="11" s="1"/>
  <c r="AA44" i="11"/>
  <c r="AI44" i="11" s="1"/>
  <c r="AB44" i="11"/>
  <c r="AA46" i="11"/>
  <c r="AI46" i="11" s="1"/>
  <c r="AA50" i="11"/>
  <c r="AF50" i="11" s="1"/>
  <c r="I35" i="11"/>
  <c r="AA35" i="11" s="1"/>
  <c r="J35" i="11"/>
  <c r="L35" i="11"/>
  <c r="M35" i="11"/>
  <c r="N35" i="11"/>
  <c r="I36" i="11"/>
  <c r="J36" i="11"/>
  <c r="K36" i="11"/>
  <c r="L36" i="11"/>
  <c r="M36" i="11"/>
  <c r="N36" i="11"/>
  <c r="I37" i="11"/>
  <c r="AA37" i="11" s="1"/>
  <c r="J37" i="11"/>
  <c r="L37" i="11"/>
  <c r="M37" i="11"/>
  <c r="N37" i="11"/>
  <c r="I38" i="11"/>
  <c r="J38" i="11"/>
  <c r="K38" i="11"/>
  <c r="L38" i="11"/>
  <c r="M38" i="11"/>
  <c r="N38" i="11"/>
  <c r="I39" i="11"/>
  <c r="AA39" i="11" s="1"/>
  <c r="J39" i="11"/>
  <c r="L39" i="11"/>
  <c r="M39" i="11"/>
  <c r="N39" i="11"/>
  <c r="I40" i="11"/>
  <c r="AA40" i="11" s="1"/>
  <c r="J40" i="11"/>
  <c r="L40" i="11"/>
  <c r="M40" i="11"/>
  <c r="N40" i="11"/>
  <c r="I41" i="11"/>
  <c r="AA41" i="11" s="1"/>
  <c r="AF41" i="11" s="1"/>
  <c r="J41" i="11"/>
  <c r="L41" i="11"/>
  <c r="M41" i="11"/>
  <c r="N41" i="11"/>
  <c r="I42" i="11"/>
  <c r="AA42" i="11" s="1"/>
  <c r="J42" i="11"/>
  <c r="L42" i="11"/>
  <c r="M42" i="11"/>
  <c r="N42" i="11"/>
  <c r="I43" i="11"/>
  <c r="AA43" i="11" s="1"/>
  <c r="J43" i="11"/>
  <c r="K43" i="11"/>
  <c r="L43" i="11"/>
  <c r="M43" i="11"/>
  <c r="N43" i="11"/>
  <c r="I44" i="11"/>
  <c r="J44" i="11"/>
  <c r="K44" i="11"/>
  <c r="L44" i="11"/>
  <c r="M44" i="11"/>
  <c r="N44" i="11"/>
  <c r="I45" i="11"/>
  <c r="AA45" i="11" s="1"/>
  <c r="AF45" i="11" s="1"/>
  <c r="J45" i="11"/>
  <c r="L45" i="11"/>
  <c r="M45" i="11"/>
  <c r="N45" i="11"/>
  <c r="I46" i="11"/>
  <c r="K46" i="11" s="1"/>
  <c r="J46" i="11"/>
  <c r="L46" i="11"/>
  <c r="M46" i="11"/>
  <c r="N46" i="11"/>
  <c r="I47" i="11"/>
  <c r="AA47" i="11" s="1"/>
  <c r="AB47" i="11" s="1"/>
  <c r="AM47" i="11" s="1"/>
  <c r="J47" i="11"/>
  <c r="L47" i="11"/>
  <c r="M47" i="11"/>
  <c r="N47" i="11"/>
  <c r="I48" i="11"/>
  <c r="AA48" i="11" s="1"/>
  <c r="J48" i="11"/>
  <c r="L48" i="11"/>
  <c r="M48" i="11"/>
  <c r="N48" i="11"/>
  <c r="I49" i="11"/>
  <c r="AA49" i="11" s="1"/>
  <c r="J49" i="11"/>
  <c r="L49" i="11"/>
  <c r="M49" i="11"/>
  <c r="N49" i="11"/>
  <c r="I50" i="11"/>
  <c r="J50" i="11"/>
  <c r="K50" i="11"/>
  <c r="L50" i="11"/>
  <c r="M50" i="11"/>
  <c r="N50" i="11"/>
  <c r="I51" i="11"/>
  <c r="AA51" i="11" s="1"/>
  <c r="AB51" i="11" s="1"/>
  <c r="J51" i="11"/>
  <c r="K51" i="11"/>
  <c r="L51" i="11"/>
  <c r="M51" i="11"/>
  <c r="N51" i="11"/>
  <c r="N33" i="11"/>
  <c r="N34" i="11"/>
  <c r="I33" i="11"/>
  <c r="J33" i="11"/>
  <c r="I34" i="11"/>
  <c r="J34" i="11"/>
  <c r="AG32" i="11"/>
  <c r="AL32" i="11" s="1"/>
  <c r="AD32" i="11"/>
  <c r="AK32" i="11" s="1"/>
  <c r="O32" i="11"/>
  <c r="P32" i="11"/>
  <c r="Q32" i="11"/>
  <c r="R32" i="11"/>
  <c r="S32" i="11"/>
  <c r="T32" i="11"/>
  <c r="U32" i="11"/>
  <c r="V32" i="11"/>
  <c r="W32" i="11"/>
  <c r="X32" i="11"/>
  <c r="Y32" i="11"/>
  <c r="Z32" i="11"/>
  <c r="AJ32" i="11" s="1"/>
  <c r="AJ31" i="11"/>
  <c r="AK31" i="11"/>
  <c r="AM31" i="11" s="1"/>
  <c r="AL31" i="11"/>
  <c r="AN31" i="11" s="1"/>
  <c r="AG31" i="11"/>
  <c r="AD31" i="11"/>
  <c r="O31" i="11"/>
  <c r="P31" i="11"/>
  <c r="Q31" i="11"/>
  <c r="R31" i="11"/>
  <c r="S31" i="11"/>
  <c r="T31" i="11"/>
  <c r="U31" i="11"/>
  <c r="V31" i="11"/>
  <c r="W31" i="11"/>
  <c r="X31" i="11"/>
  <c r="Y31" i="11"/>
  <c r="Z31" i="11"/>
  <c r="AA31" i="11"/>
  <c r="N26" i="11"/>
  <c r="N27" i="11"/>
  <c r="N28" i="11"/>
  <c r="N29" i="11"/>
  <c r="B22" i="11"/>
  <c r="B23" i="11"/>
  <c r="AG16" i="11"/>
  <c r="AG19" i="11"/>
  <c r="AH76" i="11" s="1"/>
  <c r="AG20" i="11"/>
  <c r="AL78" i="11" s="1"/>
  <c r="AD19" i="11"/>
  <c r="AD20" i="11"/>
  <c r="AK61" i="11" s="1"/>
  <c r="G19" i="11"/>
  <c r="G20" i="11"/>
  <c r="N19" i="11"/>
  <c r="O19" i="11"/>
  <c r="P19" i="11"/>
  <c r="Q19" i="11"/>
  <c r="R19" i="11"/>
  <c r="S19" i="11"/>
  <c r="T19" i="11"/>
  <c r="U19" i="11"/>
  <c r="V19" i="11"/>
  <c r="W19" i="11"/>
  <c r="X19" i="11"/>
  <c r="Y19" i="11"/>
  <c r="Z19" i="11"/>
  <c r="AA19" i="11"/>
  <c r="AB39" i="11" s="1"/>
  <c r="N20" i="11"/>
  <c r="O20" i="11"/>
  <c r="P20" i="11"/>
  <c r="Q20" i="11"/>
  <c r="R20" i="11"/>
  <c r="S20" i="11"/>
  <c r="T20" i="11"/>
  <c r="U20" i="11"/>
  <c r="AA20" i="11" s="1"/>
  <c r="V20" i="11"/>
  <c r="W20" i="11"/>
  <c r="X20" i="11"/>
  <c r="Y20" i="11"/>
  <c r="Z20" i="11"/>
  <c r="B17" i="11"/>
  <c r="B18" i="11"/>
  <c r="B19" i="11"/>
  <c r="O16" i="11"/>
  <c r="P16" i="11"/>
  <c r="Q16" i="11"/>
  <c r="R16" i="11"/>
  <c r="S16" i="11"/>
  <c r="T16" i="11"/>
  <c r="U16" i="11"/>
  <c r="V16" i="11"/>
  <c r="W16" i="11"/>
  <c r="X16" i="11"/>
  <c r="Y16" i="11"/>
  <c r="O17" i="11"/>
  <c r="P17" i="11"/>
  <c r="Q17" i="11"/>
  <c r="R17" i="11"/>
  <c r="S17" i="11"/>
  <c r="T17" i="11"/>
  <c r="U17" i="11"/>
  <c r="V17" i="11"/>
  <c r="W17" i="11"/>
  <c r="X17" i="11"/>
  <c r="Y17" i="11"/>
  <c r="Z17" i="11"/>
  <c r="AA17" i="11" s="1"/>
  <c r="AA11" i="11" s="1"/>
  <c r="A14" i="11"/>
  <c r="AG12" i="11"/>
  <c r="AG13" i="11"/>
  <c r="AD12" i="11"/>
  <c r="AD13" i="11"/>
  <c r="B12" i="11"/>
  <c r="B13" i="11"/>
  <c r="O11" i="11"/>
  <c r="P11" i="11"/>
  <c r="Q11" i="11"/>
  <c r="R11" i="11"/>
  <c r="S11" i="11"/>
  <c r="T11" i="11"/>
  <c r="U11" i="11"/>
  <c r="V11" i="11"/>
  <c r="W11" i="11"/>
  <c r="X11" i="11"/>
  <c r="Y11" i="11"/>
  <c r="Z11" i="11"/>
  <c r="O12" i="11"/>
  <c r="P12" i="11"/>
  <c r="Q12" i="11"/>
  <c r="R12" i="11"/>
  <c r="S12" i="11"/>
  <c r="T12" i="11"/>
  <c r="U12" i="11"/>
  <c r="V12" i="11"/>
  <c r="W12" i="11"/>
  <c r="X12" i="11"/>
  <c r="Y12" i="11"/>
  <c r="Z12" i="11"/>
  <c r="AA12" i="11"/>
  <c r="O13" i="11"/>
  <c r="P13" i="11"/>
  <c r="Q13" i="11"/>
  <c r="R13" i="11"/>
  <c r="S13" i="11"/>
  <c r="T13" i="11"/>
  <c r="U13" i="11"/>
  <c r="V13" i="11"/>
  <c r="W13" i="11"/>
  <c r="X13" i="11"/>
  <c r="Y13" i="11"/>
  <c r="Z13" i="11"/>
  <c r="AA13" i="11"/>
  <c r="C10" i="11"/>
  <c r="D10" i="11"/>
  <c r="Z16" i="11" s="1"/>
  <c r="C9" i="11"/>
  <c r="C1" i="11"/>
  <c r="C2" i="11"/>
  <c r="C3" i="11"/>
  <c r="C4" i="11"/>
  <c r="C5" i="11"/>
  <c r="C6" i="11"/>
  <c r="C7" i="11"/>
  <c r="C8" i="11"/>
  <c r="E6" i="11"/>
  <c r="E4" i="11"/>
  <c r="F4" i="11"/>
  <c r="B3" i="11"/>
  <c r="AG143" i="58"/>
  <c r="AG144" i="58"/>
  <c r="AG145" i="58"/>
  <c r="AG146" i="58"/>
  <c r="AD143" i="58"/>
  <c r="AD144" i="58"/>
  <c r="AD145" i="58"/>
  <c r="AD146" i="58"/>
  <c r="O143" i="58"/>
  <c r="P143" i="58"/>
  <c r="Q143" i="58"/>
  <c r="R143" i="58"/>
  <c r="S143" i="58"/>
  <c r="T143" i="58"/>
  <c r="U143" i="58"/>
  <c r="V143" i="58"/>
  <c r="W143" i="58"/>
  <c r="X143" i="58"/>
  <c r="Y143" i="58"/>
  <c r="Z143" i="58"/>
  <c r="O144" i="58"/>
  <c r="P144" i="58"/>
  <c r="Q144" i="58"/>
  <c r="R144" i="58"/>
  <c r="S144" i="58"/>
  <c r="T144" i="58"/>
  <c r="U144" i="58"/>
  <c r="V144" i="58"/>
  <c r="W144" i="58"/>
  <c r="X144" i="58"/>
  <c r="Y144" i="58"/>
  <c r="Z144" i="58"/>
  <c r="O145" i="58"/>
  <c r="P145" i="58"/>
  <c r="Q145" i="58"/>
  <c r="R145" i="58"/>
  <c r="S145" i="58"/>
  <c r="T145" i="58"/>
  <c r="U145" i="58"/>
  <c r="V145" i="58"/>
  <c r="W145" i="58"/>
  <c r="X145" i="58"/>
  <c r="Y145" i="58"/>
  <c r="Z145" i="58"/>
  <c r="O146" i="58"/>
  <c r="P146" i="58"/>
  <c r="Q146" i="58"/>
  <c r="R146" i="58"/>
  <c r="S146" i="58"/>
  <c r="T146" i="58"/>
  <c r="U146" i="58"/>
  <c r="V146" i="58"/>
  <c r="W146" i="58"/>
  <c r="X146" i="58"/>
  <c r="Y146" i="58"/>
  <c r="Z146" i="58"/>
  <c r="AI131" i="58"/>
  <c r="AI132" i="58"/>
  <c r="AI133" i="58"/>
  <c r="AI134" i="58"/>
  <c r="AI135" i="58"/>
  <c r="AI136" i="58"/>
  <c r="AI137" i="58"/>
  <c r="AI139" i="58"/>
  <c r="AG141" i="58"/>
  <c r="AD141" i="58"/>
  <c r="O141" i="58"/>
  <c r="P141" i="58"/>
  <c r="Q141" i="58"/>
  <c r="R141" i="58"/>
  <c r="S141" i="58"/>
  <c r="T141" i="58"/>
  <c r="U141" i="58"/>
  <c r="V141" i="58"/>
  <c r="W141" i="58"/>
  <c r="X141" i="58"/>
  <c r="Y141" i="58"/>
  <c r="Z141" i="58"/>
  <c r="AH140" i="58"/>
  <c r="AE140" i="58"/>
  <c r="AA140" i="58"/>
  <c r="AF140" i="58" s="1"/>
  <c r="AB140" i="58"/>
  <c r="AF131" i="58"/>
  <c r="AF133" i="58"/>
  <c r="AF135" i="58"/>
  <c r="AF137" i="58"/>
  <c r="AF139" i="58"/>
  <c r="AH138" i="58"/>
  <c r="AE138" i="58"/>
  <c r="AA138" i="58"/>
  <c r="AI138" i="58" s="1"/>
  <c r="AB138" i="58"/>
  <c r="AH136" i="58"/>
  <c r="AE136" i="58"/>
  <c r="AA136" i="58"/>
  <c r="AF136" i="58" s="1"/>
  <c r="AB136" i="58"/>
  <c r="AH134" i="58"/>
  <c r="AE134" i="58"/>
  <c r="AA134" i="58"/>
  <c r="AF134" i="58" s="1"/>
  <c r="AB134" i="58"/>
  <c r="AH132" i="58"/>
  <c r="AE132" i="58"/>
  <c r="AA132" i="58"/>
  <c r="AF132" i="58" s="1"/>
  <c r="AB132" i="58"/>
  <c r="AH130" i="58"/>
  <c r="AE130" i="58"/>
  <c r="AA130" i="58"/>
  <c r="AI130" i="58" s="1"/>
  <c r="AB130" i="58"/>
  <c r="L130" i="58"/>
  <c r="M130" i="58"/>
  <c r="N130" i="58"/>
  <c r="L131" i="58"/>
  <c r="M131" i="58"/>
  <c r="N131" i="58"/>
  <c r="L132" i="58"/>
  <c r="M132" i="58"/>
  <c r="N132" i="58"/>
  <c r="L133" i="58"/>
  <c r="M133" i="58"/>
  <c r="N133" i="58"/>
  <c r="L134" i="58"/>
  <c r="M134" i="58"/>
  <c r="N134" i="58"/>
  <c r="L135" i="58"/>
  <c r="M135" i="58"/>
  <c r="N135" i="58"/>
  <c r="L136" i="58"/>
  <c r="M136" i="58"/>
  <c r="N136" i="58"/>
  <c r="L137" i="58"/>
  <c r="M137" i="58"/>
  <c r="N137" i="58"/>
  <c r="L138" i="58"/>
  <c r="M138" i="58"/>
  <c r="N138" i="58"/>
  <c r="L139" i="58"/>
  <c r="M139" i="58"/>
  <c r="N139" i="58"/>
  <c r="L140" i="58"/>
  <c r="M140" i="58"/>
  <c r="N140" i="58"/>
  <c r="N129" i="58"/>
  <c r="AG121" i="58"/>
  <c r="AG122" i="58"/>
  <c r="AG123" i="58"/>
  <c r="AH123" i="58" s="1"/>
  <c r="AG124" i="58"/>
  <c r="AG125" i="58"/>
  <c r="AD121" i="58"/>
  <c r="AD122" i="58"/>
  <c r="AD123" i="58"/>
  <c r="AD124" i="58"/>
  <c r="AD125" i="58"/>
  <c r="AE125" i="58" s="1"/>
  <c r="AH125" i="58"/>
  <c r="AE121" i="58"/>
  <c r="AE122" i="58"/>
  <c r="L121" i="58"/>
  <c r="M121" i="58"/>
  <c r="N121" i="58"/>
  <c r="O121" i="58"/>
  <c r="P121" i="58"/>
  <c r="Q121" i="58"/>
  <c r="R121" i="58"/>
  <c r="S121" i="58"/>
  <c r="T121" i="58"/>
  <c r="U121" i="58"/>
  <c r="V121" i="58"/>
  <c r="W121" i="58"/>
  <c r="X121" i="58"/>
  <c r="Y121" i="58"/>
  <c r="Z121" i="58"/>
  <c r="L122" i="58"/>
  <c r="M122" i="58"/>
  <c r="N122" i="58"/>
  <c r="O122" i="58"/>
  <c r="P122" i="58"/>
  <c r="Q122" i="58"/>
  <c r="R122" i="58"/>
  <c r="S122" i="58"/>
  <c r="T122" i="58"/>
  <c r="U122" i="58"/>
  <c r="V122" i="58"/>
  <c r="W122" i="58"/>
  <c r="W126" i="58" s="1"/>
  <c r="W127" i="58" s="1"/>
  <c r="X122" i="58"/>
  <c r="Y122" i="58"/>
  <c r="Z122" i="58"/>
  <c r="L123" i="58"/>
  <c r="M123" i="58"/>
  <c r="N123" i="58"/>
  <c r="O123" i="58"/>
  <c r="P123" i="58"/>
  <c r="Q123" i="58"/>
  <c r="R123" i="58"/>
  <c r="S123" i="58"/>
  <c r="T123" i="58"/>
  <c r="U123" i="58"/>
  <c r="V123" i="58"/>
  <c r="W123" i="58"/>
  <c r="X123" i="58"/>
  <c r="Y123" i="58"/>
  <c r="Z123" i="58"/>
  <c r="L124" i="58"/>
  <c r="M124" i="58"/>
  <c r="N124" i="58"/>
  <c r="O124" i="58"/>
  <c r="P124" i="58"/>
  <c r="Q124" i="58"/>
  <c r="R124" i="58"/>
  <c r="S124" i="58"/>
  <c r="T124" i="58"/>
  <c r="U124" i="58"/>
  <c r="V124" i="58"/>
  <c r="W124" i="58"/>
  <c r="X124" i="58"/>
  <c r="Y124" i="58"/>
  <c r="Z124" i="58"/>
  <c r="L125" i="58"/>
  <c r="M125" i="58"/>
  <c r="N125" i="58"/>
  <c r="O125" i="58"/>
  <c r="P125" i="58"/>
  <c r="Q125" i="58"/>
  <c r="R125" i="58"/>
  <c r="S125" i="58"/>
  <c r="T125" i="58"/>
  <c r="U125" i="58"/>
  <c r="V125" i="58"/>
  <c r="W125" i="58"/>
  <c r="X125" i="58"/>
  <c r="Y125" i="58"/>
  <c r="Z125" i="58"/>
  <c r="L126" i="58"/>
  <c r="M126" i="58"/>
  <c r="N126" i="58"/>
  <c r="U126" i="58"/>
  <c r="U127" i="58" s="1"/>
  <c r="AH116" i="58"/>
  <c r="AH118" i="58"/>
  <c r="AE114" i="58"/>
  <c r="AE115" i="58"/>
  <c r="AE116" i="58"/>
  <c r="AE117" i="58"/>
  <c r="AE118" i="58"/>
  <c r="AA114" i="58"/>
  <c r="AA115" i="58"/>
  <c r="AA116" i="58"/>
  <c r="AI116" i="58" s="1"/>
  <c r="AA117" i="58"/>
  <c r="AI117" i="58" s="1"/>
  <c r="AA118" i="58"/>
  <c r="AA119" i="58"/>
  <c r="L114" i="58"/>
  <c r="M114" i="58"/>
  <c r="N114" i="58"/>
  <c r="L115" i="58"/>
  <c r="M115" i="58"/>
  <c r="N115" i="58"/>
  <c r="L116" i="58"/>
  <c r="M116" i="58"/>
  <c r="N116" i="58"/>
  <c r="L117" i="58"/>
  <c r="M117" i="58"/>
  <c r="N117" i="58"/>
  <c r="L118" i="58"/>
  <c r="M118" i="58"/>
  <c r="N118" i="58"/>
  <c r="L119" i="58"/>
  <c r="M119" i="58"/>
  <c r="N119" i="58"/>
  <c r="AH106" i="58"/>
  <c r="AH108" i="58"/>
  <c r="AH110" i="58"/>
  <c r="AE106" i="58"/>
  <c r="AE107" i="58"/>
  <c r="AE108" i="58"/>
  <c r="AE110" i="58"/>
  <c r="AA106" i="58"/>
  <c r="AI106" i="58" s="1"/>
  <c r="AA107" i="58"/>
  <c r="AA108" i="58"/>
  <c r="AA109" i="58"/>
  <c r="AI109" i="58" s="1"/>
  <c r="AA110" i="58"/>
  <c r="AI110" i="58" s="1"/>
  <c r="AA111" i="58"/>
  <c r="L106" i="58"/>
  <c r="M106" i="58"/>
  <c r="N106" i="58"/>
  <c r="L107" i="58"/>
  <c r="M107" i="58"/>
  <c r="N107" i="58"/>
  <c r="L108" i="58"/>
  <c r="M108" i="58"/>
  <c r="N108" i="58"/>
  <c r="L109" i="58"/>
  <c r="M109" i="58"/>
  <c r="N109" i="58"/>
  <c r="L110" i="58"/>
  <c r="M110" i="58"/>
  <c r="N110" i="58"/>
  <c r="L111" i="58"/>
  <c r="M111" i="58"/>
  <c r="N111" i="58"/>
  <c r="AH98" i="58"/>
  <c r="AI98" i="58"/>
  <c r="AH100" i="58"/>
  <c r="AH102" i="58"/>
  <c r="AI102" i="58"/>
  <c r="AE98" i="58"/>
  <c r="AE99" i="58"/>
  <c r="AE100" i="58"/>
  <c r="AE102" i="58"/>
  <c r="AA98" i="58"/>
  <c r="AF98" i="58" s="1"/>
  <c r="AB98" i="58"/>
  <c r="AA99" i="58"/>
  <c r="AI99" i="58" s="1"/>
  <c r="AA100" i="58"/>
  <c r="AA101" i="58"/>
  <c r="AA102" i="58"/>
  <c r="AF102" i="58" s="1"/>
  <c r="AB102" i="58"/>
  <c r="AA103" i="58"/>
  <c r="AI103" i="58" s="1"/>
  <c r="L98" i="58"/>
  <c r="M98" i="58"/>
  <c r="N98" i="58"/>
  <c r="L99" i="58"/>
  <c r="M99" i="58"/>
  <c r="N99" i="58"/>
  <c r="L100" i="58"/>
  <c r="M100" i="58"/>
  <c r="N100" i="58"/>
  <c r="L101" i="58"/>
  <c r="M101" i="58"/>
  <c r="N101" i="58"/>
  <c r="L102" i="58"/>
  <c r="M102" i="58"/>
  <c r="N102" i="58"/>
  <c r="L103" i="58"/>
  <c r="M103" i="58"/>
  <c r="N103" i="58"/>
  <c r="AD93" i="58"/>
  <c r="AD94" i="58"/>
  <c r="AG93" i="58"/>
  <c r="AG94" i="58"/>
  <c r="O93" i="58"/>
  <c r="P93" i="58"/>
  <c r="Q93" i="58"/>
  <c r="R93" i="58"/>
  <c r="S93" i="58"/>
  <c r="T93" i="58"/>
  <c r="U93" i="58"/>
  <c r="V93" i="58"/>
  <c r="W93" i="58"/>
  <c r="X93" i="58"/>
  <c r="Y93" i="58"/>
  <c r="Z93" i="58"/>
  <c r="O94" i="58"/>
  <c r="P94" i="58"/>
  <c r="Q94" i="58"/>
  <c r="R94" i="58"/>
  <c r="S94" i="58"/>
  <c r="T94" i="58"/>
  <c r="U94" i="58"/>
  <c r="V94" i="58"/>
  <c r="W94" i="58"/>
  <c r="X94" i="58"/>
  <c r="Y94" i="58"/>
  <c r="Z94" i="58"/>
  <c r="AA91" i="58"/>
  <c r="AF91" i="58" s="1"/>
  <c r="AA92" i="58"/>
  <c r="AF92" i="58" s="1"/>
  <c r="N91" i="58"/>
  <c r="N92" i="58"/>
  <c r="I91" i="58"/>
  <c r="J91" i="58"/>
  <c r="I92" i="58"/>
  <c r="J92" i="58"/>
  <c r="AF86" i="58"/>
  <c r="AA35" i="58"/>
  <c r="AB35" i="58" s="1"/>
  <c r="AA36" i="58"/>
  <c r="AA37" i="58"/>
  <c r="AA38" i="58"/>
  <c r="AA39" i="58"/>
  <c r="AI39" i="58" s="1"/>
  <c r="AA40" i="58"/>
  <c r="AI40" i="58" s="1"/>
  <c r="AA41" i="58"/>
  <c r="AF41" i="58" s="1"/>
  <c r="AA45" i="58"/>
  <c r="AB45" i="58" s="1"/>
  <c r="AA46" i="58"/>
  <c r="AI46" i="58" s="1"/>
  <c r="AA47" i="58"/>
  <c r="AA48" i="58"/>
  <c r="AI48" i="58" s="1"/>
  <c r="AA49" i="58"/>
  <c r="AF49" i="58" s="1"/>
  <c r="AA50" i="58"/>
  <c r="AA51" i="58"/>
  <c r="AA55" i="58"/>
  <c r="AA56" i="58"/>
  <c r="AB56" i="58" s="1"/>
  <c r="AA57" i="58"/>
  <c r="AB57" i="58" s="1"/>
  <c r="AA58" i="58"/>
  <c r="AA59" i="58"/>
  <c r="AA60" i="58"/>
  <c r="AF60" i="58" s="1"/>
  <c r="AA61" i="58"/>
  <c r="AA65" i="58"/>
  <c r="AF65" i="58" s="1"/>
  <c r="AA66" i="58"/>
  <c r="AA67" i="58"/>
  <c r="AA68" i="58"/>
  <c r="AA69" i="58"/>
  <c r="AA70" i="58"/>
  <c r="AA71" i="58"/>
  <c r="AF71" i="58" s="1"/>
  <c r="AA75" i="58"/>
  <c r="AA76" i="58"/>
  <c r="AI76" i="58" s="1"/>
  <c r="AA77" i="58"/>
  <c r="AA78" i="58"/>
  <c r="AB78" i="58" s="1"/>
  <c r="AA79" i="58"/>
  <c r="AA81" i="58" s="1"/>
  <c r="AA80" i="58"/>
  <c r="AB80" i="58" s="1"/>
  <c r="AA83" i="58"/>
  <c r="AA85" i="58"/>
  <c r="AA86" i="58"/>
  <c r="AI86" i="58" s="1"/>
  <c r="AA87" i="58"/>
  <c r="AF87" i="58" s="1"/>
  <c r="N85" i="58"/>
  <c r="N143" i="58" s="1"/>
  <c r="N86" i="58"/>
  <c r="N87" i="58"/>
  <c r="N144" i="58" s="1"/>
  <c r="N88" i="58"/>
  <c r="N145" i="58" s="1"/>
  <c r="AE87" i="58"/>
  <c r="AE83" i="58"/>
  <c r="L85" i="58"/>
  <c r="M85" i="58"/>
  <c r="L86" i="58"/>
  <c r="M86" i="58"/>
  <c r="L87" i="58"/>
  <c r="M87" i="58"/>
  <c r="I85" i="58"/>
  <c r="J85" i="58"/>
  <c r="I86" i="58"/>
  <c r="J86" i="58"/>
  <c r="I87" i="58"/>
  <c r="J87" i="58"/>
  <c r="I88" i="58"/>
  <c r="J88" i="58"/>
  <c r="P84" i="58"/>
  <c r="R84" i="58"/>
  <c r="U84" i="58"/>
  <c r="X84" i="58"/>
  <c r="Z84" i="58"/>
  <c r="L83" i="58"/>
  <c r="M83" i="58"/>
  <c r="N83" i="58"/>
  <c r="I83" i="58"/>
  <c r="J83" i="58"/>
  <c r="AG82" i="58"/>
  <c r="AH84" i="58" s="1"/>
  <c r="AD82" i="58"/>
  <c r="AE84" i="58" s="1"/>
  <c r="O82" i="58"/>
  <c r="O84" i="58" s="1"/>
  <c r="P82" i="58"/>
  <c r="Q82" i="58"/>
  <c r="Q84" i="58" s="1"/>
  <c r="R82" i="58"/>
  <c r="S82" i="58"/>
  <c r="S84" i="58" s="1"/>
  <c r="T82" i="58"/>
  <c r="T84" i="58" s="1"/>
  <c r="U82" i="58"/>
  <c r="V82" i="58"/>
  <c r="V84" i="58" s="1"/>
  <c r="W82" i="58"/>
  <c r="W84" i="58" s="1"/>
  <c r="X82" i="58"/>
  <c r="Y82" i="58"/>
  <c r="Y84" i="58" s="1"/>
  <c r="Z82" i="58"/>
  <c r="AI78" i="58"/>
  <c r="AI79" i="58"/>
  <c r="AI80" i="58"/>
  <c r="AF79" i="58"/>
  <c r="AH75" i="58"/>
  <c r="AH76" i="58"/>
  <c r="AH77" i="58"/>
  <c r="AH78" i="58"/>
  <c r="AH79" i="58"/>
  <c r="AH80" i="58"/>
  <c r="AE75" i="58"/>
  <c r="AE76" i="58"/>
  <c r="AE77" i="58"/>
  <c r="AE78" i="58"/>
  <c r="AE79" i="58"/>
  <c r="AE80" i="58"/>
  <c r="L75" i="58"/>
  <c r="M75" i="58"/>
  <c r="N75" i="58"/>
  <c r="L76" i="58"/>
  <c r="M76" i="58"/>
  <c r="N76" i="58"/>
  <c r="L77" i="58"/>
  <c r="M77" i="58"/>
  <c r="N77" i="58"/>
  <c r="L78" i="58"/>
  <c r="M78" i="58"/>
  <c r="N78" i="58"/>
  <c r="L79" i="58"/>
  <c r="M79" i="58"/>
  <c r="N79" i="58"/>
  <c r="L80" i="58"/>
  <c r="M80" i="58"/>
  <c r="N80" i="58"/>
  <c r="L81" i="58"/>
  <c r="M81" i="58"/>
  <c r="N81" i="58"/>
  <c r="I75" i="58"/>
  <c r="J75" i="58"/>
  <c r="I76" i="58"/>
  <c r="J76" i="58"/>
  <c r="I77" i="58"/>
  <c r="J77" i="58"/>
  <c r="I78" i="58"/>
  <c r="J78" i="58"/>
  <c r="I79" i="58"/>
  <c r="J79" i="58"/>
  <c r="I80" i="58"/>
  <c r="J80" i="58"/>
  <c r="I81" i="58"/>
  <c r="J81" i="58"/>
  <c r="AG73" i="58"/>
  <c r="AH74" i="58" s="1"/>
  <c r="AD73" i="58"/>
  <c r="AE74" i="58" s="1"/>
  <c r="O73" i="58"/>
  <c r="O74" i="58" s="1"/>
  <c r="P73" i="58"/>
  <c r="P74" i="58" s="1"/>
  <c r="Q73" i="58"/>
  <c r="R73" i="58"/>
  <c r="R74" i="58" s="1"/>
  <c r="S73" i="58"/>
  <c r="S74" i="58" s="1"/>
  <c r="T73" i="58"/>
  <c r="T74" i="58" s="1"/>
  <c r="U73" i="58"/>
  <c r="U74" i="58" s="1"/>
  <c r="V73" i="58"/>
  <c r="V74" i="58" s="1"/>
  <c r="W73" i="58"/>
  <c r="X73" i="58"/>
  <c r="X74" i="58" s="1"/>
  <c r="Y73" i="58"/>
  <c r="Y74" i="58" s="1"/>
  <c r="Z73" i="58"/>
  <c r="Z74" i="58" s="1"/>
  <c r="Q74" i="58"/>
  <c r="W74" i="58"/>
  <c r="AI65" i="58"/>
  <c r="AI66" i="58"/>
  <c r="AI68" i="58"/>
  <c r="AI70" i="58"/>
  <c r="AF66" i="58"/>
  <c r="AF68" i="58"/>
  <c r="AF70" i="58"/>
  <c r="AH71" i="58"/>
  <c r="AE71" i="58"/>
  <c r="AH69" i="58"/>
  <c r="L65" i="58"/>
  <c r="M65" i="58"/>
  <c r="N65" i="58"/>
  <c r="L66" i="58"/>
  <c r="M66" i="58"/>
  <c r="N66" i="58"/>
  <c r="L67" i="58"/>
  <c r="M67" i="58"/>
  <c r="N67" i="58"/>
  <c r="L68" i="58"/>
  <c r="M68" i="58"/>
  <c r="N68" i="58"/>
  <c r="L69" i="58"/>
  <c r="M69" i="58"/>
  <c r="N69" i="58"/>
  <c r="L70" i="58"/>
  <c r="M70" i="58"/>
  <c r="N70" i="58"/>
  <c r="L71" i="58"/>
  <c r="M71" i="58"/>
  <c r="N71" i="58"/>
  <c r="L72" i="58"/>
  <c r="M72" i="58"/>
  <c r="N72" i="58"/>
  <c r="I65" i="58"/>
  <c r="J65" i="58"/>
  <c r="I66" i="58"/>
  <c r="J66" i="58"/>
  <c r="I67" i="58"/>
  <c r="J67" i="58"/>
  <c r="I68" i="58"/>
  <c r="J68" i="58"/>
  <c r="I69" i="58"/>
  <c r="J69" i="58"/>
  <c r="I70" i="58"/>
  <c r="J70" i="58"/>
  <c r="I71" i="58"/>
  <c r="J71" i="58"/>
  <c r="I72" i="58"/>
  <c r="J72" i="58"/>
  <c r="AG63" i="58"/>
  <c r="AH64" i="58" s="1"/>
  <c r="AD63" i="58"/>
  <c r="AE64" i="58" s="1"/>
  <c r="O63" i="58"/>
  <c r="O64" i="58" s="1"/>
  <c r="P63" i="58"/>
  <c r="Q63" i="58"/>
  <c r="Q64" i="58" s="1"/>
  <c r="R63" i="58"/>
  <c r="S63" i="58"/>
  <c r="S64" i="58" s="1"/>
  <c r="T63" i="58"/>
  <c r="T64" i="58" s="1"/>
  <c r="U63" i="58"/>
  <c r="U64" i="58" s="1"/>
  <c r="V63" i="58"/>
  <c r="V64" i="58" s="1"/>
  <c r="W63" i="58"/>
  <c r="W64" i="58" s="1"/>
  <c r="X63" i="58"/>
  <c r="X64" i="58" s="1"/>
  <c r="Y63" i="58"/>
  <c r="Y64" i="58" s="1"/>
  <c r="Z63" i="58"/>
  <c r="P64" i="58"/>
  <c r="R64" i="58"/>
  <c r="Z64" i="58"/>
  <c r="AI55" i="58"/>
  <c r="AI57" i="58"/>
  <c r="AI58" i="58"/>
  <c r="AI59" i="58"/>
  <c r="AF55" i="58"/>
  <c r="AF57" i="58"/>
  <c r="AF58" i="58"/>
  <c r="AH61" i="58"/>
  <c r="AE61" i="58"/>
  <c r="AH55" i="58"/>
  <c r="AH56" i="58"/>
  <c r="AH57" i="58"/>
  <c r="AH58" i="58"/>
  <c r="AH59" i="58"/>
  <c r="AE54" i="58"/>
  <c r="AE55" i="58"/>
  <c r="AE56" i="58"/>
  <c r="AE57" i="58"/>
  <c r="AE58" i="58"/>
  <c r="AE59" i="58"/>
  <c r="AB55" i="58"/>
  <c r="AB58" i="58"/>
  <c r="L55" i="58"/>
  <c r="M55" i="58"/>
  <c r="N55" i="58"/>
  <c r="L56" i="58"/>
  <c r="M56" i="58"/>
  <c r="N56" i="58"/>
  <c r="L57" i="58"/>
  <c r="M57" i="58"/>
  <c r="N57" i="58"/>
  <c r="L58" i="58"/>
  <c r="M58" i="58"/>
  <c r="N58" i="58"/>
  <c r="L59" i="58"/>
  <c r="M59" i="58"/>
  <c r="N59" i="58"/>
  <c r="L60" i="58"/>
  <c r="M60" i="58"/>
  <c r="N60" i="58"/>
  <c r="L61" i="58"/>
  <c r="M61" i="58"/>
  <c r="N61" i="58"/>
  <c r="L62" i="58"/>
  <c r="M62" i="58"/>
  <c r="N62" i="58"/>
  <c r="I55" i="58"/>
  <c r="J55" i="58"/>
  <c r="I56" i="58"/>
  <c r="J56" i="58"/>
  <c r="I57" i="58"/>
  <c r="J57" i="58"/>
  <c r="I58" i="58"/>
  <c r="J58" i="58"/>
  <c r="I59" i="58"/>
  <c r="J59" i="58"/>
  <c r="I60" i="58"/>
  <c r="J60" i="58"/>
  <c r="I61" i="58"/>
  <c r="J61" i="58"/>
  <c r="I62" i="58"/>
  <c r="J62" i="58"/>
  <c r="AG53" i="58"/>
  <c r="AH54" i="58" s="1"/>
  <c r="AD53" i="58"/>
  <c r="O53" i="58"/>
  <c r="O54" i="58" s="1"/>
  <c r="P53" i="58"/>
  <c r="P54" i="58" s="1"/>
  <c r="Q53" i="58"/>
  <c r="Q54" i="58" s="1"/>
  <c r="R53" i="58"/>
  <c r="R54" i="58" s="1"/>
  <c r="S53" i="58"/>
  <c r="T53" i="58"/>
  <c r="T54" i="58" s="1"/>
  <c r="U53" i="58"/>
  <c r="U54" i="58" s="1"/>
  <c r="V53" i="58"/>
  <c r="W53" i="58"/>
  <c r="W54" i="58" s="1"/>
  <c r="X53" i="58"/>
  <c r="X54" i="58" s="1"/>
  <c r="Y53" i="58"/>
  <c r="Z53" i="58"/>
  <c r="Z54" i="58" s="1"/>
  <c r="S54" i="58"/>
  <c r="V54" i="58"/>
  <c r="Y54" i="58"/>
  <c r="AI47" i="58"/>
  <c r="AI50" i="58"/>
  <c r="AF47" i="58"/>
  <c r="AF50" i="58"/>
  <c r="AH51" i="58"/>
  <c r="AE51" i="58"/>
  <c r="AH49" i="58"/>
  <c r="AE45" i="58"/>
  <c r="AE46" i="58"/>
  <c r="AE47" i="58"/>
  <c r="AE48" i="58"/>
  <c r="AE49" i="58"/>
  <c r="AB46" i="58"/>
  <c r="AB47" i="58"/>
  <c r="AB48" i="58"/>
  <c r="L45" i="58"/>
  <c r="M45" i="58"/>
  <c r="N45" i="58"/>
  <c r="L46" i="58"/>
  <c r="M46" i="58"/>
  <c r="N46" i="58"/>
  <c r="L47" i="58"/>
  <c r="M47" i="58"/>
  <c r="N47" i="58"/>
  <c r="L48" i="58"/>
  <c r="M48" i="58"/>
  <c r="N48" i="58"/>
  <c r="L49" i="58"/>
  <c r="M49" i="58"/>
  <c r="N49" i="58"/>
  <c r="L50" i="58"/>
  <c r="M50" i="58"/>
  <c r="N50" i="58"/>
  <c r="L51" i="58"/>
  <c r="M51" i="58"/>
  <c r="N51" i="58"/>
  <c r="L52" i="58"/>
  <c r="M52" i="58"/>
  <c r="N52" i="58"/>
  <c r="I45" i="58"/>
  <c r="J45" i="58"/>
  <c r="I46" i="58"/>
  <c r="J46" i="58"/>
  <c r="I47" i="58"/>
  <c r="J47" i="58"/>
  <c r="I48" i="58"/>
  <c r="J48" i="58"/>
  <c r="I49" i="58"/>
  <c r="J49" i="58"/>
  <c r="I50" i="58"/>
  <c r="J50" i="58"/>
  <c r="I51" i="58"/>
  <c r="J51" i="58"/>
  <c r="I52" i="58"/>
  <c r="J52" i="58"/>
  <c r="AG43" i="58"/>
  <c r="AH44" i="58" s="1"/>
  <c r="AD43" i="58"/>
  <c r="AE44" i="58" s="1"/>
  <c r="O43" i="58"/>
  <c r="O44" i="58" s="1"/>
  <c r="P43" i="58"/>
  <c r="P44" i="58" s="1"/>
  <c r="Q43" i="58"/>
  <c r="Q44" i="58" s="1"/>
  <c r="R43" i="58"/>
  <c r="R44" i="58" s="1"/>
  <c r="S43" i="58"/>
  <c r="S44" i="58" s="1"/>
  <c r="T43" i="58"/>
  <c r="T44" i="58" s="1"/>
  <c r="U43" i="58"/>
  <c r="V43" i="58"/>
  <c r="V44" i="58" s="1"/>
  <c r="W43" i="58"/>
  <c r="X43" i="58"/>
  <c r="X44" i="58" s="1"/>
  <c r="Y43" i="58"/>
  <c r="Y44" i="58" s="1"/>
  <c r="Z43" i="58"/>
  <c r="Z44" i="58" s="1"/>
  <c r="U44" i="58"/>
  <c r="W44" i="58"/>
  <c r="AI36" i="58"/>
  <c r="AI38" i="58"/>
  <c r="AI41" i="58"/>
  <c r="AF36" i="58"/>
  <c r="AF38" i="58"/>
  <c r="AH41" i="58"/>
  <c r="AE41" i="58"/>
  <c r="AB41" i="58"/>
  <c r="AH35" i="58"/>
  <c r="AH36" i="58"/>
  <c r="AH37" i="58"/>
  <c r="AE35" i="58"/>
  <c r="AE36" i="58"/>
  <c r="AE37" i="58"/>
  <c r="AE38" i="58"/>
  <c r="AE39" i="58"/>
  <c r="AB36" i="58"/>
  <c r="AB38" i="58"/>
  <c r="L35" i="58"/>
  <c r="M35" i="58"/>
  <c r="N35" i="58"/>
  <c r="L36" i="58"/>
  <c r="M36" i="58"/>
  <c r="N36" i="58"/>
  <c r="L37" i="58"/>
  <c r="M37" i="58"/>
  <c r="N37" i="58"/>
  <c r="L38" i="58"/>
  <c r="M38" i="58"/>
  <c r="N38" i="58"/>
  <c r="L39" i="58"/>
  <c r="M39" i="58"/>
  <c r="N39" i="58"/>
  <c r="L40" i="58"/>
  <c r="M40" i="58"/>
  <c r="N40" i="58"/>
  <c r="L41" i="58"/>
  <c r="M41" i="58"/>
  <c r="N41" i="58"/>
  <c r="L42" i="58"/>
  <c r="M42" i="58"/>
  <c r="N42" i="58"/>
  <c r="I35" i="58"/>
  <c r="J35" i="58"/>
  <c r="I36" i="58"/>
  <c r="J36" i="58"/>
  <c r="I37" i="58"/>
  <c r="J37" i="58"/>
  <c r="I38" i="58"/>
  <c r="J38" i="58"/>
  <c r="I39" i="58"/>
  <c r="J39" i="58"/>
  <c r="I40" i="58"/>
  <c r="J40" i="58"/>
  <c r="I41" i="58"/>
  <c r="J41" i="58"/>
  <c r="I42" i="58"/>
  <c r="J42" i="58"/>
  <c r="AG32" i="58"/>
  <c r="AD32" i="58"/>
  <c r="O32" i="58"/>
  <c r="P32" i="58"/>
  <c r="Q32" i="58"/>
  <c r="R32" i="58"/>
  <c r="S32" i="58"/>
  <c r="T32" i="58"/>
  <c r="U32" i="58"/>
  <c r="V32" i="58"/>
  <c r="W32" i="58"/>
  <c r="X32" i="58"/>
  <c r="Y32" i="58"/>
  <c r="Z32" i="58"/>
  <c r="AG31" i="58"/>
  <c r="AD31" i="58"/>
  <c r="O31" i="58"/>
  <c r="P31" i="58"/>
  <c r="Q31" i="58"/>
  <c r="R31" i="58"/>
  <c r="S31" i="58"/>
  <c r="T31" i="58"/>
  <c r="U31" i="58"/>
  <c r="V31" i="58"/>
  <c r="W31" i="58"/>
  <c r="X31" i="58"/>
  <c r="Y31" i="58"/>
  <c r="Z31" i="58"/>
  <c r="AA31" i="58"/>
  <c r="N26" i="58"/>
  <c r="N27" i="58"/>
  <c r="N28" i="58"/>
  <c r="N29" i="58"/>
  <c r="B23" i="58"/>
  <c r="AG16" i="58"/>
  <c r="AG19" i="58"/>
  <c r="AH109" i="58" s="1"/>
  <c r="AG20" i="58"/>
  <c r="AH87" i="58" s="1"/>
  <c r="AD19" i="58"/>
  <c r="AE111" i="58" s="1"/>
  <c r="AD20" i="58"/>
  <c r="G19" i="58"/>
  <c r="G20" i="58"/>
  <c r="N19" i="58"/>
  <c r="O19" i="58"/>
  <c r="P19" i="58"/>
  <c r="Q19" i="58"/>
  <c r="R19" i="58"/>
  <c r="S19" i="58"/>
  <c r="T19" i="58"/>
  <c r="U19" i="58"/>
  <c r="V19" i="58"/>
  <c r="W19" i="58"/>
  <c r="X19" i="58"/>
  <c r="Y19" i="58"/>
  <c r="Z19" i="58"/>
  <c r="N20" i="58"/>
  <c r="O20" i="58"/>
  <c r="P20" i="58"/>
  <c r="Q20" i="58"/>
  <c r="R20" i="58"/>
  <c r="S20" i="58"/>
  <c r="T20" i="58"/>
  <c r="U20" i="58"/>
  <c r="V20" i="58"/>
  <c r="W20" i="58"/>
  <c r="X20" i="58"/>
  <c r="Y20" i="58"/>
  <c r="Z20" i="58"/>
  <c r="B17" i="58"/>
  <c r="B18" i="58"/>
  <c r="B19" i="58"/>
  <c r="O16" i="58"/>
  <c r="P16" i="58"/>
  <c r="Q16" i="58"/>
  <c r="R16" i="58"/>
  <c r="S16" i="58"/>
  <c r="T16" i="58"/>
  <c r="U16" i="58"/>
  <c r="V16" i="58"/>
  <c r="W16" i="58"/>
  <c r="X16" i="58"/>
  <c r="Y16" i="58"/>
  <c r="O17" i="58"/>
  <c r="P17" i="58"/>
  <c r="Q17" i="58"/>
  <c r="R17" i="58"/>
  <c r="S17" i="58"/>
  <c r="T17" i="58"/>
  <c r="U17" i="58"/>
  <c r="V17" i="58"/>
  <c r="W17" i="58"/>
  <c r="X17" i="58"/>
  <c r="Y17" i="58"/>
  <c r="Z17" i="58"/>
  <c r="AA17" i="58" s="1"/>
  <c r="AA11" i="58" s="1"/>
  <c r="AA18" i="58" s="1"/>
  <c r="A14" i="58"/>
  <c r="AG12" i="58"/>
  <c r="AG13" i="58"/>
  <c r="AD12" i="58"/>
  <c r="AD13" i="58"/>
  <c r="B12" i="58"/>
  <c r="B13" i="58"/>
  <c r="O11" i="58"/>
  <c r="P11" i="58"/>
  <c r="Q11" i="58"/>
  <c r="R11" i="58"/>
  <c r="S11" i="58"/>
  <c r="T11" i="58"/>
  <c r="U11" i="58"/>
  <c r="V11" i="58"/>
  <c r="W11" i="58"/>
  <c r="X11" i="58"/>
  <c r="Y11" i="58"/>
  <c r="Z11" i="58"/>
  <c r="O12" i="58"/>
  <c r="P12" i="58"/>
  <c r="Q12" i="58"/>
  <c r="R12" i="58"/>
  <c r="S12" i="58"/>
  <c r="T12" i="58"/>
  <c r="U12" i="58"/>
  <c r="V12" i="58"/>
  <c r="W12" i="58"/>
  <c r="X12" i="58"/>
  <c r="Y12" i="58"/>
  <c r="Z12" i="58"/>
  <c r="AA12" i="58"/>
  <c r="O13" i="58"/>
  <c r="P13" i="58"/>
  <c r="Q13" i="58"/>
  <c r="R13" i="58"/>
  <c r="S13" i="58"/>
  <c r="T13" i="58"/>
  <c r="U13" i="58"/>
  <c r="V13" i="58"/>
  <c r="W13" i="58"/>
  <c r="X13" i="58"/>
  <c r="Y13" i="58"/>
  <c r="Z13" i="58"/>
  <c r="AA13" i="58"/>
  <c r="C10" i="58"/>
  <c r="D10" i="58"/>
  <c r="C9" i="58"/>
  <c r="C1" i="58"/>
  <c r="C2" i="58"/>
  <c r="C3" i="58"/>
  <c r="C4" i="58"/>
  <c r="C5" i="58"/>
  <c r="C6" i="58"/>
  <c r="C7" i="58"/>
  <c r="C8" i="58"/>
  <c r="E6" i="58"/>
  <c r="E4" i="58"/>
  <c r="F4" i="58"/>
  <c r="B3" i="58"/>
  <c r="B120" i="54"/>
  <c r="B114" i="54"/>
  <c r="B115" i="54"/>
  <c r="B116" i="54"/>
  <c r="AG110" i="54"/>
  <c r="AD110" i="54"/>
  <c r="A111" i="54"/>
  <c r="O110" i="54"/>
  <c r="P110" i="54"/>
  <c r="Q110" i="54"/>
  <c r="R110" i="54"/>
  <c r="S110" i="54"/>
  <c r="T110" i="54"/>
  <c r="U110" i="54"/>
  <c r="V110" i="54"/>
  <c r="W110" i="54"/>
  <c r="X110" i="54"/>
  <c r="Y110" i="54"/>
  <c r="Z110" i="54"/>
  <c r="N107" i="54"/>
  <c r="N110" i="54" s="1"/>
  <c r="N108" i="54"/>
  <c r="N111" i="54" s="1"/>
  <c r="I107" i="54"/>
  <c r="AA107" i="54" s="1"/>
  <c r="J107" i="54"/>
  <c r="I108" i="54"/>
  <c r="AA108" i="54" s="1"/>
  <c r="AI108" i="54" s="1"/>
  <c r="J108" i="54"/>
  <c r="N91" i="54"/>
  <c r="N92" i="54"/>
  <c r="N93" i="54"/>
  <c r="N94" i="54"/>
  <c r="N95" i="54"/>
  <c r="N96" i="54"/>
  <c r="N97" i="54"/>
  <c r="N98" i="54"/>
  <c r="N99" i="54"/>
  <c r="N100" i="54"/>
  <c r="N101" i="54"/>
  <c r="N102" i="54"/>
  <c r="N103" i="54"/>
  <c r="N104" i="54"/>
  <c r="N105" i="54"/>
  <c r="I105" i="54"/>
  <c r="AA105" i="54" s="1"/>
  <c r="J105" i="54"/>
  <c r="AH99" i="54"/>
  <c r="AE99" i="54"/>
  <c r="AE100" i="54"/>
  <c r="AE102" i="54"/>
  <c r="AE103" i="54"/>
  <c r="AA97" i="54"/>
  <c r="AA102" i="54"/>
  <c r="I92" i="54"/>
  <c r="J92" i="54"/>
  <c r="L92" i="54"/>
  <c r="M92" i="54"/>
  <c r="I93" i="54"/>
  <c r="AA93" i="54" s="1"/>
  <c r="J93" i="54"/>
  <c r="L93" i="54"/>
  <c r="M93" i="54"/>
  <c r="I94" i="54"/>
  <c r="K94" i="54" s="1"/>
  <c r="J94" i="54"/>
  <c r="L94" i="54"/>
  <c r="M94" i="54"/>
  <c r="I95" i="54"/>
  <c r="J95" i="54"/>
  <c r="L95" i="54"/>
  <c r="M95" i="54"/>
  <c r="I96" i="54"/>
  <c r="AA96" i="54" s="1"/>
  <c r="J96" i="54"/>
  <c r="L96" i="54"/>
  <c r="M96" i="54"/>
  <c r="I97" i="54"/>
  <c r="J97" i="54"/>
  <c r="L97" i="54"/>
  <c r="M97" i="54"/>
  <c r="I98" i="54"/>
  <c r="J98" i="54"/>
  <c r="L98" i="54"/>
  <c r="M98" i="54"/>
  <c r="I99" i="54"/>
  <c r="AA99" i="54" s="1"/>
  <c r="J99" i="54"/>
  <c r="L99" i="54"/>
  <c r="M99" i="54"/>
  <c r="I100" i="54"/>
  <c r="J100" i="54"/>
  <c r="L100" i="54"/>
  <c r="M100" i="54"/>
  <c r="I101" i="54"/>
  <c r="AA101" i="54" s="1"/>
  <c r="AI101" i="54" s="1"/>
  <c r="J101" i="54"/>
  <c r="K101" i="54" s="1"/>
  <c r="L101" i="54"/>
  <c r="M101" i="54"/>
  <c r="I102" i="54"/>
  <c r="K102" i="54" s="1"/>
  <c r="J102" i="54"/>
  <c r="L102" i="54"/>
  <c r="M102" i="54"/>
  <c r="I103" i="54"/>
  <c r="J103" i="54"/>
  <c r="L103" i="54"/>
  <c r="M103" i="54"/>
  <c r="I104" i="54"/>
  <c r="AA104" i="54" s="1"/>
  <c r="J104" i="54"/>
  <c r="L104" i="54"/>
  <c r="M104" i="54"/>
  <c r="I91" i="54"/>
  <c r="J91" i="54"/>
  <c r="B88" i="54"/>
  <c r="B89" i="54"/>
  <c r="B83" i="54"/>
  <c r="B84" i="54"/>
  <c r="B85" i="54"/>
  <c r="A80" i="54"/>
  <c r="AH76" i="54"/>
  <c r="AH77" i="54"/>
  <c r="AH78" i="54"/>
  <c r="AL82" i="54"/>
  <c r="AH86" i="54"/>
  <c r="AE76" i="54"/>
  <c r="AE77" i="54"/>
  <c r="AE78" i="54"/>
  <c r="AE79" i="54"/>
  <c r="AE83" i="54"/>
  <c r="AA76" i="54"/>
  <c r="AI76" i="54" s="1"/>
  <c r="AA80" i="54"/>
  <c r="I76" i="54"/>
  <c r="K76" i="54" s="1"/>
  <c r="J76" i="54"/>
  <c r="L76" i="54"/>
  <c r="M76" i="54"/>
  <c r="N76" i="54"/>
  <c r="I77" i="54"/>
  <c r="AA77" i="54" s="1"/>
  <c r="J77" i="54"/>
  <c r="L77" i="54"/>
  <c r="M77" i="54"/>
  <c r="N77" i="54"/>
  <c r="I78" i="54"/>
  <c r="K78" i="54" s="1"/>
  <c r="J78" i="54"/>
  <c r="L78" i="54"/>
  <c r="M78" i="54"/>
  <c r="N78" i="54"/>
  <c r="I79" i="54"/>
  <c r="AA79" i="54" s="1"/>
  <c r="AB79" i="54" s="1"/>
  <c r="J79" i="54"/>
  <c r="L79" i="54"/>
  <c r="M79" i="54"/>
  <c r="N79" i="54"/>
  <c r="I80" i="54"/>
  <c r="K80" i="54" s="1"/>
  <c r="J80" i="54"/>
  <c r="L80" i="54"/>
  <c r="M80" i="54"/>
  <c r="N80" i="54"/>
  <c r="I81" i="54"/>
  <c r="AA81" i="54" s="1"/>
  <c r="AF81" i="54" s="1"/>
  <c r="J81" i="54"/>
  <c r="L81" i="54"/>
  <c r="M81" i="54"/>
  <c r="N81" i="54"/>
  <c r="I82" i="54"/>
  <c r="K82" i="54" s="1"/>
  <c r="J82" i="54"/>
  <c r="L82" i="54"/>
  <c r="M82" i="54"/>
  <c r="N82" i="54"/>
  <c r="I83" i="54"/>
  <c r="J83" i="54"/>
  <c r="L83" i="54"/>
  <c r="M83" i="54"/>
  <c r="N83" i="54"/>
  <c r="I84" i="54"/>
  <c r="K84" i="54" s="1"/>
  <c r="J84" i="54"/>
  <c r="L84" i="54"/>
  <c r="M84" i="54"/>
  <c r="N84" i="54"/>
  <c r="I85" i="54"/>
  <c r="AA85" i="54" s="1"/>
  <c r="J85" i="54"/>
  <c r="L85" i="54"/>
  <c r="M85" i="54"/>
  <c r="N85" i="54"/>
  <c r="I86" i="54"/>
  <c r="K86" i="54" s="1"/>
  <c r="J86" i="54"/>
  <c r="L86" i="54"/>
  <c r="M86" i="54"/>
  <c r="N86" i="54"/>
  <c r="I87" i="54"/>
  <c r="AA87" i="54" s="1"/>
  <c r="J87" i="54"/>
  <c r="L87" i="54"/>
  <c r="M87" i="54"/>
  <c r="N87" i="54"/>
  <c r="I88" i="54"/>
  <c r="K88" i="54" s="1"/>
  <c r="J88" i="54"/>
  <c r="L88" i="54"/>
  <c r="M88" i="54"/>
  <c r="N88" i="54"/>
  <c r="I89" i="54"/>
  <c r="AA89" i="54" s="1"/>
  <c r="J89" i="54"/>
  <c r="L89" i="54"/>
  <c r="M89" i="54"/>
  <c r="N89" i="54"/>
  <c r="N74" i="54"/>
  <c r="N75" i="54"/>
  <c r="I74" i="54"/>
  <c r="J74" i="54"/>
  <c r="I75" i="54"/>
  <c r="J75" i="54"/>
  <c r="AD72" i="54"/>
  <c r="AD111" i="54" s="1"/>
  <c r="AG72" i="54"/>
  <c r="N72" i="54"/>
  <c r="O72" i="54"/>
  <c r="O111" i="54" s="1"/>
  <c r="P72" i="54"/>
  <c r="P111" i="54" s="1"/>
  <c r="Q72" i="54"/>
  <c r="Q111" i="54" s="1"/>
  <c r="R72" i="54"/>
  <c r="R111" i="54" s="1"/>
  <c r="S72" i="54"/>
  <c r="S111" i="54" s="1"/>
  <c r="T72" i="54"/>
  <c r="T111" i="54" s="1"/>
  <c r="U72" i="54"/>
  <c r="U111" i="54" s="1"/>
  <c r="V72" i="54"/>
  <c r="V111" i="54" s="1"/>
  <c r="W72" i="54"/>
  <c r="W111" i="54" s="1"/>
  <c r="X72" i="54"/>
  <c r="X111" i="54" s="1"/>
  <c r="Y72" i="54"/>
  <c r="Y111" i="54" s="1"/>
  <c r="Z72" i="54"/>
  <c r="Z111" i="54" s="1"/>
  <c r="AB62" i="54"/>
  <c r="AB63" i="54"/>
  <c r="AM63" i="54" s="1"/>
  <c r="AB64" i="54"/>
  <c r="AB65" i="54"/>
  <c r="AB66" i="54"/>
  <c r="AB67" i="54"/>
  <c r="AB68" i="54"/>
  <c r="AB69" i="54"/>
  <c r="AB70" i="54"/>
  <c r="AB71" i="54"/>
  <c r="AN71" i="54" s="1"/>
  <c r="N60" i="54"/>
  <c r="N61" i="54"/>
  <c r="N62" i="54"/>
  <c r="N63" i="54"/>
  <c r="N64" i="54"/>
  <c r="N65" i="54"/>
  <c r="N66" i="54"/>
  <c r="N67" i="54"/>
  <c r="N68" i="54"/>
  <c r="N69" i="54"/>
  <c r="N70" i="54"/>
  <c r="N71" i="54"/>
  <c r="I71" i="54"/>
  <c r="K71" i="54" s="1"/>
  <c r="J71" i="54"/>
  <c r="I72" i="54"/>
  <c r="J72" i="54"/>
  <c r="AA66" i="54"/>
  <c r="AI66" i="54" s="1"/>
  <c r="AA68" i="54"/>
  <c r="AH62" i="54"/>
  <c r="AL62" i="54"/>
  <c r="AH63" i="54"/>
  <c r="AH64" i="54"/>
  <c r="AN64" i="54"/>
  <c r="AH65" i="54"/>
  <c r="AN65" i="54"/>
  <c r="AH66" i="54"/>
  <c r="AN66" i="54" s="1"/>
  <c r="AH67" i="54"/>
  <c r="AN67" i="54" s="1"/>
  <c r="AH68" i="54"/>
  <c r="AL68" i="54"/>
  <c r="AH69" i="54"/>
  <c r="AL69" i="54"/>
  <c r="AH70" i="54"/>
  <c r="AH71" i="54"/>
  <c r="AI71" i="54"/>
  <c r="AL71" i="54"/>
  <c r="AE62" i="54"/>
  <c r="AE63" i="54"/>
  <c r="AE64" i="54"/>
  <c r="AM64" i="54" s="1"/>
  <c r="AE65" i="54"/>
  <c r="AM65" i="54" s="1"/>
  <c r="AE66" i="54"/>
  <c r="AE67" i="54"/>
  <c r="AM67" i="54" s="1"/>
  <c r="AE68" i="54"/>
  <c r="AE69" i="54"/>
  <c r="AE70" i="54"/>
  <c r="AE71" i="54"/>
  <c r="AF71" i="54"/>
  <c r="I62" i="54"/>
  <c r="AA62" i="54" s="1"/>
  <c r="J62" i="54"/>
  <c r="L62" i="54"/>
  <c r="M62" i="54"/>
  <c r="I63" i="54"/>
  <c r="AA63" i="54" s="1"/>
  <c r="J63" i="54"/>
  <c r="L63" i="54"/>
  <c r="M63" i="54"/>
  <c r="I64" i="54"/>
  <c r="J64" i="54"/>
  <c r="L64" i="54"/>
  <c r="M64" i="54"/>
  <c r="I65" i="54"/>
  <c r="K65" i="54" s="1"/>
  <c r="J65" i="54"/>
  <c r="L65" i="54"/>
  <c r="M65" i="54"/>
  <c r="I66" i="54"/>
  <c r="K66" i="54" s="1"/>
  <c r="J66" i="54"/>
  <c r="L66" i="54"/>
  <c r="M66" i="54"/>
  <c r="I67" i="54"/>
  <c r="K67" i="54" s="1"/>
  <c r="J67" i="54"/>
  <c r="L67" i="54"/>
  <c r="M67" i="54"/>
  <c r="I68" i="54"/>
  <c r="K68" i="54" s="1"/>
  <c r="J68" i="54"/>
  <c r="L68" i="54"/>
  <c r="M68" i="54"/>
  <c r="I69" i="54"/>
  <c r="AA69" i="54" s="1"/>
  <c r="J69" i="54"/>
  <c r="L69" i="54"/>
  <c r="M69" i="54"/>
  <c r="I70" i="54"/>
  <c r="AA70" i="54" s="1"/>
  <c r="J70" i="54"/>
  <c r="L70" i="54"/>
  <c r="M70" i="54"/>
  <c r="I60" i="54"/>
  <c r="J60" i="54"/>
  <c r="I61" i="54"/>
  <c r="J61" i="54"/>
  <c r="B55" i="54"/>
  <c r="B56" i="54"/>
  <c r="B50" i="54"/>
  <c r="B51" i="54"/>
  <c r="B52" i="54"/>
  <c r="A47" i="54"/>
  <c r="AH35" i="54"/>
  <c r="AL36" i="54"/>
  <c r="AH37" i="54"/>
  <c r="AL37" i="54"/>
  <c r="AH39" i="54"/>
  <c r="AL39" i="54"/>
  <c r="AH41" i="54"/>
  <c r="AH42" i="54"/>
  <c r="AL43" i="54"/>
  <c r="AH44" i="54"/>
  <c r="AL45" i="54"/>
  <c r="AH46" i="54"/>
  <c r="AK46" i="54"/>
  <c r="AL47" i="54"/>
  <c r="AH50" i="54"/>
  <c r="AH51" i="54"/>
  <c r="AH52" i="54"/>
  <c r="AL52" i="54"/>
  <c r="AH53" i="54"/>
  <c r="AH55" i="54"/>
  <c r="AH56" i="54"/>
  <c r="AL58" i="54"/>
  <c r="AE35" i="54"/>
  <c r="AE36" i="54"/>
  <c r="AE37" i="54"/>
  <c r="AE39" i="54"/>
  <c r="AE40" i="54"/>
  <c r="AE41" i="54"/>
  <c r="AE42" i="54"/>
  <c r="AE43" i="54"/>
  <c r="AE44" i="54"/>
  <c r="AE46" i="54"/>
  <c r="AE47" i="54"/>
  <c r="AE48" i="54"/>
  <c r="AE50" i="54"/>
  <c r="AE51" i="54"/>
  <c r="AE52" i="54"/>
  <c r="AE53" i="54"/>
  <c r="AE55" i="54"/>
  <c r="AE56" i="54"/>
  <c r="AA36" i="54"/>
  <c r="AI36" i="54" s="1"/>
  <c r="AA44" i="54"/>
  <c r="I35" i="54"/>
  <c r="K35" i="54" s="1"/>
  <c r="J35" i="54"/>
  <c r="L35" i="54"/>
  <c r="M35" i="54"/>
  <c r="N35" i="54"/>
  <c r="I36" i="54"/>
  <c r="K36" i="54" s="1"/>
  <c r="J36" i="54"/>
  <c r="L36" i="54"/>
  <c r="M36" i="54"/>
  <c r="N36" i="54"/>
  <c r="I37" i="54"/>
  <c r="AA37" i="54" s="1"/>
  <c r="J37" i="54"/>
  <c r="L37" i="54"/>
  <c r="M37" i="54"/>
  <c r="N37" i="54"/>
  <c r="I38" i="54"/>
  <c r="J38" i="54"/>
  <c r="L38" i="54"/>
  <c r="M38" i="54"/>
  <c r="N38" i="54"/>
  <c r="I39" i="54"/>
  <c r="J39" i="54"/>
  <c r="L39" i="54"/>
  <c r="M39" i="54"/>
  <c r="N39" i="54"/>
  <c r="I40" i="54"/>
  <c r="J40" i="54"/>
  <c r="L40" i="54"/>
  <c r="M40" i="54"/>
  <c r="N40" i="54"/>
  <c r="I41" i="54"/>
  <c r="AA41" i="54" s="1"/>
  <c r="J41" i="54"/>
  <c r="L41" i="54"/>
  <c r="M41" i="54"/>
  <c r="N41" i="54"/>
  <c r="I42" i="54"/>
  <c r="J42" i="54"/>
  <c r="L42" i="54"/>
  <c r="M42" i="54"/>
  <c r="N42" i="54"/>
  <c r="I43" i="54"/>
  <c r="K43" i="54" s="1"/>
  <c r="J43" i="54"/>
  <c r="L43" i="54"/>
  <c r="M43" i="54"/>
  <c r="N43" i="54"/>
  <c r="I44" i="54"/>
  <c r="K44" i="54" s="1"/>
  <c r="J44" i="54"/>
  <c r="L44" i="54"/>
  <c r="M44" i="54"/>
  <c r="N44" i="54"/>
  <c r="I45" i="54"/>
  <c r="AA45" i="54" s="1"/>
  <c r="J45" i="54"/>
  <c r="L45" i="54"/>
  <c r="M45" i="54"/>
  <c r="N45" i="54"/>
  <c r="I46" i="54"/>
  <c r="J46" i="54"/>
  <c r="L46" i="54"/>
  <c r="M46" i="54"/>
  <c r="N46" i="54"/>
  <c r="I47" i="54"/>
  <c r="AA47" i="54" s="1"/>
  <c r="AF47" i="54" s="1"/>
  <c r="J47" i="54"/>
  <c r="L47" i="54"/>
  <c r="M47" i="54"/>
  <c r="N47" i="54"/>
  <c r="I48" i="54"/>
  <c r="AA48" i="54" s="1"/>
  <c r="J48" i="54"/>
  <c r="L48" i="54"/>
  <c r="M48" i="54"/>
  <c r="N48" i="54"/>
  <c r="I49" i="54"/>
  <c r="AA49" i="54" s="1"/>
  <c r="J49" i="54"/>
  <c r="L49" i="54"/>
  <c r="M49" i="54"/>
  <c r="N49" i="54"/>
  <c r="I50" i="54"/>
  <c r="J50" i="54"/>
  <c r="L50" i="54"/>
  <c r="M50" i="54"/>
  <c r="N50" i="54"/>
  <c r="I51" i="54"/>
  <c r="AA51" i="54" s="1"/>
  <c r="J51" i="54"/>
  <c r="L51" i="54"/>
  <c r="M51" i="54"/>
  <c r="N51" i="54"/>
  <c r="I52" i="54"/>
  <c r="J52" i="54"/>
  <c r="L52" i="54"/>
  <c r="M52" i="54"/>
  <c r="N52" i="54"/>
  <c r="I53" i="54"/>
  <c r="AA53" i="54" s="1"/>
  <c r="J53" i="54"/>
  <c r="L53" i="54"/>
  <c r="M53" i="54"/>
  <c r="N53" i="54"/>
  <c r="I54" i="54"/>
  <c r="J54" i="54"/>
  <c r="L54" i="54"/>
  <c r="M54" i="54"/>
  <c r="N54" i="54"/>
  <c r="I55" i="54"/>
  <c r="J55" i="54"/>
  <c r="L55" i="54"/>
  <c r="M55" i="54"/>
  <c r="N55" i="54"/>
  <c r="I56" i="54"/>
  <c r="AA56" i="54" s="1"/>
  <c r="J56" i="54"/>
  <c r="L56" i="54"/>
  <c r="M56" i="54"/>
  <c r="N56" i="54"/>
  <c r="I57" i="54"/>
  <c r="AA57" i="54" s="1"/>
  <c r="J57" i="54"/>
  <c r="L57" i="54"/>
  <c r="M57" i="54"/>
  <c r="N57" i="54"/>
  <c r="I58" i="54"/>
  <c r="J58" i="54"/>
  <c r="L58" i="54"/>
  <c r="M58" i="54"/>
  <c r="N58" i="54"/>
  <c r="N33" i="54"/>
  <c r="N34" i="54"/>
  <c r="I33" i="54"/>
  <c r="J33" i="54"/>
  <c r="I34" i="54"/>
  <c r="J34" i="54"/>
  <c r="AG32" i="54"/>
  <c r="AL32" i="54" s="1"/>
  <c r="AD32" i="54"/>
  <c r="AK32" i="54" s="1"/>
  <c r="O32" i="54"/>
  <c r="P32" i="54"/>
  <c r="Q32" i="54"/>
  <c r="R32" i="54"/>
  <c r="S32" i="54"/>
  <c r="T32" i="54"/>
  <c r="U32" i="54"/>
  <c r="V32" i="54"/>
  <c r="W32" i="54"/>
  <c r="X32" i="54"/>
  <c r="Y32" i="54"/>
  <c r="Z32" i="54"/>
  <c r="AJ32" i="54" s="1"/>
  <c r="AJ31" i="54"/>
  <c r="AK31" i="54"/>
  <c r="AM31" i="54" s="1"/>
  <c r="AL31" i="54"/>
  <c r="AN31" i="54" s="1"/>
  <c r="AG31" i="54"/>
  <c r="AD31" i="54"/>
  <c r="O31" i="54"/>
  <c r="P31" i="54"/>
  <c r="Q31" i="54"/>
  <c r="R31" i="54"/>
  <c r="S31" i="54"/>
  <c r="T31" i="54"/>
  <c r="U31" i="54"/>
  <c r="V31" i="54"/>
  <c r="W31" i="54"/>
  <c r="X31" i="54"/>
  <c r="Y31" i="54"/>
  <c r="Z31" i="54"/>
  <c r="AA31" i="54"/>
  <c r="N26" i="54"/>
  <c r="N27" i="54"/>
  <c r="N28" i="54"/>
  <c r="N29" i="54"/>
  <c r="B22" i="54"/>
  <c r="B23" i="54"/>
  <c r="AG16" i="54"/>
  <c r="AG19" i="54"/>
  <c r="AH97" i="54" s="1"/>
  <c r="AG20" i="54"/>
  <c r="AL93" i="54" s="1"/>
  <c r="AD19" i="54"/>
  <c r="AE104" i="54" s="1"/>
  <c r="AD20" i="54"/>
  <c r="AK63" i="54" s="1"/>
  <c r="G19" i="54"/>
  <c r="G20" i="54"/>
  <c r="N19" i="54"/>
  <c r="O19" i="54"/>
  <c r="P19" i="54"/>
  <c r="Q19" i="54"/>
  <c r="R19" i="54"/>
  <c r="S19" i="54"/>
  <c r="T19" i="54"/>
  <c r="U19" i="54"/>
  <c r="V19" i="54"/>
  <c r="W19" i="54"/>
  <c r="X19" i="54"/>
  <c r="Y19" i="54"/>
  <c r="Z19" i="54"/>
  <c r="N20" i="54"/>
  <c r="O20" i="54"/>
  <c r="P20" i="54"/>
  <c r="Q20" i="54"/>
  <c r="R20" i="54"/>
  <c r="S20" i="54"/>
  <c r="T20" i="54"/>
  <c r="U20" i="54"/>
  <c r="V20" i="54"/>
  <c r="W20" i="54"/>
  <c r="X20" i="54"/>
  <c r="Y20" i="54"/>
  <c r="Z20" i="54"/>
  <c r="B17" i="54"/>
  <c r="B18" i="54"/>
  <c r="B19" i="54"/>
  <c r="O16" i="54"/>
  <c r="P16" i="54"/>
  <c r="Q16" i="54"/>
  <c r="R16" i="54"/>
  <c r="S16" i="54"/>
  <c r="T16" i="54"/>
  <c r="U16" i="54"/>
  <c r="V16" i="54"/>
  <c r="W16" i="54"/>
  <c r="X16" i="54"/>
  <c r="Y16" i="54"/>
  <c r="O17" i="54"/>
  <c r="P17" i="54"/>
  <c r="Q17" i="54"/>
  <c r="R17" i="54"/>
  <c r="S17" i="54"/>
  <c r="T17" i="54"/>
  <c r="U17" i="54"/>
  <c r="V17" i="54"/>
  <c r="W17" i="54"/>
  <c r="X17" i="54"/>
  <c r="Y17" i="54"/>
  <c r="Z17" i="54"/>
  <c r="AA17" i="54" s="1"/>
  <c r="AA11" i="54" s="1"/>
  <c r="A14" i="54"/>
  <c r="AG12" i="54"/>
  <c r="AG13" i="54"/>
  <c r="AD12" i="54"/>
  <c r="AD13" i="54"/>
  <c r="B12" i="54"/>
  <c r="B13" i="54"/>
  <c r="O11" i="54"/>
  <c r="P11" i="54"/>
  <c r="Q11" i="54"/>
  <c r="R11" i="54"/>
  <c r="S11" i="54"/>
  <c r="T11" i="54"/>
  <c r="U11" i="54"/>
  <c r="V11" i="54"/>
  <c r="W11" i="54"/>
  <c r="X11" i="54"/>
  <c r="Y11" i="54"/>
  <c r="Z11" i="54"/>
  <c r="O12" i="54"/>
  <c r="P12" i="54"/>
  <c r="Q12" i="54"/>
  <c r="R12" i="54"/>
  <c r="S12" i="54"/>
  <c r="T12" i="54"/>
  <c r="U12" i="54"/>
  <c r="V12" i="54"/>
  <c r="W12" i="54"/>
  <c r="X12" i="54"/>
  <c r="Y12" i="54"/>
  <c r="Z12" i="54"/>
  <c r="AA12" i="54"/>
  <c r="O13" i="54"/>
  <c r="P13" i="54"/>
  <c r="Q13" i="54"/>
  <c r="R13" i="54"/>
  <c r="S13" i="54"/>
  <c r="T13" i="54"/>
  <c r="U13" i="54"/>
  <c r="V13" i="54"/>
  <c r="W13" i="54"/>
  <c r="X13" i="54"/>
  <c r="Y13" i="54"/>
  <c r="Z13" i="54"/>
  <c r="AA13" i="54"/>
  <c r="C10" i="54"/>
  <c r="D10" i="54"/>
  <c r="C9" i="54"/>
  <c r="C1" i="54"/>
  <c r="C2" i="54"/>
  <c r="C3" i="54"/>
  <c r="C4" i="54"/>
  <c r="C5" i="54"/>
  <c r="C6" i="54"/>
  <c r="C7" i="54"/>
  <c r="C8" i="54"/>
  <c r="E6" i="54"/>
  <c r="E4" i="54"/>
  <c r="F4" i="54"/>
  <c r="B3" i="54"/>
  <c r="H2" i="54"/>
  <c r="N1" i="54"/>
  <c r="N1" i="58" s="1"/>
  <c r="AG143" i="64"/>
  <c r="AG144" i="64"/>
  <c r="AG145" i="64"/>
  <c r="AG146" i="64"/>
  <c r="AD143" i="64"/>
  <c r="AD144" i="64"/>
  <c r="AD145" i="64"/>
  <c r="AD146" i="64"/>
  <c r="O143" i="64"/>
  <c r="P143" i="64"/>
  <c r="Q143" i="64"/>
  <c r="R143" i="64"/>
  <c r="S143" i="64"/>
  <c r="T143" i="64"/>
  <c r="U143" i="64"/>
  <c r="V143" i="64"/>
  <c r="W143" i="64"/>
  <c r="X143" i="64"/>
  <c r="Y143" i="64"/>
  <c r="Z143" i="64"/>
  <c r="O144" i="64"/>
  <c r="P144" i="64"/>
  <c r="Q144" i="64"/>
  <c r="R144" i="64"/>
  <c r="S144" i="64"/>
  <c r="T144" i="64"/>
  <c r="U144" i="64"/>
  <c r="V144" i="64"/>
  <c r="W144" i="64"/>
  <c r="X144" i="64"/>
  <c r="Y144" i="64"/>
  <c r="Z144" i="64"/>
  <c r="O145" i="64"/>
  <c r="P145" i="64"/>
  <c r="Q145" i="64"/>
  <c r="R145" i="64"/>
  <c r="S145" i="64"/>
  <c r="T145" i="64"/>
  <c r="U145" i="64"/>
  <c r="V145" i="64"/>
  <c r="W145" i="64"/>
  <c r="X145" i="64"/>
  <c r="Y145" i="64"/>
  <c r="Z145" i="64"/>
  <c r="O146" i="64"/>
  <c r="P146" i="64"/>
  <c r="Q146" i="64"/>
  <c r="R146" i="64"/>
  <c r="S146" i="64"/>
  <c r="T146" i="64"/>
  <c r="U146" i="64"/>
  <c r="V146" i="64"/>
  <c r="W146" i="64"/>
  <c r="X146" i="64"/>
  <c r="Y146" i="64"/>
  <c r="Z146" i="64"/>
  <c r="AI130" i="64"/>
  <c r="AI131" i="64"/>
  <c r="AI132" i="64"/>
  <c r="AI133" i="64"/>
  <c r="AI134" i="64"/>
  <c r="AI135" i="64"/>
  <c r="AI137" i="64"/>
  <c r="AI139" i="64"/>
  <c r="AG141" i="64"/>
  <c r="AD141" i="64"/>
  <c r="O141" i="64"/>
  <c r="P141" i="64"/>
  <c r="Q141" i="64"/>
  <c r="R141" i="64"/>
  <c r="S141" i="64"/>
  <c r="T141" i="64"/>
  <c r="U141" i="64"/>
  <c r="V141" i="64"/>
  <c r="W141" i="64"/>
  <c r="X141" i="64"/>
  <c r="Y141" i="64"/>
  <c r="Z141" i="64"/>
  <c r="AH140" i="64"/>
  <c r="AE140" i="64"/>
  <c r="AA140" i="64"/>
  <c r="AI140" i="64" s="1"/>
  <c r="AB140" i="64"/>
  <c r="AF130" i="64"/>
  <c r="AF131" i="64"/>
  <c r="AF133" i="64"/>
  <c r="AF135" i="64"/>
  <c r="AF137" i="64"/>
  <c r="AF138" i="64"/>
  <c r="AF139" i="64"/>
  <c r="AH138" i="64"/>
  <c r="AE138" i="64"/>
  <c r="AA138" i="64"/>
  <c r="AI138" i="64" s="1"/>
  <c r="AB138" i="64"/>
  <c r="AH136" i="64"/>
  <c r="AE136" i="64"/>
  <c r="AA136" i="64"/>
  <c r="AB136" i="64"/>
  <c r="AH134" i="64"/>
  <c r="AE134" i="64"/>
  <c r="AA134" i="64"/>
  <c r="AF134" i="64" s="1"/>
  <c r="AB134" i="64"/>
  <c r="AH132" i="64"/>
  <c r="AE132" i="64"/>
  <c r="AA132" i="64"/>
  <c r="AF132" i="64" s="1"/>
  <c r="AB132" i="64"/>
  <c r="AH130" i="64"/>
  <c r="AE130" i="64"/>
  <c r="AA130" i="64"/>
  <c r="AB130" i="64"/>
  <c r="L130" i="64"/>
  <c r="M130" i="64"/>
  <c r="N130" i="64"/>
  <c r="L131" i="64"/>
  <c r="M131" i="64"/>
  <c r="N131" i="64"/>
  <c r="L132" i="64"/>
  <c r="M132" i="64"/>
  <c r="N132" i="64"/>
  <c r="L133" i="64"/>
  <c r="M133" i="64"/>
  <c r="N133" i="64"/>
  <c r="L134" i="64"/>
  <c r="M134" i="64"/>
  <c r="N134" i="64"/>
  <c r="L135" i="64"/>
  <c r="M135" i="64"/>
  <c r="N135" i="64"/>
  <c r="L136" i="64"/>
  <c r="M136" i="64"/>
  <c r="N136" i="64"/>
  <c r="L137" i="64"/>
  <c r="M137" i="64"/>
  <c r="N137" i="64"/>
  <c r="L138" i="64"/>
  <c r="M138" i="64"/>
  <c r="N138" i="64"/>
  <c r="L139" i="64"/>
  <c r="M139" i="64"/>
  <c r="N139" i="64"/>
  <c r="L140" i="64"/>
  <c r="M140" i="64"/>
  <c r="N140" i="64"/>
  <c r="N129" i="64"/>
  <c r="AG121" i="64"/>
  <c r="AG122" i="64"/>
  <c r="AH122" i="64" s="1"/>
  <c r="AG123" i="64"/>
  <c r="AH123" i="64" s="1"/>
  <c r="AG124" i="64"/>
  <c r="AH124" i="64" s="1"/>
  <c r="AG125" i="64"/>
  <c r="AD121" i="64"/>
  <c r="AD122" i="64"/>
  <c r="AE122" i="64" s="1"/>
  <c r="AD123" i="64"/>
  <c r="AD124" i="64"/>
  <c r="AE124" i="64" s="1"/>
  <c r="AD125" i="64"/>
  <c r="AH125" i="64"/>
  <c r="AE121" i="64"/>
  <c r="AE123" i="64"/>
  <c r="AE125" i="64"/>
  <c r="L121" i="64"/>
  <c r="M121" i="64"/>
  <c r="N121" i="64"/>
  <c r="O121" i="64"/>
  <c r="P121" i="64"/>
  <c r="Q121" i="64"/>
  <c r="R121" i="64"/>
  <c r="R126" i="64" s="1"/>
  <c r="R127" i="64" s="1"/>
  <c r="S121" i="64"/>
  <c r="T121" i="64"/>
  <c r="U121" i="64"/>
  <c r="V121" i="64"/>
  <c r="W121" i="64"/>
  <c r="X121" i="64"/>
  <c r="Y121" i="64"/>
  <c r="Z121" i="64"/>
  <c r="Z126" i="64" s="1"/>
  <c r="Z127" i="64" s="1"/>
  <c r="L122" i="64"/>
  <c r="M122" i="64"/>
  <c r="N122" i="64"/>
  <c r="O122" i="64"/>
  <c r="P122" i="64"/>
  <c r="Q122" i="64"/>
  <c r="R122" i="64"/>
  <c r="S122" i="64"/>
  <c r="T122" i="64"/>
  <c r="U122" i="64"/>
  <c r="V122" i="64"/>
  <c r="W122" i="64"/>
  <c r="X122" i="64"/>
  <c r="Y122" i="64"/>
  <c r="Z122" i="64"/>
  <c r="L123" i="64"/>
  <c r="M123" i="64"/>
  <c r="N123" i="64"/>
  <c r="O123" i="64"/>
  <c r="O126" i="64" s="1"/>
  <c r="O127" i="64" s="1"/>
  <c r="P123" i="64"/>
  <c r="Q123" i="64"/>
  <c r="R123" i="64"/>
  <c r="S123" i="64"/>
  <c r="T123" i="64"/>
  <c r="T126" i="64" s="1"/>
  <c r="T127" i="64" s="1"/>
  <c r="U123" i="64"/>
  <c r="V123" i="64"/>
  <c r="W123" i="64"/>
  <c r="X123" i="64"/>
  <c r="Y123" i="64"/>
  <c r="Z123" i="64"/>
  <c r="L124" i="64"/>
  <c r="M124" i="64"/>
  <c r="N124" i="64"/>
  <c r="O124" i="64"/>
  <c r="P124" i="64"/>
  <c r="Q124" i="64"/>
  <c r="R124" i="64"/>
  <c r="S124" i="64"/>
  <c r="T124" i="64"/>
  <c r="U124" i="64"/>
  <c r="V124" i="64"/>
  <c r="W124" i="64"/>
  <c r="X124" i="64"/>
  <c r="Y124" i="64"/>
  <c r="Z124" i="64"/>
  <c r="L125" i="64"/>
  <c r="M125" i="64"/>
  <c r="N125" i="64"/>
  <c r="O125" i="64"/>
  <c r="P125" i="64"/>
  <c r="Q125" i="64"/>
  <c r="R125" i="64"/>
  <c r="S125" i="64"/>
  <c r="T125" i="64"/>
  <c r="U125" i="64"/>
  <c r="V125" i="64"/>
  <c r="V126" i="64" s="1"/>
  <c r="V127" i="64" s="1"/>
  <c r="W125" i="64"/>
  <c r="X125" i="64"/>
  <c r="Y125" i="64"/>
  <c r="Z125" i="64"/>
  <c r="L126" i="64"/>
  <c r="M126" i="64"/>
  <c r="N126" i="64"/>
  <c r="AH114" i="64"/>
  <c r="AH115" i="64"/>
  <c r="AH116" i="64"/>
  <c r="AI116" i="64"/>
  <c r="AH117" i="64"/>
  <c r="AH118" i="64"/>
  <c r="AH119" i="64"/>
  <c r="AE114" i="64"/>
  <c r="AE115" i="64"/>
  <c r="AE116" i="64"/>
  <c r="AF116" i="64"/>
  <c r="AE117" i="64"/>
  <c r="AE118" i="64"/>
  <c r="AE119" i="64"/>
  <c r="AA114" i="64"/>
  <c r="AI114" i="64" s="1"/>
  <c r="AA115" i="64"/>
  <c r="AA116" i="64"/>
  <c r="AB116" i="64"/>
  <c r="AA117" i="64"/>
  <c r="AF117" i="64" s="1"/>
  <c r="AA118" i="64"/>
  <c r="AF118" i="64" s="1"/>
  <c r="AB118" i="64"/>
  <c r="AA119" i="64"/>
  <c r="L114" i="64"/>
  <c r="M114" i="64"/>
  <c r="N114" i="64"/>
  <c r="L115" i="64"/>
  <c r="M115" i="64"/>
  <c r="N115" i="64"/>
  <c r="L116" i="64"/>
  <c r="M116" i="64"/>
  <c r="N116" i="64"/>
  <c r="L117" i="64"/>
  <c r="M117" i="64"/>
  <c r="N117" i="64"/>
  <c r="L118" i="64"/>
  <c r="M118" i="64"/>
  <c r="N118" i="64"/>
  <c r="L119" i="64"/>
  <c r="M119" i="64"/>
  <c r="N119" i="64"/>
  <c r="AH106" i="64"/>
  <c r="AH107" i="64"/>
  <c r="AH108" i="64"/>
  <c r="AH109" i="64"/>
  <c r="AH110" i="64"/>
  <c r="AI110" i="64"/>
  <c r="AH111" i="64"/>
  <c r="AE106" i="64"/>
  <c r="AE107" i="64"/>
  <c r="AE108" i="64"/>
  <c r="AF108" i="64"/>
  <c r="AE109" i="64"/>
  <c r="AF109" i="64"/>
  <c r="AE110" i="64"/>
  <c r="AE111" i="64"/>
  <c r="AA106" i="64"/>
  <c r="AF106" i="64" s="1"/>
  <c r="AA107" i="64"/>
  <c r="AI107" i="64" s="1"/>
  <c r="AB107" i="64"/>
  <c r="AA108" i="64"/>
  <c r="AA109" i="64"/>
  <c r="AA110" i="64"/>
  <c r="AF110" i="64" s="1"/>
  <c r="AB110" i="64"/>
  <c r="AA111" i="64"/>
  <c r="L106" i="64"/>
  <c r="M106" i="64"/>
  <c r="N106" i="64"/>
  <c r="L107" i="64"/>
  <c r="M107" i="64"/>
  <c r="N107" i="64"/>
  <c r="L108" i="64"/>
  <c r="M108" i="64"/>
  <c r="N108" i="64"/>
  <c r="L109" i="64"/>
  <c r="M109" i="64"/>
  <c r="N109" i="64"/>
  <c r="L110" i="64"/>
  <c r="M110" i="64"/>
  <c r="N110" i="64"/>
  <c r="L111" i="64"/>
  <c r="M111" i="64"/>
  <c r="N111" i="64"/>
  <c r="AH98" i="64"/>
  <c r="AI98" i="64"/>
  <c r="AH99" i="64"/>
  <c r="AH100" i="64"/>
  <c r="AH101" i="64"/>
  <c r="AH102" i="64"/>
  <c r="AH103" i="64"/>
  <c r="AE98" i="64"/>
  <c r="AF98" i="64"/>
  <c r="AE99" i="64"/>
  <c r="AE100" i="64"/>
  <c r="AE101" i="64"/>
  <c r="AE102" i="64"/>
  <c r="AE103" i="64"/>
  <c r="AA98" i="64"/>
  <c r="AB98" i="64"/>
  <c r="AA99" i="64"/>
  <c r="AF99" i="64" s="1"/>
  <c r="AA100" i="64"/>
  <c r="AF100" i="64" s="1"/>
  <c r="AB100" i="64"/>
  <c r="AA101" i="64"/>
  <c r="AA102" i="64"/>
  <c r="AA103" i="64"/>
  <c r="L98" i="64"/>
  <c r="M98" i="64"/>
  <c r="N98" i="64"/>
  <c r="L99" i="64"/>
  <c r="M99" i="64"/>
  <c r="N99" i="64"/>
  <c r="L100" i="64"/>
  <c r="M100" i="64"/>
  <c r="N100" i="64"/>
  <c r="L101" i="64"/>
  <c r="M101" i="64"/>
  <c r="N101" i="64"/>
  <c r="L102" i="64"/>
  <c r="M102" i="64"/>
  <c r="N102" i="64"/>
  <c r="L103" i="64"/>
  <c r="M103" i="64"/>
  <c r="N103" i="64"/>
  <c r="AD93" i="64"/>
  <c r="AD94" i="64"/>
  <c r="AG93" i="64"/>
  <c r="AF94" i="64"/>
  <c r="AG94" i="64"/>
  <c r="O93" i="64"/>
  <c r="P93" i="64"/>
  <c r="Q93" i="64"/>
  <c r="R93" i="64"/>
  <c r="S93" i="64"/>
  <c r="T93" i="64"/>
  <c r="U93" i="64"/>
  <c r="V93" i="64"/>
  <c r="W93" i="64"/>
  <c r="X93" i="64"/>
  <c r="Y93" i="64"/>
  <c r="Z93" i="64"/>
  <c r="O94" i="64"/>
  <c r="P94" i="64"/>
  <c r="Q94" i="64"/>
  <c r="R94" i="64"/>
  <c r="S94" i="64"/>
  <c r="T94" i="64"/>
  <c r="U94" i="64"/>
  <c r="V94" i="64"/>
  <c r="W94" i="64"/>
  <c r="X94" i="64"/>
  <c r="Y94" i="64"/>
  <c r="Z94" i="64"/>
  <c r="AA94" i="64"/>
  <c r="AI94" i="64" s="1"/>
  <c r="AA91" i="64"/>
  <c r="AA92" i="64"/>
  <c r="AI92" i="64" s="1"/>
  <c r="N91" i="64"/>
  <c r="N92" i="64"/>
  <c r="I91" i="64"/>
  <c r="J91" i="64"/>
  <c r="I92" i="64"/>
  <c r="J92" i="64"/>
  <c r="AI86" i="64"/>
  <c r="AF86" i="64"/>
  <c r="AA35" i="64"/>
  <c r="AA36" i="64"/>
  <c r="AB36" i="64" s="1"/>
  <c r="AA37" i="64"/>
  <c r="AA38" i="64"/>
  <c r="AA39" i="64"/>
  <c r="AA40" i="64"/>
  <c r="AA41" i="64"/>
  <c r="AA45" i="64"/>
  <c r="AB45" i="64" s="1"/>
  <c r="AA46" i="64"/>
  <c r="AA47" i="64"/>
  <c r="AA48" i="64"/>
  <c r="AI48" i="64" s="1"/>
  <c r="AA49" i="64"/>
  <c r="AB49" i="64" s="1"/>
  <c r="AA50" i="64"/>
  <c r="AI50" i="64" s="1"/>
  <c r="AA51" i="64"/>
  <c r="AA53" i="64" s="1"/>
  <c r="AA55" i="64"/>
  <c r="AB55" i="64" s="1"/>
  <c r="AA56" i="64"/>
  <c r="AB56" i="64" s="1"/>
  <c r="AA57" i="64"/>
  <c r="AI57" i="64" s="1"/>
  <c r="AA58" i="64"/>
  <c r="AB58" i="64" s="1"/>
  <c r="AA59" i="64"/>
  <c r="AA60" i="64"/>
  <c r="AA61" i="64"/>
  <c r="AA65" i="64"/>
  <c r="AA66" i="64"/>
  <c r="AI66" i="64" s="1"/>
  <c r="AA67" i="64"/>
  <c r="AB67" i="64" s="1"/>
  <c r="AA68" i="64"/>
  <c r="AI68" i="64" s="1"/>
  <c r="AA69" i="64"/>
  <c r="AA73" i="64" s="1"/>
  <c r="AA70" i="64"/>
  <c r="AF70" i="64" s="1"/>
  <c r="AA71" i="64"/>
  <c r="AA72" i="64"/>
  <c r="AA75" i="64"/>
  <c r="AA76" i="64"/>
  <c r="AI76" i="64" s="1"/>
  <c r="AA77" i="64"/>
  <c r="AF77" i="64" s="1"/>
  <c r="AA78" i="64"/>
  <c r="AA79" i="64"/>
  <c r="AA80" i="64"/>
  <c r="AA83" i="64"/>
  <c r="AI83" i="64" s="1"/>
  <c r="AA85" i="64"/>
  <c r="AA86" i="64"/>
  <c r="AA87" i="64"/>
  <c r="AF87" i="64" s="1"/>
  <c r="N85" i="64"/>
  <c r="N143" i="64" s="1"/>
  <c r="N86" i="64"/>
  <c r="N87" i="64"/>
  <c r="N144" i="64" s="1"/>
  <c r="N88" i="64"/>
  <c r="N145" i="64" s="1"/>
  <c r="AH87" i="64"/>
  <c r="AE87" i="64"/>
  <c r="AB87" i="64"/>
  <c r="AH83" i="64"/>
  <c r="AH85" i="64"/>
  <c r="AE83" i="64"/>
  <c r="AE85" i="64"/>
  <c r="L85" i="64"/>
  <c r="M85" i="64"/>
  <c r="L86" i="64"/>
  <c r="M86" i="64"/>
  <c r="L87" i="64"/>
  <c r="M87" i="64"/>
  <c r="I85" i="64"/>
  <c r="J85" i="64"/>
  <c r="I86" i="64"/>
  <c r="J86" i="64"/>
  <c r="I87" i="64"/>
  <c r="J87" i="64"/>
  <c r="I88" i="64"/>
  <c r="J88" i="64"/>
  <c r="O84" i="64"/>
  <c r="U84" i="64"/>
  <c r="X84" i="64"/>
  <c r="AF83" i="64"/>
  <c r="AB83" i="64"/>
  <c r="L83" i="64"/>
  <c r="M83" i="64"/>
  <c r="N83" i="64"/>
  <c r="I83" i="64"/>
  <c r="J83" i="64"/>
  <c r="AG82" i="64"/>
  <c r="AH84" i="64" s="1"/>
  <c r="AD82" i="64"/>
  <c r="AE84" i="64" s="1"/>
  <c r="O82" i="64"/>
  <c r="P82" i="64"/>
  <c r="P84" i="64" s="1"/>
  <c r="Q82" i="64"/>
  <c r="Q84" i="64" s="1"/>
  <c r="R82" i="64"/>
  <c r="R84" i="64" s="1"/>
  <c r="S82" i="64"/>
  <c r="S84" i="64" s="1"/>
  <c r="T82" i="64"/>
  <c r="T84" i="64" s="1"/>
  <c r="U82" i="64"/>
  <c r="V82" i="64"/>
  <c r="V84" i="64" s="1"/>
  <c r="W82" i="64"/>
  <c r="W84" i="64" s="1"/>
  <c r="X82" i="64"/>
  <c r="Y82" i="64"/>
  <c r="Y84" i="64" s="1"/>
  <c r="Z82" i="64"/>
  <c r="Z84" i="64" s="1"/>
  <c r="AI75" i="64"/>
  <c r="AI78" i="64"/>
  <c r="AI79" i="64"/>
  <c r="AF75" i="64"/>
  <c r="AF78" i="64"/>
  <c r="AF79" i="64"/>
  <c r="AH74" i="64"/>
  <c r="AH75" i="64"/>
  <c r="AH76" i="64"/>
  <c r="AH77" i="64"/>
  <c r="AH78" i="64"/>
  <c r="AH79" i="64"/>
  <c r="AH80" i="64"/>
  <c r="AE75" i="64"/>
  <c r="AE76" i="64"/>
  <c r="AE77" i="64"/>
  <c r="AE78" i="64"/>
  <c r="AE79" i="64"/>
  <c r="AE80" i="64"/>
  <c r="AB75" i="64"/>
  <c r="AB76" i="64"/>
  <c r="AB78" i="64"/>
  <c r="AB79" i="64"/>
  <c r="L75" i="64"/>
  <c r="M75" i="64"/>
  <c r="N75" i="64"/>
  <c r="L76" i="64"/>
  <c r="M76" i="64"/>
  <c r="N76" i="64"/>
  <c r="L77" i="64"/>
  <c r="M77" i="64"/>
  <c r="N77" i="64"/>
  <c r="L78" i="64"/>
  <c r="M78" i="64"/>
  <c r="N78" i="64"/>
  <c r="L79" i="64"/>
  <c r="M79" i="64"/>
  <c r="N79" i="64"/>
  <c r="L80" i="64"/>
  <c r="M80" i="64"/>
  <c r="N80" i="64"/>
  <c r="L81" i="64"/>
  <c r="M81" i="64"/>
  <c r="N81" i="64"/>
  <c r="I75" i="64"/>
  <c r="J75" i="64"/>
  <c r="I76" i="64"/>
  <c r="J76" i="64"/>
  <c r="I77" i="64"/>
  <c r="J77" i="64"/>
  <c r="I78" i="64"/>
  <c r="J78" i="64"/>
  <c r="I79" i="64"/>
  <c r="J79" i="64"/>
  <c r="I80" i="64"/>
  <c r="J80" i="64"/>
  <c r="I81" i="64"/>
  <c r="J81" i="64"/>
  <c r="AG73" i="64"/>
  <c r="AD73" i="64"/>
  <c r="AE74" i="64" s="1"/>
  <c r="O73" i="64"/>
  <c r="O74" i="64" s="1"/>
  <c r="P73" i="64"/>
  <c r="P74" i="64" s="1"/>
  <c r="Q73" i="64"/>
  <c r="R73" i="64"/>
  <c r="R74" i="64" s="1"/>
  <c r="S73" i="64"/>
  <c r="S74" i="64" s="1"/>
  <c r="T73" i="64"/>
  <c r="U73" i="64"/>
  <c r="U74" i="64" s="1"/>
  <c r="V73" i="64"/>
  <c r="V74" i="64" s="1"/>
  <c r="W73" i="64"/>
  <c r="W74" i="64" s="1"/>
  <c r="X73" i="64"/>
  <c r="X74" i="64" s="1"/>
  <c r="Y73" i="64"/>
  <c r="Z73" i="64"/>
  <c r="Q74" i="64"/>
  <c r="T74" i="64"/>
  <c r="Y74" i="64"/>
  <c r="Z74" i="64"/>
  <c r="AI65" i="64"/>
  <c r="AI67" i="64"/>
  <c r="AI69" i="64"/>
  <c r="AI71" i="64"/>
  <c r="AF65" i="64"/>
  <c r="AF69" i="64"/>
  <c r="AF71" i="64"/>
  <c r="AH71" i="64"/>
  <c r="AE71" i="64"/>
  <c r="AB71" i="64"/>
  <c r="AH65" i="64"/>
  <c r="AH66" i="64"/>
  <c r="AH67" i="64"/>
  <c r="AH68" i="64"/>
  <c r="AH69" i="64"/>
  <c r="AE65" i="64"/>
  <c r="AE66" i="64"/>
  <c r="AE67" i="64"/>
  <c r="AE68" i="64"/>
  <c r="AE69" i="64"/>
  <c r="AB65" i="64"/>
  <c r="AB68" i="64"/>
  <c r="L65" i="64"/>
  <c r="M65" i="64"/>
  <c r="N65" i="64"/>
  <c r="L66" i="64"/>
  <c r="M66" i="64"/>
  <c r="N66" i="64"/>
  <c r="L67" i="64"/>
  <c r="M67" i="64"/>
  <c r="N67" i="64"/>
  <c r="L68" i="64"/>
  <c r="M68" i="64"/>
  <c r="N68" i="64"/>
  <c r="L69" i="64"/>
  <c r="M69" i="64"/>
  <c r="N69" i="64"/>
  <c r="L70" i="64"/>
  <c r="M70" i="64"/>
  <c r="N70" i="64"/>
  <c r="L71" i="64"/>
  <c r="M71" i="64"/>
  <c r="N71" i="64"/>
  <c r="L72" i="64"/>
  <c r="M72" i="64"/>
  <c r="N72" i="64"/>
  <c r="I65" i="64"/>
  <c r="J65" i="64"/>
  <c r="I66" i="64"/>
  <c r="J66" i="64"/>
  <c r="I67" i="64"/>
  <c r="J67" i="64"/>
  <c r="I68" i="64"/>
  <c r="J68" i="64"/>
  <c r="I69" i="64"/>
  <c r="J69" i="64"/>
  <c r="I70" i="64"/>
  <c r="J70" i="64"/>
  <c r="I71" i="64"/>
  <c r="J71" i="64"/>
  <c r="I72" i="64"/>
  <c r="J72" i="64"/>
  <c r="AG63" i="64"/>
  <c r="AH64" i="64" s="1"/>
  <c r="AD63" i="64"/>
  <c r="AE64" i="64" s="1"/>
  <c r="O63" i="64"/>
  <c r="O64" i="64" s="1"/>
  <c r="P63" i="64"/>
  <c r="P64" i="64" s="1"/>
  <c r="Q63" i="64"/>
  <c r="Q64" i="64" s="1"/>
  <c r="R63" i="64"/>
  <c r="R64" i="64" s="1"/>
  <c r="S63" i="64"/>
  <c r="T63" i="64"/>
  <c r="U63" i="64"/>
  <c r="U64" i="64" s="1"/>
  <c r="V63" i="64"/>
  <c r="V64" i="64" s="1"/>
  <c r="W63" i="64"/>
  <c r="W64" i="64" s="1"/>
  <c r="X63" i="64"/>
  <c r="X64" i="64" s="1"/>
  <c r="Y63" i="64"/>
  <c r="Y64" i="64" s="1"/>
  <c r="Z63" i="64"/>
  <c r="Z64" i="64" s="1"/>
  <c r="S64" i="64"/>
  <c r="T64" i="64"/>
  <c r="AI55" i="64"/>
  <c r="AI58" i="64"/>
  <c r="AF55" i="64"/>
  <c r="AF56" i="64"/>
  <c r="AF58" i="64"/>
  <c r="AH61" i="64"/>
  <c r="AE61" i="64"/>
  <c r="AH54" i="64"/>
  <c r="AH55" i="64"/>
  <c r="AH56" i="64"/>
  <c r="AH57" i="64"/>
  <c r="AH58" i="64"/>
  <c r="AH59" i="64"/>
  <c r="AE55" i="64"/>
  <c r="AE56" i="64"/>
  <c r="AE57" i="64"/>
  <c r="AE58" i="64"/>
  <c r="AE59" i="64"/>
  <c r="AB57" i="64"/>
  <c r="AB59" i="64"/>
  <c r="L55" i="64"/>
  <c r="M55" i="64"/>
  <c r="N55" i="64"/>
  <c r="L56" i="64"/>
  <c r="M56" i="64"/>
  <c r="N56" i="64"/>
  <c r="L57" i="64"/>
  <c r="M57" i="64"/>
  <c r="N57" i="64"/>
  <c r="L58" i="64"/>
  <c r="M58" i="64"/>
  <c r="N58" i="64"/>
  <c r="L59" i="64"/>
  <c r="M59" i="64"/>
  <c r="N59" i="64"/>
  <c r="L60" i="64"/>
  <c r="M60" i="64"/>
  <c r="N60" i="64"/>
  <c r="L61" i="64"/>
  <c r="M61" i="64"/>
  <c r="N61" i="64"/>
  <c r="L62" i="64"/>
  <c r="M62" i="64"/>
  <c r="N62" i="64"/>
  <c r="I55" i="64"/>
  <c r="J55" i="64"/>
  <c r="I56" i="64"/>
  <c r="J56" i="64"/>
  <c r="I57" i="64"/>
  <c r="J57" i="64"/>
  <c r="I58" i="64"/>
  <c r="J58" i="64"/>
  <c r="I59" i="64"/>
  <c r="J59" i="64"/>
  <c r="I60" i="64"/>
  <c r="J60" i="64"/>
  <c r="I61" i="64"/>
  <c r="J61" i="64"/>
  <c r="I62" i="64"/>
  <c r="J62" i="64"/>
  <c r="AG53" i="64"/>
  <c r="AD53" i="64"/>
  <c r="AE54" i="64" s="1"/>
  <c r="O53" i="64"/>
  <c r="O54" i="64" s="1"/>
  <c r="P53" i="64"/>
  <c r="P54" i="64" s="1"/>
  <c r="Q53" i="64"/>
  <c r="Q54" i="64" s="1"/>
  <c r="R53" i="64"/>
  <c r="R54" i="64" s="1"/>
  <c r="S53" i="64"/>
  <c r="T53" i="64"/>
  <c r="U53" i="64"/>
  <c r="V53" i="64"/>
  <c r="W53" i="64"/>
  <c r="W54" i="64" s="1"/>
  <c r="X53" i="64"/>
  <c r="X54" i="64" s="1"/>
  <c r="Y53" i="64"/>
  <c r="Y54" i="64" s="1"/>
  <c r="Z53" i="64"/>
  <c r="Z54" i="64" s="1"/>
  <c r="S54" i="64"/>
  <c r="T54" i="64"/>
  <c r="U54" i="64"/>
  <c r="V54" i="64"/>
  <c r="AI46" i="64"/>
  <c r="AI47" i="64"/>
  <c r="AI49" i="64"/>
  <c r="AF46" i="64"/>
  <c r="AF47" i="64"/>
  <c r="AF49" i="64"/>
  <c r="AH51" i="64"/>
  <c r="AE51" i="64"/>
  <c r="AB51" i="64"/>
  <c r="AH45" i="64"/>
  <c r="AH46" i="64"/>
  <c r="AH47" i="64"/>
  <c r="AH48" i="64"/>
  <c r="AH49" i="64"/>
  <c r="AE44" i="64"/>
  <c r="AE45" i="64"/>
  <c r="AE46" i="64"/>
  <c r="AE47" i="64"/>
  <c r="AE48" i="64"/>
  <c r="AE49" i="64"/>
  <c r="AB46" i="64"/>
  <c r="AB47" i="64"/>
  <c r="AB48" i="64"/>
  <c r="L45" i="64"/>
  <c r="M45" i="64"/>
  <c r="N45" i="64"/>
  <c r="L46" i="64"/>
  <c r="M46" i="64"/>
  <c r="N46" i="64"/>
  <c r="L47" i="64"/>
  <c r="M47" i="64"/>
  <c r="N47" i="64"/>
  <c r="L48" i="64"/>
  <c r="M48" i="64"/>
  <c r="N48" i="64"/>
  <c r="L49" i="64"/>
  <c r="M49" i="64"/>
  <c r="N49" i="64"/>
  <c r="L50" i="64"/>
  <c r="M50" i="64"/>
  <c r="N50" i="64"/>
  <c r="L51" i="64"/>
  <c r="M51" i="64"/>
  <c r="N51" i="64"/>
  <c r="L52" i="64"/>
  <c r="M52" i="64"/>
  <c r="N52" i="64"/>
  <c r="I45" i="64"/>
  <c r="J45" i="64"/>
  <c r="I46" i="64"/>
  <c r="J46" i="64"/>
  <c r="I47" i="64"/>
  <c r="J47" i="64"/>
  <c r="I48" i="64"/>
  <c r="J48" i="64"/>
  <c r="I49" i="64"/>
  <c r="J49" i="64"/>
  <c r="I50" i="64"/>
  <c r="J50" i="64"/>
  <c r="I51" i="64"/>
  <c r="J51" i="64"/>
  <c r="I52" i="64"/>
  <c r="J52" i="64"/>
  <c r="AG43" i="64"/>
  <c r="AH44" i="64" s="1"/>
  <c r="AD43" i="64"/>
  <c r="O43" i="64"/>
  <c r="O44" i="64" s="1"/>
  <c r="P43" i="64"/>
  <c r="P44" i="64" s="1"/>
  <c r="Q43" i="64"/>
  <c r="Q44" i="64" s="1"/>
  <c r="R43" i="64"/>
  <c r="R44" i="64" s="1"/>
  <c r="S43" i="64"/>
  <c r="S44" i="64" s="1"/>
  <c r="T43" i="64"/>
  <c r="T44" i="64" s="1"/>
  <c r="U43" i="64"/>
  <c r="V43" i="64"/>
  <c r="W43" i="64"/>
  <c r="X43" i="64"/>
  <c r="X44" i="64" s="1"/>
  <c r="Y43" i="64"/>
  <c r="Y44" i="64" s="1"/>
  <c r="Z43" i="64"/>
  <c r="Z44" i="64" s="1"/>
  <c r="U44" i="64"/>
  <c r="V44" i="64"/>
  <c r="W44" i="64"/>
  <c r="AI38" i="64"/>
  <c r="AI39" i="64"/>
  <c r="AI40" i="64"/>
  <c r="AF38" i="64"/>
  <c r="AF39" i="64"/>
  <c r="AF40" i="64"/>
  <c r="AH41" i="64"/>
  <c r="AE41" i="64"/>
  <c r="AH35" i="64"/>
  <c r="AH36" i="64"/>
  <c r="AH37" i="64"/>
  <c r="AH38" i="64"/>
  <c r="AH39" i="64"/>
  <c r="AE35" i="64"/>
  <c r="AE36" i="64"/>
  <c r="AE37" i="64"/>
  <c r="AE38" i="64"/>
  <c r="AE39" i="64"/>
  <c r="AB38" i="64"/>
  <c r="AB39" i="64"/>
  <c r="L35" i="64"/>
  <c r="M35" i="64"/>
  <c r="N35" i="64"/>
  <c r="L36" i="64"/>
  <c r="M36" i="64"/>
  <c r="N36" i="64"/>
  <c r="L37" i="64"/>
  <c r="M37" i="64"/>
  <c r="N37" i="64"/>
  <c r="L38" i="64"/>
  <c r="M38" i="64"/>
  <c r="N38" i="64"/>
  <c r="L39" i="64"/>
  <c r="M39" i="64"/>
  <c r="N39" i="64"/>
  <c r="L40" i="64"/>
  <c r="M40" i="64"/>
  <c r="N40" i="64"/>
  <c r="L41" i="64"/>
  <c r="M41" i="64"/>
  <c r="N41" i="64"/>
  <c r="L42" i="64"/>
  <c r="M42" i="64"/>
  <c r="N42" i="64"/>
  <c r="I35" i="64"/>
  <c r="J35" i="64"/>
  <c r="I36" i="64"/>
  <c r="J36" i="64"/>
  <c r="I37" i="64"/>
  <c r="J37" i="64"/>
  <c r="I38" i="64"/>
  <c r="J38" i="64"/>
  <c r="I39" i="64"/>
  <c r="J39" i="64"/>
  <c r="I40" i="64"/>
  <c r="J40" i="64"/>
  <c r="I41" i="64"/>
  <c r="J41" i="64"/>
  <c r="I42" i="64"/>
  <c r="J42" i="64"/>
  <c r="AG32" i="64"/>
  <c r="AD32" i="64"/>
  <c r="O32" i="64"/>
  <c r="P32" i="64"/>
  <c r="Q32" i="64"/>
  <c r="R32" i="64"/>
  <c r="S32" i="64"/>
  <c r="T32" i="64"/>
  <c r="U32" i="64"/>
  <c r="V32" i="64"/>
  <c r="W32" i="64"/>
  <c r="X32" i="64"/>
  <c r="Y32" i="64"/>
  <c r="Z32" i="64"/>
  <c r="AG31" i="64"/>
  <c r="AD31" i="64"/>
  <c r="O31" i="64"/>
  <c r="P31" i="64"/>
  <c r="Q31" i="64"/>
  <c r="R31" i="64"/>
  <c r="S31" i="64"/>
  <c r="T31" i="64"/>
  <c r="U31" i="64"/>
  <c r="V31" i="64"/>
  <c r="W31" i="64"/>
  <c r="X31" i="64"/>
  <c r="Y31" i="64"/>
  <c r="Z31" i="64"/>
  <c r="AA31" i="64"/>
  <c r="N26" i="64"/>
  <c r="N27" i="64"/>
  <c r="N28" i="64"/>
  <c r="N29" i="64"/>
  <c r="B23" i="64"/>
  <c r="AG16" i="64"/>
  <c r="AG19" i="64"/>
  <c r="AG20" i="64"/>
  <c r="AD19" i="64"/>
  <c r="AD20" i="64"/>
  <c r="G19" i="64"/>
  <c r="G20" i="64"/>
  <c r="N19" i="64"/>
  <c r="O19" i="64"/>
  <c r="P19" i="64"/>
  <c r="Q19" i="64"/>
  <c r="R19" i="64"/>
  <c r="S19" i="64"/>
  <c r="T19" i="64"/>
  <c r="U19" i="64"/>
  <c r="V19" i="64"/>
  <c r="W19" i="64"/>
  <c r="X19" i="64"/>
  <c r="Y19" i="64"/>
  <c r="Z19" i="64"/>
  <c r="N20" i="64"/>
  <c r="O20" i="64"/>
  <c r="P20" i="64"/>
  <c r="Q20" i="64"/>
  <c r="R20" i="64"/>
  <c r="S20" i="64"/>
  <c r="T20" i="64"/>
  <c r="U20" i="64"/>
  <c r="V20" i="64"/>
  <c r="W20" i="64"/>
  <c r="X20" i="64"/>
  <c r="Y20" i="64"/>
  <c r="Z20" i="64"/>
  <c r="B17" i="64"/>
  <c r="B18" i="64"/>
  <c r="B19" i="64"/>
  <c r="O16" i="64"/>
  <c r="P16" i="64"/>
  <c r="Q16" i="64"/>
  <c r="R16" i="64"/>
  <c r="S16" i="64"/>
  <c r="T16" i="64"/>
  <c r="U16" i="64"/>
  <c r="V16" i="64"/>
  <c r="W16" i="64"/>
  <c r="X16" i="64"/>
  <c r="Y16" i="64"/>
  <c r="O17" i="64"/>
  <c r="P17" i="64"/>
  <c r="Q17" i="64"/>
  <c r="R17" i="64"/>
  <c r="S17" i="64"/>
  <c r="T17" i="64"/>
  <c r="U17" i="64"/>
  <c r="V17" i="64"/>
  <c r="W17" i="64"/>
  <c r="X17" i="64"/>
  <c r="Y17" i="64"/>
  <c r="Z17" i="64"/>
  <c r="AA17" i="64" s="1"/>
  <c r="AA11" i="64" s="1"/>
  <c r="AA18" i="64" s="1"/>
  <c r="A14" i="64"/>
  <c r="AG12" i="64"/>
  <c r="AG13" i="64"/>
  <c r="AD12" i="64"/>
  <c r="AD13" i="64"/>
  <c r="B12" i="64"/>
  <c r="B13" i="64"/>
  <c r="O11" i="64"/>
  <c r="P11" i="64"/>
  <c r="Q11" i="64"/>
  <c r="R11" i="64"/>
  <c r="S11" i="64"/>
  <c r="T11" i="64"/>
  <c r="U11" i="64"/>
  <c r="V11" i="64"/>
  <c r="W11" i="64"/>
  <c r="X11" i="64"/>
  <c r="Y11" i="64"/>
  <c r="Z11" i="64"/>
  <c r="O12" i="64"/>
  <c r="P12" i="64"/>
  <c r="Q12" i="64"/>
  <c r="R12" i="64"/>
  <c r="S12" i="64"/>
  <c r="T12" i="64"/>
  <c r="U12" i="64"/>
  <c r="V12" i="64"/>
  <c r="W12" i="64"/>
  <c r="X12" i="64"/>
  <c r="Y12" i="64"/>
  <c r="Z12" i="64"/>
  <c r="AA12" i="64"/>
  <c r="O13" i="64"/>
  <c r="P13" i="64"/>
  <c r="Q13" i="64"/>
  <c r="R13" i="64"/>
  <c r="S13" i="64"/>
  <c r="T13" i="64"/>
  <c r="U13" i="64"/>
  <c r="V13" i="64"/>
  <c r="W13" i="64"/>
  <c r="X13" i="64"/>
  <c r="Y13" i="64"/>
  <c r="Z13" i="64"/>
  <c r="AA13" i="64"/>
  <c r="C10" i="64"/>
  <c r="D10" i="64"/>
  <c r="C9" i="64"/>
  <c r="C1" i="64"/>
  <c r="C2" i="64"/>
  <c r="C3" i="64"/>
  <c r="C4" i="64"/>
  <c r="C5" i="64"/>
  <c r="C6" i="64"/>
  <c r="C7" i="64"/>
  <c r="C8" i="64"/>
  <c r="E6" i="64"/>
  <c r="E4" i="64"/>
  <c r="F4" i="64"/>
  <c r="B3" i="64"/>
  <c r="B120" i="63"/>
  <c r="B114" i="63"/>
  <c r="B115" i="63"/>
  <c r="B116" i="63"/>
  <c r="A111" i="63"/>
  <c r="AG90" i="63"/>
  <c r="AD90" i="63"/>
  <c r="O90" i="63"/>
  <c r="P90" i="63"/>
  <c r="Q90" i="63"/>
  <c r="R90" i="63"/>
  <c r="S90" i="63"/>
  <c r="T90" i="63"/>
  <c r="U90" i="63"/>
  <c r="V90" i="63"/>
  <c r="W90" i="63"/>
  <c r="X90" i="63"/>
  <c r="Y90" i="63"/>
  <c r="Z90" i="63"/>
  <c r="P91" i="63"/>
  <c r="B88" i="63"/>
  <c r="B89" i="63"/>
  <c r="N87" i="63"/>
  <c r="N90" i="63" s="1"/>
  <c r="N88" i="63"/>
  <c r="N91" i="63" s="1"/>
  <c r="AH87" i="63"/>
  <c r="AH88" i="63"/>
  <c r="AE87" i="63"/>
  <c r="AE88" i="63"/>
  <c r="AA88" i="63"/>
  <c r="I87" i="63"/>
  <c r="AA87" i="63" s="1"/>
  <c r="J87" i="63"/>
  <c r="I88" i="63"/>
  <c r="J88" i="63"/>
  <c r="N82" i="63"/>
  <c r="N83" i="63"/>
  <c r="N84" i="63"/>
  <c r="N85" i="63"/>
  <c r="I85" i="63"/>
  <c r="AA85" i="63" s="1"/>
  <c r="J85" i="63"/>
  <c r="B83" i="63"/>
  <c r="B84" i="63"/>
  <c r="B85" i="63"/>
  <c r="AH83" i="63"/>
  <c r="AH84" i="63"/>
  <c r="AH85" i="63"/>
  <c r="AE83" i="63"/>
  <c r="AE84" i="63"/>
  <c r="AE85" i="63"/>
  <c r="I83" i="63"/>
  <c r="J83" i="63"/>
  <c r="L83" i="63"/>
  <c r="M83" i="63"/>
  <c r="I84" i="63"/>
  <c r="AA84" i="63" s="1"/>
  <c r="AB84" i="63" s="1"/>
  <c r="J84" i="63"/>
  <c r="L84" i="63"/>
  <c r="M84" i="63"/>
  <c r="I82" i="63"/>
  <c r="J82" i="63"/>
  <c r="A80" i="63"/>
  <c r="AH76" i="63"/>
  <c r="AH77" i="63"/>
  <c r="AH78" i="63"/>
  <c r="AH79" i="63"/>
  <c r="AH80" i="63"/>
  <c r="AI80" i="63"/>
  <c r="AE76" i="63"/>
  <c r="AE77" i="63"/>
  <c r="AE78" i="63"/>
  <c r="AE79" i="63"/>
  <c r="AE80" i="63"/>
  <c r="AA76" i="63"/>
  <c r="AA79" i="63"/>
  <c r="AA80" i="63"/>
  <c r="I76" i="63"/>
  <c r="K76" i="63" s="1"/>
  <c r="J76" i="63"/>
  <c r="L76" i="63"/>
  <c r="M76" i="63"/>
  <c r="N76" i="63"/>
  <c r="I77" i="63"/>
  <c r="J77" i="63"/>
  <c r="L77" i="63"/>
  <c r="M77" i="63"/>
  <c r="N77" i="63"/>
  <c r="I78" i="63"/>
  <c r="AA78" i="63" s="1"/>
  <c r="J78" i="63"/>
  <c r="L78" i="63"/>
  <c r="M78" i="63"/>
  <c r="N78" i="63"/>
  <c r="I79" i="63"/>
  <c r="J79" i="63"/>
  <c r="K79" i="63"/>
  <c r="L79" i="63"/>
  <c r="M79" i="63"/>
  <c r="N79" i="63"/>
  <c r="I80" i="63"/>
  <c r="K80" i="63" s="1"/>
  <c r="J80" i="63"/>
  <c r="L80" i="63"/>
  <c r="M80" i="63"/>
  <c r="N80" i="63"/>
  <c r="N74" i="63"/>
  <c r="N75" i="63"/>
  <c r="I74" i="63"/>
  <c r="J74" i="63"/>
  <c r="I75" i="63"/>
  <c r="J75" i="63"/>
  <c r="AD72" i="63"/>
  <c r="AG72" i="63"/>
  <c r="AG91" i="63" s="1"/>
  <c r="N72" i="63"/>
  <c r="O72" i="63"/>
  <c r="O91" i="63" s="1"/>
  <c r="P72" i="63"/>
  <c r="Q72" i="63"/>
  <c r="Q91" i="63" s="1"/>
  <c r="R72" i="63"/>
  <c r="R91" i="63" s="1"/>
  <c r="S72" i="63"/>
  <c r="S91" i="63" s="1"/>
  <c r="T72" i="63"/>
  <c r="T91" i="63" s="1"/>
  <c r="U72" i="63"/>
  <c r="U91" i="63" s="1"/>
  <c r="V72" i="63"/>
  <c r="V91" i="63" s="1"/>
  <c r="W72" i="63"/>
  <c r="W91" i="63" s="1"/>
  <c r="X72" i="63"/>
  <c r="X91" i="63" s="1"/>
  <c r="Y72" i="63"/>
  <c r="Y91" i="63" s="1"/>
  <c r="Z72" i="63"/>
  <c r="Z91" i="63" s="1"/>
  <c r="AH71" i="63"/>
  <c r="AI71" i="63"/>
  <c r="AB62" i="63"/>
  <c r="AB63" i="63"/>
  <c r="AB64" i="63"/>
  <c r="AB65" i="63"/>
  <c r="AB66" i="63"/>
  <c r="AN66" i="63" s="1"/>
  <c r="AB67" i="63"/>
  <c r="AB68" i="63"/>
  <c r="AN68" i="63" s="1"/>
  <c r="AB69" i="63"/>
  <c r="AN69" i="63" s="1"/>
  <c r="AB70" i="63"/>
  <c r="AB71" i="63"/>
  <c r="N60" i="63"/>
  <c r="N61" i="63"/>
  <c r="N62" i="63"/>
  <c r="N63" i="63"/>
  <c r="N64" i="63"/>
  <c r="N65" i="63"/>
  <c r="N66" i="63"/>
  <c r="N67" i="63"/>
  <c r="N68" i="63"/>
  <c r="N69" i="63"/>
  <c r="N70" i="63"/>
  <c r="N71" i="63"/>
  <c r="I71" i="63"/>
  <c r="K71" i="63" s="1"/>
  <c r="J71" i="63"/>
  <c r="I72" i="63"/>
  <c r="J72" i="63"/>
  <c r="K72" i="63"/>
  <c r="AA64" i="63"/>
  <c r="AI64" i="63" s="1"/>
  <c r="AA70" i="63"/>
  <c r="AI70" i="63" s="1"/>
  <c r="AH62" i="63"/>
  <c r="AH63" i="63"/>
  <c r="AN63" i="63" s="1"/>
  <c r="AH64" i="63"/>
  <c r="AK64" i="63"/>
  <c r="AH65" i="63"/>
  <c r="AN65" i="63" s="1"/>
  <c r="AH66" i="63"/>
  <c r="AH67" i="63"/>
  <c r="AN67" i="63"/>
  <c r="AH68" i="63"/>
  <c r="AM68" i="63"/>
  <c r="AH69" i="63"/>
  <c r="AH70" i="63"/>
  <c r="AE62" i="63"/>
  <c r="AE63" i="63"/>
  <c r="AM63" i="63" s="1"/>
  <c r="AE64" i="63"/>
  <c r="AM64" i="63" s="1"/>
  <c r="AE65" i="63"/>
  <c r="AE66" i="63"/>
  <c r="AE67" i="63"/>
  <c r="AM67" i="63" s="1"/>
  <c r="AE68" i="63"/>
  <c r="AE69" i="63"/>
  <c r="AE70" i="63"/>
  <c r="AE71" i="63"/>
  <c r="AF71" i="63"/>
  <c r="I62" i="63"/>
  <c r="K62" i="63" s="1"/>
  <c r="J62" i="63"/>
  <c r="L62" i="63"/>
  <c r="M62" i="63"/>
  <c r="I63" i="63"/>
  <c r="K63" i="63" s="1"/>
  <c r="J63" i="63"/>
  <c r="L63" i="63"/>
  <c r="M63" i="63"/>
  <c r="I64" i="63"/>
  <c r="J64" i="63"/>
  <c r="K64" i="63"/>
  <c r="L64" i="63"/>
  <c r="M64" i="63"/>
  <c r="I65" i="63"/>
  <c r="AA65" i="63" s="1"/>
  <c r="J65" i="63"/>
  <c r="K65" i="63"/>
  <c r="L65" i="63"/>
  <c r="M65" i="63"/>
  <c r="I66" i="63"/>
  <c r="AA66" i="63" s="1"/>
  <c r="J66" i="63"/>
  <c r="L66" i="63"/>
  <c r="M66" i="63"/>
  <c r="I67" i="63"/>
  <c r="AA67" i="63" s="1"/>
  <c r="J67" i="63"/>
  <c r="K67" i="63"/>
  <c r="L67" i="63"/>
  <c r="M67" i="63"/>
  <c r="I68" i="63"/>
  <c r="J68" i="63"/>
  <c r="L68" i="63"/>
  <c r="M68" i="63"/>
  <c r="I69" i="63"/>
  <c r="AA69" i="63" s="1"/>
  <c r="J69" i="63"/>
  <c r="L69" i="63"/>
  <c r="M69" i="63"/>
  <c r="I70" i="63"/>
  <c r="K70" i="63" s="1"/>
  <c r="J70" i="63"/>
  <c r="L70" i="63"/>
  <c r="M70" i="63"/>
  <c r="I60" i="63"/>
  <c r="J60" i="63"/>
  <c r="I61" i="63"/>
  <c r="J61" i="63"/>
  <c r="B55" i="63"/>
  <c r="B56" i="63"/>
  <c r="B50" i="63"/>
  <c r="B51" i="63"/>
  <c r="B52" i="63"/>
  <c r="A47" i="63"/>
  <c r="AH35" i="63"/>
  <c r="AH36" i="63"/>
  <c r="AH37" i="63"/>
  <c r="AH38" i="63"/>
  <c r="AK38" i="63"/>
  <c r="AH39" i="63"/>
  <c r="AH40" i="63"/>
  <c r="AK40" i="63"/>
  <c r="AH41" i="63"/>
  <c r="AH42" i="63"/>
  <c r="AH43" i="63"/>
  <c r="AH44" i="63"/>
  <c r="AH45" i="63"/>
  <c r="AH46" i="63"/>
  <c r="AH47" i="63"/>
  <c r="AH48" i="63"/>
  <c r="AH49" i="63"/>
  <c r="AH50" i="63"/>
  <c r="AK50" i="63"/>
  <c r="AH51" i="63"/>
  <c r="AH52" i="63"/>
  <c r="AH53" i="63"/>
  <c r="AH54" i="63"/>
  <c r="AK54" i="63"/>
  <c r="AH55" i="63"/>
  <c r="AH56" i="63"/>
  <c r="AK56" i="63"/>
  <c r="AH57" i="63"/>
  <c r="AH58" i="63"/>
  <c r="AE35" i="63"/>
  <c r="AE36" i="63"/>
  <c r="AE37" i="63"/>
  <c r="AE38" i="63"/>
  <c r="AE39" i="63"/>
  <c r="AE40" i="63"/>
  <c r="AE41" i="63"/>
  <c r="AE42" i="63"/>
  <c r="AE43" i="63"/>
  <c r="AE44" i="63"/>
  <c r="AE45" i="63"/>
  <c r="AE46" i="63"/>
  <c r="AE47" i="63"/>
  <c r="AE48" i="63"/>
  <c r="AE49" i="63"/>
  <c r="AE50" i="63"/>
  <c r="AE51" i="63"/>
  <c r="AE52" i="63"/>
  <c r="AE53" i="63"/>
  <c r="AE54" i="63"/>
  <c r="AE55" i="63"/>
  <c r="AE56" i="63"/>
  <c r="AE57" i="63"/>
  <c r="AE58" i="63"/>
  <c r="AA38" i="63"/>
  <c r="AA45" i="63"/>
  <c r="I35" i="63"/>
  <c r="AA35" i="63" s="1"/>
  <c r="J35" i="63"/>
  <c r="L35" i="63"/>
  <c r="M35" i="63"/>
  <c r="N35" i="63"/>
  <c r="I36" i="63"/>
  <c r="J36" i="63"/>
  <c r="L36" i="63"/>
  <c r="M36" i="63"/>
  <c r="N36" i="63"/>
  <c r="I37" i="63"/>
  <c r="J37" i="63"/>
  <c r="L37" i="63"/>
  <c r="M37" i="63"/>
  <c r="N37" i="63"/>
  <c r="I38" i="63"/>
  <c r="J38" i="63"/>
  <c r="K38" i="63"/>
  <c r="L38" i="63"/>
  <c r="M38" i="63"/>
  <c r="N38" i="63"/>
  <c r="I39" i="63"/>
  <c r="AA39" i="63" s="1"/>
  <c r="J39" i="63"/>
  <c r="L39" i="63"/>
  <c r="M39" i="63"/>
  <c r="N39" i="63"/>
  <c r="I40" i="63"/>
  <c r="J40" i="63"/>
  <c r="L40" i="63"/>
  <c r="M40" i="63"/>
  <c r="N40" i="63"/>
  <c r="I41" i="63"/>
  <c r="AA41" i="63" s="1"/>
  <c r="J41" i="63"/>
  <c r="K41" i="63"/>
  <c r="L41" i="63"/>
  <c r="M41" i="63"/>
  <c r="N41" i="63"/>
  <c r="I42" i="63"/>
  <c r="J42" i="63"/>
  <c r="L42" i="63"/>
  <c r="M42" i="63"/>
  <c r="N42" i="63"/>
  <c r="I43" i="63"/>
  <c r="AA43" i="63" s="1"/>
  <c r="J43" i="63"/>
  <c r="L43" i="63"/>
  <c r="M43" i="63"/>
  <c r="N43" i="63"/>
  <c r="I44" i="63"/>
  <c r="J44" i="63"/>
  <c r="L44" i="63"/>
  <c r="M44" i="63"/>
  <c r="N44" i="63"/>
  <c r="I45" i="63"/>
  <c r="K45" i="63" s="1"/>
  <c r="J45" i="63"/>
  <c r="L45" i="63"/>
  <c r="M45" i="63"/>
  <c r="N45" i="63"/>
  <c r="I46" i="63"/>
  <c r="AA46" i="63" s="1"/>
  <c r="AI46" i="63" s="1"/>
  <c r="J46" i="63"/>
  <c r="K46" i="63"/>
  <c r="L46" i="63"/>
  <c r="M46" i="63"/>
  <c r="N46" i="63"/>
  <c r="I47" i="63"/>
  <c r="AA47" i="63" s="1"/>
  <c r="J47" i="63"/>
  <c r="L47" i="63"/>
  <c r="M47" i="63"/>
  <c r="N47" i="63"/>
  <c r="I48" i="63"/>
  <c r="J48" i="63"/>
  <c r="L48" i="63"/>
  <c r="M48" i="63"/>
  <c r="N48" i="63"/>
  <c r="I49" i="63"/>
  <c r="J49" i="63"/>
  <c r="L49" i="63"/>
  <c r="M49" i="63"/>
  <c r="N49" i="63"/>
  <c r="I50" i="63"/>
  <c r="AA50" i="63" s="1"/>
  <c r="J50" i="63"/>
  <c r="L50" i="63"/>
  <c r="M50" i="63"/>
  <c r="N50" i="63"/>
  <c r="I51" i="63"/>
  <c r="AA51" i="63" s="1"/>
  <c r="J51" i="63"/>
  <c r="L51" i="63"/>
  <c r="M51" i="63"/>
  <c r="N51" i="63"/>
  <c r="I52" i="63"/>
  <c r="J52" i="63"/>
  <c r="L52" i="63"/>
  <c r="M52" i="63"/>
  <c r="N52" i="63"/>
  <c r="I53" i="63"/>
  <c r="J53" i="63"/>
  <c r="L53" i="63"/>
  <c r="M53" i="63"/>
  <c r="N53" i="63"/>
  <c r="I54" i="63"/>
  <c r="J54" i="63"/>
  <c r="L54" i="63"/>
  <c r="M54" i="63"/>
  <c r="N54" i="63"/>
  <c r="I55" i="63"/>
  <c r="AA55" i="63" s="1"/>
  <c r="J55" i="63"/>
  <c r="L55" i="63"/>
  <c r="M55" i="63"/>
  <c r="N55" i="63"/>
  <c r="I56" i="63"/>
  <c r="J56" i="63"/>
  <c r="L56" i="63"/>
  <c r="M56" i="63"/>
  <c r="N56" i="63"/>
  <c r="I57" i="63"/>
  <c r="J57" i="63"/>
  <c r="L57" i="63"/>
  <c r="M57" i="63"/>
  <c r="N57" i="63"/>
  <c r="I58" i="63"/>
  <c r="AA58" i="63" s="1"/>
  <c r="J58" i="63"/>
  <c r="L58" i="63"/>
  <c r="M58" i="63"/>
  <c r="N58" i="63"/>
  <c r="N33" i="63"/>
  <c r="N34" i="63"/>
  <c r="I33" i="63"/>
  <c r="J33" i="63"/>
  <c r="I34" i="63"/>
  <c r="J34" i="63"/>
  <c r="AJ32" i="63"/>
  <c r="AL32" i="63"/>
  <c r="AG32" i="63"/>
  <c r="AD32" i="63"/>
  <c r="AK32" i="63" s="1"/>
  <c r="O32" i="63"/>
  <c r="P32" i="63"/>
  <c r="Q32" i="63"/>
  <c r="R32" i="63"/>
  <c r="S32" i="63"/>
  <c r="T32" i="63"/>
  <c r="U32" i="63"/>
  <c r="V32" i="63"/>
  <c r="W32" i="63"/>
  <c r="X32" i="63"/>
  <c r="Y32" i="63"/>
  <c r="Z32" i="63"/>
  <c r="AJ31" i="63"/>
  <c r="AK31" i="63"/>
  <c r="AM31" i="63" s="1"/>
  <c r="AL31" i="63"/>
  <c r="AN31" i="63"/>
  <c r="AG31" i="63"/>
  <c r="AD31" i="63"/>
  <c r="O31" i="63"/>
  <c r="P31" i="63"/>
  <c r="Q31" i="63"/>
  <c r="R31" i="63"/>
  <c r="S31" i="63"/>
  <c r="T31" i="63"/>
  <c r="U31" i="63"/>
  <c r="V31" i="63"/>
  <c r="W31" i="63"/>
  <c r="X31" i="63"/>
  <c r="Y31" i="63"/>
  <c r="Z31" i="63"/>
  <c r="AA31" i="63"/>
  <c r="N26" i="63"/>
  <c r="N27" i="63"/>
  <c r="N28" i="63"/>
  <c r="N29" i="63"/>
  <c r="B22" i="63"/>
  <c r="B23" i="63"/>
  <c r="AG16" i="63"/>
  <c r="AG19" i="63"/>
  <c r="AG20" i="63"/>
  <c r="AD19" i="63"/>
  <c r="AD20" i="63"/>
  <c r="AK63" i="63" s="1"/>
  <c r="G19" i="63"/>
  <c r="G20" i="63"/>
  <c r="N19" i="63"/>
  <c r="O19" i="63"/>
  <c r="P19" i="63"/>
  <c r="Q19" i="63"/>
  <c r="R19" i="63"/>
  <c r="S19" i="63"/>
  <c r="T19" i="63"/>
  <c r="U19" i="63"/>
  <c r="V19" i="63"/>
  <c r="W19" i="63"/>
  <c r="X19" i="63"/>
  <c r="Y19" i="63"/>
  <c r="Z19" i="63"/>
  <c r="N20" i="63"/>
  <c r="O20" i="63"/>
  <c r="P20" i="63"/>
  <c r="Q20" i="63"/>
  <c r="R20" i="63"/>
  <c r="S20" i="63"/>
  <c r="T20" i="63"/>
  <c r="U20" i="63"/>
  <c r="V20" i="63"/>
  <c r="W20" i="63"/>
  <c r="X20" i="63"/>
  <c r="Y20" i="63"/>
  <c r="Z20" i="63"/>
  <c r="B17" i="63"/>
  <c r="B18" i="63"/>
  <c r="B19" i="63"/>
  <c r="O16" i="63"/>
  <c r="P16" i="63"/>
  <c r="Q16" i="63"/>
  <c r="R16" i="63"/>
  <c r="S16" i="63"/>
  <c r="T16" i="63"/>
  <c r="U16" i="63"/>
  <c r="V16" i="63"/>
  <c r="W16" i="63"/>
  <c r="X16" i="63"/>
  <c r="Y16" i="63"/>
  <c r="O17" i="63"/>
  <c r="P17" i="63"/>
  <c r="Q17" i="63"/>
  <c r="R17" i="63"/>
  <c r="S17" i="63"/>
  <c r="T17" i="63"/>
  <c r="U17" i="63"/>
  <c r="V17" i="63"/>
  <c r="W17" i="63"/>
  <c r="X17" i="63"/>
  <c r="Y17" i="63"/>
  <c r="Z17" i="63"/>
  <c r="AA17" i="63" s="1"/>
  <c r="AA11" i="63" s="1"/>
  <c r="A14" i="63"/>
  <c r="AG12" i="63"/>
  <c r="AG13" i="63"/>
  <c r="AD12" i="63"/>
  <c r="AD13" i="63"/>
  <c r="B12" i="63"/>
  <c r="B13" i="63"/>
  <c r="O11" i="63"/>
  <c r="P11" i="63"/>
  <c r="Q11" i="63"/>
  <c r="R11" i="63"/>
  <c r="S11" i="63"/>
  <c r="T11" i="63"/>
  <c r="U11" i="63"/>
  <c r="V11" i="63"/>
  <c r="W11" i="63"/>
  <c r="X11" i="63"/>
  <c r="Y11" i="63"/>
  <c r="Z11" i="63"/>
  <c r="O12" i="63"/>
  <c r="P12" i="63"/>
  <c r="Q12" i="63"/>
  <c r="R12" i="63"/>
  <c r="S12" i="63"/>
  <c r="T12" i="63"/>
  <c r="U12" i="63"/>
  <c r="V12" i="63"/>
  <c r="W12" i="63"/>
  <c r="X12" i="63"/>
  <c r="Y12" i="63"/>
  <c r="Z12" i="63"/>
  <c r="AA12" i="63"/>
  <c r="O13" i="63"/>
  <c r="P13" i="63"/>
  <c r="Q13" i="63"/>
  <c r="R13" i="63"/>
  <c r="S13" i="63"/>
  <c r="T13" i="63"/>
  <c r="U13" i="63"/>
  <c r="V13" i="63"/>
  <c r="W13" i="63"/>
  <c r="X13" i="63"/>
  <c r="Y13" i="63"/>
  <c r="Z13" i="63"/>
  <c r="AA13" i="63"/>
  <c r="C10" i="63"/>
  <c r="D10" i="63"/>
  <c r="C9" i="63"/>
  <c r="C1" i="63"/>
  <c r="C2" i="63"/>
  <c r="C3" i="63"/>
  <c r="C4" i="63"/>
  <c r="C5" i="63"/>
  <c r="C6" i="63"/>
  <c r="C7" i="63"/>
  <c r="C8" i="63"/>
  <c r="E6" i="63"/>
  <c r="B29" i="63" s="1"/>
  <c r="E4" i="63"/>
  <c r="F4" i="63"/>
  <c r="B3" i="63"/>
  <c r="H2" i="63" s="1"/>
  <c r="N1" i="63"/>
  <c r="N1" i="64" s="1"/>
  <c r="AG143" i="62"/>
  <c r="AG144" i="62"/>
  <c r="AG145" i="62"/>
  <c r="AG146" i="62"/>
  <c r="AD143" i="62"/>
  <c r="AD144" i="62"/>
  <c r="AD145" i="62"/>
  <c r="AD146" i="62"/>
  <c r="O143" i="62"/>
  <c r="P143" i="62"/>
  <c r="Q143" i="62"/>
  <c r="R143" i="62"/>
  <c r="S143" i="62"/>
  <c r="T143" i="62"/>
  <c r="U143" i="62"/>
  <c r="V143" i="62"/>
  <c r="W143" i="62"/>
  <c r="X143" i="62"/>
  <c r="Y143" i="62"/>
  <c r="Z143" i="62"/>
  <c r="O144" i="62"/>
  <c r="P144" i="62"/>
  <c r="Q144" i="62"/>
  <c r="R144" i="62"/>
  <c r="S144" i="62"/>
  <c r="T144" i="62"/>
  <c r="U144" i="62"/>
  <c r="V144" i="62"/>
  <c r="W144" i="62"/>
  <c r="X144" i="62"/>
  <c r="Y144" i="62"/>
  <c r="Z144" i="62"/>
  <c r="O145" i="62"/>
  <c r="P145" i="62"/>
  <c r="Q145" i="62"/>
  <c r="R145" i="62"/>
  <c r="S145" i="62"/>
  <c r="T145" i="62"/>
  <c r="U145" i="62"/>
  <c r="V145" i="62"/>
  <c r="W145" i="62"/>
  <c r="X145" i="62"/>
  <c r="Y145" i="62"/>
  <c r="Z145" i="62"/>
  <c r="O146" i="62"/>
  <c r="P146" i="62"/>
  <c r="Q146" i="62"/>
  <c r="R146" i="62"/>
  <c r="S146" i="62"/>
  <c r="T146" i="62"/>
  <c r="U146" i="62"/>
  <c r="V146" i="62"/>
  <c r="W146" i="62"/>
  <c r="X146" i="62"/>
  <c r="Y146" i="62"/>
  <c r="Z146" i="62"/>
  <c r="AI131" i="62"/>
  <c r="AI133" i="62"/>
  <c r="AI135" i="62"/>
  <c r="AI137" i="62"/>
  <c r="AI139" i="62"/>
  <c r="AG141" i="62"/>
  <c r="AD141" i="62"/>
  <c r="O141" i="62"/>
  <c r="P141" i="62"/>
  <c r="Q141" i="62"/>
  <c r="R141" i="62"/>
  <c r="S141" i="62"/>
  <c r="T141" i="62"/>
  <c r="U141" i="62"/>
  <c r="V141" i="62"/>
  <c r="W141" i="62"/>
  <c r="X141" i="62"/>
  <c r="Y141" i="62"/>
  <c r="Z141" i="62"/>
  <c r="AH140" i="62"/>
  <c r="AE140" i="62"/>
  <c r="AA140" i="62"/>
  <c r="AB140" i="62"/>
  <c r="AF131" i="62"/>
  <c r="AF132" i="62"/>
  <c r="AF133" i="62"/>
  <c r="AF135" i="62"/>
  <c r="AF136" i="62"/>
  <c r="AF137" i="62"/>
  <c r="AF139" i="62"/>
  <c r="AH138" i="62"/>
  <c r="AE138" i="62"/>
  <c r="AA138" i="62"/>
  <c r="AB138" i="62"/>
  <c r="AH136" i="62"/>
  <c r="AE136" i="62"/>
  <c r="AA136" i="62"/>
  <c r="AI136" i="62" s="1"/>
  <c r="AB136" i="62"/>
  <c r="AH134" i="62"/>
  <c r="AE134" i="62"/>
  <c r="AA134" i="62"/>
  <c r="AI134" i="62" s="1"/>
  <c r="AB134" i="62"/>
  <c r="AH132" i="62"/>
  <c r="AE132" i="62"/>
  <c r="AA132" i="62"/>
  <c r="AI132" i="62" s="1"/>
  <c r="AB132" i="62"/>
  <c r="AH130" i="62"/>
  <c r="AE130" i="62"/>
  <c r="AA130" i="62"/>
  <c r="AB130" i="62"/>
  <c r="L130" i="62"/>
  <c r="M130" i="62"/>
  <c r="N130" i="62"/>
  <c r="L131" i="62"/>
  <c r="M131" i="62"/>
  <c r="N131" i="62"/>
  <c r="L132" i="62"/>
  <c r="M132" i="62"/>
  <c r="N132" i="62"/>
  <c r="L133" i="62"/>
  <c r="M133" i="62"/>
  <c r="N133" i="62"/>
  <c r="L134" i="62"/>
  <c r="M134" i="62"/>
  <c r="N134" i="62"/>
  <c r="L135" i="62"/>
  <c r="M135" i="62"/>
  <c r="N135" i="62"/>
  <c r="L136" i="62"/>
  <c r="M136" i="62"/>
  <c r="N136" i="62"/>
  <c r="L137" i="62"/>
  <c r="M137" i="62"/>
  <c r="N137" i="62"/>
  <c r="L138" i="62"/>
  <c r="M138" i="62"/>
  <c r="N138" i="62"/>
  <c r="L139" i="62"/>
  <c r="M139" i="62"/>
  <c r="N139" i="62"/>
  <c r="L140" i="62"/>
  <c r="M140" i="62"/>
  <c r="N140" i="62"/>
  <c r="N129" i="62"/>
  <c r="AG121" i="62"/>
  <c r="AG122" i="62"/>
  <c r="AH122" i="62" s="1"/>
  <c r="AG123" i="62"/>
  <c r="AH123" i="62" s="1"/>
  <c r="AG124" i="62"/>
  <c r="AH124" i="62" s="1"/>
  <c r="AG125" i="62"/>
  <c r="AH125" i="62" s="1"/>
  <c r="AD121" i="62"/>
  <c r="AD122" i="62"/>
  <c r="AD123" i="62"/>
  <c r="AE123" i="62" s="1"/>
  <c r="AD124" i="62"/>
  <c r="AE124" i="62" s="1"/>
  <c r="AD125" i="62"/>
  <c r="AE125" i="62" s="1"/>
  <c r="AE121" i="62"/>
  <c r="AE122" i="62"/>
  <c r="L121" i="62"/>
  <c r="M121" i="62"/>
  <c r="N121" i="62"/>
  <c r="O121" i="62"/>
  <c r="P121" i="62"/>
  <c r="Q121" i="62"/>
  <c r="R121" i="62"/>
  <c r="S121" i="62"/>
  <c r="T121" i="62"/>
  <c r="U121" i="62"/>
  <c r="V121" i="62"/>
  <c r="W121" i="62"/>
  <c r="X121" i="62"/>
  <c r="Y121" i="62"/>
  <c r="Z121" i="62"/>
  <c r="L122" i="62"/>
  <c r="M122" i="62"/>
  <c r="N122" i="62"/>
  <c r="O122" i="62"/>
  <c r="P122" i="62"/>
  <c r="Q122" i="62"/>
  <c r="R122" i="62"/>
  <c r="S122" i="62"/>
  <c r="T122" i="62"/>
  <c r="U122" i="62"/>
  <c r="V122" i="62"/>
  <c r="W122" i="62"/>
  <c r="X122" i="62"/>
  <c r="Y122" i="62"/>
  <c r="Z122" i="62"/>
  <c r="L123" i="62"/>
  <c r="M123" i="62"/>
  <c r="N123" i="62"/>
  <c r="O123" i="62"/>
  <c r="P123" i="62"/>
  <c r="Q123" i="62"/>
  <c r="R123" i="62"/>
  <c r="S123" i="62"/>
  <c r="T123" i="62"/>
  <c r="U123" i="62"/>
  <c r="V123" i="62"/>
  <c r="W123" i="62"/>
  <c r="X123" i="62"/>
  <c r="Y123" i="62"/>
  <c r="Z123" i="62"/>
  <c r="L124" i="62"/>
  <c r="M124" i="62"/>
  <c r="N124" i="62"/>
  <c r="O124" i="62"/>
  <c r="P124" i="62"/>
  <c r="Q124" i="62"/>
  <c r="R124" i="62"/>
  <c r="S124" i="62"/>
  <c r="T124" i="62"/>
  <c r="U124" i="62"/>
  <c r="V124" i="62"/>
  <c r="W124" i="62"/>
  <c r="X124" i="62"/>
  <c r="Y124" i="62"/>
  <c r="Z124" i="62"/>
  <c r="L125" i="62"/>
  <c r="M125" i="62"/>
  <c r="N125" i="62"/>
  <c r="O125" i="62"/>
  <c r="P125" i="62"/>
  <c r="AA125" i="62" s="1"/>
  <c r="Q125" i="62"/>
  <c r="R125" i="62"/>
  <c r="S125" i="62"/>
  <c r="T125" i="62"/>
  <c r="U125" i="62"/>
  <c r="V125" i="62"/>
  <c r="W125" i="62"/>
  <c r="X125" i="62"/>
  <c r="Y125" i="62"/>
  <c r="Z125" i="62"/>
  <c r="L126" i="62"/>
  <c r="M126" i="62"/>
  <c r="N126" i="62"/>
  <c r="AH114" i="62"/>
  <c r="AI114" i="62"/>
  <c r="AH115" i="62"/>
  <c r="AH116" i="62"/>
  <c r="AH117" i="62"/>
  <c r="AH118" i="62"/>
  <c r="AI118" i="62"/>
  <c r="AH119" i="62"/>
  <c r="AI119" i="62"/>
  <c r="AE114" i="62"/>
  <c r="AE115" i="62"/>
  <c r="AE116" i="62"/>
  <c r="AF116" i="62"/>
  <c r="AE117" i="62"/>
  <c r="AE118" i="62"/>
  <c r="AE119" i="62"/>
  <c r="AA114" i="62"/>
  <c r="AF114" i="62" s="1"/>
  <c r="AB114" i="62"/>
  <c r="AA115" i="62"/>
  <c r="AF115" i="62" s="1"/>
  <c r="AA116" i="62"/>
  <c r="AI116" i="62" s="1"/>
  <c r="AA117" i="62"/>
  <c r="AA118" i="62"/>
  <c r="AF118" i="62" s="1"/>
  <c r="AB118" i="62"/>
  <c r="AA119" i="62"/>
  <c r="AF119" i="62" s="1"/>
  <c r="AB119" i="62"/>
  <c r="L114" i="62"/>
  <c r="M114" i="62"/>
  <c r="N114" i="62"/>
  <c r="L115" i="62"/>
  <c r="M115" i="62"/>
  <c r="N115" i="62"/>
  <c r="L116" i="62"/>
  <c r="M116" i="62"/>
  <c r="N116" i="62"/>
  <c r="L117" i="62"/>
  <c r="M117" i="62"/>
  <c r="N117" i="62"/>
  <c r="L118" i="62"/>
  <c r="M118" i="62"/>
  <c r="N118" i="62"/>
  <c r="L119" i="62"/>
  <c r="M119" i="62"/>
  <c r="N119" i="62"/>
  <c r="AH106" i="62"/>
  <c r="AH107" i="62"/>
  <c r="AI107" i="62"/>
  <c r="AH108" i="62"/>
  <c r="AH109" i="62"/>
  <c r="AH110" i="62"/>
  <c r="AH111" i="62"/>
  <c r="AI111" i="62"/>
  <c r="AE106" i="62"/>
  <c r="AE107" i="62"/>
  <c r="AE108" i="62"/>
  <c r="AE109" i="62"/>
  <c r="AE110" i="62"/>
  <c r="AF110" i="62"/>
  <c r="AE111" i="62"/>
  <c r="AA106" i="62"/>
  <c r="AI106" i="62" s="1"/>
  <c r="AB106" i="62"/>
  <c r="AA107" i="62"/>
  <c r="AF107" i="62" s="1"/>
  <c r="AB107" i="62"/>
  <c r="AA108" i="62"/>
  <c r="AF108" i="62" s="1"/>
  <c r="AA109" i="62"/>
  <c r="AI109" i="62" s="1"/>
  <c r="AB109" i="62"/>
  <c r="AA110" i="62"/>
  <c r="AI110" i="62" s="1"/>
  <c r="AB110" i="62"/>
  <c r="AA111" i="62"/>
  <c r="AF111" i="62" s="1"/>
  <c r="AB111" i="62"/>
  <c r="L106" i="62"/>
  <c r="M106" i="62"/>
  <c r="N106" i="62"/>
  <c r="L107" i="62"/>
  <c r="M107" i="62"/>
  <c r="N107" i="62"/>
  <c r="L108" i="62"/>
  <c r="M108" i="62"/>
  <c r="N108" i="62"/>
  <c r="L109" i="62"/>
  <c r="M109" i="62"/>
  <c r="N109" i="62"/>
  <c r="L110" i="62"/>
  <c r="M110" i="62"/>
  <c r="N110" i="62"/>
  <c r="L111" i="62"/>
  <c r="M111" i="62"/>
  <c r="N111" i="62"/>
  <c r="AH98" i="62"/>
  <c r="AI98" i="62"/>
  <c r="AH99" i="62"/>
  <c r="AI99" i="62"/>
  <c r="AH100" i="62"/>
  <c r="AI100" i="62"/>
  <c r="AH101" i="62"/>
  <c r="AH102" i="62"/>
  <c r="AI102" i="62"/>
  <c r="AH103" i="62"/>
  <c r="AI103" i="62"/>
  <c r="AE98" i="62"/>
  <c r="AE99" i="62"/>
  <c r="AE100" i="62"/>
  <c r="AF100" i="62"/>
  <c r="AE101" i="62"/>
  <c r="AF101" i="62"/>
  <c r="AE102" i="62"/>
  <c r="AE103" i="62"/>
  <c r="AA98" i="62"/>
  <c r="AF98" i="62" s="1"/>
  <c r="AB98" i="62"/>
  <c r="AA99" i="62"/>
  <c r="AF99" i="62" s="1"/>
  <c r="AB99" i="62"/>
  <c r="AA100" i="62"/>
  <c r="AB100" i="62"/>
  <c r="AA101" i="62"/>
  <c r="AI101" i="62" s="1"/>
  <c r="AA102" i="62"/>
  <c r="AF102" i="62" s="1"/>
  <c r="AB102" i="62"/>
  <c r="AA103" i="62"/>
  <c r="AF103" i="62" s="1"/>
  <c r="AB103" i="62"/>
  <c r="L98" i="62"/>
  <c r="M98" i="62"/>
  <c r="N98" i="62"/>
  <c r="L99" i="62"/>
  <c r="M99" i="62"/>
  <c r="N99" i="62"/>
  <c r="L100" i="62"/>
  <c r="M100" i="62"/>
  <c r="N100" i="62"/>
  <c r="L101" i="62"/>
  <c r="M101" i="62"/>
  <c r="N101" i="62"/>
  <c r="L102" i="62"/>
  <c r="M102" i="62"/>
  <c r="N102" i="62"/>
  <c r="L103" i="62"/>
  <c r="M103" i="62"/>
  <c r="N103" i="62"/>
  <c r="AD93" i="62"/>
  <c r="AD94" i="62"/>
  <c r="AG93" i="62"/>
  <c r="AG94" i="62"/>
  <c r="O93" i="62"/>
  <c r="P93" i="62"/>
  <c r="Q93" i="62"/>
  <c r="R93" i="62"/>
  <c r="S93" i="62"/>
  <c r="T93" i="62"/>
  <c r="U93" i="62"/>
  <c r="V93" i="62"/>
  <c r="W93" i="62"/>
  <c r="X93" i="62"/>
  <c r="Y93" i="62"/>
  <c r="Z93" i="62"/>
  <c r="O94" i="62"/>
  <c r="P94" i="62"/>
  <c r="Q94" i="62"/>
  <c r="R94" i="62"/>
  <c r="S94" i="62"/>
  <c r="T94" i="62"/>
  <c r="U94" i="62"/>
  <c r="V94" i="62"/>
  <c r="W94" i="62"/>
  <c r="X94" i="62"/>
  <c r="Y94" i="62"/>
  <c r="Z94" i="62"/>
  <c r="AA91" i="62"/>
  <c r="AF91" i="62" s="1"/>
  <c r="AA92" i="62"/>
  <c r="AF92" i="62" s="1"/>
  <c r="N91" i="62"/>
  <c r="N92" i="62"/>
  <c r="I91" i="62"/>
  <c r="J91" i="62"/>
  <c r="I92" i="62"/>
  <c r="J92" i="62"/>
  <c r="AF87" i="62"/>
  <c r="AA35" i="62"/>
  <c r="AI35" i="62" s="1"/>
  <c r="AA36" i="62"/>
  <c r="AB36" i="62" s="1"/>
  <c r="AA37" i="62"/>
  <c r="AI37" i="62" s="1"/>
  <c r="AA38" i="62"/>
  <c r="AB38" i="62" s="1"/>
  <c r="AA39" i="62"/>
  <c r="AB39" i="62" s="1"/>
  <c r="AA40" i="62"/>
  <c r="AA41" i="62"/>
  <c r="AB41" i="62" s="1"/>
  <c r="AA45" i="62"/>
  <c r="AF45" i="62" s="1"/>
  <c r="AA46" i="62"/>
  <c r="AA47" i="62"/>
  <c r="AF47" i="62" s="1"/>
  <c r="AA48" i="62"/>
  <c r="AA49" i="62"/>
  <c r="AA50" i="62"/>
  <c r="AA51" i="62"/>
  <c r="AA52" i="62"/>
  <c r="AA55" i="62"/>
  <c r="AF55" i="62" s="1"/>
  <c r="AA56" i="62"/>
  <c r="AB56" i="62" s="1"/>
  <c r="AA57" i="62"/>
  <c r="AB57" i="62" s="1"/>
  <c r="AA58" i="62"/>
  <c r="AB58" i="62" s="1"/>
  <c r="AA59" i="62"/>
  <c r="AA63" i="62" s="1"/>
  <c r="AA60" i="62"/>
  <c r="AA61" i="62"/>
  <c r="AA62" i="62"/>
  <c r="AI62" i="62" s="1"/>
  <c r="AA64" i="62"/>
  <c r="AA65" i="62"/>
  <c r="AB65" i="62" s="1"/>
  <c r="AA66" i="62"/>
  <c r="AI66" i="62" s="1"/>
  <c r="AA67" i="62"/>
  <c r="AB67" i="62" s="1"/>
  <c r="AA68" i="62"/>
  <c r="AA69" i="62"/>
  <c r="AA70" i="62"/>
  <c r="AA71" i="62"/>
  <c r="AA73" i="62" s="1"/>
  <c r="AA72" i="62"/>
  <c r="AA75" i="62"/>
  <c r="AF75" i="62" s="1"/>
  <c r="AA76" i="62"/>
  <c r="AA77" i="62"/>
  <c r="AB77" i="62" s="1"/>
  <c r="AA78" i="62"/>
  <c r="AA79" i="62"/>
  <c r="AA80" i="62"/>
  <c r="AA83" i="62"/>
  <c r="AI83" i="62" s="1"/>
  <c r="AA85" i="62"/>
  <c r="AF85" i="62" s="1"/>
  <c r="AA86" i="62"/>
  <c r="AF86" i="62" s="1"/>
  <c r="AA87" i="62"/>
  <c r="AI87" i="62" s="1"/>
  <c r="N85" i="62"/>
  <c r="N143" i="62" s="1"/>
  <c r="N86" i="62"/>
  <c r="N87" i="62"/>
  <c r="N144" i="62" s="1"/>
  <c r="N88" i="62"/>
  <c r="N145" i="62" s="1"/>
  <c r="AH87" i="62"/>
  <c r="AE87" i="62"/>
  <c r="AB87" i="62"/>
  <c r="AH83" i="62"/>
  <c r="AH85" i="62"/>
  <c r="AE83" i="62"/>
  <c r="AE84" i="62"/>
  <c r="AE85" i="62"/>
  <c r="AB85" i="62"/>
  <c r="L85" i="62"/>
  <c r="M85" i="62"/>
  <c r="L86" i="62"/>
  <c r="M86" i="62"/>
  <c r="L87" i="62"/>
  <c r="M87" i="62"/>
  <c r="I85" i="62"/>
  <c r="J85" i="62"/>
  <c r="I86" i="62"/>
  <c r="J86" i="62"/>
  <c r="I87" i="62"/>
  <c r="J87" i="62"/>
  <c r="I88" i="62"/>
  <c r="J88" i="62"/>
  <c r="U84" i="62"/>
  <c r="L83" i="62"/>
  <c r="M83" i="62"/>
  <c r="N83" i="62"/>
  <c r="I83" i="62"/>
  <c r="J83" i="62"/>
  <c r="AG82" i="62"/>
  <c r="AH84" i="62" s="1"/>
  <c r="AD82" i="62"/>
  <c r="O82" i="62"/>
  <c r="O84" i="62" s="1"/>
  <c r="P82" i="62"/>
  <c r="P84" i="62" s="1"/>
  <c r="Q82" i="62"/>
  <c r="Q84" i="62" s="1"/>
  <c r="R82" i="62"/>
  <c r="R84" i="62" s="1"/>
  <c r="S82" i="62"/>
  <c r="S84" i="62" s="1"/>
  <c r="T82" i="62"/>
  <c r="T84" i="62" s="1"/>
  <c r="U82" i="62"/>
  <c r="V82" i="62"/>
  <c r="V84" i="62" s="1"/>
  <c r="W82" i="62"/>
  <c r="W84" i="62" s="1"/>
  <c r="X82" i="62"/>
  <c r="X84" i="62" s="1"/>
  <c r="Y82" i="62"/>
  <c r="Y84" i="62" s="1"/>
  <c r="Z82" i="62"/>
  <c r="Z84" i="62" s="1"/>
  <c r="AI77" i="62"/>
  <c r="AI79" i="62"/>
  <c r="AF76" i="62"/>
  <c r="AF77" i="62"/>
  <c r="AF79" i="62"/>
  <c r="AF80" i="62"/>
  <c r="AH74" i="62"/>
  <c r="AH75" i="62"/>
  <c r="AH76" i="62"/>
  <c r="AH77" i="62"/>
  <c r="AH78" i="62"/>
  <c r="AH79" i="62"/>
  <c r="AH80" i="62"/>
  <c r="AE75" i="62"/>
  <c r="AE76" i="62"/>
  <c r="AE77" i="62"/>
  <c r="AE78" i="62"/>
  <c r="AE79" i="62"/>
  <c r="AE80" i="62"/>
  <c r="AB79" i="62"/>
  <c r="L75" i="62"/>
  <c r="M75" i="62"/>
  <c r="N75" i="62"/>
  <c r="L76" i="62"/>
  <c r="M76" i="62"/>
  <c r="N76" i="62"/>
  <c r="L77" i="62"/>
  <c r="M77" i="62"/>
  <c r="N77" i="62"/>
  <c r="L78" i="62"/>
  <c r="M78" i="62"/>
  <c r="N78" i="62"/>
  <c r="L79" i="62"/>
  <c r="M79" i="62"/>
  <c r="N79" i="62"/>
  <c r="L80" i="62"/>
  <c r="M80" i="62"/>
  <c r="N80" i="62"/>
  <c r="L81" i="62"/>
  <c r="M81" i="62"/>
  <c r="N81" i="62"/>
  <c r="I75" i="62"/>
  <c r="J75" i="62"/>
  <c r="I76" i="62"/>
  <c r="J76" i="62"/>
  <c r="I77" i="62"/>
  <c r="J77" i="62"/>
  <c r="I78" i="62"/>
  <c r="J78" i="62"/>
  <c r="I79" i="62"/>
  <c r="J79" i="62"/>
  <c r="I80" i="62"/>
  <c r="J80" i="62"/>
  <c r="I81" i="62"/>
  <c r="J81" i="62"/>
  <c r="AG73" i="62"/>
  <c r="AD73" i="62"/>
  <c r="AE74" i="62" s="1"/>
  <c r="O73" i="62"/>
  <c r="P73" i="62"/>
  <c r="Q73" i="62"/>
  <c r="Q74" i="62" s="1"/>
  <c r="R73" i="62"/>
  <c r="R74" i="62" s="1"/>
  <c r="S73" i="62"/>
  <c r="S74" i="62" s="1"/>
  <c r="T73" i="62"/>
  <c r="T74" i="62" s="1"/>
  <c r="U73" i="62"/>
  <c r="V73" i="62"/>
  <c r="V74" i="62" s="1"/>
  <c r="W73" i="62"/>
  <c r="W74" i="62" s="1"/>
  <c r="X73" i="62"/>
  <c r="Y73" i="62"/>
  <c r="Y74" i="62" s="1"/>
  <c r="Z73" i="62"/>
  <c r="O74" i="62"/>
  <c r="P74" i="62"/>
  <c r="U74" i="62"/>
  <c r="X74" i="62"/>
  <c r="Z74" i="62"/>
  <c r="AI65" i="62"/>
  <c r="AI67" i="62"/>
  <c r="AI69" i="62"/>
  <c r="AF69" i="62"/>
  <c r="AF71" i="62"/>
  <c r="AH71" i="62"/>
  <c r="AE71" i="62"/>
  <c r="AH65" i="62"/>
  <c r="AH66" i="62"/>
  <c r="AH67" i="62"/>
  <c r="AH68" i="62"/>
  <c r="AH69" i="62"/>
  <c r="AE65" i="62"/>
  <c r="AE66" i="62"/>
  <c r="AE67" i="62"/>
  <c r="AE68" i="62"/>
  <c r="AE69" i="62"/>
  <c r="AB66" i="62"/>
  <c r="AB69" i="62"/>
  <c r="L65" i="62"/>
  <c r="M65" i="62"/>
  <c r="N65" i="62"/>
  <c r="L66" i="62"/>
  <c r="M66" i="62"/>
  <c r="N66" i="62"/>
  <c r="L67" i="62"/>
  <c r="M67" i="62"/>
  <c r="N67" i="62"/>
  <c r="L68" i="62"/>
  <c r="M68" i="62"/>
  <c r="N68" i="62"/>
  <c r="L69" i="62"/>
  <c r="M69" i="62"/>
  <c r="N69" i="62"/>
  <c r="L70" i="62"/>
  <c r="M70" i="62"/>
  <c r="N70" i="62"/>
  <c r="L71" i="62"/>
  <c r="M71" i="62"/>
  <c r="N71" i="62"/>
  <c r="L72" i="62"/>
  <c r="M72" i="62"/>
  <c r="N72" i="62"/>
  <c r="I65" i="62"/>
  <c r="J65" i="62"/>
  <c r="I66" i="62"/>
  <c r="J66" i="62"/>
  <c r="I67" i="62"/>
  <c r="J67" i="62"/>
  <c r="I68" i="62"/>
  <c r="J68" i="62"/>
  <c r="I69" i="62"/>
  <c r="J69" i="62"/>
  <c r="I70" i="62"/>
  <c r="J70" i="62"/>
  <c r="I71" i="62"/>
  <c r="J71" i="62"/>
  <c r="I72" i="62"/>
  <c r="J72" i="62"/>
  <c r="AG63" i="62"/>
  <c r="AH64" i="62" s="1"/>
  <c r="AD63" i="62"/>
  <c r="AE64" i="62" s="1"/>
  <c r="O63" i="62"/>
  <c r="O64" i="62" s="1"/>
  <c r="P63" i="62"/>
  <c r="Q63" i="62"/>
  <c r="Q64" i="62" s="1"/>
  <c r="R63" i="62"/>
  <c r="R64" i="62" s="1"/>
  <c r="S63" i="62"/>
  <c r="T63" i="62"/>
  <c r="T64" i="62" s="1"/>
  <c r="U63" i="62"/>
  <c r="U64" i="62" s="1"/>
  <c r="V63" i="62"/>
  <c r="V64" i="62" s="1"/>
  <c r="W63" i="62"/>
  <c r="W64" i="62" s="1"/>
  <c r="X63" i="62"/>
  <c r="Y63" i="62"/>
  <c r="Y64" i="62" s="1"/>
  <c r="Z63" i="62"/>
  <c r="Z64" i="62" s="1"/>
  <c r="P64" i="62"/>
  <c r="S64" i="62"/>
  <c r="X64" i="62"/>
  <c r="AI58" i="62"/>
  <c r="AI59" i="62"/>
  <c r="AI60" i="62"/>
  <c r="AI61" i="62"/>
  <c r="AF58" i="62"/>
  <c r="AF59" i="62"/>
  <c r="AF60" i="62"/>
  <c r="AF61" i="62"/>
  <c r="AH61" i="62"/>
  <c r="AE61" i="62"/>
  <c r="AB61" i="62"/>
  <c r="AH55" i="62"/>
  <c r="AH56" i="62"/>
  <c r="AH57" i="62"/>
  <c r="AH58" i="62"/>
  <c r="AH59" i="62"/>
  <c r="AE54" i="62"/>
  <c r="AE55" i="62"/>
  <c r="AE56" i="62"/>
  <c r="AE57" i="62"/>
  <c r="AE58" i="62"/>
  <c r="AE59" i="62"/>
  <c r="AB55" i="62"/>
  <c r="AB59" i="62"/>
  <c r="L55" i="62"/>
  <c r="M55" i="62"/>
  <c r="N55" i="62"/>
  <c r="L56" i="62"/>
  <c r="M56" i="62"/>
  <c r="N56" i="62"/>
  <c r="L57" i="62"/>
  <c r="M57" i="62"/>
  <c r="N57" i="62"/>
  <c r="L58" i="62"/>
  <c r="M58" i="62"/>
  <c r="N58" i="62"/>
  <c r="L59" i="62"/>
  <c r="M59" i="62"/>
  <c r="N59" i="62"/>
  <c r="L60" i="62"/>
  <c r="M60" i="62"/>
  <c r="N60" i="62"/>
  <c r="L61" i="62"/>
  <c r="M61" i="62"/>
  <c r="N61" i="62"/>
  <c r="L62" i="62"/>
  <c r="M62" i="62"/>
  <c r="N62" i="62"/>
  <c r="I55" i="62"/>
  <c r="J55" i="62"/>
  <c r="I56" i="62"/>
  <c r="J56" i="62"/>
  <c r="I57" i="62"/>
  <c r="J57" i="62"/>
  <c r="I58" i="62"/>
  <c r="J58" i="62"/>
  <c r="I59" i="62"/>
  <c r="J59" i="62"/>
  <c r="I60" i="62"/>
  <c r="J60" i="62"/>
  <c r="I61" i="62"/>
  <c r="J61" i="62"/>
  <c r="I62" i="62"/>
  <c r="J62" i="62"/>
  <c r="AG53" i="62"/>
  <c r="AH54" i="62" s="1"/>
  <c r="AD53" i="62"/>
  <c r="O53" i="62"/>
  <c r="P53" i="62"/>
  <c r="P54" i="62" s="1"/>
  <c r="Q53" i="62"/>
  <c r="R53" i="62"/>
  <c r="R54" i="62" s="1"/>
  <c r="S53" i="62"/>
  <c r="S54" i="62" s="1"/>
  <c r="T53" i="62"/>
  <c r="T54" i="62" s="1"/>
  <c r="U53" i="62"/>
  <c r="U54" i="62" s="1"/>
  <c r="V53" i="62"/>
  <c r="V54" i="62" s="1"/>
  <c r="W53" i="62"/>
  <c r="W54" i="62" s="1"/>
  <c r="X53" i="62"/>
  <c r="X54" i="62" s="1"/>
  <c r="Y53" i="62"/>
  <c r="Y54" i="62" s="1"/>
  <c r="Z53" i="62"/>
  <c r="Z54" i="62" s="1"/>
  <c r="O54" i="62"/>
  <c r="Q54" i="62"/>
  <c r="AI47" i="62"/>
  <c r="AI49" i="62"/>
  <c r="AI50" i="62"/>
  <c r="AI51" i="62"/>
  <c r="AF49" i="62"/>
  <c r="AF50" i="62"/>
  <c r="AF51" i="62"/>
  <c r="AH51" i="62"/>
  <c r="AE51" i="62"/>
  <c r="AB51" i="62"/>
  <c r="AH45" i="62"/>
  <c r="AH46" i="62"/>
  <c r="AH47" i="62"/>
  <c r="AH48" i="62"/>
  <c r="AH49" i="62"/>
  <c r="AE45" i="62"/>
  <c r="AE46" i="62"/>
  <c r="AE47" i="62"/>
  <c r="AE48" i="62"/>
  <c r="AE49" i="62"/>
  <c r="AB47" i="62"/>
  <c r="AB49" i="62"/>
  <c r="L45" i="62"/>
  <c r="M45" i="62"/>
  <c r="N45" i="62"/>
  <c r="L46" i="62"/>
  <c r="M46" i="62"/>
  <c r="N46" i="62"/>
  <c r="L47" i="62"/>
  <c r="M47" i="62"/>
  <c r="N47" i="62"/>
  <c r="L48" i="62"/>
  <c r="M48" i="62"/>
  <c r="N48" i="62"/>
  <c r="L49" i="62"/>
  <c r="M49" i="62"/>
  <c r="N49" i="62"/>
  <c r="L50" i="62"/>
  <c r="M50" i="62"/>
  <c r="N50" i="62"/>
  <c r="L51" i="62"/>
  <c r="M51" i="62"/>
  <c r="N51" i="62"/>
  <c r="L52" i="62"/>
  <c r="M52" i="62"/>
  <c r="N52" i="62"/>
  <c r="I45" i="62"/>
  <c r="J45" i="62"/>
  <c r="I46" i="62"/>
  <c r="J46" i="62"/>
  <c r="I47" i="62"/>
  <c r="J47" i="62"/>
  <c r="I48" i="62"/>
  <c r="J48" i="62"/>
  <c r="I49" i="62"/>
  <c r="J49" i="62"/>
  <c r="I50" i="62"/>
  <c r="J50" i="62"/>
  <c r="I51" i="62"/>
  <c r="J51" i="62"/>
  <c r="I52" i="62"/>
  <c r="J52" i="62"/>
  <c r="AG43" i="62"/>
  <c r="AH44" i="62" s="1"/>
  <c r="AD43" i="62"/>
  <c r="AE44" i="62" s="1"/>
  <c r="O43" i="62"/>
  <c r="O44" i="62" s="1"/>
  <c r="P43" i="62"/>
  <c r="Q43" i="62"/>
  <c r="Q44" i="62" s="1"/>
  <c r="R43" i="62"/>
  <c r="S43" i="62"/>
  <c r="S44" i="62" s="1"/>
  <c r="T43" i="62"/>
  <c r="T44" i="62" s="1"/>
  <c r="U43" i="62"/>
  <c r="V43" i="62"/>
  <c r="V44" i="62" s="1"/>
  <c r="W43" i="62"/>
  <c r="X43" i="62"/>
  <c r="Y43" i="62"/>
  <c r="Y44" i="62" s="1"/>
  <c r="Z43" i="62"/>
  <c r="P44" i="62"/>
  <c r="R44" i="62"/>
  <c r="U44" i="62"/>
  <c r="W44" i="62"/>
  <c r="X44" i="62"/>
  <c r="Z44" i="62"/>
  <c r="AI39" i="62"/>
  <c r="AI41" i="62"/>
  <c r="AF39" i="62"/>
  <c r="AF41" i="62"/>
  <c r="AH41" i="62"/>
  <c r="AE41" i="62"/>
  <c r="AH35" i="62"/>
  <c r="AH36" i="62"/>
  <c r="AH37" i="62"/>
  <c r="AH38" i="62"/>
  <c r="AH39" i="62"/>
  <c r="AE35" i="62"/>
  <c r="AE36" i="62"/>
  <c r="AE37" i="62"/>
  <c r="AE38" i="62"/>
  <c r="AE39" i="62"/>
  <c r="AB35" i="62"/>
  <c r="L35" i="62"/>
  <c r="M35" i="62"/>
  <c r="N35" i="62"/>
  <c r="L36" i="62"/>
  <c r="M36" i="62"/>
  <c r="N36" i="62"/>
  <c r="L37" i="62"/>
  <c r="M37" i="62"/>
  <c r="N37" i="62"/>
  <c r="L38" i="62"/>
  <c r="M38" i="62"/>
  <c r="N38" i="62"/>
  <c r="L39" i="62"/>
  <c r="M39" i="62"/>
  <c r="N39" i="62"/>
  <c r="L40" i="62"/>
  <c r="M40" i="62"/>
  <c r="N40" i="62"/>
  <c r="L41" i="62"/>
  <c r="M41" i="62"/>
  <c r="N41" i="62"/>
  <c r="L42" i="62"/>
  <c r="M42" i="62"/>
  <c r="N42" i="62"/>
  <c r="I35" i="62"/>
  <c r="J35" i="62"/>
  <c r="I36" i="62"/>
  <c r="J36" i="62"/>
  <c r="I37" i="62"/>
  <c r="J37" i="62"/>
  <c r="I38" i="62"/>
  <c r="J38" i="62"/>
  <c r="I39" i="62"/>
  <c r="J39" i="62"/>
  <c r="I40" i="62"/>
  <c r="J40" i="62"/>
  <c r="I41" i="62"/>
  <c r="J41" i="62"/>
  <c r="I42" i="62"/>
  <c r="J42" i="62"/>
  <c r="AG32" i="62"/>
  <c r="AD32" i="62"/>
  <c r="O32" i="62"/>
  <c r="P32" i="62"/>
  <c r="Q32" i="62"/>
  <c r="R32" i="62"/>
  <c r="S32" i="62"/>
  <c r="T32" i="62"/>
  <c r="U32" i="62"/>
  <c r="V32" i="62"/>
  <c r="W32" i="62"/>
  <c r="X32" i="62"/>
  <c r="Y32" i="62"/>
  <c r="Z32" i="62"/>
  <c r="AG31" i="62"/>
  <c r="AD31" i="62"/>
  <c r="O31" i="62"/>
  <c r="P31" i="62"/>
  <c r="Q31" i="62"/>
  <c r="R31" i="62"/>
  <c r="S31" i="62"/>
  <c r="T31" i="62"/>
  <c r="U31" i="62"/>
  <c r="V31" i="62"/>
  <c r="W31" i="62"/>
  <c r="X31" i="62"/>
  <c r="Y31" i="62"/>
  <c r="Z31" i="62"/>
  <c r="AA31" i="62"/>
  <c r="N26" i="62"/>
  <c r="N27" i="62"/>
  <c r="N28" i="62"/>
  <c r="N29" i="62"/>
  <c r="B23" i="62"/>
  <c r="AG16" i="62"/>
  <c r="AG19" i="62"/>
  <c r="AG20" i="62"/>
  <c r="AD19" i="62"/>
  <c r="AD20" i="62"/>
  <c r="G19" i="62"/>
  <c r="G20" i="62"/>
  <c r="N19" i="62"/>
  <c r="O19" i="62"/>
  <c r="P19" i="62"/>
  <c r="Q19" i="62"/>
  <c r="R19" i="62"/>
  <c r="S19" i="62"/>
  <c r="T19" i="62"/>
  <c r="U19" i="62"/>
  <c r="V19" i="62"/>
  <c r="W19" i="62"/>
  <c r="X19" i="62"/>
  <c r="Y19" i="62"/>
  <c r="Z19" i="62"/>
  <c r="N20" i="62"/>
  <c r="O20" i="62"/>
  <c r="P20" i="62"/>
  <c r="Q20" i="62"/>
  <c r="R20" i="62"/>
  <c r="S20" i="62"/>
  <c r="T20" i="62"/>
  <c r="U20" i="62"/>
  <c r="V20" i="62"/>
  <c r="W20" i="62"/>
  <c r="X20" i="62"/>
  <c r="Y20" i="62"/>
  <c r="Z20" i="62"/>
  <c r="B17" i="62"/>
  <c r="B18" i="62"/>
  <c r="B19" i="62"/>
  <c r="O16" i="62"/>
  <c r="P16" i="62"/>
  <c r="Q16" i="62"/>
  <c r="R16" i="62"/>
  <c r="S16" i="62"/>
  <c r="T16" i="62"/>
  <c r="U16" i="62"/>
  <c r="V16" i="62"/>
  <c r="W16" i="62"/>
  <c r="X16" i="62"/>
  <c r="Y16" i="62"/>
  <c r="O17" i="62"/>
  <c r="P17" i="62"/>
  <c r="Q17" i="62"/>
  <c r="R17" i="62"/>
  <c r="S17" i="62"/>
  <c r="T17" i="62"/>
  <c r="U17" i="62"/>
  <c r="V17" i="62"/>
  <c r="W17" i="62"/>
  <c r="X17" i="62"/>
  <c r="Y17" i="62"/>
  <c r="Z17" i="62"/>
  <c r="AA17" i="62" s="1"/>
  <c r="AA11" i="62" s="1"/>
  <c r="AA18" i="62" s="1"/>
  <c r="A14" i="62"/>
  <c r="AG12" i="62"/>
  <c r="AG13" i="62"/>
  <c r="AD12" i="62"/>
  <c r="AD13" i="62"/>
  <c r="B12" i="62"/>
  <c r="B13" i="62"/>
  <c r="O11" i="62"/>
  <c r="P11" i="62"/>
  <c r="Q11" i="62"/>
  <c r="R11" i="62"/>
  <c r="S11" i="62"/>
  <c r="T11" i="62"/>
  <c r="U11" i="62"/>
  <c r="V11" i="62"/>
  <c r="W11" i="62"/>
  <c r="X11" i="62"/>
  <c r="Y11" i="62"/>
  <c r="Z11" i="62"/>
  <c r="O12" i="62"/>
  <c r="P12" i="62"/>
  <c r="Q12" i="62"/>
  <c r="R12" i="62"/>
  <c r="S12" i="62"/>
  <c r="T12" i="62"/>
  <c r="U12" i="62"/>
  <c r="V12" i="62"/>
  <c r="W12" i="62"/>
  <c r="X12" i="62"/>
  <c r="Y12" i="62"/>
  <c r="Z12" i="62"/>
  <c r="AA12" i="62"/>
  <c r="O13" i="62"/>
  <c r="P13" i="62"/>
  <c r="Q13" i="62"/>
  <c r="R13" i="62"/>
  <c r="S13" i="62"/>
  <c r="T13" i="62"/>
  <c r="U13" i="62"/>
  <c r="V13" i="62"/>
  <c r="W13" i="62"/>
  <c r="X13" i="62"/>
  <c r="Y13" i="62"/>
  <c r="Z13" i="62"/>
  <c r="AA13" i="62"/>
  <c r="C10" i="62"/>
  <c r="D10" i="62"/>
  <c r="Z16" i="62" s="1"/>
  <c r="C9" i="62"/>
  <c r="C1" i="62"/>
  <c r="C2" i="62"/>
  <c r="C3" i="62"/>
  <c r="C4" i="62"/>
  <c r="C5" i="62"/>
  <c r="C6" i="62"/>
  <c r="C7" i="62"/>
  <c r="C8" i="62"/>
  <c r="E6" i="62"/>
  <c r="E4" i="62"/>
  <c r="F4" i="62"/>
  <c r="B3" i="62"/>
  <c r="B120" i="61"/>
  <c r="B114" i="61"/>
  <c r="B115" i="61"/>
  <c r="B116" i="61"/>
  <c r="A111" i="61"/>
  <c r="AG90" i="61"/>
  <c r="AD90" i="61"/>
  <c r="O90" i="61"/>
  <c r="P90" i="61"/>
  <c r="Q90" i="61"/>
  <c r="R90" i="61"/>
  <c r="S90" i="61"/>
  <c r="T90" i="61"/>
  <c r="U90" i="61"/>
  <c r="V90" i="61"/>
  <c r="W90" i="61"/>
  <c r="X90" i="61"/>
  <c r="Y90" i="61"/>
  <c r="Z90" i="61"/>
  <c r="B88" i="61"/>
  <c r="B89" i="61"/>
  <c r="N87" i="61"/>
  <c r="N90" i="61" s="1"/>
  <c r="N88" i="61"/>
  <c r="N91" i="61" s="1"/>
  <c r="AH87" i="61"/>
  <c r="AH88" i="61"/>
  <c r="AE87" i="61"/>
  <c r="AE88" i="61"/>
  <c r="AA87" i="61"/>
  <c r="AA88" i="61"/>
  <c r="I87" i="61"/>
  <c r="J87" i="61"/>
  <c r="I88" i="61"/>
  <c r="J88" i="61"/>
  <c r="N82" i="61"/>
  <c r="N83" i="61"/>
  <c r="N84" i="61"/>
  <c r="N85" i="61"/>
  <c r="I85" i="61"/>
  <c r="J85" i="61"/>
  <c r="B83" i="61"/>
  <c r="B84" i="61"/>
  <c r="B85" i="61"/>
  <c r="AH83" i="61"/>
  <c r="AH84" i="61"/>
  <c r="AH85" i="61"/>
  <c r="AE83" i="61"/>
  <c r="AE84" i="61"/>
  <c r="AE85" i="61"/>
  <c r="AA85" i="61"/>
  <c r="AI85" i="61" s="1"/>
  <c r="I83" i="61"/>
  <c r="J83" i="61"/>
  <c r="L83" i="61"/>
  <c r="M83" i="61"/>
  <c r="I84" i="61"/>
  <c r="AA84" i="61" s="1"/>
  <c r="J84" i="61"/>
  <c r="L84" i="61"/>
  <c r="M84" i="61"/>
  <c r="I82" i="61"/>
  <c r="J82" i="61"/>
  <c r="A80" i="61"/>
  <c r="AH76" i="61"/>
  <c r="AH77" i="61"/>
  <c r="AL77" i="61"/>
  <c r="AH78" i="61"/>
  <c r="AH79" i="61"/>
  <c r="AH80" i="61"/>
  <c r="AE76" i="61"/>
  <c r="AE77" i="61"/>
  <c r="AE78" i="61"/>
  <c r="AE79" i="61"/>
  <c r="AE80" i="61"/>
  <c r="AA78" i="61"/>
  <c r="AA80" i="61"/>
  <c r="AI80" i="61" s="1"/>
  <c r="I76" i="61"/>
  <c r="J76" i="61"/>
  <c r="L76" i="61"/>
  <c r="M76" i="61"/>
  <c r="N76" i="61"/>
  <c r="I77" i="61"/>
  <c r="J77" i="61"/>
  <c r="L77" i="61"/>
  <c r="M77" i="61"/>
  <c r="N77" i="61"/>
  <c r="I78" i="61"/>
  <c r="J78" i="61"/>
  <c r="K78" i="61"/>
  <c r="L78" i="61"/>
  <c r="M78" i="61"/>
  <c r="N78" i="61"/>
  <c r="I79" i="61"/>
  <c r="K79" i="61" s="1"/>
  <c r="J79" i="61"/>
  <c r="L79" i="61"/>
  <c r="M79" i="61"/>
  <c r="N79" i="61"/>
  <c r="I80" i="61"/>
  <c r="J80" i="61"/>
  <c r="K80" i="61"/>
  <c r="L80" i="61"/>
  <c r="M80" i="61"/>
  <c r="N80" i="61"/>
  <c r="N74" i="61"/>
  <c r="N75" i="61"/>
  <c r="I74" i="61"/>
  <c r="J74" i="61"/>
  <c r="I75" i="61"/>
  <c r="J75" i="61"/>
  <c r="AD72" i="61"/>
  <c r="AG72" i="61"/>
  <c r="AG91" i="61" s="1"/>
  <c r="AH72" i="61"/>
  <c r="N72" i="61"/>
  <c r="O72" i="61"/>
  <c r="O91" i="61" s="1"/>
  <c r="P72" i="61"/>
  <c r="P91" i="61" s="1"/>
  <c r="Q72" i="61"/>
  <c r="Q91" i="61" s="1"/>
  <c r="R72" i="61"/>
  <c r="R91" i="61" s="1"/>
  <c r="S72" i="61"/>
  <c r="S91" i="61" s="1"/>
  <c r="T72" i="61"/>
  <c r="T91" i="61" s="1"/>
  <c r="U72" i="61"/>
  <c r="U91" i="61" s="1"/>
  <c r="V72" i="61"/>
  <c r="V91" i="61" s="1"/>
  <c r="W72" i="61"/>
  <c r="W91" i="61" s="1"/>
  <c r="X72" i="61"/>
  <c r="X91" i="61" s="1"/>
  <c r="Y72" i="61"/>
  <c r="Y91" i="61" s="1"/>
  <c r="Z72" i="61"/>
  <c r="Z91" i="61" s="1"/>
  <c r="AH71" i="61"/>
  <c r="AI71" i="61"/>
  <c r="AB62" i="61"/>
  <c r="AB63" i="61"/>
  <c r="AB64" i="61"/>
  <c r="AB65" i="61"/>
  <c r="AB66" i="61"/>
  <c r="AB67" i="61"/>
  <c r="AN67" i="61" s="1"/>
  <c r="AB68" i="61"/>
  <c r="AN68" i="61" s="1"/>
  <c r="AB69" i="61"/>
  <c r="AN69" i="61" s="1"/>
  <c r="AB70" i="61"/>
  <c r="AM70" i="61" s="1"/>
  <c r="AB71" i="61"/>
  <c r="N60" i="61"/>
  <c r="N61" i="61"/>
  <c r="N62" i="61"/>
  <c r="N63" i="61"/>
  <c r="N64" i="61"/>
  <c r="N65" i="61"/>
  <c r="N66" i="61"/>
  <c r="N67" i="61"/>
  <c r="N68" i="61"/>
  <c r="N69" i="61"/>
  <c r="N70" i="61"/>
  <c r="N71" i="61"/>
  <c r="I71" i="61"/>
  <c r="K71" i="61" s="1"/>
  <c r="J71" i="61"/>
  <c r="I72" i="61"/>
  <c r="K72" i="61" s="1"/>
  <c r="J72" i="61"/>
  <c r="AA64" i="61"/>
  <c r="AI64" i="61" s="1"/>
  <c r="AA70" i="61"/>
  <c r="AI70" i="61" s="1"/>
  <c r="AH62" i="61"/>
  <c r="AH63" i="61"/>
  <c r="AN63" i="61" s="1"/>
  <c r="AH64" i="61"/>
  <c r="AH65" i="61"/>
  <c r="AH66" i="61"/>
  <c r="AH67" i="61"/>
  <c r="AL67" i="61"/>
  <c r="AH68" i="61"/>
  <c r="AH69" i="61"/>
  <c r="AL69" i="61"/>
  <c r="AH70" i="61"/>
  <c r="AE62" i="61"/>
  <c r="AM62" i="61" s="1"/>
  <c r="AE63" i="61"/>
  <c r="AM63" i="61" s="1"/>
  <c r="AE64" i="61"/>
  <c r="AE65" i="61"/>
  <c r="AE66" i="61"/>
  <c r="AE67" i="61"/>
  <c r="AE68" i="61"/>
  <c r="AE69" i="61"/>
  <c r="AE70" i="61"/>
  <c r="AE71" i="61"/>
  <c r="AF71" i="61"/>
  <c r="I62" i="61"/>
  <c r="K62" i="61" s="1"/>
  <c r="J62" i="61"/>
  <c r="L62" i="61"/>
  <c r="M62" i="61"/>
  <c r="I63" i="61"/>
  <c r="AA63" i="61" s="1"/>
  <c r="J63" i="61"/>
  <c r="K63" i="61"/>
  <c r="L63" i="61"/>
  <c r="M63" i="61"/>
  <c r="I64" i="61"/>
  <c r="K64" i="61" s="1"/>
  <c r="J64" i="61"/>
  <c r="L64" i="61"/>
  <c r="M64" i="61"/>
  <c r="I65" i="61"/>
  <c r="AA65" i="61" s="1"/>
  <c r="J65" i="61"/>
  <c r="L65" i="61"/>
  <c r="M65" i="61"/>
  <c r="I66" i="61"/>
  <c r="AA66" i="61" s="1"/>
  <c r="J66" i="61"/>
  <c r="L66" i="61"/>
  <c r="M66" i="61"/>
  <c r="I67" i="61"/>
  <c r="AA67" i="61" s="1"/>
  <c r="J67" i="61"/>
  <c r="L67" i="61"/>
  <c r="M67" i="61"/>
  <c r="I68" i="61"/>
  <c r="K68" i="61" s="1"/>
  <c r="J68" i="61"/>
  <c r="L68" i="61"/>
  <c r="M68" i="61"/>
  <c r="I69" i="61"/>
  <c r="K69" i="61" s="1"/>
  <c r="J69" i="61"/>
  <c r="L69" i="61"/>
  <c r="M69" i="61"/>
  <c r="I70" i="61"/>
  <c r="J70" i="61"/>
  <c r="K70" i="61"/>
  <c r="L70" i="61"/>
  <c r="M70" i="61"/>
  <c r="I60" i="61"/>
  <c r="J60" i="61"/>
  <c r="I61" i="61"/>
  <c r="J61" i="61"/>
  <c r="B55" i="61"/>
  <c r="B56" i="61"/>
  <c r="B50" i="61"/>
  <c r="B51" i="61"/>
  <c r="B52" i="61"/>
  <c r="A47" i="61"/>
  <c r="AH35" i="61"/>
  <c r="AH36" i="61"/>
  <c r="AH37" i="61"/>
  <c r="AL37" i="61"/>
  <c r="AH38" i="61"/>
  <c r="AH39" i="61"/>
  <c r="AH40" i="61"/>
  <c r="AH41" i="61"/>
  <c r="AH42" i="61"/>
  <c r="AH43" i="61"/>
  <c r="AL43" i="61"/>
  <c r="AH44" i="61"/>
  <c r="AH45" i="61"/>
  <c r="AL45" i="61"/>
  <c r="AH46" i="61"/>
  <c r="AH47" i="61"/>
  <c r="AH48" i="61"/>
  <c r="AH49" i="61"/>
  <c r="AL49" i="61"/>
  <c r="AH50" i="61"/>
  <c r="AH51" i="61"/>
  <c r="AH52" i="61"/>
  <c r="AH53" i="61"/>
  <c r="AL53" i="61"/>
  <c r="AH54" i="61"/>
  <c r="AH55" i="61"/>
  <c r="AH56" i="61"/>
  <c r="AH57" i="61"/>
  <c r="AL57" i="61"/>
  <c r="AH58" i="61"/>
  <c r="AE35" i="61"/>
  <c r="AE36" i="61"/>
  <c r="AE37" i="61"/>
  <c r="AE38" i="61"/>
  <c r="AE39" i="61"/>
  <c r="AE40" i="61"/>
  <c r="AE41" i="61"/>
  <c r="AE42" i="61"/>
  <c r="AE43" i="61"/>
  <c r="AE44" i="61"/>
  <c r="AE45" i="61"/>
  <c r="AE46" i="61"/>
  <c r="AE47" i="61"/>
  <c r="AE48" i="61"/>
  <c r="AE49" i="61"/>
  <c r="AE50" i="61"/>
  <c r="AE51" i="61"/>
  <c r="AE52" i="61"/>
  <c r="AE53" i="61"/>
  <c r="AE54" i="61"/>
  <c r="AE55" i="61"/>
  <c r="AE56" i="61"/>
  <c r="AE57" i="61"/>
  <c r="AE58" i="61"/>
  <c r="AA54" i="61"/>
  <c r="AI54" i="61" s="1"/>
  <c r="I35" i="61"/>
  <c r="AA35" i="61" s="1"/>
  <c r="J35" i="61"/>
  <c r="L35" i="61"/>
  <c r="M35" i="61"/>
  <c r="N35" i="61"/>
  <c r="I36" i="61"/>
  <c r="K36" i="61" s="1"/>
  <c r="J36" i="61"/>
  <c r="L36" i="61"/>
  <c r="M36" i="61"/>
  <c r="N36" i="61"/>
  <c r="I37" i="61"/>
  <c r="AA37" i="61" s="1"/>
  <c r="J37" i="61"/>
  <c r="L37" i="61"/>
  <c r="M37" i="61"/>
  <c r="N37" i="61"/>
  <c r="I38" i="61"/>
  <c r="K38" i="61" s="1"/>
  <c r="J38" i="61"/>
  <c r="L38" i="61"/>
  <c r="M38" i="61"/>
  <c r="N38" i="61"/>
  <c r="I39" i="61"/>
  <c r="AA39" i="61" s="1"/>
  <c r="J39" i="61"/>
  <c r="K39" i="61"/>
  <c r="L39" i="61"/>
  <c r="M39" i="61"/>
  <c r="N39" i="61"/>
  <c r="I40" i="61"/>
  <c r="K40" i="61" s="1"/>
  <c r="J40" i="61"/>
  <c r="L40" i="61"/>
  <c r="M40" i="61"/>
  <c r="N40" i="61"/>
  <c r="I41" i="61"/>
  <c r="K41" i="61" s="1"/>
  <c r="J41" i="61"/>
  <c r="L41" i="61"/>
  <c r="M41" i="61"/>
  <c r="N41" i="61"/>
  <c r="I42" i="61"/>
  <c r="AA42" i="61" s="1"/>
  <c r="J42" i="61"/>
  <c r="K42" i="61"/>
  <c r="L42" i="61"/>
  <c r="M42" i="61"/>
  <c r="N42" i="61"/>
  <c r="I43" i="61"/>
  <c r="AA43" i="61" s="1"/>
  <c r="J43" i="61"/>
  <c r="K43" i="61"/>
  <c r="L43" i="61"/>
  <c r="M43" i="61"/>
  <c r="N43" i="61"/>
  <c r="I44" i="61"/>
  <c r="K44" i="61" s="1"/>
  <c r="J44" i="61"/>
  <c r="L44" i="61"/>
  <c r="M44" i="61"/>
  <c r="N44" i="61"/>
  <c r="I45" i="61"/>
  <c r="K45" i="61" s="1"/>
  <c r="J45" i="61"/>
  <c r="L45" i="61"/>
  <c r="M45" i="61"/>
  <c r="N45" i="61"/>
  <c r="I46" i="61"/>
  <c r="AA46" i="61" s="1"/>
  <c r="J46" i="61"/>
  <c r="K46" i="61"/>
  <c r="L46" i="61"/>
  <c r="M46" i="61"/>
  <c r="N46" i="61"/>
  <c r="I47" i="61"/>
  <c r="AA47" i="61" s="1"/>
  <c r="J47" i="61"/>
  <c r="L47" i="61"/>
  <c r="M47" i="61"/>
  <c r="N47" i="61"/>
  <c r="I48" i="61"/>
  <c r="K48" i="61" s="1"/>
  <c r="J48" i="61"/>
  <c r="L48" i="61"/>
  <c r="M48" i="61"/>
  <c r="N48" i="61"/>
  <c r="I49" i="61"/>
  <c r="AA49" i="61" s="1"/>
  <c r="J49" i="61"/>
  <c r="K49" i="61"/>
  <c r="L49" i="61"/>
  <c r="M49" i="61"/>
  <c r="N49" i="61"/>
  <c r="I50" i="61"/>
  <c r="AA50" i="61" s="1"/>
  <c r="AI50" i="61" s="1"/>
  <c r="J50" i="61"/>
  <c r="L50" i="61"/>
  <c r="M50" i="61"/>
  <c r="N50" i="61"/>
  <c r="I51" i="61"/>
  <c r="AA51" i="61" s="1"/>
  <c r="J51" i="61"/>
  <c r="L51" i="61"/>
  <c r="M51" i="61"/>
  <c r="N51" i="61"/>
  <c r="I52" i="61"/>
  <c r="J52" i="61"/>
  <c r="L52" i="61"/>
  <c r="M52" i="61"/>
  <c r="N52" i="61"/>
  <c r="I53" i="61"/>
  <c r="AA53" i="61" s="1"/>
  <c r="J53" i="61"/>
  <c r="K53" i="61"/>
  <c r="L53" i="61"/>
  <c r="M53" i="61"/>
  <c r="N53" i="61"/>
  <c r="I54" i="61"/>
  <c r="K54" i="61" s="1"/>
  <c r="J54" i="61"/>
  <c r="L54" i="61"/>
  <c r="M54" i="61"/>
  <c r="N54" i="61"/>
  <c r="I55" i="61"/>
  <c r="J55" i="61"/>
  <c r="L55" i="61"/>
  <c r="M55" i="61"/>
  <c r="N55" i="61"/>
  <c r="I56" i="61"/>
  <c r="K56" i="61" s="1"/>
  <c r="J56" i="61"/>
  <c r="L56" i="61"/>
  <c r="M56" i="61"/>
  <c r="N56" i="61"/>
  <c r="I57" i="61"/>
  <c r="AA57" i="61" s="1"/>
  <c r="J57" i="61"/>
  <c r="L57" i="61"/>
  <c r="M57" i="61"/>
  <c r="N57" i="61"/>
  <c r="I58" i="61"/>
  <c r="K58" i="61" s="1"/>
  <c r="J58" i="61"/>
  <c r="L58" i="61"/>
  <c r="M58" i="61"/>
  <c r="N58" i="61"/>
  <c r="N33" i="61"/>
  <c r="N34" i="61"/>
  <c r="I33" i="61"/>
  <c r="J33" i="61"/>
  <c r="I34" i="61"/>
  <c r="J34" i="61"/>
  <c r="AG32" i="61"/>
  <c r="AL32" i="61" s="1"/>
  <c r="AD32" i="61"/>
  <c r="AK32" i="61" s="1"/>
  <c r="O32" i="61"/>
  <c r="P32" i="61"/>
  <c r="Q32" i="61"/>
  <c r="R32" i="61"/>
  <c r="S32" i="61"/>
  <c r="T32" i="61"/>
  <c r="U32" i="61"/>
  <c r="V32" i="61"/>
  <c r="W32" i="61"/>
  <c r="X32" i="61"/>
  <c r="Y32" i="61"/>
  <c r="Z32" i="61"/>
  <c r="AJ32" i="61" s="1"/>
  <c r="AJ31" i="61"/>
  <c r="AK31" i="61"/>
  <c r="AM31" i="61" s="1"/>
  <c r="AL31" i="61"/>
  <c r="AN31" i="61" s="1"/>
  <c r="AG31" i="61"/>
  <c r="AD31" i="61"/>
  <c r="O31" i="61"/>
  <c r="P31" i="61"/>
  <c r="Q31" i="61"/>
  <c r="R31" i="61"/>
  <c r="S31" i="61"/>
  <c r="T31" i="61"/>
  <c r="U31" i="61"/>
  <c r="V31" i="61"/>
  <c r="W31" i="61"/>
  <c r="X31" i="61"/>
  <c r="Y31" i="61"/>
  <c r="Z31" i="61"/>
  <c r="AA31" i="61"/>
  <c r="N26" i="61"/>
  <c r="N27" i="61"/>
  <c r="N28" i="61"/>
  <c r="N29" i="61"/>
  <c r="B22" i="61"/>
  <c r="B23" i="61"/>
  <c r="AG16" i="61"/>
  <c r="AG19" i="61"/>
  <c r="AG20" i="61"/>
  <c r="AL87" i="61" s="1"/>
  <c r="AD19" i="61"/>
  <c r="AD20" i="61"/>
  <c r="G19" i="61"/>
  <c r="G20" i="61"/>
  <c r="N19" i="61"/>
  <c r="O19" i="61"/>
  <c r="P19" i="61"/>
  <c r="Q19" i="61"/>
  <c r="R19" i="61"/>
  <c r="S19" i="61"/>
  <c r="T19" i="61"/>
  <c r="U19" i="61"/>
  <c r="V19" i="61"/>
  <c r="W19" i="61"/>
  <c r="X19" i="61"/>
  <c r="Y19" i="61"/>
  <c r="Z19" i="61"/>
  <c r="N20" i="61"/>
  <c r="O20" i="61"/>
  <c r="P20" i="61"/>
  <c r="Q20" i="61"/>
  <c r="R20" i="61"/>
  <c r="S20" i="61"/>
  <c r="T20" i="61"/>
  <c r="U20" i="61"/>
  <c r="V20" i="61"/>
  <c r="W20" i="61"/>
  <c r="X20" i="61"/>
  <c r="Y20" i="61"/>
  <c r="Z20" i="61"/>
  <c r="B17" i="61"/>
  <c r="B18" i="61"/>
  <c r="B19" i="61"/>
  <c r="O16" i="61"/>
  <c r="P16" i="61"/>
  <c r="Q16" i="61"/>
  <c r="R16" i="61"/>
  <c r="S16" i="61"/>
  <c r="T16" i="61"/>
  <c r="U16" i="61"/>
  <c r="V16" i="61"/>
  <c r="W16" i="61"/>
  <c r="X16" i="61"/>
  <c r="Y16" i="61"/>
  <c r="O17" i="61"/>
  <c r="P17" i="61"/>
  <c r="Q17" i="61"/>
  <c r="R17" i="61"/>
  <c r="S17" i="61"/>
  <c r="T17" i="61"/>
  <c r="U17" i="61"/>
  <c r="V17" i="61"/>
  <c r="W17" i="61"/>
  <c r="X17" i="61"/>
  <c r="Y17" i="61"/>
  <c r="Z17" i="61"/>
  <c r="AA17" i="61"/>
  <c r="A14" i="61"/>
  <c r="AG12" i="61"/>
  <c r="AG13" i="61"/>
  <c r="AD12" i="61"/>
  <c r="AD13" i="61"/>
  <c r="B12" i="61"/>
  <c r="B13" i="61"/>
  <c r="O11" i="61"/>
  <c r="P11" i="61"/>
  <c r="Q11" i="61"/>
  <c r="R11" i="61"/>
  <c r="S11" i="61"/>
  <c r="T11" i="61"/>
  <c r="U11" i="61"/>
  <c r="V11" i="61"/>
  <c r="W11" i="61"/>
  <c r="X11" i="61"/>
  <c r="Y11" i="61"/>
  <c r="Z11" i="61"/>
  <c r="AA11" i="61"/>
  <c r="O12" i="61"/>
  <c r="P12" i="61"/>
  <c r="Q12" i="61"/>
  <c r="R12" i="61"/>
  <c r="S12" i="61"/>
  <c r="T12" i="61"/>
  <c r="U12" i="61"/>
  <c r="V12" i="61"/>
  <c r="W12" i="61"/>
  <c r="X12" i="61"/>
  <c r="Y12" i="61"/>
  <c r="Z12" i="61"/>
  <c r="AA12" i="61"/>
  <c r="O13" i="61"/>
  <c r="P13" i="61"/>
  <c r="Q13" i="61"/>
  <c r="R13" i="61"/>
  <c r="S13" i="61"/>
  <c r="T13" i="61"/>
  <c r="U13" i="61"/>
  <c r="V13" i="61"/>
  <c r="W13" i="61"/>
  <c r="X13" i="61"/>
  <c r="Y13" i="61"/>
  <c r="Z13" i="61"/>
  <c r="AA13" i="61"/>
  <c r="C10" i="61"/>
  <c r="D10" i="61"/>
  <c r="C9" i="61"/>
  <c r="C1" i="61"/>
  <c r="C2" i="61"/>
  <c r="C3" i="61"/>
  <c r="C4" i="61"/>
  <c r="C5" i="61"/>
  <c r="C6" i="61"/>
  <c r="C7" i="61"/>
  <c r="C8" i="61"/>
  <c r="E6" i="61"/>
  <c r="B62" i="61" s="1"/>
  <c r="E4" i="61"/>
  <c r="F4" i="61"/>
  <c r="B3" i="61"/>
  <c r="H2" i="61" s="1"/>
  <c r="N1" i="61"/>
  <c r="N1" i="62" s="1"/>
  <c r="AG143" i="57"/>
  <c r="AG144" i="57"/>
  <c r="AG145" i="57"/>
  <c r="AG146" i="57"/>
  <c r="AD143" i="57"/>
  <c r="AD144" i="57"/>
  <c r="AD145" i="57"/>
  <c r="AD146" i="57"/>
  <c r="O143" i="57"/>
  <c r="P143" i="57"/>
  <c r="Q143" i="57"/>
  <c r="R143" i="57"/>
  <c r="S143" i="57"/>
  <c r="T143" i="57"/>
  <c r="U143" i="57"/>
  <c r="V143" i="57"/>
  <c r="W143" i="57"/>
  <c r="X143" i="57"/>
  <c r="Y143" i="57"/>
  <c r="Z143" i="57"/>
  <c r="O144" i="57"/>
  <c r="P144" i="57"/>
  <c r="Q144" i="57"/>
  <c r="R144" i="57"/>
  <c r="S144" i="57"/>
  <c r="T144" i="57"/>
  <c r="U144" i="57"/>
  <c r="V144" i="57"/>
  <c r="W144" i="57"/>
  <c r="X144" i="57"/>
  <c r="Y144" i="57"/>
  <c r="Z144" i="57"/>
  <c r="O145" i="57"/>
  <c r="P145" i="57"/>
  <c r="Q145" i="57"/>
  <c r="R145" i="57"/>
  <c r="S145" i="57"/>
  <c r="T145" i="57"/>
  <c r="U145" i="57"/>
  <c r="V145" i="57"/>
  <c r="W145" i="57"/>
  <c r="X145" i="57"/>
  <c r="Y145" i="57"/>
  <c r="Z145" i="57"/>
  <c r="O146" i="57"/>
  <c r="P146" i="57"/>
  <c r="Q146" i="57"/>
  <c r="R146" i="57"/>
  <c r="S146" i="57"/>
  <c r="T146" i="57"/>
  <c r="U146" i="57"/>
  <c r="V146" i="57"/>
  <c r="W146" i="57"/>
  <c r="X146" i="57"/>
  <c r="Y146" i="57"/>
  <c r="Z146" i="57"/>
  <c r="AI131" i="57"/>
  <c r="AI133" i="57"/>
  <c r="AI135" i="57"/>
  <c r="AI137" i="57"/>
  <c r="AI139" i="57"/>
  <c r="AG141" i="57"/>
  <c r="AD141" i="57"/>
  <c r="O141" i="57"/>
  <c r="P141" i="57"/>
  <c r="Q141" i="57"/>
  <c r="R141" i="57"/>
  <c r="S141" i="57"/>
  <c r="T141" i="57"/>
  <c r="U141" i="57"/>
  <c r="V141" i="57"/>
  <c r="W141" i="57"/>
  <c r="X141" i="57"/>
  <c r="Y141" i="57"/>
  <c r="Z141" i="57"/>
  <c r="AH140" i="57"/>
  <c r="AE140" i="57"/>
  <c r="AA140" i="57"/>
  <c r="AF140" i="57" s="1"/>
  <c r="AB140" i="57"/>
  <c r="AF130" i="57"/>
  <c r="AF131" i="57"/>
  <c r="AF133" i="57"/>
  <c r="AF135" i="57"/>
  <c r="AF137" i="57"/>
  <c r="AF138" i="57"/>
  <c r="AF139" i="57"/>
  <c r="AH138" i="57"/>
  <c r="AE138" i="57"/>
  <c r="AA138" i="57"/>
  <c r="AI138" i="57" s="1"/>
  <c r="AB138" i="57"/>
  <c r="AH136" i="57"/>
  <c r="AE136" i="57"/>
  <c r="AA136" i="57"/>
  <c r="AB136" i="57"/>
  <c r="AH134" i="57"/>
  <c r="AE134" i="57"/>
  <c r="AA134" i="57"/>
  <c r="AI134" i="57" s="1"/>
  <c r="AB134" i="57"/>
  <c r="AH132" i="57"/>
  <c r="AE132" i="57"/>
  <c r="AA132" i="57"/>
  <c r="AB132" i="57"/>
  <c r="AH130" i="57"/>
  <c r="AE130" i="57"/>
  <c r="AA130" i="57"/>
  <c r="AB130" i="57"/>
  <c r="L130" i="57"/>
  <c r="M130" i="57"/>
  <c r="N130" i="57"/>
  <c r="L131" i="57"/>
  <c r="M131" i="57"/>
  <c r="N131" i="57"/>
  <c r="L132" i="57"/>
  <c r="M132" i="57"/>
  <c r="N132" i="57"/>
  <c r="L133" i="57"/>
  <c r="M133" i="57"/>
  <c r="N133" i="57"/>
  <c r="L134" i="57"/>
  <c r="M134" i="57"/>
  <c r="N134" i="57"/>
  <c r="L135" i="57"/>
  <c r="M135" i="57"/>
  <c r="N135" i="57"/>
  <c r="L136" i="57"/>
  <c r="M136" i="57"/>
  <c r="N136" i="57"/>
  <c r="L137" i="57"/>
  <c r="M137" i="57"/>
  <c r="N137" i="57"/>
  <c r="L138" i="57"/>
  <c r="M138" i="57"/>
  <c r="N138" i="57"/>
  <c r="L139" i="57"/>
  <c r="M139" i="57"/>
  <c r="N139" i="57"/>
  <c r="L140" i="57"/>
  <c r="M140" i="57"/>
  <c r="N140" i="57"/>
  <c r="N129" i="57"/>
  <c r="AG121" i="57"/>
  <c r="AG122" i="57"/>
  <c r="AH122" i="57" s="1"/>
  <c r="AG123" i="57"/>
  <c r="AH123" i="57" s="1"/>
  <c r="AG124" i="57"/>
  <c r="AG125" i="57"/>
  <c r="AH125" i="57" s="1"/>
  <c r="AD121" i="57"/>
  <c r="AD122" i="57"/>
  <c r="AE122" i="57" s="1"/>
  <c r="AD123" i="57"/>
  <c r="AE123" i="57" s="1"/>
  <c r="AD124" i="57"/>
  <c r="AD125" i="57"/>
  <c r="AE125" i="57" s="1"/>
  <c r="AH124" i="57"/>
  <c r="AE121" i="57"/>
  <c r="L121" i="57"/>
  <c r="M121" i="57"/>
  <c r="N121" i="57"/>
  <c r="O121" i="57"/>
  <c r="P121" i="57"/>
  <c r="Q121" i="57"/>
  <c r="R121" i="57"/>
  <c r="S121" i="57"/>
  <c r="T121" i="57"/>
  <c r="U121" i="57"/>
  <c r="V121" i="57"/>
  <c r="W121" i="57"/>
  <c r="X121" i="57"/>
  <c r="Y121" i="57"/>
  <c r="Z121" i="57"/>
  <c r="L122" i="57"/>
  <c r="M122" i="57"/>
  <c r="N122" i="57"/>
  <c r="O122" i="57"/>
  <c r="P122" i="57"/>
  <c r="Q122" i="57"/>
  <c r="R122" i="57"/>
  <c r="S122" i="57"/>
  <c r="T122" i="57"/>
  <c r="U122" i="57"/>
  <c r="V122" i="57"/>
  <c r="W122" i="57"/>
  <c r="X122" i="57"/>
  <c r="Y122" i="57"/>
  <c r="Z122" i="57"/>
  <c r="L123" i="57"/>
  <c r="M123" i="57"/>
  <c r="N123" i="57"/>
  <c r="O123" i="57"/>
  <c r="P123" i="57"/>
  <c r="Q123" i="57"/>
  <c r="R123" i="57"/>
  <c r="S123" i="57"/>
  <c r="T123" i="57"/>
  <c r="T126" i="57" s="1"/>
  <c r="T127" i="57" s="1"/>
  <c r="U123" i="57"/>
  <c r="V123" i="57"/>
  <c r="W123" i="57"/>
  <c r="X123" i="57"/>
  <c r="Y123" i="57"/>
  <c r="Z123" i="57"/>
  <c r="L124" i="57"/>
  <c r="M124" i="57"/>
  <c r="N124" i="57"/>
  <c r="O124" i="57"/>
  <c r="P124" i="57"/>
  <c r="Q124" i="57"/>
  <c r="R124" i="57"/>
  <c r="S124" i="57"/>
  <c r="T124" i="57"/>
  <c r="U124" i="57"/>
  <c r="V124" i="57"/>
  <c r="W124" i="57"/>
  <c r="X124" i="57"/>
  <c r="Y124" i="57"/>
  <c r="Z124" i="57"/>
  <c r="L125" i="57"/>
  <c r="M125" i="57"/>
  <c r="N125" i="57"/>
  <c r="O125" i="57"/>
  <c r="P125" i="57"/>
  <c r="Q125" i="57"/>
  <c r="R125" i="57"/>
  <c r="S125" i="57"/>
  <c r="T125" i="57"/>
  <c r="U125" i="57"/>
  <c r="V125" i="57"/>
  <c r="W125" i="57"/>
  <c r="X125" i="57"/>
  <c r="Y125" i="57"/>
  <c r="Z125" i="57"/>
  <c r="L126" i="57"/>
  <c r="M126" i="57"/>
  <c r="N126" i="57"/>
  <c r="AH114" i="57"/>
  <c r="AI114" i="57"/>
  <c r="AH115" i="57"/>
  <c r="AI115" i="57"/>
  <c r="AH116" i="57"/>
  <c r="AH117" i="57"/>
  <c r="AH118" i="57"/>
  <c r="AI118" i="57"/>
  <c r="AH119" i="57"/>
  <c r="AI119" i="57"/>
  <c r="AE114" i="57"/>
  <c r="AE115" i="57"/>
  <c r="AE116" i="57"/>
  <c r="AF116" i="57"/>
  <c r="AE117" i="57"/>
  <c r="AF117" i="57"/>
  <c r="AE118" i="57"/>
  <c r="AE119" i="57"/>
  <c r="AA114" i="57"/>
  <c r="AF114" i="57" s="1"/>
  <c r="AB114" i="57"/>
  <c r="AA115" i="57"/>
  <c r="AF115" i="57" s="1"/>
  <c r="AB115" i="57"/>
  <c r="AA116" i="57"/>
  <c r="AI116" i="57" s="1"/>
  <c r="AA117" i="57"/>
  <c r="AI117" i="57" s="1"/>
  <c r="AA118" i="57"/>
  <c r="AF118" i="57" s="1"/>
  <c r="AB118" i="57"/>
  <c r="AA119" i="57"/>
  <c r="AF119" i="57" s="1"/>
  <c r="AB119" i="57"/>
  <c r="L114" i="57"/>
  <c r="M114" i="57"/>
  <c r="N114" i="57"/>
  <c r="L115" i="57"/>
  <c r="M115" i="57"/>
  <c r="N115" i="57"/>
  <c r="L116" i="57"/>
  <c r="M116" i="57"/>
  <c r="N116" i="57"/>
  <c r="L117" i="57"/>
  <c r="M117" i="57"/>
  <c r="N117" i="57"/>
  <c r="L118" i="57"/>
  <c r="M118" i="57"/>
  <c r="N118" i="57"/>
  <c r="L119" i="57"/>
  <c r="M119" i="57"/>
  <c r="N119" i="57"/>
  <c r="AH106" i="57"/>
  <c r="AH107" i="57"/>
  <c r="AI107" i="57"/>
  <c r="AH108" i="57"/>
  <c r="AI108" i="57"/>
  <c r="AH109" i="57"/>
  <c r="AH110" i="57"/>
  <c r="AH111" i="57"/>
  <c r="AI111" i="57"/>
  <c r="AE106" i="57"/>
  <c r="AF106" i="57"/>
  <c r="AE107" i="57"/>
  <c r="AE108" i="57"/>
  <c r="AE109" i="57"/>
  <c r="AF109" i="57"/>
  <c r="AE110" i="57"/>
  <c r="AF110" i="57"/>
  <c r="AE111" i="57"/>
  <c r="AA106" i="57"/>
  <c r="AI106" i="57" s="1"/>
  <c r="AA107" i="57"/>
  <c r="AF107" i="57" s="1"/>
  <c r="AB107" i="57"/>
  <c r="AA108" i="57"/>
  <c r="AF108" i="57" s="1"/>
  <c r="AB108" i="57"/>
  <c r="AA109" i="57"/>
  <c r="AI109" i="57" s="1"/>
  <c r="AA110" i="57"/>
  <c r="AI110" i="57" s="1"/>
  <c r="AA111" i="57"/>
  <c r="AF111" i="57" s="1"/>
  <c r="AB111" i="57"/>
  <c r="L106" i="57"/>
  <c r="M106" i="57"/>
  <c r="N106" i="57"/>
  <c r="L107" i="57"/>
  <c r="M107" i="57"/>
  <c r="N107" i="57"/>
  <c r="L108" i="57"/>
  <c r="M108" i="57"/>
  <c r="N108" i="57"/>
  <c r="L109" i="57"/>
  <c r="M109" i="57"/>
  <c r="N109" i="57"/>
  <c r="L110" i="57"/>
  <c r="M110" i="57"/>
  <c r="N110" i="57"/>
  <c r="L111" i="57"/>
  <c r="M111" i="57"/>
  <c r="N111" i="57"/>
  <c r="AH98" i="57"/>
  <c r="AH99" i="57"/>
  <c r="AH100" i="57"/>
  <c r="AI100" i="57"/>
  <c r="AH101" i="57"/>
  <c r="AI101" i="57"/>
  <c r="AH102" i="57"/>
  <c r="AH103" i="57"/>
  <c r="AE98" i="57"/>
  <c r="AF98" i="57"/>
  <c r="AE99" i="57"/>
  <c r="AF99" i="57"/>
  <c r="AE100" i="57"/>
  <c r="AE101" i="57"/>
  <c r="AE102" i="57"/>
  <c r="AF102" i="57"/>
  <c r="AE103" i="57"/>
  <c r="AF103" i="57"/>
  <c r="AA98" i="57"/>
  <c r="AI98" i="57" s="1"/>
  <c r="AA99" i="57"/>
  <c r="AI99" i="57" s="1"/>
  <c r="AA100" i="57"/>
  <c r="AF100" i="57" s="1"/>
  <c r="AB100" i="57"/>
  <c r="AA101" i="57"/>
  <c r="AF101" i="57" s="1"/>
  <c r="AB101" i="57"/>
  <c r="AA102" i="57"/>
  <c r="AI102" i="57" s="1"/>
  <c r="AA103" i="57"/>
  <c r="AI103" i="57" s="1"/>
  <c r="L98" i="57"/>
  <c r="M98" i="57"/>
  <c r="N98" i="57"/>
  <c r="L99" i="57"/>
  <c r="M99" i="57"/>
  <c r="N99" i="57"/>
  <c r="L100" i="57"/>
  <c r="M100" i="57"/>
  <c r="N100" i="57"/>
  <c r="L101" i="57"/>
  <c r="M101" i="57"/>
  <c r="N101" i="57"/>
  <c r="L102" i="57"/>
  <c r="M102" i="57"/>
  <c r="N102" i="57"/>
  <c r="L103" i="57"/>
  <c r="M103" i="57"/>
  <c r="N103" i="57"/>
  <c r="AD93" i="57"/>
  <c r="AD94" i="57"/>
  <c r="AG93" i="57"/>
  <c r="AG94" i="57"/>
  <c r="O93" i="57"/>
  <c r="P93" i="57"/>
  <c r="Q93" i="57"/>
  <c r="R93" i="57"/>
  <c r="S93" i="57"/>
  <c r="T93" i="57"/>
  <c r="U93" i="57"/>
  <c r="V93" i="57"/>
  <c r="W93" i="57"/>
  <c r="X93" i="57"/>
  <c r="Y93" i="57"/>
  <c r="Z93" i="57"/>
  <c r="O94" i="57"/>
  <c r="P94" i="57"/>
  <c r="Q94" i="57"/>
  <c r="R94" i="57"/>
  <c r="S94" i="57"/>
  <c r="T94" i="57"/>
  <c r="U94" i="57"/>
  <c r="V94" i="57"/>
  <c r="W94" i="57"/>
  <c r="X94" i="57"/>
  <c r="Y94" i="57"/>
  <c r="Z94" i="57"/>
  <c r="AA91" i="57"/>
  <c r="AI91" i="57" s="1"/>
  <c r="AA92" i="57"/>
  <c r="N91" i="57"/>
  <c r="N92" i="57"/>
  <c r="I91" i="57"/>
  <c r="J91" i="57"/>
  <c r="I92" i="57"/>
  <c r="J92" i="57"/>
  <c r="AA35" i="57"/>
  <c r="AI35" i="57" s="1"/>
  <c r="AA36" i="57"/>
  <c r="AB36" i="57" s="1"/>
  <c r="AA37" i="57"/>
  <c r="AA38" i="57"/>
  <c r="AA39" i="57"/>
  <c r="AB39" i="57" s="1"/>
  <c r="AA40" i="57"/>
  <c r="AI40" i="57" s="1"/>
  <c r="AA41" i="57"/>
  <c r="AB41" i="57" s="1"/>
  <c r="AA45" i="57"/>
  <c r="AF45" i="57" s="1"/>
  <c r="AA46" i="57"/>
  <c r="AA47" i="57"/>
  <c r="AA48" i="57"/>
  <c r="AA49" i="57"/>
  <c r="AA50" i="57"/>
  <c r="AA51" i="57"/>
  <c r="AI51" i="57" s="1"/>
  <c r="AA55" i="57"/>
  <c r="AA56" i="57"/>
  <c r="AB56" i="57" s="1"/>
  <c r="AA57" i="57"/>
  <c r="AB57" i="57" s="1"/>
  <c r="AA58" i="57"/>
  <c r="AB58" i="57" s="1"/>
  <c r="AA59" i="57"/>
  <c r="AA60" i="57"/>
  <c r="AI60" i="57" s="1"/>
  <c r="AA61" i="57"/>
  <c r="AB61" i="57" s="1"/>
  <c r="AA65" i="57"/>
  <c r="AB65" i="57" s="1"/>
  <c r="AA66" i="57"/>
  <c r="AA67" i="57"/>
  <c r="AA68" i="57"/>
  <c r="AA69" i="57"/>
  <c r="AA70" i="57"/>
  <c r="AA71" i="57"/>
  <c r="AF71" i="57" s="1"/>
  <c r="AA75" i="57"/>
  <c r="AF75" i="57" s="1"/>
  <c r="AA76" i="57"/>
  <c r="AA77" i="57"/>
  <c r="AA78" i="57"/>
  <c r="AA79" i="57"/>
  <c r="AB79" i="57" s="1"/>
  <c r="AA80" i="57"/>
  <c r="AI80" i="57" s="1"/>
  <c r="AA83" i="57"/>
  <c r="AA85" i="57"/>
  <c r="AA86" i="57"/>
  <c r="AF86" i="57" s="1"/>
  <c r="AA87" i="57"/>
  <c r="AI87" i="57" s="1"/>
  <c r="N85" i="57"/>
  <c r="N143" i="57" s="1"/>
  <c r="N86" i="57"/>
  <c r="N87" i="57"/>
  <c r="N144" i="57" s="1"/>
  <c r="N88" i="57"/>
  <c r="N145" i="57" s="1"/>
  <c r="AH87" i="57"/>
  <c r="AE87" i="57"/>
  <c r="AB87" i="57"/>
  <c r="AH83" i="57"/>
  <c r="AH85" i="57"/>
  <c r="AE83" i="57"/>
  <c r="AE85" i="57"/>
  <c r="L85" i="57"/>
  <c r="M85" i="57"/>
  <c r="L86" i="57"/>
  <c r="M86" i="57"/>
  <c r="L87" i="57"/>
  <c r="M87" i="57"/>
  <c r="I85" i="57"/>
  <c r="J85" i="57"/>
  <c r="I86" i="57"/>
  <c r="J86" i="57"/>
  <c r="I87" i="57"/>
  <c r="J87" i="57"/>
  <c r="I88" i="57"/>
  <c r="J88" i="57"/>
  <c r="Q84" i="57"/>
  <c r="S84" i="57"/>
  <c r="T84" i="57"/>
  <c r="AI83" i="57"/>
  <c r="AF83" i="57"/>
  <c r="AB83" i="57"/>
  <c r="L83" i="57"/>
  <c r="M83" i="57"/>
  <c r="N83" i="57"/>
  <c r="I83" i="57"/>
  <c r="J83" i="57"/>
  <c r="AG82" i="57"/>
  <c r="AH84" i="57" s="1"/>
  <c r="AD82" i="57"/>
  <c r="AE84" i="57" s="1"/>
  <c r="O82" i="57"/>
  <c r="O84" i="57" s="1"/>
  <c r="P82" i="57"/>
  <c r="P84" i="57" s="1"/>
  <c r="Q82" i="57"/>
  <c r="R82" i="57"/>
  <c r="R84" i="57" s="1"/>
  <c r="S82" i="57"/>
  <c r="T82" i="57"/>
  <c r="U82" i="57"/>
  <c r="U84" i="57" s="1"/>
  <c r="V82" i="57"/>
  <c r="V84" i="57" s="1"/>
  <c r="W82" i="57"/>
  <c r="W84" i="57" s="1"/>
  <c r="X82" i="57"/>
  <c r="X84" i="57" s="1"/>
  <c r="Y82" i="57"/>
  <c r="Y84" i="57" s="1"/>
  <c r="Z82" i="57"/>
  <c r="Z84" i="57" s="1"/>
  <c r="AI75" i="57"/>
  <c r="AF77" i="57"/>
  <c r="AF78" i="57"/>
  <c r="AF79" i="57"/>
  <c r="AF80" i="57"/>
  <c r="AH75" i="57"/>
  <c r="AH76" i="57"/>
  <c r="AH77" i="57"/>
  <c r="AH78" i="57"/>
  <c r="AH79" i="57"/>
  <c r="AH80" i="57"/>
  <c r="AE75" i="57"/>
  <c r="AE76" i="57"/>
  <c r="AE77" i="57"/>
  <c r="AE78" i="57"/>
  <c r="AE79" i="57"/>
  <c r="AE80" i="57"/>
  <c r="AB75" i="57"/>
  <c r="AB80" i="57"/>
  <c r="L75" i="57"/>
  <c r="M75" i="57"/>
  <c r="N75" i="57"/>
  <c r="L76" i="57"/>
  <c r="M76" i="57"/>
  <c r="N76" i="57"/>
  <c r="L77" i="57"/>
  <c r="M77" i="57"/>
  <c r="N77" i="57"/>
  <c r="L78" i="57"/>
  <c r="M78" i="57"/>
  <c r="N78" i="57"/>
  <c r="L79" i="57"/>
  <c r="M79" i="57"/>
  <c r="N79" i="57"/>
  <c r="L80" i="57"/>
  <c r="M80" i="57"/>
  <c r="N80" i="57"/>
  <c r="L81" i="57"/>
  <c r="M81" i="57"/>
  <c r="N81" i="57"/>
  <c r="I75" i="57"/>
  <c r="J75" i="57"/>
  <c r="I76" i="57"/>
  <c r="J76" i="57"/>
  <c r="I77" i="57"/>
  <c r="J77" i="57"/>
  <c r="I78" i="57"/>
  <c r="J78" i="57"/>
  <c r="I79" i="57"/>
  <c r="J79" i="57"/>
  <c r="I80" i="57"/>
  <c r="J80" i="57"/>
  <c r="I81" i="57"/>
  <c r="J81" i="57"/>
  <c r="AG73" i="57"/>
  <c r="AH74" i="57" s="1"/>
  <c r="AD73" i="57"/>
  <c r="AE74" i="57" s="1"/>
  <c r="O73" i="57"/>
  <c r="O74" i="57" s="1"/>
  <c r="P73" i="57"/>
  <c r="Q73" i="57"/>
  <c r="Q74" i="57" s="1"/>
  <c r="R73" i="57"/>
  <c r="S73" i="57"/>
  <c r="S74" i="57" s="1"/>
  <c r="T73" i="57"/>
  <c r="T74" i="57" s="1"/>
  <c r="U73" i="57"/>
  <c r="U74" i="57" s="1"/>
  <c r="V73" i="57"/>
  <c r="W73" i="57"/>
  <c r="W74" i="57" s="1"/>
  <c r="X73" i="57"/>
  <c r="X74" i="57" s="1"/>
  <c r="Y73" i="57"/>
  <c r="Y74" i="57" s="1"/>
  <c r="Z73" i="57"/>
  <c r="P74" i="57"/>
  <c r="R74" i="57"/>
  <c r="V74" i="57"/>
  <c r="Z74" i="57"/>
  <c r="AI67" i="57"/>
  <c r="AI71" i="57"/>
  <c r="AF67" i="57"/>
  <c r="AH71" i="57"/>
  <c r="AE71" i="57"/>
  <c r="AH65" i="57"/>
  <c r="AH66" i="57"/>
  <c r="AH67" i="57"/>
  <c r="AH68" i="57"/>
  <c r="AH69" i="57"/>
  <c r="AE64" i="57"/>
  <c r="AE65" i="57"/>
  <c r="AE66" i="57"/>
  <c r="AE67" i="57"/>
  <c r="AE68" i="57"/>
  <c r="AE69" i="57"/>
  <c r="AB67" i="57"/>
  <c r="AB68" i="57"/>
  <c r="L65" i="57"/>
  <c r="M65" i="57"/>
  <c r="N65" i="57"/>
  <c r="L66" i="57"/>
  <c r="M66" i="57"/>
  <c r="N66" i="57"/>
  <c r="L67" i="57"/>
  <c r="M67" i="57"/>
  <c r="N67" i="57"/>
  <c r="L68" i="57"/>
  <c r="M68" i="57"/>
  <c r="N68" i="57"/>
  <c r="L69" i="57"/>
  <c r="M69" i="57"/>
  <c r="N69" i="57"/>
  <c r="L70" i="57"/>
  <c r="M70" i="57"/>
  <c r="N70" i="57"/>
  <c r="L71" i="57"/>
  <c r="M71" i="57"/>
  <c r="N71" i="57"/>
  <c r="L72" i="57"/>
  <c r="M72" i="57"/>
  <c r="N72" i="57"/>
  <c r="I65" i="57"/>
  <c r="J65" i="57"/>
  <c r="I66" i="57"/>
  <c r="J66" i="57"/>
  <c r="I67" i="57"/>
  <c r="J67" i="57"/>
  <c r="I68" i="57"/>
  <c r="J68" i="57"/>
  <c r="I69" i="57"/>
  <c r="J69" i="57"/>
  <c r="I70" i="57"/>
  <c r="J70" i="57"/>
  <c r="I71" i="57"/>
  <c r="J71" i="57"/>
  <c r="I72" i="57"/>
  <c r="J72" i="57"/>
  <c r="AG63" i="57"/>
  <c r="AH64" i="57" s="1"/>
  <c r="AD63" i="57"/>
  <c r="O63" i="57"/>
  <c r="O64" i="57" s="1"/>
  <c r="P63" i="57"/>
  <c r="P64" i="57" s="1"/>
  <c r="Q63" i="57"/>
  <c r="Q64" i="57" s="1"/>
  <c r="R63" i="57"/>
  <c r="R64" i="57" s="1"/>
  <c r="S63" i="57"/>
  <c r="S64" i="57" s="1"/>
  <c r="T63" i="57"/>
  <c r="T64" i="57" s="1"/>
  <c r="U63" i="57"/>
  <c r="U64" i="57" s="1"/>
  <c r="V63" i="57"/>
  <c r="W63" i="57"/>
  <c r="W64" i="57" s="1"/>
  <c r="X63" i="57"/>
  <c r="Y63" i="57"/>
  <c r="Z63" i="57"/>
  <c r="Z64" i="57" s="1"/>
  <c r="V64" i="57"/>
  <c r="X64" i="57"/>
  <c r="Y64" i="57"/>
  <c r="AI55" i="57"/>
  <c r="AI56" i="57"/>
  <c r="AI57" i="57"/>
  <c r="AI61" i="57"/>
  <c r="AF55" i="57"/>
  <c r="AF56" i="57"/>
  <c r="AF57" i="57"/>
  <c r="AF61" i="57"/>
  <c r="AH61" i="57"/>
  <c r="AE61" i="57"/>
  <c r="AH55" i="57"/>
  <c r="AH56" i="57"/>
  <c r="AH57" i="57"/>
  <c r="AH58" i="57"/>
  <c r="AH59" i="57"/>
  <c r="AE55" i="57"/>
  <c r="AE56" i="57"/>
  <c r="AE57" i="57"/>
  <c r="AE58" i="57"/>
  <c r="AE59" i="57"/>
  <c r="AB55" i="57"/>
  <c r="L55" i="57"/>
  <c r="M55" i="57"/>
  <c r="N55" i="57"/>
  <c r="L56" i="57"/>
  <c r="M56" i="57"/>
  <c r="N56" i="57"/>
  <c r="L57" i="57"/>
  <c r="M57" i="57"/>
  <c r="N57" i="57"/>
  <c r="L58" i="57"/>
  <c r="M58" i="57"/>
  <c r="N58" i="57"/>
  <c r="L59" i="57"/>
  <c r="M59" i="57"/>
  <c r="N59" i="57"/>
  <c r="L60" i="57"/>
  <c r="M60" i="57"/>
  <c r="N60" i="57"/>
  <c r="L61" i="57"/>
  <c r="M61" i="57"/>
  <c r="N61" i="57"/>
  <c r="L62" i="57"/>
  <c r="M62" i="57"/>
  <c r="N62" i="57"/>
  <c r="I55" i="57"/>
  <c r="J55" i="57"/>
  <c r="I56" i="57"/>
  <c r="J56" i="57"/>
  <c r="I57" i="57"/>
  <c r="J57" i="57"/>
  <c r="I58" i="57"/>
  <c r="J58" i="57"/>
  <c r="I59" i="57"/>
  <c r="J59" i="57"/>
  <c r="I60" i="57"/>
  <c r="J60" i="57"/>
  <c r="I61" i="57"/>
  <c r="J61" i="57"/>
  <c r="I62" i="57"/>
  <c r="J62" i="57"/>
  <c r="AG53" i="57"/>
  <c r="AH54" i="57" s="1"/>
  <c r="AD53" i="57"/>
  <c r="AE54" i="57" s="1"/>
  <c r="O53" i="57"/>
  <c r="P53" i="57"/>
  <c r="Q53" i="57"/>
  <c r="R53" i="57"/>
  <c r="R54" i="57" s="1"/>
  <c r="S53" i="57"/>
  <c r="S54" i="57" s="1"/>
  <c r="T53" i="57"/>
  <c r="T54" i="57" s="1"/>
  <c r="U53" i="57"/>
  <c r="U54" i="57" s="1"/>
  <c r="V53" i="57"/>
  <c r="V54" i="57" s="1"/>
  <c r="W53" i="57"/>
  <c r="W54" i="57" s="1"/>
  <c r="X53" i="57"/>
  <c r="X54" i="57" s="1"/>
  <c r="Y53" i="57"/>
  <c r="Z53" i="57"/>
  <c r="O54" i="57"/>
  <c r="P54" i="57"/>
  <c r="Q54" i="57"/>
  <c r="Y54" i="57"/>
  <c r="Z54" i="57"/>
  <c r="AI45" i="57"/>
  <c r="AI47" i="57"/>
  <c r="AI48" i="57"/>
  <c r="AF47" i="57"/>
  <c r="AF48" i="57"/>
  <c r="AF49" i="57"/>
  <c r="AH51" i="57"/>
  <c r="AE51" i="57"/>
  <c r="AH45" i="57"/>
  <c r="AH46" i="57"/>
  <c r="AH47" i="57"/>
  <c r="AH48" i="57"/>
  <c r="AH49" i="57"/>
  <c r="AE45" i="57"/>
  <c r="AE46" i="57"/>
  <c r="AE47" i="57"/>
  <c r="AE48" i="57"/>
  <c r="AE49" i="57"/>
  <c r="AB45" i="57"/>
  <c r="AB47" i="57"/>
  <c r="AB48" i="57"/>
  <c r="L45" i="57"/>
  <c r="M45" i="57"/>
  <c r="N45" i="57"/>
  <c r="L46" i="57"/>
  <c r="M46" i="57"/>
  <c r="N46" i="57"/>
  <c r="L47" i="57"/>
  <c r="M47" i="57"/>
  <c r="N47" i="57"/>
  <c r="L48" i="57"/>
  <c r="M48" i="57"/>
  <c r="N48" i="57"/>
  <c r="L49" i="57"/>
  <c r="M49" i="57"/>
  <c r="N49" i="57"/>
  <c r="L50" i="57"/>
  <c r="M50" i="57"/>
  <c r="N50" i="57"/>
  <c r="L51" i="57"/>
  <c r="M51" i="57"/>
  <c r="N51" i="57"/>
  <c r="L52" i="57"/>
  <c r="M52" i="57"/>
  <c r="N52" i="57"/>
  <c r="I45" i="57"/>
  <c r="J45" i="57"/>
  <c r="I46" i="57"/>
  <c r="J46" i="57"/>
  <c r="I47" i="57"/>
  <c r="J47" i="57"/>
  <c r="I48" i="57"/>
  <c r="J48" i="57"/>
  <c r="I49" i="57"/>
  <c r="J49" i="57"/>
  <c r="I50" i="57"/>
  <c r="J50" i="57"/>
  <c r="I51" i="57"/>
  <c r="J51" i="57"/>
  <c r="I52" i="57"/>
  <c r="J52" i="57"/>
  <c r="AG43" i="57"/>
  <c r="AH44" i="57" s="1"/>
  <c r="AD43" i="57"/>
  <c r="AE44" i="57" s="1"/>
  <c r="O43" i="57"/>
  <c r="O44" i="57" s="1"/>
  <c r="P43" i="57"/>
  <c r="Q43" i="57"/>
  <c r="R43" i="57"/>
  <c r="R44" i="57" s="1"/>
  <c r="S43" i="57"/>
  <c r="S44" i="57" s="1"/>
  <c r="T43" i="57"/>
  <c r="T44" i="57" s="1"/>
  <c r="U43" i="57"/>
  <c r="U44" i="57" s="1"/>
  <c r="V43" i="57"/>
  <c r="V44" i="57" s="1"/>
  <c r="W43" i="57"/>
  <c r="W44" i="57" s="1"/>
  <c r="X43" i="57"/>
  <c r="Y43" i="57"/>
  <c r="Y44" i="57" s="1"/>
  <c r="Z43" i="57"/>
  <c r="Z44" i="57" s="1"/>
  <c r="P44" i="57"/>
  <c r="Q44" i="57"/>
  <c r="X44" i="57"/>
  <c r="AI36" i="57"/>
  <c r="AI37" i="57"/>
  <c r="AF36" i="57"/>
  <c r="AF37" i="57"/>
  <c r="AF40" i="57"/>
  <c r="AH41" i="57"/>
  <c r="AE41" i="57"/>
  <c r="AH35" i="57"/>
  <c r="AH36" i="57"/>
  <c r="AH37" i="57"/>
  <c r="AH38" i="57"/>
  <c r="AH39" i="57"/>
  <c r="AE35" i="57"/>
  <c r="AE36" i="57"/>
  <c r="AE37" i="57"/>
  <c r="AE38" i="57"/>
  <c r="AE39" i="57"/>
  <c r="AB35" i="57"/>
  <c r="AB37" i="57"/>
  <c r="L35" i="57"/>
  <c r="M35" i="57"/>
  <c r="N35" i="57"/>
  <c r="L36" i="57"/>
  <c r="M36" i="57"/>
  <c r="N36" i="57"/>
  <c r="L37" i="57"/>
  <c r="M37" i="57"/>
  <c r="N37" i="57"/>
  <c r="L38" i="57"/>
  <c r="M38" i="57"/>
  <c r="N38" i="57"/>
  <c r="L39" i="57"/>
  <c r="M39" i="57"/>
  <c r="N39" i="57"/>
  <c r="L40" i="57"/>
  <c r="M40" i="57"/>
  <c r="N40" i="57"/>
  <c r="L41" i="57"/>
  <c r="M41" i="57"/>
  <c r="N41" i="57"/>
  <c r="L42" i="57"/>
  <c r="M42" i="57"/>
  <c r="N42" i="57"/>
  <c r="I35" i="57"/>
  <c r="J35" i="57"/>
  <c r="I36" i="57"/>
  <c r="J36" i="57"/>
  <c r="I37" i="57"/>
  <c r="J37" i="57"/>
  <c r="I38" i="57"/>
  <c r="J38" i="57"/>
  <c r="I39" i="57"/>
  <c r="J39" i="57"/>
  <c r="I40" i="57"/>
  <c r="J40" i="57"/>
  <c r="I41" i="57"/>
  <c r="J41" i="57"/>
  <c r="I42" i="57"/>
  <c r="J42" i="57"/>
  <c r="AG32" i="57"/>
  <c r="AD32" i="57"/>
  <c r="O32" i="57"/>
  <c r="P32" i="57"/>
  <c r="Q32" i="57"/>
  <c r="R32" i="57"/>
  <c r="S32" i="57"/>
  <c r="T32" i="57"/>
  <c r="U32" i="57"/>
  <c r="V32" i="57"/>
  <c r="W32" i="57"/>
  <c r="X32" i="57"/>
  <c r="Y32" i="57"/>
  <c r="Z32" i="57"/>
  <c r="AG31" i="57"/>
  <c r="AD31" i="57"/>
  <c r="O31" i="57"/>
  <c r="P31" i="57"/>
  <c r="Q31" i="57"/>
  <c r="R31" i="57"/>
  <c r="S31" i="57"/>
  <c r="T31" i="57"/>
  <c r="U31" i="57"/>
  <c r="V31" i="57"/>
  <c r="W31" i="57"/>
  <c r="X31" i="57"/>
  <c r="Y31" i="57"/>
  <c r="Z31" i="57"/>
  <c r="AA31" i="57"/>
  <c r="N26" i="57"/>
  <c r="N27" i="57"/>
  <c r="N28" i="57"/>
  <c r="N29" i="57"/>
  <c r="B23" i="57"/>
  <c r="AG16" i="57"/>
  <c r="AG19" i="57"/>
  <c r="AG20" i="57"/>
  <c r="AD19" i="57"/>
  <c r="AD20" i="57"/>
  <c r="G19" i="57"/>
  <c r="G20" i="57"/>
  <c r="N19" i="57"/>
  <c r="O19" i="57"/>
  <c r="P19" i="57"/>
  <c r="Q19" i="57"/>
  <c r="R19" i="57"/>
  <c r="S19" i="57"/>
  <c r="T19" i="57"/>
  <c r="U19" i="57"/>
  <c r="V19" i="57"/>
  <c r="W19" i="57"/>
  <c r="X19" i="57"/>
  <c r="Y19" i="57"/>
  <c r="Z19" i="57"/>
  <c r="N20" i="57"/>
  <c r="O20" i="57"/>
  <c r="P20" i="57"/>
  <c r="Q20" i="57"/>
  <c r="R20" i="57"/>
  <c r="S20" i="57"/>
  <c r="T20" i="57"/>
  <c r="U20" i="57"/>
  <c r="V20" i="57"/>
  <c r="W20" i="57"/>
  <c r="X20" i="57"/>
  <c r="Y20" i="57"/>
  <c r="Z20" i="57"/>
  <c r="B17" i="57"/>
  <c r="B18" i="57"/>
  <c r="B19" i="57"/>
  <c r="O16" i="57"/>
  <c r="P16" i="57"/>
  <c r="Q16" i="57"/>
  <c r="R16" i="57"/>
  <c r="S16" i="57"/>
  <c r="T16" i="57"/>
  <c r="U16" i="57"/>
  <c r="V16" i="57"/>
  <c r="W16" i="57"/>
  <c r="X16" i="57"/>
  <c r="Y16" i="57"/>
  <c r="O17" i="57"/>
  <c r="P17" i="57"/>
  <c r="Q17" i="57"/>
  <c r="R17" i="57"/>
  <c r="S17" i="57"/>
  <c r="T17" i="57"/>
  <c r="U17" i="57"/>
  <c r="V17" i="57"/>
  <c r="W17" i="57"/>
  <c r="X17" i="57"/>
  <c r="Y17" i="57"/>
  <c r="Z17" i="57"/>
  <c r="AA17" i="57" s="1"/>
  <c r="AA11" i="57" s="1"/>
  <c r="AA18" i="57" s="1"/>
  <c r="A14" i="57"/>
  <c r="AG12" i="57"/>
  <c r="AG13" i="57"/>
  <c r="AD12" i="57"/>
  <c r="AD13" i="57"/>
  <c r="B12" i="57"/>
  <c r="Z16" i="57" s="1"/>
  <c r="B13" i="57"/>
  <c r="O11" i="57"/>
  <c r="P11" i="57"/>
  <c r="Q11" i="57"/>
  <c r="R11" i="57"/>
  <c r="S11" i="57"/>
  <c r="T11" i="57"/>
  <c r="U11" i="57"/>
  <c r="V11" i="57"/>
  <c r="W11" i="57"/>
  <c r="X11" i="57"/>
  <c r="Y11" i="57"/>
  <c r="Z11" i="57"/>
  <c r="O12" i="57"/>
  <c r="P12" i="57"/>
  <c r="Q12" i="57"/>
  <c r="R12" i="57"/>
  <c r="S12" i="57"/>
  <c r="T12" i="57"/>
  <c r="U12" i="57"/>
  <c r="V12" i="57"/>
  <c r="W12" i="57"/>
  <c r="X12" i="57"/>
  <c r="Y12" i="57"/>
  <c r="Z12" i="57"/>
  <c r="AA12" i="57"/>
  <c r="O13" i="57"/>
  <c r="P13" i="57"/>
  <c r="Q13" i="57"/>
  <c r="R13" i="57"/>
  <c r="S13" i="57"/>
  <c r="T13" i="57"/>
  <c r="U13" i="57"/>
  <c r="V13" i="57"/>
  <c r="W13" i="57"/>
  <c r="X13" i="57"/>
  <c r="Y13" i="57"/>
  <c r="Z13" i="57"/>
  <c r="AA13" i="57"/>
  <c r="C10" i="57"/>
  <c r="D10" i="57"/>
  <c r="C9" i="57"/>
  <c r="C1" i="57"/>
  <c r="C2" i="57"/>
  <c r="C3" i="57"/>
  <c r="C4" i="57"/>
  <c r="C5" i="57"/>
  <c r="C6" i="57"/>
  <c r="C7" i="57"/>
  <c r="C8" i="57"/>
  <c r="E6" i="57"/>
  <c r="E4" i="57"/>
  <c r="F4" i="57"/>
  <c r="B3" i="57"/>
  <c r="B120" i="53"/>
  <c r="B114" i="53"/>
  <c r="B115" i="53"/>
  <c r="B116" i="53"/>
  <c r="A111" i="53"/>
  <c r="AG90" i="53"/>
  <c r="AD90" i="53"/>
  <c r="O90" i="53"/>
  <c r="P90" i="53"/>
  <c r="Q90" i="53"/>
  <c r="R90" i="53"/>
  <c r="S90" i="53"/>
  <c r="T90" i="53"/>
  <c r="U90" i="53"/>
  <c r="V90" i="53"/>
  <c r="W90" i="53"/>
  <c r="X90" i="53"/>
  <c r="Y90" i="53"/>
  <c r="Z90" i="53"/>
  <c r="T91" i="53"/>
  <c r="Z91" i="53"/>
  <c r="B88" i="53"/>
  <c r="B89" i="53"/>
  <c r="N87" i="53"/>
  <c r="N90" i="53" s="1"/>
  <c r="N88" i="53"/>
  <c r="N91" i="53" s="1"/>
  <c r="AH87" i="53"/>
  <c r="AH88" i="53"/>
  <c r="AK88" i="53"/>
  <c r="AE87" i="53"/>
  <c r="AE88" i="53"/>
  <c r="I87" i="53"/>
  <c r="AA87" i="53" s="1"/>
  <c r="J87" i="53"/>
  <c r="I88" i="53"/>
  <c r="AA88" i="53" s="1"/>
  <c r="J88" i="53"/>
  <c r="N82" i="53"/>
  <c r="N83" i="53"/>
  <c r="N84" i="53"/>
  <c r="N85" i="53"/>
  <c r="I85" i="53"/>
  <c r="AA85" i="53" s="1"/>
  <c r="J85" i="53"/>
  <c r="B83" i="53"/>
  <c r="B84" i="53"/>
  <c r="B85" i="53"/>
  <c r="AH83" i="53"/>
  <c r="AH84" i="53"/>
  <c r="AH85" i="53"/>
  <c r="AE83" i="53"/>
  <c r="AE84" i="53"/>
  <c r="AE85" i="53"/>
  <c r="AA84" i="53"/>
  <c r="I83" i="53"/>
  <c r="K83" i="53" s="1"/>
  <c r="J83" i="53"/>
  <c r="L83" i="53"/>
  <c r="M83" i="53"/>
  <c r="I84" i="53"/>
  <c r="J84" i="53"/>
  <c r="L84" i="53"/>
  <c r="M84" i="53"/>
  <c r="I82" i="53"/>
  <c r="J82" i="53"/>
  <c r="A80" i="53"/>
  <c r="AH76" i="53"/>
  <c r="AH77" i="53"/>
  <c r="AH78" i="53"/>
  <c r="AH79" i="53"/>
  <c r="AH80" i="53"/>
  <c r="AE76" i="53"/>
  <c r="AE77" i="53"/>
  <c r="AE78" i="53"/>
  <c r="AE79" i="53"/>
  <c r="AE80" i="53"/>
  <c r="AA79" i="53"/>
  <c r="I76" i="53"/>
  <c r="K76" i="53" s="1"/>
  <c r="J76" i="53"/>
  <c r="L76" i="53"/>
  <c r="M76" i="53"/>
  <c r="N76" i="53"/>
  <c r="I77" i="53"/>
  <c r="AA77" i="53" s="1"/>
  <c r="J77" i="53"/>
  <c r="K77" i="53"/>
  <c r="L77" i="53"/>
  <c r="M77" i="53"/>
  <c r="N77" i="53"/>
  <c r="I78" i="53"/>
  <c r="AA78" i="53" s="1"/>
  <c r="J78" i="53"/>
  <c r="L78" i="53"/>
  <c r="M78" i="53"/>
  <c r="N78" i="53"/>
  <c r="I79" i="53"/>
  <c r="K79" i="53" s="1"/>
  <c r="J79" i="53"/>
  <c r="L79" i="53"/>
  <c r="M79" i="53"/>
  <c r="N79" i="53"/>
  <c r="I80" i="53"/>
  <c r="J80" i="53"/>
  <c r="L80" i="53"/>
  <c r="M80" i="53"/>
  <c r="N80" i="53"/>
  <c r="N74" i="53"/>
  <c r="N75" i="53"/>
  <c r="I74" i="53"/>
  <c r="J74" i="53"/>
  <c r="I75" i="53"/>
  <c r="J75" i="53"/>
  <c r="AD72" i="53"/>
  <c r="AG72" i="53"/>
  <c r="AG91" i="53" s="1"/>
  <c r="N72" i="53"/>
  <c r="O72" i="53"/>
  <c r="O91" i="53" s="1"/>
  <c r="P72" i="53"/>
  <c r="P91" i="53" s="1"/>
  <c r="Q72" i="53"/>
  <c r="Q91" i="53" s="1"/>
  <c r="R72" i="53"/>
  <c r="R91" i="53" s="1"/>
  <c r="S72" i="53"/>
  <c r="S91" i="53" s="1"/>
  <c r="T72" i="53"/>
  <c r="U72" i="53"/>
  <c r="U91" i="53" s="1"/>
  <c r="V72" i="53"/>
  <c r="V91" i="53" s="1"/>
  <c r="W72" i="53"/>
  <c r="W91" i="53" s="1"/>
  <c r="X72" i="53"/>
  <c r="X91" i="53" s="1"/>
  <c r="Y72" i="53"/>
  <c r="Y91" i="53" s="1"/>
  <c r="Z72" i="53"/>
  <c r="AH71" i="53"/>
  <c r="AI71" i="53"/>
  <c r="AB62" i="53"/>
  <c r="AB63" i="53"/>
  <c r="AN63" i="53" s="1"/>
  <c r="AB64" i="53"/>
  <c r="AB65" i="53"/>
  <c r="AM65" i="53" s="1"/>
  <c r="AB66" i="53"/>
  <c r="AN66" i="53" s="1"/>
  <c r="AB67" i="53"/>
  <c r="AB68" i="53"/>
  <c r="AB69" i="53"/>
  <c r="AB70" i="53"/>
  <c r="AB71" i="53"/>
  <c r="N60" i="53"/>
  <c r="N61" i="53"/>
  <c r="N62" i="53"/>
  <c r="N63" i="53"/>
  <c r="N64" i="53"/>
  <c r="N65" i="53"/>
  <c r="N66" i="53"/>
  <c r="N67" i="53"/>
  <c r="N68" i="53"/>
  <c r="N69" i="53"/>
  <c r="N70" i="53"/>
  <c r="N71" i="53"/>
  <c r="I71" i="53"/>
  <c r="K71" i="53" s="1"/>
  <c r="J71" i="53"/>
  <c r="I72" i="53"/>
  <c r="K72" i="53" s="1"/>
  <c r="J72" i="53"/>
  <c r="AA64" i="53"/>
  <c r="AA66" i="53"/>
  <c r="AF66" i="53" s="1"/>
  <c r="AA70" i="53"/>
  <c r="AI70" i="53" s="1"/>
  <c r="AH62" i="53"/>
  <c r="AH63" i="53"/>
  <c r="AH64" i="53"/>
  <c r="AN64" i="53"/>
  <c r="AH65" i="53"/>
  <c r="AN65" i="53" s="1"/>
  <c r="AL65" i="53"/>
  <c r="AH66" i="53"/>
  <c r="AH67" i="53"/>
  <c r="AH68" i="53"/>
  <c r="AK68" i="53"/>
  <c r="AH69" i="53"/>
  <c r="AN69" i="53" s="1"/>
  <c r="AH70" i="53"/>
  <c r="AK70" i="53"/>
  <c r="AM70" i="53"/>
  <c r="AE62" i="53"/>
  <c r="AE63" i="53"/>
  <c r="AM63" i="53" s="1"/>
  <c r="AE64" i="53"/>
  <c r="AE65" i="53"/>
  <c r="AE66" i="53"/>
  <c r="AE67" i="53"/>
  <c r="AM67" i="53" s="1"/>
  <c r="AE68" i="53"/>
  <c r="AE69" i="53"/>
  <c r="AE70" i="53"/>
  <c r="AE71" i="53"/>
  <c r="AF71" i="53"/>
  <c r="I62" i="53"/>
  <c r="J62" i="53"/>
  <c r="L62" i="53"/>
  <c r="M62" i="53"/>
  <c r="I63" i="53"/>
  <c r="AA63" i="53" s="1"/>
  <c r="AI63" i="53" s="1"/>
  <c r="J63" i="53"/>
  <c r="L63" i="53"/>
  <c r="M63" i="53"/>
  <c r="I64" i="53"/>
  <c r="K64" i="53" s="1"/>
  <c r="J64" i="53"/>
  <c r="L64" i="53"/>
  <c r="M64" i="53"/>
  <c r="I65" i="53"/>
  <c r="K65" i="53" s="1"/>
  <c r="J65" i="53"/>
  <c r="L65" i="53"/>
  <c r="M65" i="53"/>
  <c r="I66" i="53"/>
  <c r="J66" i="53"/>
  <c r="K66" i="53"/>
  <c r="L66" i="53"/>
  <c r="M66" i="53"/>
  <c r="I67" i="53"/>
  <c r="K67" i="53" s="1"/>
  <c r="J67" i="53"/>
  <c r="L67" i="53"/>
  <c r="M67" i="53"/>
  <c r="I68" i="53"/>
  <c r="AA68" i="53" s="1"/>
  <c r="J68" i="53"/>
  <c r="K68" i="53"/>
  <c r="L68" i="53"/>
  <c r="M68" i="53"/>
  <c r="I69" i="53"/>
  <c r="AA69" i="53" s="1"/>
  <c r="AF69" i="53" s="1"/>
  <c r="J69" i="53"/>
  <c r="L69" i="53"/>
  <c r="M69" i="53"/>
  <c r="I70" i="53"/>
  <c r="K70" i="53" s="1"/>
  <c r="J70" i="53"/>
  <c r="L70" i="53"/>
  <c r="M70" i="53"/>
  <c r="I60" i="53"/>
  <c r="J60" i="53"/>
  <c r="I61" i="53"/>
  <c r="J61" i="53"/>
  <c r="B55" i="53"/>
  <c r="B56" i="53"/>
  <c r="B50" i="53"/>
  <c r="B51" i="53"/>
  <c r="B52" i="53"/>
  <c r="A47" i="53"/>
  <c r="AH35" i="53"/>
  <c r="AI35" i="53"/>
  <c r="AH36" i="53"/>
  <c r="AI36" i="53"/>
  <c r="AK36" i="53"/>
  <c r="AH37" i="53"/>
  <c r="AH38" i="53"/>
  <c r="AH39" i="53"/>
  <c r="AI39" i="53"/>
  <c r="AL39" i="53"/>
  <c r="AH40" i="53"/>
  <c r="AH41" i="53"/>
  <c r="AK41" i="53"/>
  <c r="AH42" i="53"/>
  <c r="AH43" i="53"/>
  <c r="AH44" i="53"/>
  <c r="AH45" i="53"/>
  <c r="AK45" i="53"/>
  <c r="AH46" i="53"/>
  <c r="AH47" i="53"/>
  <c r="AH48" i="53"/>
  <c r="AK48" i="53"/>
  <c r="AH49" i="53"/>
  <c r="AH50" i="53"/>
  <c r="AK50" i="53"/>
  <c r="AH51" i="53"/>
  <c r="AH52" i="53"/>
  <c r="AH53" i="53"/>
  <c r="AL53" i="53"/>
  <c r="AH54" i="53"/>
  <c r="AK54" i="53"/>
  <c r="AH55" i="53"/>
  <c r="AH56" i="53"/>
  <c r="AL56" i="53"/>
  <c r="AH57" i="53"/>
  <c r="AK57" i="53"/>
  <c r="AH58" i="53"/>
  <c r="AE35" i="53"/>
  <c r="AE36" i="53"/>
  <c r="AE37" i="53"/>
  <c r="AE38" i="53"/>
  <c r="AE39" i="53"/>
  <c r="AE40" i="53"/>
  <c r="AE41" i="53"/>
  <c r="AF41" i="53"/>
  <c r="AE42" i="53"/>
  <c r="AE43" i="53"/>
  <c r="AE44" i="53"/>
  <c r="AE45" i="53"/>
  <c r="AE46" i="53"/>
  <c r="AE47" i="53"/>
  <c r="AE48" i="53"/>
  <c r="AE49" i="53"/>
  <c r="AE50" i="53"/>
  <c r="AE51" i="53"/>
  <c r="AE52" i="53"/>
  <c r="AE53" i="53"/>
  <c r="AE54" i="53"/>
  <c r="AE55" i="53"/>
  <c r="AE56" i="53"/>
  <c r="AE57" i="53"/>
  <c r="AE58" i="53"/>
  <c r="AA35" i="53"/>
  <c r="AF35" i="53" s="1"/>
  <c r="AB35" i="53"/>
  <c r="AA39" i="53"/>
  <c r="AA51" i="53"/>
  <c r="AF51" i="53" s="1"/>
  <c r="AA53" i="53"/>
  <c r="I35" i="53"/>
  <c r="J35" i="53"/>
  <c r="K35" i="53"/>
  <c r="L35" i="53"/>
  <c r="M35" i="53"/>
  <c r="N35" i="53"/>
  <c r="I36" i="53"/>
  <c r="AA36" i="53" s="1"/>
  <c r="J36" i="53"/>
  <c r="L36" i="53"/>
  <c r="M36" i="53"/>
  <c r="N36" i="53"/>
  <c r="I37" i="53"/>
  <c r="AA37" i="53" s="1"/>
  <c r="J37" i="53"/>
  <c r="L37" i="53"/>
  <c r="M37" i="53"/>
  <c r="N37" i="53"/>
  <c r="I38" i="53"/>
  <c r="AA38" i="53" s="1"/>
  <c r="J38" i="53"/>
  <c r="L38" i="53"/>
  <c r="M38" i="53"/>
  <c r="N38" i="53"/>
  <c r="I39" i="53"/>
  <c r="K39" i="53" s="1"/>
  <c r="J39" i="53"/>
  <c r="L39" i="53"/>
  <c r="M39" i="53"/>
  <c r="N39" i="53"/>
  <c r="I40" i="53"/>
  <c r="K40" i="53" s="1"/>
  <c r="J40" i="53"/>
  <c r="L40" i="53"/>
  <c r="M40" i="53"/>
  <c r="N40" i="53"/>
  <c r="I41" i="53"/>
  <c r="AA41" i="53" s="1"/>
  <c r="J41" i="53"/>
  <c r="K41" i="53"/>
  <c r="L41" i="53"/>
  <c r="M41" i="53"/>
  <c r="N41" i="53"/>
  <c r="I42" i="53"/>
  <c r="AA42" i="53" s="1"/>
  <c r="J42" i="53"/>
  <c r="L42" i="53"/>
  <c r="M42" i="53"/>
  <c r="N42" i="53"/>
  <c r="I43" i="53"/>
  <c r="AA43" i="53" s="1"/>
  <c r="J43" i="53"/>
  <c r="L43" i="53"/>
  <c r="M43" i="53"/>
  <c r="N43" i="53"/>
  <c r="I44" i="53"/>
  <c r="K44" i="53" s="1"/>
  <c r="J44" i="53"/>
  <c r="L44" i="53"/>
  <c r="M44" i="53"/>
  <c r="N44" i="53"/>
  <c r="I45" i="53"/>
  <c r="AA45" i="53" s="1"/>
  <c r="AI45" i="53" s="1"/>
  <c r="J45" i="53"/>
  <c r="K45" i="53"/>
  <c r="L45" i="53"/>
  <c r="M45" i="53"/>
  <c r="N45" i="53"/>
  <c r="I46" i="53"/>
  <c r="AA46" i="53" s="1"/>
  <c r="J46" i="53"/>
  <c r="L46" i="53"/>
  <c r="M46" i="53"/>
  <c r="N46" i="53"/>
  <c r="I47" i="53"/>
  <c r="J47" i="53"/>
  <c r="L47" i="53"/>
  <c r="M47" i="53"/>
  <c r="N47" i="53"/>
  <c r="I48" i="53"/>
  <c r="K48" i="53" s="1"/>
  <c r="J48" i="53"/>
  <c r="L48" i="53"/>
  <c r="M48" i="53"/>
  <c r="N48" i="53"/>
  <c r="I49" i="53"/>
  <c r="K49" i="53" s="1"/>
  <c r="J49" i="53"/>
  <c r="L49" i="53"/>
  <c r="M49" i="53"/>
  <c r="N49" i="53"/>
  <c r="I50" i="53"/>
  <c r="AA50" i="53" s="1"/>
  <c r="J50" i="53"/>
  <c r="L50" i="53"/>
  <c r="M50" i="53"/>
  <c r="N50" i="53"/>
  <c r="I51" i="53"/>
  <c r="J51" i="53"/>
  <c r="K51" i="53"/>
  <c r="L51" i="53"/>
  <c r="M51" i="53"/>
  <c r="N51" i="53"/>
  <c r="I52" i="53"/>
  <c r="K52" i="53" s="1"/>
  <c r="J52" i="53"/>
  <c r="L52" i="53"/>
  <c r="M52" i="53"/>
  <c r="N52" i="53"/>
  <c r="I53" i="53"/>
  <c r="K53" i="53" s="1"/>
  <c r="J53" i="53"/>
  <c r="L53" i="53"/>
  <c r="M53" i="53"/>
  <c r="N53" i="53"/>
  <c r="I54" i="53"/>
  <c r="K54" i="53" s="1"/>
  <c r="J54" i="53"/>
  <c r="L54" i="53"/>
  <c r="M54" i="53"/>
  <c r="N54" i="53"/>
  <c r="I55" i="53"/>
  <c r="AA55" i="53" s="1"/>
  <c r="J55" i="53"/>
  <c r="L55" i="53"/>
  <c r="M55" i="53"/>
  <c r="N55" i="53"/>
  <c r="I56" i="53"/>
  <c r="K56" i="53" s="1"/>
  <c r="J56" i="53"/>
  <c r="L56" i="53"/>
  <c r="M56" i="53"/>
  <c r="N56" i="53"/>
  <c r="I57" i="53"/>
  <c r="AA57" i="53" s="1"/>
  <c r="J57" i="53"/>
  <c r="K57" i="53"/>
  <c r="L57" i="53"/>
  <c r="M57" i="53"/>
  <c r="N57" i="53"/>
  <c r="I58" i="53"/>
  <c r="K58" i="53" s="1"/>
  <c r="J58" i="53"/>
  <c r="L58" i="53"/>
  <c r="M58" i="53"/>
  <c r="N58" i="53"/>
  <c r="N33" i="53"/>
  <c r="N34" i="53"/>
  <c r="I33" i="53"/>
  <c r="J33" i="53"/>
  <c r="I34" i="53"/>
  <c r="J34" i="53"/>
  <c r="AK32" i="53"/>
  <c r="AG32" i="53"/>
  <c r="AL32" i="53" s="1"/>
  <c r="AD32" i="53"/>
  <c r="O32" i="53"/>
  <c r="P32" i="53"/>
  <c r="Q32" i="53"/>
  <c r="R32" i="53"/>
  <c r="S32" i="53"/>
  <c r="T32" i="53"/>
  <c r="U32" i="53"/>
  <c r="V32" i="53"/>
  <c r="W32" i="53"/>
  <c r="X32" i="53"/>
  <c r="Y32" i="53"/>
  <c r="Z32" i="53"/>
  <c r="AJ32" i="53" s="1"/>
  <c r="AJ31" i="53"/>
  <c r="AK31" i="53"/>
  <c r="AM31" i="53" s="1"/>
  <c r="AL31" i="53"/>
  <c r="AN31" i="53" s="1"/>
  <c r="AG31" i="53"/>
  <c r="AD31" i="53"/>
  <c r="O31" i="53"/>
  <c r="P31" i="53"/>
  <c r="Q31" i="53"/>
  <c r="R31" i="53"/>
  <c r="S31" i="53"/>
  <c r="T31" i="53"/>
  <c r="U31" i="53"/>
  <c r="V31" i="53"/>
  <c r="W31" i="53"/>
  <c r="X31" i="53"/>
  <c r="Y31" i="53"/>
  <c r="Z31" i="53"/>
  <c r="AA31" i="53"/>
  <c r="N26" i="53"/>
  <c r="N27" i="53"/>
  <c r="N28" i="53"/>
  <c r="N29" i="53"/>
  <c r="B22" i="53"/>
  <c r="B23" i="53"/>
  <c r="AG16" i="53"/>
  <c r="AG19" i="53"/>
  <c r="AG20" i="53"/>
  <c r="AL77" i="53" s="1"/>
  <c r="AD19" i="53"/>
  <c r="AD20" i="53"/>
  <c r="AK76" i="53" s="1"/>
  <c r="G19" i="53"/>
  <c r="G20" i="53"/>
  <c r="N19" i="53"/>
  <c r="O19" i="53"/>
  <c r="P19" i="53"/>
  <c r="Q19" i="53"/>
  <c r="R19" i="53"/>
  <c r="S19" i="53"/>
  <c r="T19" i="53"/>
  <c r="U19" i="53"/>
  <c r="V19" i="53"/>
  <c r="W19" i="53"/>
  <c r="X19" i="53"/>
  <c r="Y19" i="53"/>
  <c r="Z19" i="53"/>
  <c r="N20" i="53"/>
  <c r="O20" i="53"/>
  <c r="P20" i="53"/>
  <c r="Q20" i="53"/>
  <c r="R20" i="53"/>
  <c r="S20" i="53"/>
  <c r="T20" i="53"/>
  <c r="U20" i="53"/>
  <c r="V20" i="53"/>
  <c r="W20" i="53"/>
  <c r="X20" i="53"/>
  <c r="Y20" i="53"/>
  <c r="Z20" i="53"/>
  <c r="B17" i="53"/>
  <c r="B18" i="53"/>
  <c r="B19" i="53"/>
  <c r="O16" i="53"/>
  <c r="P16" i="53"/>
  <c r="Q16" i="53"/>
  <c r="R16" i="53"/>
  <c r="S16" i="53"/>
  <c r="T16" i="53"/>
  <c r="U16" i="53"/>
  <c r="V16" i="53"/>
  <c r="W16" i="53"/>
  <c r="X16" i="53"/>
  <c r="Y16" i="53"/>
  <c r="AA16" i="53"/>
  <c r="O17" i="53"/>
  <c r="P17" i="53"/>
  <c r="Q17" i="53"/>
  <c r="R17" i="53"/>
  <c r="S17" i="53"/>
  <c r="T17" i="53"/>
  <c r="U17" i="53"/>
  <c r="V17" i="53"/>
  <c r="W17" i="53"/>
  <c r="X17" i="53"/>
  <c r="Y17" i="53"/>
  <c r="Z17" i="53"/>
  <c r="AA17" i="53" s="1"/>
  <c r="AA11" i="53" s="1"/>
  <c r="A14" i="53"/>
  <c r="AG12" i="53"/>
  <c r="AG13" i="53"/>
  <c r="AD12" i="53"/>
  <c r="AD13" i="53"/>
  <c r="B12" i="53"/>
  <c r="B13" i="53"/>
  <c r="O11" i="53"/>
  <c r="P11" i="53"/>
  <c r="Q11" i="53"/>
  <c r="R11" i="53"/>
  <c r="S11" i="53"/>
  <c r="T11" i="53"/>
  <c r="U11" i="53"/>
  <c r="V11" i="53"/>
  <c r="W11" i="53"/>
  <c r="X11" i="53"/>
  <c r="Y11" i="53"/>
  <c r="Z11" i="53"/>
  <c r="O12" i="53"/>
  <c r="P12" i="53"/>
  <c r="Q12" i="53"/>
  <c r="R12" i="53"/>
  <c r="S12" i="53"/>
  <c r="T12" i="53"/>
  <c r="U12" i="53"/>
  <c r="V12" i="53"/>
  <c r="W12" i="53"/>
  <c r="X12" i="53"/>
  <c r="Y12" i="53"/>
  <c r="Z12" i="53"/>
  <c r="AA12" i="53"/>
  <c r="O13" i="53"/>
  <c r="P13" i="53"/>
  <c r="Q13" i="53"/>
  <c r="R13" i="53"/>
  <c r="S13" i="53"/>
  <c r="T13" i="53"/>
  <c r="U13" i="53"/>
  <c r="V13" i="53"/>
  <c r="W13" i="53"/>
  <c r="X13" i="53"/>
  <c r="Y13" i="53"/>
  <c r="Z13" i="53"/>
  <c r="AA13" i="53"/>
  <c r="C10" i="53"/>
  <c r="D10" i="53"/>
  <c r="Z16" i="53" s="1"/>
  <c r="C9" i="53"/>
  <c r="C1" i="53"/>
  <c r="C2" i="53"/>
  <c r="C3" i="53"/>
  <c r="C4" i="53"/>
  <c r="C5" i="53"/>
  <c r="C6" i="53"/>
  <c r="C7" i="53"/>
  <c r="C8" i="53"/>
  <c r="E6" i="53"/>
  <c r="B62" i="53" s="1"/>
  <c r="E4" i="53"/>
  <c r="F4" i="53"/>
  <c r="B3" i="53"/>
  <c r="H2" i="53"/>
  <c r="N1" i="53"/>
  <c r="N1" i="57" s="1"/>
  <c r="AG143" i="56"/>
  <c r="AG144" i="56"/>
  <c r="AG145" i="56"/>
  <c r="AG146" i="56"/>
  <c r="AD143" i="56"/>
  <c r="AD144" i="56"/>
  <c r="AD145" i="56"/>
  <c r="AD146" i="56"/>
  <c r="O143" i="56"/>
  <c r="P143" i="56"/>
  <c r="Q143" i="56"/>
  <c r="R143" i="56"/>
  <c r="S143" i="56"/>
  <c r="T143" i="56"/>
  <c r="U143" i="56"/>
  <c r="V143" i="56"/>
  <c r="W143" i="56"/>
  <c r="X143" i="56"/>
  <c r="Y143" i="56"/>
  <c r="Z143" i="56"/>
  <c r="O144" i="56"/>
  <c r="P144" i="56"/>
  <c r="Q144" i="56"/>
  <c r="R144" i="56"/>
  <c r="S144" i="56"/>
  <c r="T144" i="56"/>
  <c r="U144" i="56"/>
  <c r="V144" i="56"/>
  <c r="W144" i="56"/>
  <c r="X144" i="56"/>
  <c r="Y144" i="56"/>
  <c r="Z144" i="56"/>
  <c r="O145" i="56"/>
  <c r="P145" i="56"/>
  <c r="Q145" i="56"/>
  <c r="R145" i="56"/>
  <c r="S145" i="56"/>
  <c r="T145" i="56"/>
  <c r="U145" i="56"/>
  <c r="V145" i="56"/>
  <c r="W145" i="56"/>
  <c r="X145" i="56"/>
  <c r="Y145" i="56"/>
  <c r="Z145" i="56"/>
  <c r="O146" i="56"/>
  <c r="P146" i="56"/>
  <c r="Q146" i="56"/>
  <c r="R146" i="56"/>
  <c r="S146" i="56"/>
  <c r="T146" i="56"/>
  <c r="U146" i="56"/>
  <c r="V146" i="56"/>
  <c r="W146" i="56"/>
  <c r="X146" i="56"/>
  <c r="Y146" i="56"/>
  <c r="Z146" i="56"/>
  <c r="AI131" i="56"/>
  <c r="AI133" i="56"/>
  <c r="AI135" i="56"/>
  <c r="AI136" i="56"/>
  <c r="AI137" i="56"/>
  <c r="AI139" i="56"/>
  <c r="AG141" i="56"/>
  <c r="AD141" i="56"/>
  <c r="O141" i="56"/>
  <c r="P141" i="56"/>
  <c r="Q141" i="56"/>
  <c r="R141" i="56"/>
  <c r="S141" i="56"/>
  <c r="T141" i="56"/>
  <c r="U141" i="56"/>
  <c r="V141" i="56"/>
  <c r="W141" i="56"/>
  <c r="X141" i="56"/>
  <c r="Y141" i="56"/>
  <c r="Z141" i="56"/>
  <c r="AH140" i="56"/>
  <c r="AE140" i="56"/>
  <c r="AA140" i="56"/>
  <c r="AI140" i="56" s="1"/>
  <c r="AB140" i="56"/>
  <c r="AF131" i="56"/>
  <c r="AF132" i="56"/>
  <c r="AF133" i="56"/>
  <c r="AF135" i="56"/>
  <c r="AF137" i="56"/>
  <c r="AF139" i="56"/>
  <c r="AH138" i="56"/>
  <c r="AE138" i="56"/>
  <c r="AA138" i="56"/>
  <c r="AB138" i="56"/>
  <c r="AH136" i="56"/>
  <c r="AE136" i="56"/>
  <c r="AA136" i="56"/>
  <c r="AF136" i="56" s="1"/>
  <c r="AB136" i="56"/>
  <c r="AH134" i="56"/>
  <c r="AE134" i="56"/>
  <c r="AA134" i="56"/>
  <c r="AI134" i="56" s="1"/>
  <c r="AB134" i="56"/>
  <c r="AH132" i="56"/>
  <c r="AE132" i="56"/>
  <c r="AA132" i="56"/>
  <c r="AI132" i="56" s="1"/>
  <c r="AB132" i="56"/>
  <c r="AH130" i="56"/>
  <c r="AE130" i="56"/>
  <c r="AA130" i="56"/>
  <c r="AB130" i="56"/>
  <c r="L130" i="56"/>
  <c r="M130" i="56"/>
  <c r="N130" i="56"/>
  <c r="L131" i="56"/>
  <c r="M131" i="56"/>
  <c r="N131" i="56"/>
  <c r="L132" i="56"/>
  <c r="M132" i="56"/>
  <c r="N132" i="56"/>
  <c r="L133" i="56"/>
  <c r="M133" i="56"/>
  <c r="N133" i="56"/>
  <c r="L134" i="56"/>
  <c r="M134" i="56"/>
  <c r="N134" i="56"/>
  <c r="L135" i="56"/>
  <c r="M135" i="56"/>
  <c r="N135" i="56"/>
  <c r="L136" i="56"/>
  <c r="M136" i="56"/>
  <c r="N136" i="56"/>
  <c r="L137" i="56"/>
  <c r="M137" i="56"/>
  <c r="N137" i="56"/>
  <c r="L138" i="56"/>
  <c r="M138" i="56"/>
  <c r="N138" i="56"/>
  <c r="L139" i="56"/>
  <c r="M139" i="56"/>
  <c r="N139" i="56"/>
  <c r="L140" i="56"/>
  <c r="M140" i="56"/>
  <c r="N140" i="56"/>
  <c r="N129" i="56"/>
  <c r="AG121" i="56"/>
  <c r="AH121" i="56" s="1"/>
  <c r="AG122" i="56"/>
  <c r="AG123" i="56"/>
  <c r="AH123" i="56" s="1"/>
  <c r="AG124" i="56"/>
  <c r="AH124" i="56" s="1"/>
  <c r="AG125" i="56"/>
  <c r="AH125" i="56" s="1"/>
  <c r="AD121" i="56"/>
  <c r="AD122" i="56"/>
  <c r="AD123" i="56"/>
  <c r="AE123" i="56" s="1"/>
  <c r="AD124" i="56"/>
  <c r="AE124" i="56" s="1"/>
  <c r="AD125" i="56"/>
  <c r="AE125" i="56" s="1"/>
  <c r="AH122" i="56"/>
  <c r="AE122" i="56"/>
  <c r="L121" i="56"/>
  <c r="M121" i="56"/>
  <c r="N121" i="56"/>
  <c r="O121" i="56"/>
  <c r="P121" i="56"/>
  <c r="Q121" i="56"/>
  <c r="R121" i="56"/>
  <c r="S121" i="56"/>
  <c r="T121" i="56"/>
  <c r="U121" i="56"/>
  <c r="V121" i="56"/>
  <c r="W121" i="56"/>
  <c r="X121" i="56"/>
  <c r="Y121" i="56"/>
  <c r="Z121" i="56"/>
  <c r="L122" i="56"/>
  <c r="M122" i="56"/>
  <c r="N122" i="56"/>
  <c r="O122" i="56"/>
  <c r="P122" i="56"/>
  <c r="Q122" i="56"/>
  <c r="R122" i="56"/>
  <c r="S122" i="56"/>
  <c r="T122" i="56"/>
  <c r="U122" i="56"/>
  <c r="V122" i="56"/>
  <c r="W122" i="56"/>
  <c r="X122" i="56"/>
  <c r="Y122" i="56"/>
  <c r="Z122" i="56"/>
  <c r="L123" i="56"/>
  <c r="M123" i="56"/>
  <c r="N123" i="56"/>
  <c r="O123" i="56"/>
  <c r="P123" i="56"/>
  <c r="Q123" i="56"/>
  <c r="R123" i="56"/>
  <c r="S123" i="56"/>
  <c r="T123" i="56"/>
  <c r="U123" i="56"/>
  <c r="V123" i="56"/>
  <c r="W123" i="56"/>
  <c r="X123" i="56"/>
  <c r="Y123" i="56"/>
  <c r="Z123" i="56"/>
  <c r="L124" i="56"/>
  <c r="M124" i="56"/>
  <c r="N124" i="56"/>
  <c r="O124" i="56"/>
  <c r="P124" i="56"/>
  <c r="Q124" i="56"/>
  <c r="R124" i="56"/>
  <c r="S124" i="56"/>
  <c r="S126" i="56" s="1"/>
  <c r="S127" i="56" s="1"/>
  <c r="T124" i="56"/>
  <c r="U124" i="56"/>
  <c r="V124" i="56"/>
  <c r="W124" i="56"/>
  <c r="X124" i="56"/>
  <c r="Y124" i="56"/>
  <c r="Z124" i="56"/>
  <c r="L125" i="56"/>
  <c r="M125" i="56"/>
  <c r="N125" i="56"/>
  <c r="O125" i="56"/>
  <c r="P125" i="56"/>
  <c r="Q125" i="56"/>
  <c r="R125" i="56"/>
  <c r="S125" i="56"/>
  <c r="T125" i="56"/>
  <c r="U125" i="56"/>
  <c r="V125" i="56"/>
  <c r="W125" i="56"/>
  <c r="X125" i="56"/>
  <c r="Y125" i="56"/>
  <c r="Z125" i="56"/>
  <c r="L126" i="56"/>
  <c r="M126" i="56"/>
  <c r="N126" i="56"/>
  <c r="AH114" i="56"/>
  <c r="AI114" i="56"/>
  <c r="AH115" i="56"/>
  <c r="AI115" i="56"/>
  <c r="AH116" i="56"/>
  <c r="AH117" i="56"/>
  <c r="AH118" i="56"/>
  <c r="AH119" i="56"/>
  <c r="AI119" i="56"/>
  <c r="AE114" i="56"/>
  <c r="AE115" i="56"/>
  <c r="AE116" i="56"/>
  <c r="AE117" i="56"/>
  <c r="AE118" i="56"/>
  <c r="AE119" i="56"/>
  <c r="AA114" i="56"/>
  <c r="AF114" i="56" s="1"/>
  <c r="AA115" i="56"/>
  <c r="AF115" i="56" s="1"/>
  <c r="AB115" i="56"/>
  <c r="AA116" i="56"/>
  <c r="AA117" i="56"/>
  <c r="AA118" i="56"/>
  <c r="AA119" i="56"/>
  <c r="AF119" i="56" s="1"/>
  <c r="L114" i="56"/>
  <c r="M114" i="56"/>
  <c r="N114" i="56"/>
  <c r="L115" i="56"/>
  <c r="M115" i="56"/>
  <c r="N115" i="56"/>
  <c r="L116" i="56"/>
  <c r="M116" i="56"/>
  <c r="N116" i="56"/>
  <c r="L117" i="56"/>
  <c r="M117" i="56"/>
  <c r="N117" i="56"/>
  <c r="L118" i="56"/>
  <c r="M118" i="56"/>
  <c r="N118" i="56"/>
  <c r="L119" i="56"/>
  <c r="M119" i="56"/>
  <c r="N119" i="56"/>
  <c r="AH106" i="56"/>
  <c r="AH107" i="56"/>
  <c r="AI107" i="56"/>
  <c r="AH108" i="56"/>
  <c r="AI108" i="56"/>
  <c r="AH109" i="56"/>
  <c r="AH110" i="56"/>
  <c r="AH111" i="56"/>
  <c r="AI111" i="56"/>
  <c r="AE106" i="56"/>
  <c r="AE107" i="56"/>
  <c r="AE108" i="56"/>
  <c r="AE109" i="56"/>
  <c r="AE110" i="56"/>
  <c r="AE111" i="56"/>
  <c r="AA106" i="56"/>
  <c r="AA107" i="56"/>
  <c r="AF107" i="56" s="1"/>
  <c r="AB107" i="56"/>
  <c r="AA108" i="56"/>
  <c r="AF108" i="56" s="1"/>
  <c r="AA109" i="56"/>
  <c r="AA110" i="56"/>
  <c r="AA111" i="56"/>
  <c r="AF111" i="56" s="1"/>
  <c r="AB111" i="56"/>
  <c r="L106" i="56"/>
  <c r="M106" i="56"/>
  <c r="N106" i="56"/>
  <c r="L107" i="56"/>
  <c r="M107" i="56"/>
  <c r="N107" i="56"/>
  <c r="L108" i="56"/>
  <c r="M108" i="56"/>
  <c r="N108" i="56"/>
  <c r="L109" i="56"/>
  <c r="M109" i="56"/>
  <c r="N109" i="56"/>
  <c r="L110" i="56"/>
  <c r="M110" i="56"/>
  <c r="N110" i="56"/>
  <c r="L111" i="56"/>
  <c r="M111" i="56"/>
  <c r="N111" i="56"/>
  <c r="AH98" i="56"/>
  <c r="AH99" i="56"/>
  <c r="AH100" i="56"/>
  <c r="AI100" i="56"/>
  <c r="AH101" i="56"/>
  <c r="AI101" i="56"/>
  <c r="AH102" i="56"/>
  <c r="AH103" i="56"/>
  <c r="AE98" i="56"/>
  <c r="AE99" i="56"/>
  <c r="AE100" i="56"/>
  <c r="AF100" i="56"/>
  <c r="AE101" i="56"/>
  <c r="AF101" i="56"/>
  <c r="AE102" i="56"/>
  <c r="AE103" i="56"/>
  <c r="AA98" i="56"/>
  <c r="AA99" i="56"/>
  <c r="AA100" i="56"/>
  <c r="AB100" i="56"/>
  <c r="AA101" i="56"/>
  <c r="AB101" i="56"/>
  <c r="AA102" i="56"/>
  <c r="AA103" i="56"/>
  <c r="L98" i="56"/>
  <c r="M98" i="56"/>
  <c r="N98" i="56"/>
  <c r="L99" i="56"/>
  <c r="M99" i="56"/>
  <c r="N99" i="56"/>
  <c r="L100" i="56"/>
  <c r="M100" i="56"/>
  <c r="N100" i="56"/>
  <c r="L101" i="56"/>
  <c r="M101" i="56"/>
  <c r="N101" i="56"/>
  <c r="L102" i="56"/>
  <c r="M102" i="56"/>
  <c r="N102" i="56"/>
  <c r="L103" i="56"/>
  <c r="M103" i="56"/>
  <c r="N103" i="56"/>
  <c r="AD93" i="56"/>
  <c r="AD94" i="56"/>
  <c r="AG93" i="56"/>
  <c r="AG94" i="56"/>
  <c r="O93" i="56"/>
  <c r="P93" i="56"/>
  <c r="Q93" i="56"/>
  <c r="R93" i="56"/>
  <c r="S93" i="56"/>
  <c r="T93" i="56"/>
  <c r="U93" i="56"/>
  <c r="V93" i="56"/>
  <c r="W93" i="56"/>
  <c r="X93" i="56"/>
  <c r="Y93" i="56"/>
  <c r="Z93" i="56"/>
  <c r="O94" i="56"/>
  <c r="P94" i="56"/>
  <c r="Q94" i="56"/>
  <c r="R94" i="56"/>
  <c r="S94" i="56"/>
  <c r="T94" i="56"/>
  <c r="U94" i="56"/>
  <c r="V94" i="56"/>
  <c r="W94" i="56"/>
  <c r="X94" i="56"/>
  <c r="Y94" i="56"/>
  <c r="Z94" i="56"/>
  <c r="AA91" i="56"/>
  <c r="AI91" i="56" s="1"/>
  <c r="AA92" i="56"/>
  <c r="AF92" i="56" s="1"/>
  <c r="N91" i="56"/>
  <c r="N92" i="56"/>
  <c r="I91" i="56"/>
  <c r="J91" i="56"/>
  <c r="I92" i="56"/>
  <c r="J92" i="56"/>
  <c r="AI85" i="56"/>
  <c r="AF87" i="56"/>
  <c r="AA35" i="56"/>
  <c r="AB35" i="56" s="1"/>
  <c r="AA36" i="56"/>
  <c r="AB36" i="56" s="1"/>
  <c r="AA37" i="56"/>
  <c r="AI37" i="56" s="1"/>
  <c r="AA38" i="56"/>
  <c r="AB38" i="56" s="1"/>
  <c r="AA39" i="56"/>
  <c r="AA40" i="56"/>
  <c r="AI40" i="56" s="1"/>
  <c r="AA41" i="56"/>
  <c r="AB41" i="56" s="1"/>
  <c r="AA45" i="56"/>
  <c r="AA46" i="56"/>
  <c r="AI46" i="56" s="1"/>
  <c r="AA47" i="56"/>
  <c r="AB47" i="56" s="1"/>
  <c r="AA48" i="56"/>
  <c r="AI48" i="56" s="1"/>
  <c r="AA49" i="56"/>
  <c r="AA50" i="56"/>
  <c r="AA51" i="56"/>
  <c r="AA55" i="56"/>
  <c r="AB55" i="56" s="1"/>
  <c r="AA56" i="56"/>
  <c r="AA57" i="56"/>
  <c r="AA58" i="56"/>
  <c r="AA59" i="56"/>
  <c r="AB59" i="56" s="1"/>
  <c r="AA60" i="56"/>
  <c r="AF60" i="56" s="1"/>
  <c r="AA61" i="56"/>
  <c r="AA63" i="56"/>
  <c r="AA65" i="56"/>
  <c r="AA66" i="56"/>
  <c r="AI66" i="56" s="1"/>
  <c r="AA67" i="56"/>
  <c r="AI67" i="56" s="1"/>
  <c r="AA68" i="56"/>
  <c r="AB68" i="56" s="1"/>
  <c r="AA69" i="56"/>
  <c r="AA73" i="56" s="1"/>
  <c r="AA70" i="56"/>
  <c r="AI70" i="56" s="1"/>
  <c r="AA71" i="56"/>
  <c r="AA75" i="56"/>
  <c r="AI75" i="56" s="1"/>
  <c r="AA76" i="56"/>
  <c r="AB76" i="56" s="1"/>
  <c r="AA77" i="56"/>
  <c r="AA78" i="56"/>
  <c r="AF78" i="56" s="1"/>
  <c r="AA79" i="56"/>
  <c r="AA81" i="56" s="1"/>
  <c r="AA80" i="56"/>
  <c r="AI80" i="56" s="1"/>
  <c r="AA83" i="56"/>
  <c r="AF83" i="56" s="1"/>
  <c r="AA85" i="56"/>
  <c r="AF85" i="56" s="1"/>
  <c r="AA86" i="56"/>
  <c r="AA87" i="56"/>
  <c r="N85" i="56"/>
  <c r="N143" i="56" s="1"/>
  <c r="N86" i="56"/>
  <c r="N87" i="56"/>
  <c r="N144" i="56" s="1"/>
  <c r="N88" i="56"/>
  <c r="N145" i="56" s="1"/>
  <c r="AH87" i="56"/>
  <c r="AE87" i="56"/>
  <c r="AB87" i="56"/>
  <c r="AH83" i="56"/>
  <c r="AH85" i="56"/>
  <c r="AE83" i="56"/>
  <c r="AE84" i="56"/>
  <c r="AE85" i="56"/>
  <c r="L85" i="56"/>
  <c r="M85" i="56"/>
  <c r="L86" i="56"/>
  <c r="M86" i="56"/>
  <c r="L87" i="56"/>
  <c r="M87" i="56"/>
  <c r="I85" i="56"/>
  <c r="J85" i="56"/>
  <c r="I86" i="56"/>
  <c r="J86" i="56"/>
  <c r="I87" i="56"/>
  <c r="J87" i="56"/>
  <c r="I88" i="56"/>
  <c r="J88" i="56"/>
  <c r="Q84" i="56"/>
  <c r="V84" i="56"/>
  <c r="Y84" i="56"/>
  <c r="Z84" i="56"/>
  <c r="AI83" i="56"/>
  <c r="AB83" i="56"/>
  <c r="L83" i="56"/>
  <c r="M83" i="56"/>
  <c r="N83" i="56"/>
  <c r="I83" i="56"/>
  <c r="J83" i="56"/>
  <c r="AG82" i="56"/>
  <c r="AH84" i="56" s="1"/>
  <c r="AD82" i="56"/>
  <c r="O82" i="56"/>
  <c r="O84" i="56" s="1"/>
  <c r="P82" i="56"/>
  <c r="P84" i="56" s="1"/>
  <c r="Q82" i="56"/>
  <c r="R82" i="56"/>
  <c r="R84" i="56" s="1"/>
  <c r="S82" i="56"/>
  <c r="S84" i="56" s="1"/>
  <c r="T82" i="56"/>
  <c r="T84" i="56" s="1"/>
  <c r="U82" i="56"/>
  <c r="U84" i="56" s="1"/>
  <c r="V82" i="56"/>
  <c r="W82" i="56"/>
  <c r="W84" i="56" s="1"/>
  <c r="X82" i="56"/>
  <c r="X84" i="56" s="1"/>
  <c r="Y82" i="56"/>
  <c r="Z82" i="56"/>
  <c r="AI76" i="56"/>
  <c r="AF80" i="56"/>
  <c r="AH75" i="56"/>
  <c r="AH76" i="56"/>
  <c r="AH77" i="56"/>
  <c r="AH78" i="56"/>
  <c r="AH79" i="56"/>
  <c r="AH80" i="56"/>
  <c r="AE75" i="56"/>
  <c r="AE76" i="56"/>
  <c r="AE77" i="56"/>
  <c r="AE78" i="56"/>
  <c r="AE79" i="56"/>
  <c r="AE80" i="56"/>
  <c r="AB80" i="56"/>
  <c r="L75" i="56"/>
  <c r="M75" i="56"/>
  <c r="N75" i="56"/>
  <c r="L76" i="56"/>
  <c r="M76" i="56"/>
  <c r="N76" i="56"/>
  <c r="L77" i="56"/>
  <c r="M77" i="56"/>
  <c r="N77" i="56"/>
  <c r="L78" i="56"/>
  <c r="M78" i="56"/>
  <c r="N78" i="56"/>
  <c r="L79" i="56"/>
  <c r="M79" i="56"/>
  <c r="N79" i="56"/>
  <c r="L80" i="56"/>
  <c r="M80" i="56"/>
  <c r="N80" i="56"/>
  <c r="L81" i="56"/>
  <c r="M81" i="56"/>
  <c r="N81" i="56"/>
  <c r="I75" i="56"/>
  <c r="J75" i="56"/>
  <c r="I76" i="56"/>
  <c r="J76" i="56"/>
  <c r="I77" i="56"/>
  <c r="J77" i="56"/>
  <c r="I78" i="56"/>
  <c r="J78" i="56"/>
  <c r="I79" i="56"/>
  <c r="J79" i="56"/>
  <c r="I80" i="56"/>
  <c r="J80" i="56"/>
  <c r="I81" i="56"/>
  <c r="J81" i="56"/>
  <c r="AG73" i="56"/>
  <c r="AH74" i="56" s="1"/>
  <c r="AD73" i="56"/>
  <c r="AE74" i="56" s="1"/>
  <c r="O73" i="56"/>
  <c r="O74" i="56" s="1"/>
  <c r="P73" i="56"/>
  <c r="Q73" i="56"/>
  <c r="Q74" i="56" s="1"/>
  <c r="R73" i="56"/>
  <c r="S73" i="56"/>
  <c r="T73" i="56"/>
  <c r="T74" i="56" s="1"/>
  <c r="U73" i="56"/>
  <c r="U74" i="56" s="1"/>
  <c r="V73" i="56"/>
  <c r="V74" i="56" s="1"/>
  <c r="W73" i="56"/>
  <c r="W74" i="56" s="1"/>
  <c r="X73" i="56"/>
  <c r="Y73" i="56"/>
  <c r="Y74" i="56" s="1"/>
  <c r="Z73" i="56"/>
  <c r="Z74" i="56" s="1"/>
  <c r="P74" i="56"/>
  <c r="R74" i="56"/>
  <c r="S74" i="56"/>
  <c r="X74" i="56"/>
  <c r="AF66" i="56"/>
  <c r="AF69" i="56"/>
  <c r="AH71" i="56"/>
  <c r="AE71" i="56"/>
  <c r="AH65" i="56"/>
  <c r="AH66" i="56"/>
  <c r="AH67" i="56"/>
  <c r="AH68" i="56"/>
  <c r="AH69" i="56"/>
  <c r="AE64" i="56"/>
  <c r="AE65" i="56"/>
  <c r="AE66" i="56"/>
  <c r="AE67" i="56"/>
  <c r="AE68" i="56"/>
  <c r="AE69" i="56"/>
  <c r="AB69" i="56"/>
  <c r="L65" i="56"/>
  <c r="M65" i="56"/>
  <c r="N65" i="56"/>
  <c r="L66" i="56"/>
  <c r="M66" i="56"/>
  <c r="N66" i="56"/>
  <c r="L67" i="56"/>
  <c r="M67" i="56"/>
  <c r="N67" i="56"/>
  <c r="L68" i="56"/>
  <c r="M68" i="56"/>
  <c r="N68" i="56"/>
  <c r="L69" i="56"/>
  <c r="M69" i="56"/>
  <c r="N69" i="56"/>
  <c r="L70" i="56"/>
  <c r="M70" i="56"/>
  <c r="N70" i="56"/>
  <c r="L71" i="56"/>
  <c r="M71" i="56"/>
  <c r="N71" i="56"/>
  <c r="L72" i="56"/>
  <c r="M72" i="56"/>
  <c r="N72" i="56"/>
  <c r="I65" i="56"/>
  <c r="J65" i="56"/>
  <c r="I66" i="56"/>
  <c r="J66" i="56"/>
  <c r="I67" i="56"/>
  <c r="J67" i="56"/>
  <c r="I68" i="56"/>
  <c r="J68" i="56"/>
  <c r="I69" i="56"/>
  <c r="J69" i="56"/>
  <c r="I70" i="56"/>
  <c r="J70" i="56"/>
  <c r="I71" i="56"/>
  <c r="J71" i="56"/>
  <c r="I72" i="56"/>
  <c r="J72" i="56"/>
  <c r="AG63" i="56"/>
  <c r="AH64" i="56" s="1"/>
  <c r="AD63" i="56"/>
  <c r="O63" i="56"/>
  <c r="O64" i="56" s="1"/>
  <c r="P63" i="56"/>
  <c r="P64" i="56" s="1"/>
  <c r="Q63" i="56"/>
  <c r="R63" i="56"/>
  <c r="R64" i="56" s="1"/>
  <c r="S63" i="56"/>
  <c r="S64" i="56" s="1"/>
  <c r="T63" i="56"/>
  <c r="U63" i="56"/>
  <c r="U64" i="56" s="1"/>
  <c r="V63" i="56"/>
  <c r="W63" i="56"/>
  <c r="W64" i="56" s="1"/>
  <c r="X63" i="56"/>
  <c r="X64" i="56" s="1"/>
  <c r="Y63" i="56"/>
  <c r="Z63" i="56"/>
  <c r="Z64" i="56" s="1"/>
  <c r="Q64" i="56"/>
  <c r="T64" i="56"/>
  <c r="V64" i="56"/>
  <c r="Y64" i="56"/>
  <c r="AI59" i="56"/>
  <c r="AI60" i="56"/>
  <c r="AI61" i="56"/>
  <c r="AF61" i="56"/>
  <c r="AH61" i="56"/>
  <c r="AE61" i="56"/>
  <c r="AB61" i="56"/>
  <c r="AH55" i="56"/>
  <c r="AH56" i="56"/>
  <c r="AH57" i="56"/>
  <c r="AH58" i="56"/>
  <c r="AH59" i="56"/>
  <c r="AE55" i="56"/>
  <c r="AE56" i="56"/>
  <c r="AE57" i="56"/>
  <c r="AE58" i="56"/>
  <c r="AE59" i="56"/>
  <c r="L55" i="56"/>
  <c r="M55" i="56"/>
  <c r="N55" i="56"/>
  <c r="L56" i="56"/>
  <c r="M56" i="56"/>
  <c r="N56" i="56"/>
  <c r="L57" i="56"/>
  <c r="M57" i="56"/>
  <c r="N57" i="56"/>
  <c r="L58" i="56"/>
  <c r="M58" i="56"/>
  <c r="N58" i="56"/>
  <c r="L59" i="56"/>
  <c r="M59" i="56"/>
  <c r="N59" i="56"/>
  <c r="L60" i="56"/>
  <c r="M60" i="56"/>
  <c r="N60" i="56"/>
  <c r="L61" i="56"/>
  <c r="M61" i="56"/>
  <c r="N61" i="56"/>
  <c r="L62" i="56"/>
  <c r="M62" i="56"/>
  <c r="N62" i="56"/>
  <c r="I55" i="56"/>
  <c r="J55" i="56"/>
  <c r="I56" i="56"/>
  <c r="J56" i="56"/>
  <c r="I57" i="56"/>
  <c r="J57" i="56"/>
  <c r="I58" i="56"/>
  <c r="J58" i="56"/>
  <c r="I59" i="56"/>
  <c r="J59" i="56"/>
  <c r="I60" i="56"/>
  <c r="J60" i="56"/>
  <c r="I61" i="56"/>
  <c r="J61" i="56"/>
  <c r="I62" i="56"/>
  <c r="J62" i="56"/>
  <c r="AG53" i="56"/>
  <c r="AH54" i="56" s="1"/>
  <c r="AD53" i="56"/>
  <c r="AE54" i="56" s="1"/>
  <c r="O53" i="56"/>
  <c r="O54" i="56" s="1"/>
  <c r="P53" i="56"/>
  <c r="P54" i="56" s="1"/>
  <c r="Q53" i="56"/>
  <c r="Q54" i="56" s="1"/>
  <c r="R53" i="56"/>
  <c r="S53" i="56"/>
  <c r="S54" i="56" s="1"/>
  <c r="T53" i="56"/>
  <c r="U53" i="56"/>
  <c r="U54" i="56" s="1"/>
  <c r="V53" i="56"/>
  <c r="V54" i="56" s="1"/>
  <c r="W53" i="56"/>
  <c r="W54" i="56" s="1"/>
  <c r="X53" i="56"/>
  <c r="X54" i="56" s="1"/>
  <c r="Y53" i="56"/>
  <c r="Y54" i="56" s="1"/>
  <c r="Z53" i="56"/>
  <c r="R54" i="56"/>
  <c r="T54" i="56"/>
  <c r="Z54" i="56"/>
  <c r="AI50" i="56"/>
  <c r="AI51" i="56"/>
  <c r="AF46" i="56"/>
  <c r="AF48" i="56"/>
  <c r="AF50" i="56"/>
  <c r="AF51" i="56"/>
  <c r="AH51" i="56"/>
  <c r="AE51" i="56"/>
  <c r="AB51" i="56"/>
  <c r="AH45" i="56"/>
  <c r="AH46" i="56"/>
  <c r="AH47" i="56"/>
  <c r="AH48" i="56"/>
  <c r="AH49" i="56"/>
  <c r="AE44" i="56"/>
  <c r="AE45" i="56"/>
  <c r="AE46" i="56"/>
  <c r="AE47" i="56"/>
  <c r="AE48" i="56"/>
  <c r="AE49" i="56"/>
  <c r="AB48" i="56"/>
  <c r="AB49" i="56"/>
  <c r="L45" i="56"/>
  <c r="M45" i="56"/>
  <c r="N45" i="56"/>
  <c r="L46" i="56"/>
  <c r="M46" i="56"/>
  <c r="N46" i="56"/>
  <c r="L47" i="56"/>
  <c r="M47" i="56"/>
  <c r="N47" i="56"/>
  <c r="L48" i="56"/>
  <c r="M48" i="56"/>
  <c r="N48" i="56"/>
  <c r="L49" i="56"/>
  <c r="M49" i="56"/>
  <c r="N49" i="56"/>
  <c r="L50" i="56"/>
  <c r="M50" i="56"/>
  <c r="N50" i="56"/>
  <c r="L51" i="56"/>
  <c r="M51" i="56"/>
  <c r="N51" i="56"/>
  <c r="L52" i="56"/>
  <c r="M52" i="56"/>
  <c r="N52" i="56"/>
  <c r="I45" i="56"/>
  <c r="J45" i="56"/>
  <c r="I46" i="56"/>
  <c r="J46" i="56"/>
  <c r="I47" i="56"/>
  <c r="J47" i="56"/>
  <c r="I48" i="56"/>
  <c r="J48" i="56"/>
  <c r="I49" i="56"/>
  <c r="J49" i="56"/>
  <c r="I50" i="56"/>
  <c r="J50" i="56"/>
  <c r="I51" i="56"/>
  <c r="J51" i="56"/>
  <c r="I52" i="56"/>
  <c r="J52" i="56"/>
  <c r="AG43" i="56"/>
  <c r="AH44" i="56" s="1"/>
  <c r="AD43" i="56"/>
  <c r="O43" i="56"/>
  <c r="O44" i="56" s="1"/>
  <c r="P43" i="56"/>
  <c r="Q43" i="56"/>
  <c r="Q44" i="56" s="1"/>
  <c r="R43" i="56"/>
  <c r="R44" i="56" s="1"/>
  <c r="S43" i="56"/>
  <c r="S44" i="56" s="1"/>
  <c r="T43" i="56"/>
  <c r="T44" i="56" s="1"/>
  <c r="U43" i="56"/>
  <c r="V43" i="56"/>
  <c r="W43" i="56"/>
  <c r="W44" i="56" s="1"/>
  <c r="X43" i="56"/>
  <c r="Y43" i="56"/>
  <c r="Y44" i="56" s="1"/>
  <c r="Z43" i="56"/>
  <c r="Z44" i="56" s="1"/>
  <c r="P44" i="56"/>
  <c r="U44" i="56"/>
  <c r="V44" i="56"/>
  <c r="X44" i="56"/>
  <c r="AI39" i="56"/>
  <c r="AF37" i="56"/>
  <c r="AF38" i="56"/>
  <c r="AF39" i="56"/>
  <c r="AH41" i="56"/>
  <c r="AE41" i="56"/>
  <c r="AH35" i="56"/>
  <c r="AH36" i="56"/>
  <c r="AH37" i="56"/>
  <c r="AH38" i="56"/>
  <c r="AH39" i="56"/>
  <c r="AE35" i="56"/>
  <c r="AE36" i="56"/>
  <c r="AE37" i="56"/>
  <c r="AE38" i="56"/>
  <c r="AE39" i="56"/>
  <c r="AB37" i="56"/>
  <c r="L35" i="56"/>
  <c r="M35" i="56"/>
  <c r="N35" i="56"/>
  <c r="L36" i="56"/>
  <c r="M36" i="56"/>
  <c r="N36" i="56"/>
  <c r="L37" i="56"/>
  <c r="M37" i="56"/>
  <c r="N37" i="56"/>
  <c r="L38" i="56"/>
  <c r="M38" i="56"/>
  <c r="N38" i="56"/>
  <c r="L39" i="56"/>
  <c r="M39" i="56"/>
  <c r="N39" i="56"/>
  <c r="L40" i="56"/>
  <c r="M40" i="56"/>
  <c r="N40" i="56"/>
  <c r="L41" i="56"/>
  <c r="M41" i="56"/>
  <c r="N41" i="56"/>
  <c r="L42" i="56"/>
  <c r="M42" i="56"/>
  <c r="N42" i="56"/>
  <c r="I35" i="56"/>
  <c r="J35" i="56"/>
  <c r="I36" i="56"/>
  <c r="J36" i="56"/>
  <c r="I37" i="56"/>
  <c r="J37" i="56"/>
  <c r="I38" i="56"/>
  <c r="J38" i="56"/>
  <c r="I39" i="56"/>
  <c r="J39" i="56"/>
  <c r="I40" i="56"/>
  <c r="J40" i="56"/>
  <c r="I41" i="56"/>
  <c r="J41" i="56"/>
  <c r="I42" i="56"/>
  <c r="J42" i="56"/>
  <c r="AG32" i="56"/>
  <c r="AD32" i="56"/>
  <c r="O32" i="56"/>
  <c r="P32" i="56"/>
  <c r="Q32" i="56"/>
  <c r="R32" i="56"/>
  <c r="S32" i="56"/>
  <c r="T32" i="56"/>
  <c r="U32" i="56"/>
  <c r="V32" i="56"/>
  <c r="W32" i="56"/>
  <c r="X32" i="56"/>
  <c r="Y32" i="56"/>
  <c r="Z32" i="56"/>
  <c r="AG31" i="56"/>
  <c r="AD31" i="56"/>
  <c r="O31" i="56"/>
  <c r="P31" i="56"/>
  <c r="Q31" i="56"/>
  <c r="R31" i="56"/>
  <c r="S31" i="56"/>
  <c r="T31" i="56"/>
  <c r="U31" i="56"/>
  <c r="V31" i="56"/>
  <c r="W31" i="56"/>
  <c r="X31" i="56"/>
  <c r="Y31" i="56"/>
  <c r="Z31" i="56"/>
  <c r="AA31" i="56"/>
  <c r="N26" i="56"/>
  <c r="N27" i="56"/>
  <c r="N28" i="56"/>
  <c r="N29" i="56"/>
  <c r="B23" i="56"/>
  <c r="AG16" i="56"/>
  <c r="AG19" i="56"/>
  <c r="AG20" i="56"/>
  <c r="AD19" i="56"/>
  <c r="AD20" i="56"/>
  <c r="G19" i="56"/>
  <c r="G20" i="56"/>
  <c r="N19" i="56"/>
  <c r="O19" i="56"/>
  <c r="P19" i="56"/>
  <c r="Q19" i="56"/>
  <c r="R19" i="56"/>
  <c r="S19" i="56"/>
  <c r="T19" i="56"/>
  <c r="U19" i="56"/>
  <c r="V19" i="56"/>
  <c r="W19" i="56"/>
  <c r="X19" i="56"/>
  <c r="Y19" i="56"/>
  <c r="Z19" i="56"/>
  <c r="N20" i="56"/>
  <c r="O20" i="56"/>
  <c r="P20" i="56"/>
  <c r="Q20" i="56"/>
  <c r="R20" i="56"/>
  <c r="S20" i="56"/>
  <c r="T20" i="56"/>
  <c r="U20" i="56"/>
  <c r="V20" i="56"/>
  <c r="W20" i="56"/>
  <c r="X20" i="56"/>
  <c r="Y20" i="56"/>
  <c r="Z20" i="56"/>
  <c r="B17" i="56"/>
  <c r="B18" i="56"/>
  <c r="B19" i="56"/>
  <c r="O16" i="56"/>
  <c r="P16" i="56"/>
  <c r="Q16" i="56"/>
  <c r="R16" i="56"/>
  <c r="S16" i="56"/>
  <c r="T16" i="56"/>
  <c r="U16" i="56"/>
  <c r="V16" i="56"/>
  <c r="W16" i="56"/>
  <c r="X16" i="56"/>
  <c r="Y16" i="56"/>
  <c r="O17" i="56"/>
  <c r="P17" i="56"/>
  <c r="Q17" i="56"/>
  <c r="R17" i="56"/>
  <c r="S17" i="56"/>
  <c r="T17" i="56"/>
  <c r="U17" i="56"/>
  <c r="V17" i="56"/>
  <c r="W17" i="56"/>
  <c r="X17" i="56"/>
  <c r="Y17" i="56"/>
  <c r="Z17" i="56"/>
  <c r="AA17" i="56" s="1"/>
  <c r="AA11" i="56" s="1"/>
  <c r="AA18" i="56" s="1"/>
  <c r="A14" i="56"/>
  <c r="AG12" i="56"/>
  <c r="AG13" i="56"/>
  <c r="AD12" i="56"/>
  <c r="AD13" i="56"/>
  <c r="B12" i="56"/>
  <c r="AA16" i="56" s="1"/>
  <c r="B13" i="56"/>
  <c r="O11" i="56"/>
  <c r="P11" i="56"/>
  <c r="Q11" i="56"/>
  <c r="R11" i="56"/>
  <c r="S11" i="56"/>
  <c r="T11" i="56"/>
  <c r="U11" i="56"/>
  <c r="V11" i="56"/>
  <c r="W11" i="56"/>
  <c r="X11" i="56"/>
  <c r="Y11" i="56"/>
  <c r="Z11" i="56"/>
  <c r="O12" i="56"/>
  <c r="P12" i="56"/>
  <c r="Q12" i="56"/>
  <c r="R12" i="56"/>
  <c r="S12" i="56"/>
  <c r="T12" i="56"/>
  <c r="U12" i="56"/>
  <c r="V12" i="56"/>
  <c r="W12" i="56"/>
  <c r="X12" i="56"/>
  <c r="Y12" i="56"/>
  <c r="Z12" i="56"/>
  <c r="AA12" i="56"/>
  <c r="O13" i="56"/>
  <c r="P13" i="56"/>
  <c r="Q13" i="56"/>
  <c r="R13" i="56"/>
  <c r="S13" i="56"/>
  <c r="T13" i="56"/>
  <c r="U13" i="56"/>
  <c r="V13" i="56"/>
  <c r="W13" i="56"/>
  <c r="X13" i="56"/>
  <c r="Y13" i="56"/>
  <c r="Z13" i="56"/>
  <c r="AA13" i="56"/>
  <c r="C10" i="56"/>
  <c r="D10" i="56"/>
  <c r="C9" i="56"/>
  <c r="C1" i="56"/>
  <c r="C2" i="56"/>
  <c r="C3" i="56"/>
  <c r="C4" i="56"/>
  <c r="C5" i="56"/>
  <c r="C6" i="56"/>
  <c r="C7" i="56"/>
  <c r="C8" i="56"/>
  <c r="E6" i="56"/>
  <c r="E4" i="56"/>
  <c r="F4" i="56"/>
  <c r="B3" i="56"/>
  <c r="B120" i="52"/>
  <c r="B114" i="52"/>
  <c r="B115" i="52"/>
  <c r="B116" i="52"/>
  <c r="A111" i="52"/>
  <c r="AG90" i="52"/>
  <c r="AD90" i="52"/>
  <c r="AD91" i="52"/>
  <c r="O90" i="52"/>
  <c r="P90" i="52"/>
  <c r="Q90" i="52"/>
  <c r="R90" i="52"/>
  <c r="S90" i="52"/>
  <c r="T90" i="52"/>
  <c r="U90" i="52"/>
  <c r="V90" i="52"/>
  <c r="W90" i="52"/>
  <c r="X90" i="52"/>
  <c r="Y90" i="52"/>
  <c r="Z90" i="52"/>
  <c r="Z91" i="52"/>
  <c r="B88" i="52"/>
  <c r="B89" i="52"/>
  <c r="N87" i="52"/>
  <c r="N90" i="52" s="1"/>
  <c r="N88" i="52"/>
  <c r="N91" i="52" s="1"/>
  <c r="AH87" i="52"/>
  <c r="AH88" i="52"/>
  <c r="AE87" i="52"/>
  <c r="AE88" i="52"/>
  <c r="I87" i="52"/>
  <c r="AA87" i="52" s="1"/>
  <c r="J87" i="52"/>
  <c r="I88" i="52"/>
  <c r="AA88" i="52" s="1"/>
  <c r="J88" i="52"/>
  <c r="N82" i="52"/>
  <c r="N83" i="52"/>
  <c r="N84" i="52"/>
  <c r="N85" i="52"/>
  <c r="I85" i="52"/>
  <c r="AA85" i="52" s="1"/>
  <c r="J85" i="52"/>
  <c r="B83" i="52"/>
  <c r="B84" i="52"/>
  <c r="B85" i="52"/>
  <c r="AH83" i="52"/>
  <c r="AH84" i="52"/>
  <c r="AH85" i="52"/>
  <c r="AE83" i="52"/>
  <c r="AE84" i="52"/>
  <c r="AE85" i="52"/>
  <c r="AF85" i="52"/>
  <c r="I83" i="52"/>
  <c r="AA83" i="52" s="1"/>
  <c r="J83" i="52"/>
  <c r="L83" i="52"/>
  <c r="M83" i="52"/>
  <c r="I84" i="52"/>
  <c r="AA84" i="52" s="1"/>
  <c r="J84" i="52"/>
  <c r="L84" i="52"/>
  <c r="M84" i="52"/>
  <c r="I82" i="52"/>
  <c r="J82" i="52"/>
  <c r="A80" i="52"/>
  <c r="AH76" i="52"/>
  <c r="AH77" i="52"/>
  <c r="AH78" i="52"/>
  <c r="AH79" i="52"/>
  <c r="AH80" i="52"/>
  <c r="AE76" i="52"/>
  <c r="AE77" i="52"/>
  <c r="AE78" i="52"/>
  <c r="AE79" i="52"/>
  <c r="AE80" i="52"/>
  <c r="AA76" i="52"/>
  <c r="I76" i="52"/>
  <c r="J76" i="52"/>
  <c r="K76" i="52"/>
  <c r="L76" i="52"/>
  <c r="M76" i="52"/>
  <c r="N76" i="52"/>
  <c r="I77" i="52"/>
  <c r="AA77" i="52" s="1"/>
  <c r="J77" i="52"/>
  <c r="L77" i="52"/>
  <c r="M77" i="52"/>
  <c r="N77" i="52"/>
  <c r="I78" i="52"/>
  <c r="K78" i="52" s="1"/>
  <c r="J78" i="52"/>
  <c r="L78" i="52"/>
  <c r="M78" i="52"/>
  <c r="N78" i="52"/>
  <c r="I79" i="52"/>
  <c r="AA79" i="52" s="1"/>
  <c r="J79" i="52"/>
  <c r="L79" i="52"/>
  <c r="M79" i="52"/>
  <c r="N79" i="52"/>
  <c r="I80" i="52"/>
  <c r="J80" i="52"/>
  <c r="L80" i="52"/>
  <c r="M80" i="52"/>
  <c r="N80" i="52"/>
  <c r="N74" i="52"/>
  <c r="N75" i="52"/>
  <c r="I74" i="52"/>
  <c r="J74" i="52"/>
  <c r="I75" i="52"/>
  <c r="J75" i="52"/>
  <c r="AD72" i="52"/>
  <c r="AE72" i="52"/>
  <c r="AG72" i="52"/>
  <c r="AG91" i="52" s="1"/>
  <c r="N72" i="52"/>
  <c r="O72" i="52"/>
  <c r="O91" i="52" s="1"/>
  <c r="P72" i="52"/>
  <c r="P91" i="52" s="1"/>
  <c r="Q72" i="52"/>
  <c r="Q91" i="52" s="1"/>
  <c r="R72" i="52"/>
  <c r="R91" i="52" s="1"/>
  <c r="S72" i="52"/>
  <c r="S91" i="52" s="1"/>
  <c r="T72" i="52"/>
  <c r="T91" i="52" s="1"/>
  <c r="U72" i="52"/>
  <c r="U91" i="52" s="1"/>
  <c r="V72" i="52"/>
  <c r="V91" i="52" s="1"/>
  <c r="W72" i="52"/>
  <c r="W91" i="52" s="1"/>
  <c r="X72" i="52"/>
  <c r="X91" i="52" s="1"/>
  <c r="Y72" i="52"/>
  <c r="Y91" i="52" s="1"/>
  <c r="Z72" i="52"/>
  <c r="AH71" i="52"/>
  <c r="AI71" i="52"/>
  <c r="AB62" i="52"/>
  <c r="AM62" i="52" s="1"/>
  <c r="AB63" i="52"/>
  <c r="AB64" i="52"/>
  <c r="AM64" i="52" s="1"/>
  <c r="AB65" i="52"/>
  <c r="AM65" i="52" s="1"/>
  <c r="AB66" i="52"/>
  <c r="AB67" i="52"/>
  <c r="AB68" i="52"/>
  <c r="AB69" i="52"/>
  <c r="AB70" i="52"/>
  <c r="AM70" i="52" s="1"/>
  <c r="AB71" i="52"/>
  <c r="N60" i="52"/>
  <c r="N61" i="52"/>
  <c r="N62" i="52"/>
  <c r="N63" i="52"/>
  <c r="N64" i="52"/>
  <c r="N65" i="52"/>
  <c r="N66" i="52"/>
  <c r="N67" i="52"/>
  <c r="N68" i="52"/>
  <c r="N69" i="52"/>
  <c r="N70" i="52"/>
  <c r="N71" i="52"/>
  <c r="I71" i="52"/>
  <c r="K71" i="52" s="1"/>
  <c r="J71" i="52"/>
  <c r="I72" i="52"/>
  <c r="K72" i="52" s="1"/>
  <c r="J72" i="52"/>
  <c r="AA62" i="52"/>
  <c r="AI62" i="52" s="1"/>
  <c r="AA68" i="52"/>
  <c r="AI68" i="52" s="1"/>
  <c r="AA70" i="52"/>
  <c r="AH62" i="52"/>
  <c r="AH63" i="52"/>
  <c r="AN63" i="52"/>
  <c r="AH64" i="52"/>
  <c r="AH65" i="52"/>
  <c r="AN65" i="52" s="1"/>
  <c r="AH66" i="52"/>
  <c r="AH67" i="52"/>
  <c r="AH68" i="52"/>
  <c r="AN68" i="52" s="1"/>
  <c r="AM68" i="52"/>
  <c r="AH69" i="52"/>
  <c r="AL69" i="52"/>
  <c r="AH70" i="52"/>
  <c r="AE62" i="52"/>
  <c r="AE63" i="52"/>
  <c r="AM63" i="52" s="1"/>
  <c r="AE64" i="52"/>
  <c r="AE65" i="52"/>
  <c r="AE66" i="52"/>
  <c r="AE67" i="52"/>
  <c r="AM67" i="52" s="1"/>
  <c r="AE68" i="52"/>
  <c r="AE69" i="52"/>
  <c r="AE70" i="52"/>
  <c r="AE71" i="52"/>
  <c r="AF71" i="52"/>
  <c r="I62" i="52"/>
  <c r="K62" i="52" s="1"/>
  <c r="J62" i="52"/>
  <c r="L62" i="52"/>
  <c r="M62" i="52"/>
  <c r="I63" i="52"/>
  <c r="K63" i="52" s="1"/>
  <c r="J63" i="52"/>
  <c r="L63" i="52"/>
  <c r="M63" i="52"/>
  <c r="I64" i="52"/>
  <c r="K64" i="52" s="1"/>
  <c r="J64" i="52"/>
  <c r="L64" i="52"/>
  <c r="M64" i="52"/>
  <c r="I65" i="52"/>
  <c r="K65" i="52" s="1"/>
  <c r="J65" i="52"/>
  <c r="L65" i="52"/>
  <c r="M65" i="52"/>
  <c r="I66" i="52"/>
  <c r="AA66" i="52" s="1"/>
  <c r="J66" i="52"/>
  <c r="L66" i="52"/>
  <c r="M66" i="52"/>
  <c r="I67" i="52"/>
  <c r="AA67" i="52" s="1"/>
  <c r="AF67" i="52" s="1"/>
  <c r="J67" i="52"/>
  <c r="L67" i="52"/>
  <c r="M67" i="52"/>
  <c r="I68" i="52"/>
  <c r="K68" i="52" s="1"/>
  <c r="J68" i="52"/>
  <c r="L68" i="52"/>
  <c r="M68" i="52"/>
  <c r="I69" i="52"/>
  <c r="AA69" i="52" s="1"/>
  <c r="AI69" i="52" s="1"/>
  <c r="J69" i="52"/>
  <c r="K69" i="52"/>
  <c r="L69" i="52"/>
  <c r="M69" i="52"/>
  <c r="I70" i="52"/>
  <c r="J70" i="52"/>
  <c r="K70" i="52"/>
  <c r="L70" i="52"/>
  <c r="M70" i="52"/>
  <c r="B62" i="52"/>
  <c r="I60" i="52"/>
  <c r="J60" i="52"/>
  <c r="I61" i="52"/>
  <c r="J61" i="52"/>
  <c r="B55" i="52"/>
  <c r="B56" i="52"/>
  <c r="B50" i="52"/>
  <c r="B51" i="52"/>
  <c r="B52" i="52"/>
  <c r="A47" i="52"/>
  <c r="AH35" i="52"/>
  <c r="AH36" i="52"/>
  <c r="AH37" i="52"/>
  <c r="AL37" i="52"/>
  <c r="AH38" i="52"/>
  <c r="AH39" i="52"/>
  <c r="AH40" i="52"/>
  <c r="AH41" i="52"/>
  <c r="AH42" i="52"/>
  <c r="AH43" i="52"/>
  <c r="AH44" i="52"/>
  <c r="AH45" i="52"/>
  <c r="AH46" i="52"/>
  <c r="AH47" i="52"/>
  <c r="AH48" i="52"/>
  <c r="AH49" i="52"/>
  <c r="AH50" i="52"/>
  <c r="AH51" i="52"/>
  <c r="AH52" i="52"/>
  <c r="AH53" i="52"/>
  <c r="AH54" i="52"/>
  <c r="AH55" i="52"/>
  <c r="AH56" i="52"/>
  <c r="AH57" i="52"/>
  <c r="AM57" i="52"/>
  <c r="AH58" i="52"/>
  <c r="AE35" i="52"/>
  <c r="AE36" i="52"/>
  <c r="AE37" i="52"/>
  <c r="AE38" i="52"/>
  <c r="AE39" i="52"/>
  <c r="AE40" i="52"/>
  <c r="AE41" i="52"/>
  <c r="AE42" i="52"/>
  <c r="AE43" i="52"/>
  <c r="AE44" i="52"/>
  <c r="AE45" i="52"/>
  <c r="AE46" i="52"/>
  <c r="AE47" i="52"/>
  <c r="AE48" i="52"/>
  <c r="AE49" i="52"/>
  <c r="AE50" i="52"/>
  <c r="AE51" i="52"/>
  <c r="AE52" i="52"/>
  <c r="AE53" i="52"/>
  <c r="AE54" i="52"/>
  <c r="AE55" i="52"/>
  <c r="AE56" i="52"/>
  <c r="AE57" i="52"/>
  <c r="AE58" i="52"/>
  <c r="AA36" i="52"/>
  <c r="AI36" i="52" s="1"/>
  <c r="AA44" i="52"/>
  <c r="AI44" i="52" s="1"/>
  <c r="AA48" i="52"/>
  <c r="AF48" i="52" s="1"/>
  <c r="AB57" i="52"/>
  <c r="AN57" i="52" s="1"/>
  <c r="I35" i="52"/>
  <c r="AA35" i="52" s="1"/>
  <c r="J35" i="52"/>
  <c r="L35" i="52"/>
  <c r="M35" i="52"/>
  <c r="N35" i="52"/>
  <c r="I36" i="52"/>
  <c r="K36" i="52" s="1"/>
  <c r="J36" i="52"/>
  <c r="L36" i="52"/>
  <c r="M36" i="52"/>
  <c r="N36" i="52"/>
  <c r="I37" i="52"/>
  <c r="AA37" i="52" s="1"/>
  <c r="AB37" i="52" s="1"/>
  <c r="J37" i="52"/>
  <c r="L37" i="52"/>
  <c r="M37" i="52"/>
  <c r="N37" i="52"/>
  <c r="I38" i="52"/>
  <c r="K38" i="52" s="1"/>
  <c r="J38" i="52"/>
  <c r="L38" i="52"/>
  <c r="M38" i="52"/>
  <c r="N38" i="52"/>
  <c r="I39" i="52"/>
  <c r="AA39" i="52" s="1"/>
  <c r="J39" i="52"/>
  <c r="K39" i="52"/>
  <c r="L39" i="52"/>
  <c r="M39" i="52"/>
  <c r="N39" i="52"/>
  <c r="I40" i="52"/>
  <c r="K40" i="52" s="1"/>
  <c r="J40" i="52"/>
  <c r="L40" i="52"/>
  <c r="M40" i="52"/>
  <c r="N40" i="52"/>
  <c r="I41" i="52"/>
  <c r="AA41" i="52" s="1"/>
  <c r="AF41" i="52" s="1"/>
  <c r="J41" i="52"/>
  <c r="L41" i="52"/>
  <c r="M41" i="52"/>
  <c r="N41" i="52"/>
  <c r="I42" i="52"/>
  <c r="K42" i="52" s="1"/>
  <c r="J42" i="52"/>
  <c r="L42" i="52"/>
  <c r="M42" i="52"/>
  <c r="N42" i="52"/>
  <c r="I43" i="52"/>
  <c r="AA43" i="52" s="1"/>
  <c r="J43" i="52"/>
  <c r="K43" i="52"/>
  <c r="L43" i="52"/>
  <c r="M43" i="52"/>
  <c r="N43" i="52"/>
  <c r="I44" i="52"/>
  <c r="K44" i="52" s="1"/>
  <c r="J44" i="52"/>
  <c r="L44" i="52"/>
  <c r="M44" i="52"/>
  <c r="N44" i="52"/>
  <c r="I45" i="52"/>
  <c r="AA45" i="52" s="1"/>
  <c r="J45" i="52"/>
  <c r="L45" i="52"/>
  <c r="M45" i="52"/>
  <c r="N45" i="52"/>
  <c r="I46" i="52"/>
  <c r="K46" i="52" s="1"/>
  <c r="J46" i="52"/>
  <c r="L46" i="52"/>
  <c r="M46" i="52"/>
  <c r="N46" i="52"/>
  <c r="I47" i="52"/>
  <c r="AA47" i="52" s="1"/>
  <c r="J47" i="52"/>
  <c r="K47" i="52"/>
  <c r="L47" i="52"/>
  <c r="M47" i="52"/>
  <c r="N47" i="52"/>
  <c r="I48" i="52"/>
  <c r="K48" i="52" s="1"/>
  <c r="J48" i="52"/>
  <c r="L48" i="52"/>
  <c r="M48" i="52"/>
  <c r="N48" i="52"/>
  <c r="I49" i="52"/>
  <c r="AA49" i="52" s="1"/>
  <c r="AF49" i="52" s="1"/>
  <c r="J49" i="52"/>
  <c r="L49" i="52"/>
  <c r="M49" i="52"/>
  <c r="N49" i="52"/>
  <c r="I50" i="52"/>
  <c r="K50" i="52" s="1"/>
  <c r="J50" i="52"/>
  <c r="L50" i="52"/>
  <c r="M50" i="52"/>
  <c r="N50" i="52"/>
  <c r="I51" i="52"/>
  <c r="AA51" i="52" s="1"/>
  <c r="J51" i="52"/>
  <c r="K51" i="52"/>
  <c r="L51" i="52"/>
  <c r="M51" i="52"/>
  <c r="N51" i="52"/>
  <c r="I52" i="52"/>
  <c r="J52" i="52"/>
  <c r="L52" i="52"/>
  <c r="M52" i="52"/>
  <c r="N52" i="52"/>
  <c r="I53" i="52"/>
  <c r="AA53" i="52" s="1"/>
  <c r="J53" i="52"/>
  <c r="L53" i="52"/>
  <c r="M53" i="52"/>
  <c r="N53" i="52"/>
  <c r="I54" i="52"/>
  <c r="K54" i="52" s="1"/>
  <c r="J54" i="52"/>
  <c r="L54" i="52"/>
  <c r="M54" i="52"/>
  <c r="N54" i="52"/>
  <c r="I55" i="52"/>
  <c r="J55" i="52"/>
  <c r="L55" i="52"/>
  <c r="M55" i="52"/>
  <c r="N55" i="52"/>
  <c r="I56" i="52"/>
  <c r="J56" i="52"/>
  <c r="L56" i="52"/>
  <c r="M56" i="52"/>
  <c r="N56" i="52"/>
  <c r="I57" i="52"/>
  <c r="AA57" i="52" s="1"/>
  <c r="J57" i="52"/>
  <c r="L57" i="52"/>
  <c r="M57" i="52"/>
  <c r="N57" i="52"/>
  <c r="I58" i="52"/>
  <c r="K58" i="52" s="1"/>
  <c r="J58" i="52"/>
  <c r="L58" i="52"/>
  <c r="M58" i="52"/>
  <c r="N58" i="52"/>
  <c r="N33" i="52"/>
  <c r="N34" i="52"/>
  <c r="I33" i="52"/>
  <c r="J33" i="52"/>
  <c r="I34" i="52"/>
  <c r="J34" i="52"/>
  <c r="AG32" i="52"/>
  <c r="AL32" i="52" s="1"/>
  <c r="AD32" i="52"/>
  <c r="AK32" i="52" s="1"/>
  <c r="O32" i="52"/>
  <c r="P32" i="52"/>
  <c r="Q32" i="52"/>
  <c r="R32" i="52"/>
  <c r="S32" i="52"/>
  <c r="T32" i="52"/>
  <c r="U32" i="52"/>
  <c r="V32" i="52"/>
  <c r="W32" i="52"/>
  <c r="X32" i="52"/>
  <c r="Y32" i="52"/>
  <c r="Z32" i="52"/>
  <c r="AJ32" i="52" s="1"/>
  <c r="AJ31" i="52"/>
  <c r="AK31" i="52"/>
  <c r="AL31" i="52"/>
  <c r="AN31" i="52" s="1"/>
  <c r="AM31" i="52"/>
  <c r="AG31" i="52"/>
  <c r="AD31" i="52"/>
  <c r="O31" i="52"/>
  <c r="P31" i="52"/>
  <c r="Q31" i="52"/>
  <c r="R31" i="52"/>
  <c r="S31" i="52"/>
  <c r="T31" i="52"/>
  <c r="U31" i="52"/>
  <c r="V31" i="52"/>
  <c r="W31" i="52"/>
  <c r="X31" i="52"/>
  <c r="Y31" i="52"/>
  <c r="Z31" i="52"/>
  <c r="AA31" i="52"/>
  <c r="N26" i="52"/>
  <c r="N27" i="52"/>
  <c r="N28" i="52"/>
  <c r="N29" i="52"/>
  <c r="B22" i="52"/>
  <c r="B23" i="52"/>
  <c r="AG16" i="52"/>
  <c r="AG19" i="52"/>
  <c r="AG20" i="52"/>
  <c r="AL58" i="52" s="1"/>
  <c r="AD19" i="52"/>
  <c r="AD20" i="52"/>
  <c r="AK40" i="52" s="1"/>
  <c r="G19" i="52"/>
  <c r="G20" i="52"/>
  <c r="N19" i="52"/>
  <c r="O19" i="52"/>
  <c r="P19" i="52"/>
  <c r="Q19" i="52"/>
  <c r="R19" i="52"/>
  <c r="S19" i="52"/>
  <c r="T19" i="52"/>
  <c r="U19" i="52"/>
  <c r="V19" i="52"/>
  <c r="W19" i="52"/>
  <c r="X19" i="52"/>
  <c r="Y19" i="52"/>
  <c r="Z19" i="52"/>
  <c r="N20" i="52"/>
  <c r="O20" i="52"/>
  <c r="P20" i="52"/>
  <c r="Q20" i="52"/>
  <c r="R20" i="52"/>
  <c r="S20" i="52"/>
  <c r="T20" i="52"/>
  <c r="U20" i="52"/>
  <c r="V20" i="52"/>
  <c r="W20" i="52"/>
  <c r="X20" i="52"/>
  <c r="Y20" i="52"/>
  <c r="Z20" i="52"/>
  <c r="B17" i="52"/>
  <c r="B18" i="52"/>
  <c r="B19" i="52"/>
  <c r="O16" i="52"/>
  <c r="P16" i="52"/>
  <c r="Q16" i="52"/>
  <c r="R16" i="52"/>
  <c r="S16" i="52"/>
  <c r="T16" i="52"/>
  <c r="U16" i="52"/>
  <c r="V16" i="52"/>
  <c r="W16" i="52"/>
  <c r="X16" i="52"/>
  <c r="Y16" i="52"/>
  <c r="O17" i="52"/>
  <c r="P17" i="52"/>
  <c r="Q17" i="52"/>
  <c r="R17" i="52"/>
  <c r="S17" i="52"/>
  <c r="T17" i="52"/>
  <c r="U17" i="52"/>
  <c r="V17" i="52"/>
  <c r="W17" i="52"/>
  <c r="X17" i="52"/>
  <c r="Y17" i="52"/>
  <c r="Z17" i="52"/>
  <c r="AA17" i="52" s="1"/>
  <c r="AA11" i="52" s="1"/>
  <c r="A14" i="52"/>
  <c r="AG12" i="52"/>
  <c r="AG13" i="52"/>
  <c r="AD12" i="52"/>
  <c r="AD13" i="52"/>
  <c r="B12" i="52"/>
  <c r="AA16" i="52" s="1"/>
  <c r="B13" i="52"/>
  <c r="O11" i="52"/>
  <c r="P11" i="52"/>
  <c r="Q11" i="52"/>
  <c r="R11" i="52"/>
  <c r="S11" i="52"/>
  <c r="T11" i="52"/>
  <c r="U11" i="52"/>
  <c r="V11" i="52"/>
  <c r="W11" i="52"/>
  <c r="X11" i="52"/>
  <c r="Y11" i="52"/>
  <c r="Z11" i="52"/>
  <c r="O12" i="52"/>
  <c r="P12" i="52"/>
  <c r="Q12" i="52"/>
  <c r="R12" i="52"/>
  <c r="S12" i="52"/>
  <c r="T12" i="52"/>
  <c r="U12" i="52"/>
  <c r="V12" i="52"/>
  <c r="W12" i="52"/>
  <c r="X12" i="52"/>
  <c r="Y12" i="52"/>
  <c r="Z12" i="52"/>
  <c r="AA12" i="52"/>
  <c r="O13" i="52"/>
  <c r="P13" i="52"/>
  <c r="Q13" i="52"/>
  <c r="R13" i="52"/>
  <c r="S13" i="52"/>
  <c r="T13" i="52"/>
  <c r="U13" i="52"/>
  <c r="V13" i="52"/>
  <c r="W13" i="52"/>
  <c r="X13" i="52"/>
  <c r="Y13" i="52"/>
  <c r="Z13" i="52"/>
  <c r="AA13" i="52"/>
  <c r="C10" i="52"/>
  <c r="D10" i="52"/>
  <c r="C9" i="52"/>
  <c r="C1" i="52"/>
  <c r="C2" i="52"/>
  <c r="C3" i="52"/>
  <c r="C4" i="52"/>
  <c r="C5" i="52"/>
  <c r="C6" i="52"/>
  <c r="C7" i="52"/>
  <c r="C8" i="52"/>
  <c r="E6" i="52"/>
  <c r="B29" i="52" s="1"/>
  <c r="E4" i="52"/>
  <c r="F4" i="52"/>
  <c r="B3" i="52"/>
  <c r="H2" i="52" s="1"/>
  <c r="N1" i="52"/>
  <c r="N1" i="56" s="1"/>
  <c r="AG143" i="55"/>
  <c r="AG144" i="55"/>
  <c r="AG145" i="55"/>
  <c r="AG146" i="55"/>
  <c r="AD143" i="55"/>
  <c r="AD144" i="55"/>
  <c r="AD145" i="55"/>
  <c r="AD146" i="55"/>
  <c r="N143" i="55"/>
  <c r="O143" i="55"/>
  <c r="P143" i="55"/>
  <c r="Q143" i="55"/>
  <c r="R143" i="55"/>
  <c r="S143" i="55"/>
  <c r="T143" i="55"/>
  <c r="U143" i="55"/>
  <c r="V143" i="55"/>
  <c r="W143" i="55"/>
  <c r="X143" i="55"/>
  <c r="Y143" i="55"/>
  <c r="Z143" i="55"/>
  <c r="O144" i="55"/>
  <c r="P144" i="55"/>
  <c r="Q144" i="55"/>
  <c r="R144" i="55"/>
  <c r="S144" i="55"/>
  <c r="T144" i="55"/>
  <c r="U144" i="55"/>
  <c r="V144" i="55"/>
  <c r="W144" i="55"/>
  <c r="X144" i="55"/>
  <c r="Y144" i="55"/>
  <c r="Z144" i="55"/>
  <c r="O145" i="55"/>
  <c r="P145" i="55"/>
  <c r="Q145" i="55"/>
  <c r="R145" i="55"/>
  <c r="S145" i="55"/>
  <c r="T145" i="55"/>
  <c r="U145" i="55"/>
  <c r="V145" i="55"/>
  <c r="W145" i="55"/>
  <c r="X145" i="55"/>
  <c r="Y145" i="55"/>
  <c r="Z145" i="55"/>
  <c r="O146" i="55"/>
  <c r="P146" i="55"/>
  <c r="Q146" i="55"/>
  <c r="R146" i="55"/>
  <c r="S146" i="55"/>
  <c r="T146" i="55"/>
  <c r="U146" i="55"/>
  <c r="V146" i="55"/>
  <c r="W146" i="55"/>
  <c r="X146" i="55"/>
  <c r="Y146" i="55"/>
  <c r="Z146" i="55"/>
  <c r="AI131" i="55"/>
  <c r="AI133" i="55"/>
  <c r="AI135" i="55"/>
  <c r="AI137" i="55"/>
  <c r="AI139" i="55"/>
  <c r="AG141" i="55"/>
  <c r="AD141" i="55"/>
  <c r="O141" i="55"/>
  <c r="P141" i="55"/>
  <c r="Q141" i="55"/>
  <c r="R141" i="55"/>
  <c r="S141" i="55"/>
  <c r="T141" i="55"/>
  <c r="U141" i="55"/>
  <c r="V141" i="55"/>
  <c r="W141" i="55"/>
  <c r="X141" i="55"/>
  <c r="Y141" i="55"/>
  <c r="Z141" i="55"/>
  <c r="AH140" i="55"/>
  <c r="AE140" i="55"/>
  <c r="AF140" i="55"/>
  <c r="AA140" i="55"/>
  <c r="AI140" i="55" s="1"/>
  <c r="AB140" i="55"/>
  <c r="AF131" i="55"/>
  <c r="AF133" i="55"/>
  <c r="AF135" i="55"/>
  <c r="AF137" i="55"/>
  <c r="AF139" i="55"/>
  <c r="AH138" i="55"/>
  <c r="AE138" i="55"/>
  <c r="AA138" i="55"/>
  <c r="AB138" i="55"/>
  <c r="AH136" i="55"/>
  <c r="AE136" i="55"/>
  <c r="AA136" i="55"/>
  <c r="AF136" i="55" s="1"/>
  <c r="AB136" i="55"/>
  <c r="AH134" i="55"/>
  <c r="AE134" i="55"/>
  <c r="AA134" i="55"/>
  <c r="AB134" i="55"/>
  <c r="AH132" i="55"/>
  <c r="AE132" i="55"/>
  <c r="AA132" i="55"/>
  <c r="AI132" i="55" s="1"/>
  <c r="AB132" i="55"/>
  <c r="AH130" i="55"/>
  <c r="AE130" i="55"/>
  <c r="AA130" i="55"/>
  <c r="AB130" i="55"/>
  <c r="L130" i="55"/>
  <c r="M130" i="55"/>
  <c r="N130" i="55"/>
  <c r="L131" i="55"/>
  <c r="M131" i="55"/>
  <c r="N131" i="55"/>
  <c r="L132" i="55"/>
  <c r="M132" i="55"/>
  <c r="N132" i="55"/>
  <c r="L133" i="55"/>
  <c r="M133" i="55"/>
  <c r="N133" i="55"/>
  <c r="L134" i="55"/>
  <c r="M134" i="55"/>
  <c r="N134" i="55"/>
  <c r="L135" i="55"/>
  <c r="M135" i="55"/>
  <c r="N135" i="55"/>
  <c r="L136" i="55"/>
  <c r="M136" i="55"/>
  <c r="N136" i="55"/>
  <c r="L137" i="55"/>
  <c r="M137" i="55"/>
  <c r="N137" i="55"/>
  <c r="L138" i="55"/>
  <c r="M138" i="55"/>
  <c r="N138" i="55"/>
  <c r="L139" i="55"/>
  <c r="M139" i="55"/>
  <c r="N139" i="55"/>
  <c r="L140" i="55"/>
  <c r="M140" i="55"/>
  <c r="N140" i="55"/>
  <c r="N129" i="55"/>
  <c r="AG121" i="55"/>
  <c r="AG126" i="55" s="1"/>
  <c r="AG127" i="55" s="1"/>
  <c r="AG122" i="55"/>
  <c r="AH122" i="55" s="1"/>
  <c r="AG123" i="55"/>
  <c r="AH123" i="55" s="1"/>
  <c r="AG124" i="55"/>
  <c r="AH124" i="55" s="1"/>
  <c r="AG125" i="55"/>
  <c r="AH125" i="55" s="1"/>
  <c r="AD121" i="55"/>
  <c r="AE121" i="55" s="1"/>
  <c r="AD122" i="55"/>
  <c r="AD123" i="55"/>
  <c r="AD124" i="55"/>
  <c r="AD125" i="55"/>
  <c r="AE125" i="55" s="1"/>
  <c r="AH121" i="55"/>
  <c r="AE123" i="55"/>
  <c r="AE124" i="55"/>
  <c r="L121" i="55"/>
  <c r="M121" i="55"/>
  <c r="N121" i="55"/>
  <c r="O121" i="55"/>
  <c r="P121" i="55"/>
  <c r="Q121" i="55"/>
  <c r="R121" i="55"/>
  <c r="S121" i="55"/>
  <c r="T121" i="55"/>
  <c r="U121" i="55"/>
  <c r="V121" i="55"/>
  <c r="V126" i="55" s="1"/>
  <c r="V127" i="55" s="1"/>
  <c r="W121" i="55"/>
  <c r="X121" i="55"/>
  <c r="Y121" i="55"/>
  <c r="Z121" i="55"/>
  <c r="L122" i="55"/>
  <c r="M122" i="55"/>
  <c r="N122" i="55"/>
  <c r="O122" i="55"/>
  <c r="O126" i="55" s="1"/>
  <c r="P122" i="55"/>
  <c r="Q122" i="55"/>
  <c r="R122" i="55"/>
  <c r="S122" i="55"/>
  <c r="T122" i="55"/>
  <c r="U122" i="55"/>
  <c r="V122" i="55"/>
  <c r="W122" i="55"/>
  <c r="W126" i="55" s="1"/>
  <c r="W127" i="55" s="1"/>
  <c r="X122" i="55"/>
  <c r="Y122" i="55"/>
  <c r="Z122" i="55"/>
  <c r="L123" i="55"/>
  <c r="M123" i="55"/>
  <c r="N123" i="55"/>
  <c r="O123" i="55"/>
  <c r="P123" i="55"/>
  <c r="Q123" i="55"/>
  <c r="R123" i="55"/>
  <c r="S123" i="55"/>
  <c r="T123" i="55"/>
  <c r="U123" i="55"/>
  <c r="V123" i="55"/>
  <c r="W123" i="55"/>
  <c r="X123" i="55"/>
  <c r="Y123" i="55"/>
  <c r="Z123" i="55"/>
  <c r="L124" i="55"/>
  <c r="M124" i="55"/>
  <c r="N124" i="55"/>
  <c r="O124" i="55"/>
  <c r="AA124" i="55" s="1"/>
  <c r="P124" i="55"/>
  <c r="Q124" i="55"/>
  <c r="Q126" i="55" s="1"/>
  <c r="Q127" i="55" s="1"/>
  <c r="R124" i="55"/>
  <c r="S124" i="55"/>
  <c r="T124" i="55"/>
  <c r="U124" i="55"/>
  <c r="V124" i="55"/>
  <c r="W124" i="55"/>
  <c r="X124" i="55"/>
  <c r="Y124" i="55"/>
  <c r="Z124" i="55"/>
  <c r="L125" i="55"/>
  <c r="M125" i="55"/>
  <c r="N125" i="55"/>
  <c r="O125" i="55"/>
  <c r="P125" i="55"/>
  <c r="Q125" i="55"/>
  <c r="R125" i="55"/>
  <c r="S125" i="55"/>
  <c r="T125" i="55"/>
  <c r="U125" i="55"/>
  <c r="V125" i="55"/>
  <c r="W125" i="55"/>
  <c r="X125" i="55"/>
  <c r="Y125" i="55"/>
  <c r="Z125" i="55"/>
  <c r="L126" i="55"/>
  <c r="M126" i="55"/>
  <c r="N126" i="55"/>
  <c r="AH114" i="55"/>
  <c r="AH116" i="55"/>
  <c r="AH117" i="55"/>
  <c r="AH118" i="55"/>
  <c r="AH119" i="55"/>
  <c r="AE114" i="55"/>
  <c r="AE116" i="55"/>
  <c r="AE117" i="55"/>
  <c r="AF117" i="55"/>
  <c r="AE118" i="55"/>
  <c r="AA114" i="55"/>
  <c r="AF114" i="55" s="1"/>
  <c r="AA115" i="55"/>
  <c r="AA116" i="55"/>
  <c r="AA117" i="55"/>
  <c r="AB117" i="55" s="1"/>
  <c r="AA118" i="55"/>
  <c r="AF118" i="55" s="1"/>
  <c r="AA119" i="55"/>
  <c r="L114" i="55"/>
  <c r="M114" i="55"/>
  <c r="N114" i="55"/>
  <c r="L115" i="55"/>
  <c r="M115" i="55"/>
  <c r="N115" i="55"/>
  <c r="L116" i="55"/>
  <c r="M116" i="55"/>
  <c r="N116" i="55"/>
  <c r="L117" i="55"/>
  <c r="M117" i="55"/>
  <c r="N117" i="55"/>
  <c r="L118" i="55"/>
  <c r="M118" i="55"/>
  <c r="N118" i="55"/>
  <c r="L119" i="55"/>
  <c r="M119" i="55"/>
  <c r="N119" i="55"/>
  <c r="AH106" i="55"/>
  <c r="AI106" i="55"/>
  <c r="AI107" i="55"/>
  <c r="AH108" i="55"/>
  <c r="AH109" i="55"/>
  <c r="AH110" i="55"/>
  <c r="AI111" i="55"/>
  <c r="AE106" i="55"/>
  <c r="AE108" i="55"/>
  <c r="AE109" i="55"/>
  <c r="AE110" i="55"/>
  <c r="AA106" i="55"/>
  <c r="AF106" i="55" s="1"/>
  <c r="AB106" i="55"/>
  <c r="AA107" i="55"/>
  <c r="AF107" i="55" s="1"/>
  <c r="AA108" i="55"/>
  <c r="AA109" i="55"/>
  <c r="AA110" i="55"/>
  <c r="AF110" i="55" s="1"/>
  <c r="AA111" i="55"/>
  <c r="AF111" i="55" s="1"/>
  <c r="L106" i="55"/>
  <c r="M106" i="55"/>
  <c r="N106" i="55"/>
  <c r="L107" i="55"/>
  <c r="M107" i="55"/>
  <c r="N107" i="55"/>
  <c r="L108" i="55"/>
  <c r="M108" i="55"/>
  <c r="N108" i="55"/>
  <c r="L109" i="55"/>
  <c r="M109" i="55"/>
  <c r="N109" i="55"/>
  <c r="L110" i="55"/>
  <c r="M110" i="55"/>
  <c r="N110" i="55"/>
  <c r="L111" i="55"/>
  <c r="M111" i="55"/>
  <c r="N111" i="55"/>
  <c r="AH98" i="55"/>
  <c r="AI99" i="55"/>
  <c r="AH100" i="55"/>
  <c r="AH101" i="55"/>
  <c r="AH102" i="55"/>
  <c r="AE98" i="55"/>
  <c r="AE100" i="55"/>
  <c r="AE101" i="55"/>
  <c r="AE102" i="55"/>
  <c r="AA98" i="55"/>
  <c r="AA99" i="55"/>
  <c r="AF99" i="55" s="1"/>
  <c r="AA100" i="55"/>
  <c r="AA101" i="55"/>
  <c r="AA102" i="55"/>
  <c r="AA103" i="55"/>
  <c r="AF103" i="55" s="1"/>
  <c r="L98" i="55"/>
  <c r="M98" i="55"/>
  <c r="N98" i="55"/>
  <c r="L99" i="55"/>
  <c r="M99" i="55"/>
  <c r="N99" i="55"/>
  <c r="L100" i="55"/>
  <c r="M100" i="55"/>
  <c r="N100" i="55"/>
  <c r="L101" i="55"/>
  <c r="M101" i="55"/>
  <c r="N101" i="55"/>
  <c r="L102" i="55"/>
  <c r="M102" i="55"/>
  <c r="N102" i="55"/>
  <c r="L103" i="55"/>
  <c r="M103" i="55"/>
  <c r="N103" i="55"/>
  <c r="AD93" i="55"/>
  <c r="AD94" i="55"/>
  <c r="AG93" i="55"/>
  <c r="AG94" i="55"/>
  <c r="O93" i="55"/>
  <c r="P93" i="55"/>
  <c r="Q93" i="55"/>
  <c r="R93" i="55"/>
  <c r="S93" i="55"/>
  <c r="T93" i="55"/>
  <c r="U93" i="55"/>
  <c r="V93" i="55"/>
  <c r="W93" i="55"/>
  <c r="X93" i="55"/>
  <c r="Y93" i="55"/>
  <c r="Z93" i="55"/>
  <c r="O94" i="55"/>
  <c r="P94" i="55"/>
  <c r="Q94" i="55"/>
  <c r="R94" i="55"/>
  <c r="S94" i="55"/>
  <c r="T94" i="55"/>
  <c r="U94" i="55"/>
  <c r="V94" i="55"/>
  <c r="W94" i="55"/>
  <c r="X94" i="55"/>
  <c r="Y94" i="55"/>
  <c r="Z94" i="55"/>
  <c r="AF91" i="55"/>
  <c r="AF92" i="55"/>
  <c r="AA91" i="55"/>
  <c r="AI91" i="55" s="1"/>
  <c r="AA92" i="55"/>
  <c r="AI92" i="55" s="1"/>
  <c r="N91" i="55"/>
  <c r="N92" i="55"/>
  <c r="I91" i="55"/>
  <c r="J91" i="55"/>
  <c r="I92" i="55"/>
  <c r="J92" i="55"/>
  <c r="AI86" i="55"/>
  <c r="AA35" i="55"/>
  <c r="AA36" i="55"/>
  <c r="AA37" i="55"/>
  <c r="AB37" i="55" s="1"/>
  <c r="AA38" i="55"/>
  <c r="AI38" i="55" s="1"/>
  <c r="AA39" i="55"/>
  <c r="AA40" i="55"/>
  <c r="AA41" i="55"/>
  <c r="AI41" i="55" s="1"/>
  <c r="AA45" i="55"/>
  <c r="AA46" i="55"/>
  <c r="AA47" i="55"/>
  <c r="AA48" i="55"/>
  <c r="AA49" i="55"/>
  <c r="AI49" i="55" s="1"/>
  <c r="AA50" i="55"/>
  <c r="AI50" i="55" s="1"/>
  <c r="AA51" i="55"/>
  <c r="AF51" i="55" s="1"/>
  <c r="AA55" i="55"/>
  <c r="AA56" i="55"/>
  <c r="AA57" i="55"/>
  <c r="AB57" i="55" s="1"/>
  <c r="AA58" i="55"/>
  <c r="AB58" i="55" s="1"/>
  <c r="AA59" i="55"/>
  <c r="AA60" i="55"/>
  <c r="AI60" i="55" s="1"/>
  <c r="AA61" i="55"/>
  <c r="AA63" i="55" s="1"/>
  <c r="AA65" i="55"/>
  <c r="AI65" i="55" s="1"/>
  <c r="AA66" i="55"/>
  <c r="AB66" i="55" s="1"/>
  <c r="AA67" i="55"/>
  <c r="AA68" i="55"/>
  <c r="AI68" i="55" s="1"/>
  <c r="AA69" i="55"/>
  <c r="AA70" i="55"/>
  <c r="AA71" i="55"/>
  <c r="AA75" i="55"/>
  <c r="AA76" i="55"/>
  <c r="AF76" i="55" s="1"/>
  <c r="AA77" i="55"/>
  <c r="AA78" i="55"/>
  <c r="AA79" i="55"/>
  <c r="AA80" i="55"/>
  <c r="AB80" i="55" s="1"/>
  <c r="AA83" i="55"/>
  <c r="AI83" i="55" s="1"/>
  <c r="AA85" i="55"/>
  <c r="AF85" i="55" s="1"/>
  <c r="AA86" i="55"/>
  <c r="AF86" i="55" s="1"/>
  <c r="AA87" i="55"/>
  <c r="N85" i="55"/>
  <c r="N86" i="55"/>
  <c r="N87" i="55"/>
  <c r="N144" i="55" s="1"/>
  <c r="N88" i="55"/>
  <c r="N145" i="55" s="1"/>
  <c r="AH83" i="55"/>
  <c r="AH85" i="55"/>
  <c r="AE83" i="55"/>
  <c r="L85" i="55"/>
  <c r="M85" i="55"/>
  <c r="L86" i="55"/>
  <c r="M86" i="55"/>
  <c r="L87" i="55"/>
  <c r="M87" i="55"/>
  <c r="I85" i="55"/>
  <c r="J85" i="55"/>
  <c r="I86" i="55"/>
  <c r="J86" i="55"/>
  <c r="I87" i="55"/>
  <c r="J87" i="55"/>
  <c r="I88" i="55"/>
  <c r="J88" i="55"/>
  <c r="O84" i="55"/>
  <c r="T84" i="55"/>
  <c r="Y84" i="55"/>
  <c r="AF83" i="55"/>
  <c r="L83" i="55"/>
  <c r="M83" i="55"/>
  <c r="N83" i="55"/>
  <c r="I83" i="55"/>
  <c r="J83" i="55"/>
  <c r="AG82" i="55"/>
  <c r="AH84" i="55" s="1"/>
  <c r="AD82" i="55"/>
  <c r="AE84" i="55" s="1"/>
  <c r="O82" i="55"/>
  <c r="P82" i="55"/>
  <c r="P84" i="55" s="1"/>
  <c r="Q82" i="55"/>
  <c r="Q84" i="55" s="1"/>
  <c r="R82" i="55"/>
  <c r="R84" i="55" s="1"/>
  <c r="S82" i="55"/>
  <c r="S84" i="55" s="1"/>
  <c r="T82" i="55"/>
  <c r="U82" i="55"/>
  <c r="U84" i="55" s="1"/>
  <c r="V82" i="55"/>
  <c r="V84" i="55" s="1"/>
  <c r="W82" i="55"/>
  <c r="W84" i="55" s="1"/>
  <c r="X82" i="55"/>
  <c r="X84" i="55" s="1"/>
  <c r="Y82" i="55"/>
  <c r="Z82" i="55"/>
  <c r="Z84" i="55" s="1"/>
  <c r="AI75" i="55"/>
  <c r="AF75" i="55"/>
  <c r="AF80" i="55"/>
  <c r="AH75" i="55"/>
  <c r="AH76" i="55"/>
  <c r="AH77" i="55"/>
  <c r="AH78" i="55"/>
  <c r="AH79" i="55"/>
  <c r="AH80" i="55"/>
  <c r="AE75" i="55"/>
  <c r="AE76" i="55"/>
  <c r="AE77" i="55"/>
  <c r="AE78" i="55"/>
  <c r="AE79" i="55"/>
  <c r="AE80" i="55"/>
  <c r="AB75" i="55"/>
  <c r="L75" i="55"/>
  <c r="M75" i="55"/>
  <c r="N75" i="55"/>
  <c r="L76" i="55"/>
  <c r="M76" i="55"/>
  <c r="N76" i="55"/>
  <c r="L77" i="55"/>
  <c r="M77" i="55"/>
  <c r="N77" i="55"/>
  <c r="L78" i="55"/>
  <c r="M78" i="55"/>
  <c r="N78" i="55"/>
  <c r="L79" i="55"/>
  <c r="M79" i="55"/>
  <c r="N79" i="55"/>
  <c r="L80" i="55"/>
  <c r="M80" i="55"/>
  <c r="N80" i="55"/>
  <c r="L81" i="55"/>
  <c r="M81" i="55"/>
  <c r="N81" i="55"/>
  <c r="I75" i="55"/>
  <c r="J75" i="55"/>
  <c r="I76" i="55"/>
  <c r="J76" i="55"/>
  <c r="I77" i="55"/>
  <c r="J77" i="55"/>
  <c r="I78" i="55"/>
  <c r="J78" i="55"/>
  <c r="I79" i="55"/>
  <c r="J79" i="55"/>
  <c r="I80" i="55"/>
  <c r="J80" i="55"/>
  <c r="I81" i="55"/>
  <c r="J81" i="55"/>
  <c r="AG73" i="55"/>
  <c r="AH74" i="55" s="1"/>
  <c r="AD73" i="55"/>
  <c r="AE74" i="55" s="1"/>
  <c r="O73" i="55"/>
  <c r="O74" i="55" s="1"/>
  <c r="P73" i="55"/>
  <c r="Q73" i="55"/>
  <c r="R73" i="55"/>
  <c r="R74" i="55" s="1"/>
  <c r="S73" i="55"/>
  <c r="S74" i="55" s="1"/>
  <c r="T73" i="55"/>
  <c r="T74" i="55" s="1"/>
  <c r="U73" i="55"/>
  <c r="U74" i="55" s="1"/>
  <c r="V73" i="55"/>
  <c r="V74" i="55" s="1"/>
  <c r="W73" i="55"/>
  <c r="W74" i="55" s="1"/>
  <c r="X73" i="55"/>
  <c r="X74" i="55" s="1"/>
  <c r="Y73" i="55"/>
  <c r="Z73" i="55"/>
  <c r="Z74" i="55" s="1"/>
  <c r="P74" i="55"/>
  <c r="Q74" i="55"/>
  <c r="Y74" i="55"/>
  <c r="AI70" i="55"/>
  <c r="AF70" i="55"/>
  <c r="AH71" i="55"/>
  <c r="AE71" i="55"/>
  <c r="AH65" i="55"/>
  <c r="AH66" i="55"/>
  <c r="AH67" i="55"/>
  <c r="AH68" i="55"/>
  <c r="AH69" i="55"/>
  <c r="AE65" i="55"/>
  <c r="AE66" i="55"/>
  <c r="AE67" i="55"/>
  <c r="AE68" i="55"/>
  <c r="AE69" i="55"/>
  <c r="AB68" i="55"/>
  <c r="L65" i="55"/>
  <c r="M65" i="55"/>
  <c r="N65" i="55"/>
  <c r="L66" i="55"/>
  <c r="M66" i="55"/>
  <c r="N66" i="55"/>
  <c r="L67" i="55"/>
  <c r="M67" i="55"/>
  <c r="N67" i="55"/>
  <c r="L68" i="55"/>
  <c r="M68" i="55"/>
  <c r="N68" i="55"/>
  <c r="L69" i="55"/>
  <c r="M69" i="55"/>
  <c r="N69" i="55"/>
  <c r="L70" i="55"/>
  <c r="M70" i="55"/>
  <c r="N70" i="55"/>
  <c r="L71" i="55"/>
  <c r="M71" i="55"/>
  <c r="N71" i="55"/>
  <c r="L72" i="55"/>
  <c r="M72" i="55"/>
  <c r="N72" i="55"/>
  <c r="I65" i="55"/>
  <c r="J65" i="55"/>
  <c r="I66" i="55"/>
  <c r="J66" i="55"/>
  <c r="I67" i="55"/>
  <c r="J67" i="55"/>
  <c r="I68" i="55"/>
  <c r="J68" i="55"/>
  <c r="I69" i="55"/>
  <c r="J69" i="55"/>
  <c r="I70" i="55"/>
  <c r="J70" i="55"/>
  <c r="I71" i="55"/>
  <c r="J71" i="55"/>
  <c r="I72" i="55"/>
  <c r="J72" i="55"/>
  <c r="AG63" i="55"/>
  <c r="AH64" i="55" s="1"/>
  <c r="AD63" i="55"/>
  <c r="AE64" i="55" s="1"/>
  <c r="O63" i="55"/>
  <c r="O64" i="55" s="1"/>
  <c r="P63" i="55"/>
  <c r="P64" i="55" s="1"/>
  <c r="Q63" i="55"/>
  <c r="R63" i="55"/>
  <c r="S63" i="55"/>
  <c r="S64" i="55" s="1"/>
  <c r="T63" i="55"/>
  <c r="T64" i="55" s="1"/>
  <c r="U63" i="55"/>
  <c r="U64" i="55" s="1"/>
  <c r="V63" i="55"/>
  <c r="V64" i="55" s="1"/>
  <c r="W63" i="55"/>
  <c r="X63" i="55"/>
  <c r="X64" i="55" s="1"/>
  <c r="Y63" i="55"/>
  <c r="Y64" i="55" s="1"/>
  <c r="Z63" i="55"/>
  <c r="Q64" i="55"/>
  <c r="R64" i="55"/>
  <c r="W64" i="55"/>
  <c r="Z64" i="55"/>
  <c r="AI57" i="55"/>
  <c r="AI58" i="55"/>
  <c r="AI59" i="55"/>
  <c r="AF57" i="55"/>
  <c r="AF58" i="55"/>
  <c r="AF59" i="55"/>
  <c r="AF60" i="55"/>
  <c r="AH61" i="55"/>
  <c r="AE61" i="55"/>
  <c r="AH55" i="55"/>
  <c r="AH56" i="55"/>
  <c r="AH57" i="55"/>
  <c r="AH58" i="55"/>
  <c r="AH59" i="55"/>
  <c r="AE55" i="55"/>
  <c r="AE56" i="55"/>
  <c r="AE57" i="55"/>
  <c r="AE58" i="55"/>
  <c r="AE59" i="55"/>
  <c r="AB59" i="55"/>
  <c r="L55" i="55"/>
  <c r="M55" i="55"/>
  <c r="N55" i="55"/>
  <c r="L56" i="55"/>
  <c r="M56" i="55"/>
  <c r="N56" i="55"/>
  <c r="L57" i="55"/>
  <c r="M57" i="55"/>
  <c r="N57" i="55"/>
  <c r="L58" i="55"/>
  <c r="M58" i="55"/>
  <c r="N58" i="55"/>
  <c r="L59" i="55"/>
  <c r="M59" i="55"/>
  <c r="N59" i="55"/>
  <c r="L60" i="55"/>
  <c r="M60" i="55"/>
  <c r="N60" i="55"/>
  <c r="L61" i="55"/>
  <c r="M61" i="55"/>
  <c r="N61" i="55"/>
  <c r="L62" i="55"/>
  <c r="M62" i="55"/>
  <c r="N62" i="55"/>
  <c r="I55" i="55"/>
  <c r="J55" i="55"/>
  <c r="I56" i="55"/>
  <c r="J56" i="55"/>
  <c r="I57" i="55"/>
  <c r="J57" i="55"/>
  <c r="I58" i="55"/>
  <c r="J58" i="55"/>
  <c r="I59" i="55"/>
  <c r="J59" i="55"/>
  <c r="I60" i="55"/>
  <c r="J60" i="55"/>
  <c r="I61" i="55"/>
  <c r="J61" i="55"/>
  <c r="I62" i="55"/>
  <c r="J62" i="55"/>
  <c r="AG53" i="55"/>
  <c r="AH54" i="55" s="1"/>
  <c r="AD53" i="55"/>
  <c r="AE54" i="55" s="1"/>
  <c r="O53" i="55"/>
  <c r="O54" i="55" s="1"/>
  <c r="P53" i="55"/>
  <c r="Q53" i="55"/>
  <c r="Q54" i="55" s="1"/>
  <c r="R53" i="55"/>
  <c r="S53" i="55"/>
  <c r="T53" i="55"/>
  <c r="T54" i="55" s="1"/>
  <c r="U53" i="55"/>
  <c r="U54" i="55" s="1"/>
  <c r="V53" i="55"/>
  <c r="V54" i="55" s="1"/>
  <c r="W53" i="55"/>
  <c r="W54" i="55" s="1"/>
  <c r="X53" i="55"/>
  <c r="Y53" i="55"/>
  <c r="Y54" i="55" s="1"/>
  <c r="Z53" i="55"/>
  <c r="P54" i="55"/>
  <c r="R54" i="55"/>
  <c r="S54" i="55"/>
  <c r="X54" i="55"/>
  <c r="Z54" i="55"/>
  <c r="AI46" i="55"/>
  <c r="AI48" i="55"/>
  <c r="AI51" i="55"/>
  <c r="AF46" i="55"/>
  <c r="AF48" i="55"/>
  <c r="AF49" i="55"/>
  <c r="AH51" i="55"/>
  <c r="AE51" i="55"/>
  <c r="AH45" i="55"/>
  <c r="L45" i="55"/>
  <c r="M45" i="55"/>
  <c r="N45" i="55"/>
  <c r="L46" i="55"/>
  <c r="M46" i="55"/>
  <c r="N46" i="55"/>
  <c r="L47" i="55"/>
  <c r="M47" i="55"/>
  <c r="N47" i="55"/>
  <c r="L48" i="55"/>
  <c r="M48" i="55"/>
  <c r="N48" i="55"/>
  <c r="L49" i="55"/>
  <c r="M49" i="55"/>
  <c r="N49" i="55"/>
  <c r="L50" i="55"/>
  <c r="M50" i="55"/>
  <c r="N50" i="55"/>
  <c r="L51" i="55"/>
  <c r="M51" i="55"/>
  <c r="N51" i="55"/>
  <c r="L52" i="55"/>
  <c r="M52" i="55"/>
  <c r="N52" i="55"/>
  <c r="I45" i="55"/>
  <c r="J45" i="55"/>
  <c r="I46" i="55"/>
  <c r="J46" i="55"/>
  <c r="I47" i="55"/>
  <c r="J47" i="55"/>
  <c r="I48" i="55"/>
  <c r="J48" i="55"/>
  <c r="I49" i="55"/>
  <c r="J49" i="55"/>
  <c r="I50" i="55"/>
  <c r="J50" i="55"/>
  <c r="I51" i="55"/>
  <c r="J51" i="55"/>
  <c r="I52" i="55"/>
  <c r="J52" i="55"/>
  <c r="AG43" i="55"/>
  <c r="AH44" i="55" s="1"/>
  <c r="AD43" i="55"/>
  <c r="AE44" i="55" s="1"/>
  <c r="O43" i="55"/>
  <c r="O44" i="55" s="1"/>
  <c r="P43" i="55"/>
  <c r="P44" i="55" s="1"/>
  <c r="Q43" i="55"/>
  <c r="R43" i="55"/>
  <c r="R44" i="55" s="1"/>
  <c r="S43" i="55"/>
  <c r="S44" i="55" s="1"/>
  <c r="T43" i="55"/>
  <c r="U43" i="55"/>
  <c r="U44" i="55" s="1"/>
  <c r="V43" i="55"/>
  <c r="W43" i="55"/>
  <c r="W44" i="55" s="1"/>
  <c r="X43" i="55"/>
  <c r="X44" i="55" s="1"/>
  <c r="Y43" i="55"/>
  <c r="Z43" i="55"/>
  <c r="Z44" i="55" s="1"/>
  <c r="Q44" i="55"/>
  <c r="T44" i="55"/>
  <c r="V44" i="55"/>
  <c r="Y44" i="55"/>
  <c r="AI35" i="55"/>
  <c r="AI37" i="55"/>
  <c r="AI40" i="55"/>
  <c r="AF35" i="55"/>
  <c r="AF37" i="55"/>
  <c r="AF40" i="55"/>
  <c r="AH41" i="55"/>
  <c r="AE41" i="55"/>
  <c r="AH35" i="55"/>
  <c r="AH36" i="55"/>
  <c r="AH37" i="55"/>
  <c r="AH38" i="55"/>
  <c r="AH39" i="55"/>
  <c r="AE35" i="55"/>
  <c r="AE36" i="55"/>
  <c r="AE37" i="55"/>
  <c r="AE38" i="55"/>
  <c r="AE39" i="55"/>
  <c r="AB38" i="55"/>
  <c r="L35" i="55"/>
  <c r="M35" i="55"/>
  <c r="N35" i="55"/>
  <c r="L36" i="55"/>
  <c r="M36" i="55"/>
  <c r="N36" i="55"/>
  <c r="L37" i="55"/>
  <c r="M37" i="55"/>
  <c r="N37" i="55"/>
  <c r="L38" i="55"/>
  <c r="M38" i="55"/>
  <c r="N38" i="55"/>
  <c r="L39" i="55"/>
  <c r="M39" i="55"/>
  <c r="N39" i="55"/>
  <c r="L40" i="55"/>
  <c r="M40" i="55"/>
  <c r="N40" i="55"/>
  <c r="L41" i="55"/>
  <c r="M41" i="55"/>
  <c r="N41" i="55"/>
  <c r="L42" i="55"/>
  <c r="M42" i="55"/>
  <c r="N42" i="55"/>
  <c r="I35" i="55"/>
  <c r="J35" i="55"/>
  <c r="I36" i="55"/>
  <c r="J36" i="55"/>
  <c r="I37" i="55"/>
  <c r="J37" i="55"/>
  <c r="I38" i="55"/>
  <c r="J38" i="55"/>
  <c r="I39" i="55"/>
  <c r="J39" i="55"/>
  <c r="I40" i="55"/>
  <c r="J40" i="55"/>
  <c r="I41" i="55"/>
  <c r="J41" i="55"/>
  <c r="I42" i="55"/>
  <c r="J42" i="55"/>
  <c r="AG32" i="55"/>
  <c r="AD32" i="55"/>
  <c r="O32" i="55"/>
  <c r="P32" i="55"/>
  <c r="Q32" i="55"/>
  <c r="R32" i="55"/>
  <c r="S32" i="55"/>
  <c r="T32" i="55"/>
  <c r="U32" i="55"/>
  <c r="V32" i="55"/>
  <c r="W32" i="55"/>
  <c r="X32" i="55"/>
  <c r="Y32" i="55"/>
  <c r="Z32" i="55"/>
  <c r="AG31" i="55"/>
  <c r="AD31" i="55"/>
  <c r="O31" i="55"/>
  <c r="P31" i="55"/>
  <c r="Q31" i="55"/>
  <c r="R31" i="55"/>
  <c r="S31" i="55"/>
  <c r="T31" i="55"/>
  <c r="U31" i="55"/>
  <c r="V31" i="55"/>
  <c r="W31" i="55"/>
  <c r="X31" i="55"/>
  <c r="Y31" i="55"/>
  <c r="Z31" i="55"/>
  <c r="AA31" i="55"/>
  <c r="N26" i="55"/>
  <c r="N27" i="55"/>
  <c r="N28" i="55"/>
  <c r="N29" i="55"/>
  <c r="B23" i="55"/>
  <c r="AG16" i="55"/>
  <c r="AG19" i="55"/>
  <c r="AH99" i="55" s="1"/>
  <c r="AG20" i="55"/>
  <c r="AH87" i="55" s="1"/>
  <c r="AD19" i="55"/>
  <c r="AD20" i="55"/>
  <c r="AE87" i="55" s="1"/>
  <c r="G19" i="55"/>
  <c r="G20" i="55"/>
  <c r="N19" i="55"/>
  <c r="O19" i="55"/>
  <c r="P19" i="55"/>
  <c r="Q19" i="55"/>
  <c r="R19" i="55"/>
  <c r="S19" i="55"/>
  <c r="T19" i="55"/>
  <c r="U19" i="55"/>
  <c r="V19" i="55"/>
  <c r="W19" i="55"/>
  <c r="X19" i="55"/>
  <c r="Y19" i="55"/>
  <c r="Z19" i="55"/>
  <c r="N20" i="55"/>
  <c r="O20" i="55"/>
  <c r="P20" i="55"/>
  <c r="Q20" i="55"/>
  <c r="R20" i="55"/>
  <c r="S20" i="55"/>
  <c r="T20" i="55"/>
  <c r="U20" i="55"/>
  <c r="V20" i="55"/>
  <c r="W20" i="55"/>
  <c r="X20" i="55"/>
  <c r="Y20" i="55"/>
  <c r="Z20" i="55"/>
  <c r="B17" i="55"/>
  <c r="B18" i="55"/>
  <c r="B19" i="55"/>
  <c r="O16" i="55"/>
  <c r="P16" i="55"/>
  <c r="Q16" i="55"/>
  <c r="R16" i="55"/>
  <c r="S16" i="55"/>
  <c r="T16" i="55"/>
  <c r="U16" i="55"/>
  <c r="V16" i="55"/>
  <c r="W16" i="55"/>
  <c r="X16" i="55"/>
  <c r="Y16" i="55"/>
  <c r="O17" i="55"/>
  <c r="P17" i="55"/>
  <c r="Q17" i="55"/>
  <c r="R17" i="55"/>
  <c r="S17" i="55"/>
  <c r="T17" i="55"/>
  <c r="U17" i="55"/>
  <c r="V17" i="55"/>
  <c r="W17" i="55"/>
  <c r="X17" i="55"/>
  <c r="Y17" i="55"/>
  <c r="Z17" i="55"/>
  <c r="AA17" i="55" s="1"/>
  <c r="AA11" i="55" s="1"/>
  <c r="AA18" i="55" s="1"/>
  <c r="A14" i="55"/>
  <c r="AG12" i="55"/>
  <c r="AG13" i="55"/>
  <c r="AD12" i="55"/>
  <c r="AD13" i="55"/>
  <c r="B12" i="55"/>
  <c r="B13" i="55"/>
  <c r="O11" i="55"/>
  <c r="P11" i="55"/>
  <c r="Q11" i="55"/>
  <c r="R11" i="55"/>
  <c r="S11" i="55"/>
  <c r="T11" i="55"/>
  <c r="U11" i="55"/>
  <c r="V11" i="55"/>
  <c r="W11" i="55"/>
  <c r="X11" i="55"/>
  <c r="Y11" i="55"/>
  <c r="Z11" i="55"/>
  <c r="O12" i="55"/>
  <c r="P12" i="55"/>
  <c r="Q12" i="55"/>
  <c r="R12" i="55"/>
  <c r="S12" i="55"/>
  <c r="T12" i="55"/>
  <c r="U12" i="55"/>
  <c r="V12" i="55"/>
  <c r="W12" i="55"/>
  <c r="X12" i="55"/>
  <c r="Y12" i="55"/>
  <c r="Z12" i="55"/>
  <c r="AA12" i="55"/>
  <c r="O13" i="55"/>
  <c r="P13" i="55"/>
  <c r="Q13" i="55"/>
  <c r="R13" i="55"/>
  <c r="S13" i="55"/>
  <c r="T13" i="55"/>
  <c r="U13" i="55"/>
  <c r="V13" i="55"/>
  <c r="W13" i="55"/>
  <c r="X13" i="55"/>
  <c r="Y13" i="55"/>
  <c r="Z13" i="55"/>
  <c r="AA13" i="55"/>
  <c r="C10" i="55"/>
  <c r="D10" i="55"/>
  <c r="Z16" i="55" s="1"/>
  <c r="C9" i="55"/>
  <c r="C1" i="55"/>
  <c r="C2" i="55"/>
  <c r="C3" i="55"/>
  <c r="C4" i="55"/>
  <c r="C5" i="55"/>
  <c r="C6" i="55"/>
  <c r="C7" i="55"/>
  <c r="C8" i="55"/>
  <c r="E6" i="55"/>
  <c r="E4" i="55"/>
  <c r="F4" i="55"/>
  <c r="B3" i="55"/>
  <c r="B120" i="51"/>
  <c r="B114" i="51"/>
  <c r="B115" i="51"/>
  <c r="B116" i="51"/>
  <c r="A111" i="51"/>
  <c r="AG99" i="51"/>
  <c r="AD99" i="51"/>
  <c r="O99" i="51"/>
  <c r="P99" i="51"/>
  <c r="Q99" i="51"/>
  <c r="R99" i="51"/>
  <c r="S99" i="51"/>
  <c r="T99" i="51"/>
  <c r="U99" i="51"/>
  <c r="V99" i="51"/>
  <c r="W99" i="51"/>
  <c r="X99" i="51"/>
  <c r="Y99" i="51"/>
  <c r="Z99" i="51"/>
  <c r="U100" i="51"/>
  <c r="X100" i="51"/>
  <c r="N96" i="51"/>
  <c r="N99" i="51" s="1"/>
  <c r="N97" i="51"/>
  <c r="N100" i="51" s="1"/>
  <c r="AA97" i="51"/>
  <c r="AI97" i="51" s="1"/>
  <c r="I96" i="51"/>
  <c r="AA96" i="51" s="1"/>
  <c r="AF96" i="51" s="1"/>
  <c r="J96" i="51"/>
  <c r="I97" i="51"/>
  <c r="J97" i="51"/>
  <c r="N89" i="51"/>
  <c r="N90" i="51"/>
  <c r="N91" i="51"/>
  <c r="N92" i="51"/>
  <c r="N93" i="51"/>
  <c r="N94" i="51"/>
  <c r="I94" i="51"/>
  <c r="J94" i="51"/>
  <c r="AL90" i="51"/>
  <c r="AH91" i="51"/>
  <c r="AL91" i="51"/>
  <c r="AH93" i="51"/>
  <c r="AL94" i="51"/>
  <c r="AE90" i="51"/>
  <c r="AE91" i="51"/>
  <c r="AE93" i="51"/>
  <c r="AA90" i="51"/>
  <c r="AA94" i="51"/>
  <c r="I90" i="51"/>
  <c r="J90" i="51"/>
  <c r="L90" i="51"/>
  <c r="M90" i="51"/>
  <c r="I91" i="51"/>
  <c r="K91" i="51" s="1"/>
  <c r="J91" i="51"/>
  <c r="L91" i="51"/>
  <c r="M91" i="51"/>
  <c r="I92" i="51"/>
  <c r="AA92" i="51" s="1"/>
  <c r="AF92" i="51" s="1"/>
  <c r="J92" i="51"/>
  <c r="K92" i="51" s="1"/>
  <c r="L92" i="51"/>
  <c r="M92" i="51"/>
  <c r="I93" i="51"/>
  <c r="AA93" i="51" s="1"/>
  <c r="J93" i="51"/>
  <c r="K93" i="51"/>
  <c r="L93" i="51"/>
  <c r="M93" i="51"/>
  <c r="I89" i="51"/>
  <c r="J89" i="51"/>
  <c r="B88" i="51"/>
  <c r="B89" i="51"/>
  <c r="B83" i="51"/>
  <c r="B84" i="51"/>
  <c r="B85" i="51"/>
  <c r="A80" i="51"/>
  <c r="AH76" i="51"/>
  <c r="AH77" i="51"/>
  <c r="AH78" i="51"/>
  <c r="AL78" i="51"/>
  <c r="AH79" i="51"/>
  <c r="AL79" i="51"/>
  <c r="AH80" i="51"/>
  <c r="AL80" i="51"/>
  <c r="AL83" i="51"/>
  <c r="AH84" i="51"/>
  <c r="AL86" i="51"/>
  <c r="AL87" i="51"/>
  <c r="AE76" i="51"/>
  <c r="AE77" i="51"/>
  <c r="AE78" i="51"/>
  <c r="AB84" i="51"/>
  <c r="AA87" i="51"/>
  <c r="I76" i="51"/>
  <c r="AA76" i="51" s="1"/>
  <c r="J76" i="51"/>
  <c r="L76" i="51"/>
  <c r="M76" i="51"/>
  <c r="N76" i="51"/>
  <c r="I77" i="51"/>
  <c r="J77" i="51"/>
  <c r="L77" i="51"/>
  <c r="M77" i="51"/>
  <c r="N77" i="51"/>
  <c r="I78" i="51"/>
  <c r="J78" i="51"/>
  <c r="L78" i="51"/>
  <c r="M78" i="51"/>
  <c r="N78" i="51"/>
  <c r="I79" i="51"/>
  <c r="AA79" i="51" s="1"/>
  <c r="J79" i="51"/>
  <c r="K79" i="51"/>
  <c r="L79" i="51"/>
  <c r="M79" i="51"/>
  <c r="N79" i="51"/>
  <c r="I80" i="51"/>
  <c r="AA80" i="51" s="1"/>
  <c r="J80" i="51"/>
  <c r="L80" i="51"/>
  <c r="M80" i="51"/>
  <c r="N80" i="51"/>
  <c r="I81" i="51"/>
  <c r="J81" i="51"/>
  <c r="L81" i="51"/>
  <c r="M81" i="51"/>
  <c r="N81" i="51"/>
  <c r="I82" i="51"/>
  <c r="J82" i="51"/>
  <c r="L82" i="51"/>
  <c r="M82" i="51"/>
  <c r="N82" i="51"/>
  <c r="I83" i="51"/>
  <c r="AA83" i="51" s="1"/>
  <c r="AI83" i="51" s="1"/>
  <c r="J83" i="51"/>
  <c r="K83" i="51"/>
  <c r="L83" i="51"/>
  <c r="M83" i="51"/>
  <c r="N83" i="51"/>
  <c r="I84" i="51"/>
  <c r="AA84" i="51" s="1"/>
  <c r="AI84" i="51" s="1"/>
  <c r="J84" i="51"/>
  <c r="L84" i="51"/>
  <c r="M84" i="51"/>
  <c r="N84" i="51"/>
  <c r="I85" i="51"/>
  <c r="J85" i="51"/>
  <c r="L85" i="51"/>
  <c r="M85" i="51"/>
  <c r="N85" i="51"/>
  <c r="I86" i="51"/>
  <c r="AA86" i="51" s="1"/>
  <c r="J86" i="51"/>
  <c r="K86" i="51"/>
  <c r="L86" i="51"/>
  <c r="M86" i="51"/>
  <c r="N86" i="51"/>
  <c r="I87" i="51"/>
  <c r="K87" i="51" s="1"/>
  <c r="J87" i="51"/>
  <c r="L87" i="51"/>
  <c r="M87" i="51"/>
  <c r="N87" i="51"/>
  <c r="N74" i="51"/>
  <c r="N75" i="51"/>
  <c r="I74" i="51"/>
  <c r="J74" i="51"/>
  <c r="I75" i="51"/>
  <c r="J75" i="51"/>
  <c r="AD72" i="51"/>
  <c r="AG72" i="51"/>
  <c r="AL72" i="51" s="1"/>
  <c r="N72" i="51"/>
  <c r="O72" i="51"/>
  <c r="O100" i="51" s="1"/>
  <c r="P72" i="51"/>
  <c r="P100" i="51" s="1"/>
  <c r="Q72" i="51"/>
  <c r="Q100" i="51" s="1"/>
  <c r="R72" i="51"/>
  <c r="R100" i="51" s="1"/>
  <c r="S72" i="51"/>
  <c r="S100" i="51" s="1"/>
  <c r="T72" i="51"/>
  <c r="T100" i="51" s="1"/>
  <c r="U72" i="51"/>
  <c r="V72" i="51"/>
  <c r="V100" i="51" s="1"/>
  <c r="W72" i="51"/>
  <c r="W100" i="51" s="1"/>
  <c r="X72" i="51"/>
  <c r="Y72" i="51"/>
  <c r="Y100" i="51" s="1"/>
  <c r="Z72" i="51"/>
  <c r="Z100" i="51" s="1"/>
  <c r="AH71" i="51"/>
  <c r="AI71" i="51"/>
  <c r="AB62" i="51"/>
  <c r="AB63" i="51"/>
  <c r="AB64" i="51"/>
  <c r="AB65" i="51"/>
  <c r="AB66" i="51"/>
  <c r="AB67" i="51"/>
  <c r="AN67" i="51" s="1"/>
  <c r="AB68" i="51"/>
  <c r="AM68" i="51" s="1"/>
  <c r="AB69" i="51"/>
  <c r="AM69" i="51" s="1"/>
  <c r="AB70" i="51"/>
  <c r="AB71" i="51"/>
  <c r="N60" i="51"/>
  <c r="N61" i="51"/>
  <c r="N62" i="51"/>
  <c r="N63" i="51"/>
  <c r="N64" i="51"/>
  <c r="N65" i="51"/>
  <c r="N66" i="51"/>
  <c r="N67" i="51"/>
  <c r="N68" i="51"/>
  <c r="N69" i="51"/>
  <c r="N70" i="51"/>
  <c r="N71" i="51"/>
  <c r="I71" i="51"/>
  <c r="K71" i="51" s="1"/>
  <c r="J71" i="51"/>
  <c r="I72" i="51"/>
  <c r="J72" i="51"/>
  <c r="K72" i="51"/>
  <c r="AA68" i="51"/>
  <c r="AA70" i="51"/>
  <c r="AH62" i="51"/>
  <c r="AN62" i="51" s="1"/>
  <c r="AM62" i="51"/>
  <c r="AH63" i="51"/>
  <c r="AH64" i="51"/>
  <c r="AH65" i="51"/>
  <c r="AH66" i="51"/>
  <c r="AN66" i="51" s="1"/>
  <c r="AH67" i="51"/>
  <c r="AK67" i="51"/>
  <c r="AL67" i="51"/>
  <c r="AH68" i="51"/>
  <c r="AL68" i="51"/>
  <c r="AH69" i="51"/>
  <c r="AN69" i="51" s="1"/>
  <c r="AL69" i="51"/>
  <c r="AH70" i="51"/>
  <c r="AL70" i="51"/>
  <c r="AN70" i="51"/>
  <c r="AE62" i="51"/>
  <c r="AE63" i="51"/>
  <c r="AE64" i="51"/>
  <c r="AE65" i="51"/>
  <c r="AE66" i="51"/>
  <c r="AE67" i="51"/>
  <c r="AF67" i="51"/>
  <c r="AE68" i="51"/>
  <c r="AE69" i="51"/>
  <c r="AE70" i="51"/>
  <c r="AM70" i="51" s="1"/>
  <c r="AE71" i="51"/>
  <c r="AF71" i="51"/>
  <c r="I62" i="51"/>
  <c r="AA62" i="51" s="1"/>
  <c r="J62" i="51"/>
  <c r="K62" i="51"/>
  <c r="L62" i="51"/>
  <c r="M62" i="51"/>
  <c r="I63" i="51"/>
  <c r="AA63" i="51" s="1"/>
  <c r="J63" i="51"/>
  <c r="K63" i="51"/>
  <c r="L63" i="51"/>
  <c r="M63" i="51"/>
  <c r="I64" i="51"/>
  <c r="J64" i="51"/>
  <c r="L64" i="51"/>
  <c r="M64" i="51"/>
  <c r="I65" i="51"/>
  <c r="K65" i="51" s="1"/>
  <c r="J65" i="51"/>
  <c r="L65" i="51"/>
  <c r="M65" i="51"/>
  <c r="I66" i="51"/>
  <c r="J66" i="51"/>
  <c r="L66" i="51"/>
  <c r="M66" i="51"/>
  <c r="I67" i="51"/>
  <c r="AA67" i="51" s="1"/>
  <c r="AI67" i="51" s="1"/>
  <c r="J67" i="51"/>
  <c r="L67" i="51"/>
  <c r="M67" i="51"/>
  <c r="I68" i="51"/>
  <c r="K68" i="51" s="1"/>
  <c r="J68" i="51"/>
  <c r="L68" i="51"/>
  <c r="M68" i="51"/>
  <c r="I69" i="51"/>
  <c r="K69" i="51" s="1"/>
  <c r="J69" i="51"/>
  <c r="L69" i="51"/>
  <c r="M69" i="51"/>
  <c r="I70" i="51"/>
  <c r="J70" i="51"/>
  <c r="K70" i="51"/>
  <c r="L70" i="51"/>
  <c r="M70" i="51"/>
  <c r="I60" i="51"/>
  <c r="J60" i="51"/>
  <c r="I61" i="51"/>
  <c r="J61" i="51"/>
  <c r="B55" i="51"/>
  <c r="B56" i="51"/>
  <c r="B50" i="51"/>
  <c r="B51" i="51"/>
  <c r="B52" i="51"/>
  <c r="A47" i="51"/>
  <c r="AH35" i="51"/>
  <c r="AL35" i="51"/>
  <c r="AL36" i="51"/>
  <c r="AH37" i="51"/>
  <c r="AL37" i="51"/>
  <c r="AH38" i="51"/>
  <c r="AL38" i="51"/>
  <c r="AH39" i="51"/>
  <c r="AK39" i="51"/>
  <c r="AL40" i="51"/>
  <c r="AH41" i="51"/>
  <c r="AH42" i="51"/>
  <c r="AL43" i="51"/>
  <c r="AH44" i="51"/>
  <c r="AH45" i="51"/>
  <c r="AL45" i="51"/>
  <c r="AH46" i="51"/>
  <c r="AL46" i="51"/>
  <c r="AH47" i="51"/>
  <c r="AK47" i="51"/>
  <c r="AH48" i="51"/>
  <c r="AL48" i="51"/>
  <c r="AH50" i="51"/>
  <c r="AH51" i="51"/>
  <c r="AK51" i="51"/>
  <c r="AL51" i="51"/>
  <c r="AH52" i="51"/>
  <c r="AK52" i="51"/>
  <c r="AL52" i="51"/>
  <c r="AH53" i="51"/>
  <c r="AL53" i="51"/>
  <c r="AL54" i="51"/>
  <c r="AH55" i="51"/>
  <c r="AH56" i="51"/>
  <c r="AH57" i="51"/>
  <c r="AE35" i="51"/>
  <c r="AE37" i="51"/>
  <c r="AE38" i="51"/>
  <c r="AE39" i="51"/>
  <c r="AE41" i="51"/>
  <c r="AE42" i="51"/>
  <c r="AE44" i="51"/>
  <c r="AE45" i="51"/>
  <c r="AE46" i="51"/>
  <c r="AE48" i="51"/>
  <c r="AE50" i="51"/>
  <c r="AE51" i="51"/>
  <c r="AF51" i="51"/>
  <c r="AE52" i="51"/>
  <c r="AE53" i="51"/>
  <c r="AE55" i="51"/>
  <c r="AF55" i="51"/>
  <c r="AE56" i="51"/>
  <c r="AF56" i="51"/>
  <c r="AB39" i="51"/>
  <c r="AA41" i="51"/>
  <c r="AA44" i="51"/>
  <c r="AI44" i="51" s="1"/>
  <c r="AA45" i="51"/>
  <c r="AB51" i="51"/>
  <c r="AA56" i="51"/>
  <c r="AB56" i="51" s="1"/>
  <c r="AM56" i="51" s="1"/>
  <c r="I35" i="51"/>
  <c r="AA35" i="51" s="1"/>
  <c r="AI35" i="51" s="1"/>
  <c r="J35" i="51"/>
  <c r="L35" i="51"/>
  <c r="M35" i="51"/>
  <c r="N35" i="51"/>
  <c r="I36" i="51"/>
  <c r="K36" i="51" s="1"/>
  <c r="J36" i="51"/>
  <c r="L36" i="51"/>
  <c r="M36" i="51"/>
  <c r="N36" i="51"/>
  <c r="I37" i="51"/>
  <c r="K37" i="51" s="1"/>
  <c r="J37" i="51"/>
  <c r="L37" i="51"/>
  <c r="M37" i="51"/>
  <c r="N37" i="51"/>
  <c r="I38" i="51"/>
  <c r="AA38" i="51" s="1"/>
  <c r="AI38" i="51" s="1"/>
  <c r="J38" i="51"/>
  <c r="L38" i="51"/>
  <c r="M38" i="51"/>
  <c r="N38" i="51"/>
  <c r="I39" i="51"/>
  <c r="AA39" i="51" s="1"/>
  <c r="J39" i="51"/>
  <c r="K39" i="51"/>
  <c r="L39" i="51"/>
  <c r="M39" i="51"/>
  <c r="N39" i="51"/>
  <c r="I40" i="51"/>
  <c r="K40" i="51" s="1"/>
  <c r="J40" i="51"/>
  <c r="L40" i="51"/>
  <c r="M40" i="51"/>
  <c r="N40" i="51"/>
  <c r="I41" i="51"/>
  <c r="K41" i="51" s="1"/>
  <c r="J41" i="51"/>
  <c r="L41" i="51"/>
  <c r="M41" i="51"/>
  <c r="N41" i="51"/>
  <c r="I42" i="51"/>
  <c r="AA42" i="51" s="1"/>
  <c r="AF42" i="51" s="1"/>
  <c r="J42" i="51"/>
  <c r="L42" i="51"/>
  <c r="M42" i="51"/>
  <c r="N42" i="51"/>
  <c r="I43" i="51"/>
  <c r="J43" i="51"/>
  <c r="L43" i="51"/>
  <c r="M43" i="51"/>
  <c r="N43" i="51"/>
  <c r="I44" i="51"/>
  <c r="K44" i="51" s="1"/>
  <c r="J44" i="51"/>
  <c r="L44" i="51"/>
  <c r="M44" i="51"/>
  <c r="N44" i="51"/>
  <c r="I45" i="51"/>
  <c r="K45" i="51" s="1"/>
  <c r="J45" i="51"/>
  <c r="L45" i="51"/>
  <c r="M45" i="51"/>
  <c r="N45" i="51"/>
  <c r="I46" i="51"/>
  <c r="J46" i="51"/>
  <c r="L46" i="51"/>
  <c r="M46" i="51"/>
  <c r="N46" i="51"/>
  <c r="I47" i="51"/>
  <c r="AA47" i="51" s="1"/>
  <c r="J47" i="51"/>
  <c r="K47" i="51"/>
  <c r="L47" i="51"/>
  <c r="M47" i="51"/>
  <c r="N47" i="51"/>
  <c r="I48" i="51"/>
  <c r="K48" i="51" s="1"/>
  <c r="J48" i="51"/>
  <c r="L48" i="51"/>
  <c r="M48" i="51"/>
  <c r="N48" i="51"/>
  <c r="I49" i="51"/>
  <c r="K49" i="51" s="1"/>
  <c r="J49" i="51"/>
  <c r="L49" i="51"/>
  <c r="M49" i="51"/>
  <c r="N49" i="51"/>
  <c r="I50" i="51"/>
  <c r="AA50" i="51" s="1"/>
  <c r="AI50" i="51" s="1"/>
  <c r="J50" i="51"/>
  <c r="L50" i="51"/>
  <c r="M50" i="51"/>
  <c r="N50" i="51"/>
  <c r="I51" i="51"/>
  <c r="AA51" i="51" s="1"/>
  <c r="AI51" i="51" s="1"/>
  <c r="J51" i="51"/>
  <c r="K51" i="51"/>
  <c r="L51" i="51"/>
  <c r="M51" i="51"/>
  <c r="N51" i="51"/>
  <c r="I52" i="51"/>
  <c r="K52" i="51" s="1"/>
  <c r="J52" i="51"/>
  <c r="L52" i="51"/>
  <c r="M52" i="51"/>
  <c r="N52" i="51"/>
  <c r="I53" i="51"/>
  <c r="K53" i="51" s="1"/>
  <c r="J53" i="51"/>
  <c r="L53" i="51"/>
  <c r="M53" i="51"/>
  <c r="N53" i="51"/>
  <c r="I54" i="51"/>
  <c r="AA54" i="51" s="1"/>
  <c r="AI54" i="51" s="1"/>
  <c r="J54" i="51"/>
  <c r="K54" i="51"/>
  <c r="L54" i="51"/>
  <c r="M54" i="51"/>
  <c r="N54" i="51"/>
  <c r="I55" i="51"/>
  <c r="AA55" i="51" s="1"/>
  <c r="J55" i="51"/>
  <c r="L55" i="51"/>
  <c r="M55" i="51"/>
  <c r="N55" i="51"/>
  <c r="I56" i="51"/>
  <c r="K56" i="51" s="1"/>
  <c r="J56" i="51"/>
  <c r="L56" i="51"/>
  <c r="M56" i="51"/>
  <c r="N56" i="51"/>
  <c r="I57" i="51"/>
  <c r="K57" i="51" s="1"/>
  <c r="J57" i="51"/>
  <c r="L57" i="51"/>
  <c r="M57" i="51"/>
  <c r="N57" i="51"/>
  <c r="I58" i="51"/>
  <c r="AA58" i="51" s="1"/>
  <c r="AI58" i="51" s="1"/>
  <c r="J58" i="51"/>
  <c r="L58" i="51"/>
  <c r="M58" i="51"/>
  <c r="N58" i="51"/>
  <c r="N33" i="51"/>
  <c r="N34" i="51"/>
  <c r="I33" i="51"/>
  <c r="J33" i="51"/>
  <c r="I34" i="51"/>
  <c r="J34" i="51"/>
  <c r="AK32" i="51"/>
  <c r="AG32" i="51"/>
  <c r="AL32" i="51" s="1"/>
  <c r="AD32" i="51"/>
  <c r="O32" i="51"/>
  <c r="P32" i="51"/>
  <c r="Q32" i="51"/>
  <c r="R32" i="51"/>
  <c r="S32" i="51"/>
  <c r="T32" i="51"/>
  <c r="U32" i="51"/>
  <c r="V32" i="51"/>
  <c r="W32" i="51"/>
  <c r="X32" i="51"/>
  <c r="Y32" i="51"/>
  <c r="Z32" i="51"/>
  <c r="AJ32" i="51" s="1"/>
  <c r="AJ31" i="51"/>
  <c r="AK31" i="51"/>
  <c r="AM31" i="51" s="1"/>
  <c r="AL31" i="51"/>
  <c r="AN31" i="51" s="1"/>
  <c r="AG31" i="51"/>
  <c r="AD31" i="51"/>
  <c r="O31" i="51"/>
  <c r="P31" i="51"/>
  <c r="Q31" i="51"/>
  <c r="R31" i="51"/>
  <c r="S31" i="51"/>
  <c r="T31" i="51"/>
  <c r="U31" i="51"/>
  <c r="V31" i="51"/>
  <c r="W31" i="51"/>
  <c r="X31" i="51"/>
  <c r="Y31" i="51"/>
  <c r="Z31" i="51"/>
  <c r="AA31" i="51"/>
  <c r="N26" i="51"/>
  <c r="N27" i="51"/>
  <c r="N28" i="51"/>
  <c r="N29" i="51"/>
  <c r="B22" i="51"/>
  <c r="B23" i="51"/>
  <c r="AG16" i="51"/>
  <c r="AG19" i="51"/>
  <c r="AH96" i="51" s="1"/>
  <c r="AG20" i="51"/>
  <c r="AL77" i="51" s="1"/>
  <c r="AD19" i="51"/>
  <c r="AE87" i="51" s="1"/>
  <c r="AD20" i="51"/>
  <c r="AK68" i="51" s="1"/>
  <c r="G19" i="51"/>
  <c r="G20" i="51"/>
  <c r="N19" i="51"/>
  <c r="O19" i="51"/>
  <c r="P19" i="51"/>
  <c r="Q19" i="51"/>
  <c r="R19" i="51"/>
  <c r="S19" i="51"/>
  <c r="T19" i="51"/>
  <c r="U19" i="51"/>
  <c r="V19" i="51"/>
  <c r="W19" i="51"/>
  <c r="X19" i="51"/>
  <c r="Y19" i="51"/>
  <c r="Z19" i="51"/>
  <c r="N20" i="51"/>
  <c r="O20" i="51"/>
  <c r="P20" i="51"/>
  <c r="Q20" i="51"/>
  <c r="R20" i="51"/>
  <c r="S20" i="51"/>
  <c r="T20" i="51"/>
  <c r="U20" i="51"/>
  <c r="V20" i="51"/>
  <c r="W20" i="51"/>
  <c r="X20" i="51"/>
  <c r="Y20" i="51"/>
  <c r="Z20" i="51"/>
  <c r="B17" i="51"/>
  <c r="B18" i="51"/>
  <c r="B19" i="51"/>
  <c r="O16" i="51"/>
  <c r="P16" i="51"/>
  <c r="Q16" i="51"/>
  <c r="R16" i="51"/>
  <c r="S16" i="51"/>
  <c r="T16" i="51"/>
  <c r="U16" i="51"/>
  <c r="V16" i="51"/>
  <c r="W16" i="51"/>
  <c r="X16" i="51"/>
  <c r="Y16" i="51"/>
  <c r="O17" i="51"/>
  <c r="P17" i="51"/>
  <c r="Q17" i="51"/>
  <c r="R17" i="51"/>
  <c r="S17" i="51"/>
  <c r="T17" i="51"/>
  <c r="U17" i="51"/>
  <c r="V17" i="51"/>
  <c r="W17" i="51"/>
  <c r="X17" i="51"/>
  <c r="Y17" i="51"/>
  <c r="Z17" i="51"/>
  <c r="AA17" i="51"/>
  <c r="AA11" i="51" s="1"/>
  <c r="A14" i="51"/>
  <c r="AG12" i="51"/>
  <c r="AG13" i="51"/>
  <c r="AD12" i="51"/>
  <c r="AD13" i="51"/>
  <c r="B12" i="51"/>
  <c r="B13" i="51"/>
  <c r="O11" i="51"/>
  <c r="P11" i="51"/>
  <c r="Q11" i="51"/>
  <c r="R11" i="51"/>
  <c r="S11" i="51"/>
  <c r="T11" i="51"/>
  <c r="U11" i="51"/>
  <c r="V11" i="51"/>
  <c r="W11" i="51"/>
  <c r="X11" i="51"/>
  <c r="Y11" i="51"/>
  <c r="Z11" i="51"/>
  <c r="O12" i="51"/>
  <c r="P12" i="51"/>
  <c r="Q12" i="51"/>
  <c r="R12" i="51"/>
  <c r="S12" i="51"/>
  <c r="T12" i="51"/>
  <c r="U12" i="51"/>
  <c r="V12" i="51"/>
  <c r="W12" i="51"/>
  <c r="X12" i="51"/>
  <c r="Y12" i="51"/>
  <c r="Z12" i="51"/>
  <c r="AA12" i="51"/>
  <c r="O13" i="51"/>
  <c r="P13" i="51"/>
  <c r="Q13" i="51"/>
  <c r="R13" i="51"/>
  <c r="S13" i="51"/>
  <c r="T13" i="51"/>
  <c r="U13" i="51"/>
  <c r="V13" i="51"/>
  <c r="W13" i="51"/>
  <c r="X13" i="51"/>
  <c r="Y13" i="51"/>
  <c r="Z13" i="51"/>
  <c r="AA13" i="51"/>
  <c r="C10" i="51"/>
  <c r="D10" i="51"/>
  <c r="Z16" i="51" s="1"/>
  <c r="C9" i="51"/>
  <c r="C1" i="51"/>
  <c r="C2" i="51"/>
  <c r="C3" i="51"/>
  <c r="C4" i="51"/>
  <c r="C5" i="51"/>
  <c r="C6" i="51"/>
  <c r="C7" i="51"/>
  <c r="C8" i="51"/>
  <c r="E6" i="51"/>
  <c r="B62" i="51" s="1"/>
  <c r="E4" i="51"/>
  <c r="F4" i="51"/>
  <c r="B3" i="51"/>
  <c r="H2" i="51" s="1"/>
  <c r="N1" i="51"/>
  <c r="N1" i="55" s="1"/>
  <c r="AG143" i="39"/>
  <c r="AG144" i="39"/>
  <c r="AG145" i="39"/>
  <c r="AG146" i="39"/>
  <c r="AD143" i="39"/>
  <c r="AD144" i="39"/>
  <c r="AD145" i="39"/>
  <c r="AD146" i="39"/>
  <c r="O143" i="39"/>
  <c r="P143" i="39"/>
  <c r="Q143" i="39"/>
  <c r="R143" i="39"/>
  <c r="S143" i="39"/>
  <c r="T143" i="39"/>
  <c r="U143" i="39"/>
  <c r="V143" i="39"/>
  <c r="W143" i="39"/>
  <c r="X143" i="39"/>
  <c r="Y143" i="39"/>
  <c r="Z143" i="39"/>
  <c r="O144" i="39"/>
  <c r="P144" i="39"/>
  <c r="Q144" i="39"/>
  <c r="R144" i="39"/>
  <c r="S144" i="39"/>
  <c r="T144" i="39"/>
  <c r="U144" i="39"/>
  <c r="V144" i="39"/>
  <c r="W144" i="39"/>
  <c r="X144" i="39"/>
  <c r="Y144" i="39"/>
  <c r="Z144" i="39"/>
  <c r="O145" i="39"/>
  <c r="P145" i="39"/>
  <c r="Q145" i="39"/>
  <c r="R145" i="39"/>
  <c r="S145" i="39"/>
  <c r="T145" i="39"/>
  <c r="U145" i="39"/>
  <c r="V145" i="39"/>
  <c r="W145" i="39"/>
  <c r="X145" i="39"/>
  <c r="Y145" i="39"/>
  <c r="Z145" i="39"/>
  <c r="O146" i="39"/>
  <c r="P146" i="39"/>
  <c r="Q146" i="39"/>
  <c r="R146" i="39"/>
  <c r="S146" i="39"/>
  <c r="T146" i="39"/>
  <c r="U146" i="39"/>
  <c r="V146" i="39"/>
  <c r="W146" i="39"/>
  <c r="X146" i="39"/>
  <c r="Y146" i="39"/>
  <c r="Z146" i="39"/>
  <c r="AI130" i="39"/>
  <c r="AI131" i="39"/>
  <c r="AI133" i="39"/>
  <c r="AI135" i="39"/>
  <c r="AI137" i="39"/>
  <c r="AI139" i="39"/>
  <c r="AI140" i="39"/>
  <c r="AG141" i="39"/>
  <c r="AD141" i="39"/>
  <c r="O141" i="39"/>
  <c r="P141" i="39"/>
  <c r="Q141" i="39"/>
  <c r="R141" i="39"/>
  <c r="S141" i="39"/>
  <c r="T141" i="39"/>
  <c r="U141" i="39"/>
  <c r="V141" i="39"/>
  <c r="W141" i="39"/>
  <c r="X141" i="39"/>
  <c r="Y141" i="39"/>
  <c r="Z141" i="39"/>
  <c r="AH140" i="39"/>
  <c r="AE140" i="39"/>
  <c r="AF140" i="39"/>
  <c r="AA140" i="39"/>
  <c r="AB140" i="39"/>
  <c r="AF131" i="39"/>
  <c r="AF132" i="39"/>
  <c r="AF133" i="39"/>
  <c r="AF135" i="39"/>
  <c r="AF137" i="39"/>
  <c r="AF139" i="39"/>
  <c r="AH138" i="39"/>
  <c r="AE138" i="39"/>
  <c r="AA138" i="39"/>
  <c r="AF138" i="39" s="1"/>
  <c r="AB138" i="39"/>
  <c r="AH136" i="39"/>
  <c r="AE136" i="39"/>
  <c r="AA136" i="39"/>
  <c r="AF136" i="39" s="1"/>
  <c r="AB136" i="39"/>
  <c r="AH134" i="39"/>
  <c r="AE134" i="39"/>
  <c r="AA134" i="39"/>
  <c r="AI134" i="39" s="1"/>
  <c r="AB134" i="39"/>
  <c r="AH132" i="39"/>
  <c r="AE132" i="39"/>
  <c r="AA132" i="39"/>
  <c r="AI132" i="39" s="1"/>
  <c r="AB132" i="39"/>
  <c r="AH130" i="39"/>
  <c r="AE130" i="39"/>
  <c r="AA130" i="39"/>
  <c r="AA146" i="39" s="1"/>
  <c r="AB130" i="39"/>
  <c r="L130" i="39"/>
  <c r="M130" i="39"/>
  <c r="N130" i="39"/>
  <c r="L131" i="39"/>
  <c r="M131" i="39"/>
  <c r="N131" i="39"/>
  <c r="L132" i="39"/>
  <c r="M132" i="39"/>
  <c r="N132" i="39"/>
  <c r="L133" i="39"/>
  <c r="M133" i="39"/>
  <c r="N133" i="39"/>
  <c r="L134" i="39"/>
  <c r="M134" i="39"/>
  <c r="N134" i="39"/>
  <c r="L135" i="39"/>
  <c r="M135" i="39"/>
  <c r="N135" i="39"/>
  <c r="L136" i="39"/>
  <c r="M136" i="39"/>
  <c r="N136" i="39"/>
  <c r="L137" i="39"/>
  <c r="M137" i="39"/>
  <c r="N137" i="39"/>
  <c r="L138" i="39"/>
  <c r="M138" i="39"/>
  <c r="N138" i="39"/>
  <c r="L139" i="39"/>
  <c r="M139" i="39"/>
  <c r="N139" i="39"/>
  <c r="L140" i="39"/>
  <c r="M140" i="39"/>
  <c r="N140" i="39"/>
  <c r="N129" i="39"/>
  <c r="AG121" i="39"/>
  <c r="AG126" i="39" s="1"/>
  <c r="AG127" i="39" s="1"/>
  <c r="AG122" i="39"/>
  <c r="AG123" i="39"/>
  <c r="AG124" i="39"/>
  <c r="AG125" i="39"/>
  <c r="AH125" i="39" s="1"/>
  <c r="AD121" i="39"/>
  <c r="AD122" i="39"/>
  <c r="AD123" i="39"/>
  <c r="AD124" i="39"/>
  <c r="AE124" i="39" s="1"/>
  <c r="AD125" i="39"/>
  <c r="AE125" i="39" s="1"/>
  <c r="AH123" i="39"/>
  <c r="AE122" i="39"/>
  <c r="L121" i="39"/>
  <c r="M121" i="39"/>
  <c r="N121" i="39"/>
  <c r="O121" i="39"/>
  <c r="P121" i="39"/>
  <c r="Q121" i="39"/>
  <c r="Q126" i="39" s="1"/>
  <c r="Q127" i="39" s="1"/>
  <c r="R121" i="39"/>
  <c r="S121" i="39"/>
  <c r="T121" i="39"/>
  <c r="U121" i="39"/>
  <c r="V121" i="39"/>
  <c r="W121" i="39"/>
  <c r="X121" i="39"/>
  <c r="Y121" i="39"/>
  <c r="Y126" i="39" s="1"/>
  <c r="Y127" i="39" s="1"/>
  <c r="Z121" i="39"/>
  <c r="L122" i="39"/>
  <c r="M122" i="39"/>
  <c r="N122" i="39"/>
  <c r="O122" i="39"/>
  <c r="P122" i="39"/>
  <c r="Q122" i="39"/>
  <c r="R122" i="39"/>
  <c r="S122" i="39"/>
  <c r="T122" i="39"/>
  <c r="U122" i="39"/>
  <c r="U126" i="39" s="1"/>
  <c r="U127" i="39" s="1"/>
  <c r="V122" i="39"/>
  <c r="W122" i="39"/>
  <c r="X122" i="39"/>
  <c r="Y122" i="39"/>
  <c r="Z122" i="39"/>
  <c r="L123" i="39"/>
  <c r="M123" i="39"/>
  <c r="N123" i="39"/>
  <c r="O123" i="39"/>
  <c r="P123" i="39"/>
  <c r="Q123" i="39"/>
  <c r="R123" i="39"/>
  <c r="S123" i="39"/>
  <c r="T123" i="39"/>
  <c r="U123" i="39"/>
  <c r="V123" i="39"/>
  <c r="W123" i="39"/>
  <c r="X123" i="39"/>
  <c r="Y123" i="39"/>
  <c r="Z123" i="39"/>
  <c r="L124" i="39"/>
  <c r="M124" i="39"/>
  <c r="N124" i="39"/>
  <c r="O124" i="39"/>
  <c r="P124" i="39"/>
  <c r="Q124" i="39"/>
  <c r="R124" i="39"/>
  <c r="S124" i="39"/>
  <c r="T124" i="39"/>
  <c r="U124" i="39"/>
  <c r="V124" i="39"/>
  <c r="W124" i="39"/>
  <c r="X124" i="39"/>
  <c r="Y124" i="39"/>
  <c r="Z124" i="39"/>
  <c r="L125" i="39"/>
  <c r="M125" i="39"/>
  <c r="N125" i="39"/>
  <c r="O125" i="39"/>
  <c r="P125" i="39"/>
  <c r="Q125" i="39"/>
  <c r="R125" i="39"/>
  <c r="S125" i="39"/>
  <c r="T125" i="39"/>
  <c r="U125" i="39"/>
  <c r="V125" i="39"/>
  <c r="W125" i="39"/>
  <c r="X125" i="39"/>
  <c r="Y125" i="39"/>
  <c r="Z125" i="39"/>
  <c r="L126" i="39"/>
  <c r="M126" i="39"/>
  <c r="N126" i="39"/>
  <c r="AI114" i="39"/>
  <c r="AH118" i="39"/>
  <c r="AI119" i="39"/>
  <c r="AE115" i="39"/>
  <c r="AF115" i="39"/>
  <c r="AE117" i="39"/>
  <c r="AE118" i="39"/>
  <c r="AA114" i="39"/>
  <c r="AF114" i="39" s="1"/>
  <c r="AA115" i="39"/>
  <c r="AI115" i="39" s="1"/>
  <c r="AB115" i="39"/>
  <c r="AA116" i="39"/>
  <c r="AA117" i="39"/>
  <c r="AF117" i="39" s="1"/>
  <c r="AB117" i="39"/>
  <c r="AA118" i="39"/>
  <c r="AF118" i="39" s="1"/>
  <c r="AA119" i="39"/>
  <c r="AF119" i="39" s="1"/>
  <c r="L114" i="39"/>
  <c r="M114" i="39"/>
  <c r="N114" i="39"/>
  <c r="L115" i="39"/>
  <c r="M115" i="39"/>
  <c r="N115" i="39"/>
  <c r="L116" i="39"/>
  <c r="M116" i="39"/>
  <c r="N116" i="39"/>
  <c r="L117" i="39"/>
  <c r="M117" i="39"/>
  <c r="N117" i="39"/>
  <c r="L118" i="39"/>
  <c r="M118" i="39"/>
  <c r="N118" i="39"/>
  <c r="L119" i="39"/>
  <c r="M119" i="39"/>
  <c r="N119" i="39"/>
  <c r="AH107" i="39"/>
  <c r="AI107" i="39"/>
  <c r="AH109" i="39"/>
  <c r="AH110" i="39"/>
  <c r="AE107" i="39"/>
  <c r="AE109" i="39"/>
  <c r="AE110" i="39"/>
  <c r="AE111" i="39"/>
  <c r="AA106" i="39"/>
  <c r="AA107" i="39"/>
  <c r="AF107" i="39" s="1"/>
  <c r="AA108" i="39"/>
  <c r="AF108" i="39" s="1"/>
  <c r="AA109" i="39"/>
  <c r="AA110" i="39"/>
  <c r="AI110" i="39" s="1"/>
  <c r="AA111" i="39"/>
  <c r="L106" i="39"/>
  <c r="M106" i="39"/>
  <c r="N106" i="39"/>
  <c r="L107" i="39"/>
  <c r="M107" i="39"/>
  <c r="N107" i="39"/>
  <c r="L108" i="39"/>
  <c r="M108" i="39"/>
  <c r="N108" i="39"/>
  <c r="L109" i="39"/>
  <c r="M109" i="39"/>
  <c r="N109" i="39"/>
  <c r="L110" i="39"/>
  <c r="M110" i="39"/>
  <c r="N110" i="39"/>
  <c r="L111" i="39"/>
  <c r="M111" i="39"/>
  <c r="N111" i="39"/>
  <c r="AI99" i="39"/>
  <c r="AH101" i="39"/>
  <c r="AI101" i="39"/>
  <c r="AH102" i="39"/>
  <c r="AI102" i="39"/>
  <c r="AE99" i="39"/>
  <c r="AE101" i="39"/>
  <c r="AF101" i="39"/>
  <c r="AE102" i="39"/>
  <c r="AA98" i="39"/>
  <c r="AF98" i="39" s="1"/>
  <c r="AA99" i="39"/>
  <c r="AF99" i="39" s="1"/>
  <c r="AA100" i="39"/>
  <c r="AA101" i="39"/>
  <c r="AB101" i="39" s="1"/>
  <c r="AA102" i="39"/>
  <c r="AF102" i="39" s="1"/>
  <c r="AB102" i="39"/>
  <c r="AA103" i="39"/>
  <c r="AF103" i="39" s="1"/>
  <c r="L98" i="39"/>
  <c r="M98" i="39"/>
  <c r="N98" i="39"/>
  <c r="L99" i="39"/>
  <c r="M99" i="39"/>
  <c r="N99" i="39"/>
  <c r="L100" i="39"/>
  <c r="M100" i="39"/>
  <c r="N100" i="39"/>
  <c r="L101" i="39"/>
  <c r="M101" i="39"/>
  <c r="N101" i="39"/>
  <c r="L102" i="39"/>
  <c r="M102" i="39"/>
  <c r="N102" i="39"/>
  <c r="L103" i="39"/>
  <c r="M103" i="39"/>
  <c r="N103" i="39"/>
  <c r="AD93" i="39"/>
  <c r="AD94" i="39"/>
  <c r="AG93" i="39"/>
  <c r="AG94" i="39"/>
  <c r="O93" i="39"/>
  <c r="P93" i="39"/>
  <c r="Q93" i="39"/>
  <c r="R93" i="39"/>
  <c r="S93" i="39"/>
  <c r="T93" i="39"/>
  <c r="U93" i="39"/>
  <c r="V93" i="39"/>
  <c r="W93" i="39"/>
  <c r="X93" i="39"/>
  <c r="Y93" i="39"/>
  <c r="Z93" i="39"/>
  <c r="O94" i="39"/>
  <c r="P94" i="39"/>
  <c r="Q94" i="39"/>
  <c r="R94" i="39"/>
  <c r="S94" i="39"/>
  <c r="T94" i="39"/>
  <c r="U94" i="39"/>
  <c r="V94" i="39"/>
  <c r="W94" i="39"/>
  <c r="X94" i="39"/>
  <c r="Y94" i="39"/>
  <c r="Z94" i="39"/>
  <c r="AA91" i="39"/>
  <c r="AI91" i="39" s="1"/>
  <c r="AA92" i="39"/>
  <c r="AI92" i="39" s="1"/>
  <c r="N91" i="39"/>
  <c r="N92" i="39"/>
  <c r="I91" i="39"/>
  <c r="J91" i="39"/>
  <c r="I92" i="39"/>
  <c r="J92" i="39"/>
  <c r="AI86" i="39"/>
  <c r="AF86" i="39"/>
  <c r="AA35" i="39"/>
  <c r="AA36" i="39"/>
  <c r="AI36" i="39" s="1"/>
  <c r="AA37" i="39"/>
  <c r="AA38" i="39"/>
  <c r="AA39" i="39"/>
  <c r="AF39" i="39" s="1"/>
  <c r="AA40" i="39"/>
  <c r="AF40" i="39" s="1"/>
  <c r="AA41" i="39"/>
  <c r="AI41" i="39" s="1"/>
  <c r="AA43" i="39"/>
  <c r="AA45" i="39"/>
  <c r="AB45" i="39" s="1"/>
  <c r="AA46" i="39"/>
  <c r="AI46" i="39" s="1"/>
  <c r="AA47" i="39"/>
  <c r="AA48" i="39"/>
  <c r="AI48" i="39" s="1"/>
  <c r="AA49" i="39"/>
  <c r="AI49" i="39" s="1"/>
  <c r="AA50" i="39"/>
  <c r="AI50" i="39" s="1"/>
  <c r="AA51" i="39"/>
  <c r="AB51" i="39" s="1"/>
  <c r="AA53" i="39"/>
  <c r="AA55" i="39"/>
  <c r="AI55" i="39" s="1"/>
  <c r="AA56" i="39"/>
  <c r="AF56" i="39" s="1"/>
  <c r="AA57" i="39"/>
  <c r="AA58" i="39"/>
  <c r="AF58" i="39" s="1"/>
  <c r="AA59" i="39"/>
  <c r="AA62" i="39" s="1"/>
  <c r="AA60" i="39"/>
  <c r="AF60" i="39" s="1"/>
  <c r="AA61" i="39"/>
  <c r="AA65" i="39"/>
  <c r="AA66" i="39"/>
  <c r="AI66" i="39" s="1"/>
  <c r="AA67" i="39"/>
  <c r="AB67" i="39" s="1"/>
  <c r="AA68" i="39"/>
  <c r="AB68" i="39" s="1"/>
  <c r="AA69" i="39"/>
  <c r="AA70" i="39"/>
  <c r="AF70" i="39" s="1"/>
  <c r="AA71" i="39"/>
  <c r="AB71" i="39" s="1"/>
  <c r="AA75" i="39"/>
  <c r="AF75" i="39" s="1"/>
  <c r="AA76" i="39"/>
  <c r="AA77" i="39"/>
  <c r="AA78" i="39"/>
  <c r="AB78" i="39" s="1"/>
  <c r="AA79" i="39"/>
  <c r="AA80" i="39"/>
  <c r="AA81" i="39" s="1"/>
  <c r="AA83" i="39"/>
  <c r="AI83" i="39" s="1"/>
  <c r="AA85" i="39"/>
  <c r="AA86" i="39"/>
  <c r="AA87" i="39"/>
  <c r="N85" i="39"/>
  <c r="N143" i="39" s="1"/>
  <c r="N86" i="39"/>
  <c r="N87" i="39"/>
  <c r="N144" i="39" s="1"/>
  <c r="N88" i="39"/>
  <c r="N145" i="39" s="1"/>
  <c r="AE83" i="39"/>
  <c r="AE84" i="39"/>
  <c r="L85" i="39"/>
  <c r="M85" i="39"/>
  <c r="L86" i="39"/>
  <c r="M86" i="39"/>
  <c r="L87" i="39"/>
  <c r="M87" i="39"/>
  <c r="I85" i="39"/>
  <c r="J85" i="39"/>
  <c r="I86" i="39"/>
  <c r="J86" i="39"/>
  <c r="I87" i="39"/>
  <c r="J87" i="39"/>
  <c r="I88" i="39"/>
  <c r="J88" i="39"/>
  <c r="O84" i="39"/>
  <c r="U84" i="39"/>
  <c r="V84" i="39"/>
  <c r="Z84" i="39"/>
  <c r="L83" i="39"/>
  <c r="M83" i="39"/>
  <c r="N83" i="39"/>
  <c r="I83" i="39"/>
  <c r="J83" i="39"/>
  <c r="AG82" i="39"/>
  <c r="AH84" i="39" s="1"/>
  <c r="AD82" i="39"/>
  <c r="O82" i="39"/>
  <c r="P82" i="39"/>
  <c r="P84" i="39" s="1"/>
  <c r="Q82" i="39"/>
  <c r="Q84" i="39" s="1"/>
  <c r="R82" i="39"/>
  <c r="R84" i="39" s="1"/>
  <c r="S82" i="39"/>
  <c r="S84" i="39" s="1"/>
  <c r="T82" i="39"/>
  <c r="T84" i="39" s="1"/>
  <c r="U82" i="39"/>
  <c r="V82" i="39"/>
  <c r="W82" i="39"/>
  <c r="W84" i="39" s="1"/>
  <c r="X82" i="39"/>
  <c r="X84" i="39" s="1"/>
  <c r="Y82" i="39"/>
  <c r="Y84" i="39" s="1"/>
  <c r="Z82" i="39"/>
  <c r="AI78" i="39"/>
  <c r="AI79" i="39"/>
  <c r="AF79" i="39"/>
  <c r="AF80" i="39"/>
  <c r="AH75" i="39"/>
  <c r="AH76" i="39"/>
  <c r="AH77" i="39"/>
  <c r="AH78" i="39"/>
  <c r="AH79" i="39"/>
  <c r="AH80" i="39"/>
  <c r="AE74" i="39"/>
  <c r="AE75" i="39"/>
  <c r="AE76" i="39"/>
  <c r="AE77" i="39"/>
  <c r="AE78" i="39"/>
  <c r="AE79" i="39"/>
  <c r="AE80" i="39"/>
  <c r="AB79" i="39"/>
  <c r="L75" i="39"/>
  <c r="M75" i="39"/>
  <c r="N75" i="39"/>
  <c r="L76" i="39"/>
  <c r="M76" i="39"/>
  <c r="N76" i="39"/>
  <c r="L77" i="39"/>
  <c r="M77" i="39"/>
  <c r="N77" i="39"/>
  <c r="L78" i="39"/>
  <c r="M78" i="39"/>
  <c r="N78" i="39"/>
  <c r="L79" i="39"/>
  <c r="M79" i="39"/>
  <c r="N79" i="39"/>
  <c r="L80" i="39"/>
  <c r="M80" i="39"/>
  <c r="N80" i="39"/>
  <c r="L81" i="39"/>
  <c r="M81" i="39"/>
  <c r="N81" i="39"/>
  <c r="I75" i="39"/>
  <c r="J75" i="39"/>
  <c r="I76" i="39"/>
  <c r="J76" i="39"/>
  <c r="I77" i="39"/>
  <c r="J77" i="39"/>
  <c r="I78" i="39"/>
  <c r="J78" i="39"/>
  <c r="I79" i="39"/>
  <c r="J79" i="39"/>
  <c r="I80" i="39"/>
  <c r="J80" i="39"/>
  <c r="I81" i="39"/>
  <c r="J81" i="39"/>
  <c r="AG73" i="39"/>
  <c r="AH74" i="39" s="1"/>
  <c r="AD73" i="39"/>
  <c r="O73" i="39"/>
  <c r="P73" i="39"/>
  <c r="P74" i="39" s="1"/>
  <c r="Q73" i="39"/>
  <c r="R73" i="39"/>
  <c r="R74" i="39" s="1"/>
  <c r="S73" i="39"/>
  <c r="S74" i="39" s="1"/>
  <c r="T73" i="39"/>
  <c r="T74" i="39" s="1"/>
  <c r="U73" i="39"/>
  <c r="U74" i="39" s="1"/>
  <c r="V73" i="39"/>
  <c r="W73" i="39"/>
  <c r="X73" i="39"/>
  <c r="Y73" i="39"/>
  <c r="Z73" i="39"/>
  <c r="Z74" i="39" s="1"/>
  <c r="O74" i="39"/>
  <c r="Q74" i="39"/>
  <c r="V74" i="39"/>
  <c r="W74" i="39"/>
  <c r="X74" i="39"/>
  <c r="Y74" i="39"/>
  <c r="AI68" i="39"/>
  <c r="AI71" i="39"/>
  <c r="AF68" i="39"/>
  <c r="AF71" i="39"/>
  <c r="AH71" i="39"/>
  <c r="AE71" i="39"/>
  <c r="AH64" i="39"/>
  <c r="AH66" i="39"/>
  <c r="AH67" i="39"/>
  <c r="AE65" i="39"/>
  <c r="AE66" i="39"/>
  <c r="AE67" i="39"/>
  <c r="AE68" i="39"/>
  <c r="AE69" i="39"/>
  <c r="AB66" i="39"/>
  <c r="L65" i="39"/>
  <c r="M65" i="39"/>
  <c r="N65" i="39"/>
  <c r="L66" i="39"/>
  <c r="M66" i="39"/>
  <c r="N66" i="39"/>
  <c r="L67" i="39"/>
  <c r="M67" i="39"/>
  <c r="N67" i="39"/>
  <c r="L68" i="39"/>
  <c r="M68" i="39"/>
  <c r="N68" i="39"/>
  <c r="L69" i="39"/>
  <c r="M69" i="39"/>
  <c r="N69" i="39"/>
  <c r="L70" i="39"/>
  <c r="M70" i="39"/>
  <c r="N70" i="39"/>
  <c r="L71" i="39"/>
  <c r="M71" i="39"/>
  <c r="N71" i="39"/>
  <c r="L72" i="39"/>
  <c r="M72" i="39"/>
  <c r="N72" i="39"/>
  <c r="I65" i="39"/>
  <c r="J65" i="39"/>
  <c r="I66" i="39"/>
  <c r="J66" i="39"/>
  <c r="I67" i="39"/>
  <c r="J67" i="39"/>
  <c r="I68" i="39"/>
  <c r="J68" i="39"/>
  <c r="I69" i="39"/>
  <c r="J69" i="39"/>
  <c r="I70" i="39"/>
  <c r="J70" i="39"/>
  <c r="I71" i="39"/>
  <c r="J71" i="39"/>
  <c r="I72" i="39"/>
  <c r="J72" i="39"/>
  <c r="AG63" i="39"/>
  <c r="AD63" i="39"/>
  <c r="AE64" i="39" s="1"/>
  <c r="O63" i="39"/>
  <c r="O64" i="39" s="1"/>
  <c r="P63" i="39"/>
  <c r="Q63" i="39"/>
  <c r="Q64" i="39" s="1"/>
  <c r="R63" i="39"/>
  <c r="R64" i="39" s="1"/>
  <c r="S63" i="39"/>
  <c r="S64" i="39" s="1"/>
  <c r="T63" i="39"/>
  <c r="T64" i="39" s="1"/>
  <c r="U63" i="39"/>
  <c r="U64" i="39" s="1"/>
  <c r="V63" i="39"/>
  <c r="V64" i="39" s="1"/>
  <c r="W63" i="39"/>
  <c r="X63" i="39"/>
  <c r="Y63" i="39"/>
  <c r="Z63" i="39"/>
  <c r="P64" i="39"/>
  <c r="W64" i="39"/>
  <c r="X64" i="39"/>
  <c r="Y64" i="39"/>
  <c r="Z64" i="39"/>
  <c r="AI56" i="39"/>
  <c r="AI57" i="39"/>
  <c r="AI60" i="39"/>
  <c r="AI61" i="39"/>
  <c r="AF55" i="39"/>
  <c r="AF57" i="39"/>
  <c r="AH61" i="39"/>
  <c r="AE61" i="39"/>
  <c r="AH55" i="39"/>
  <c r="AE56" i="39"/>
  <c r="L55" i="39"/>
  <c r="M55" i="39"/>
  <c r="N55" i="39"/>
  <c r="L56" i="39"/>
  <c r="M56" i="39"/>
  <c r="N56" i="39"/>
  <c r="L57" i="39"/>
  <c r="M57" i="39"/>
  <c r="N57" i="39"/>
  <c r="L58" i="39"/>
  <c r="M58" i="39"/>
  <c r="N58" i="39"/>
  <c r="L59" i="39"/>
  <c r="M59" i="39"/>
  <c r="N59" i="39"/>
  <c r="L60" i="39"/>
  <c r="M60" i="39"/>
  <c r="N60" i="39"/>
  <c r="L61" i="39"/>
  <c r="M61" i="39"/>
  <c r="N61" i="39"/>
  <c r="L62" i="39"/>
  <c r="M62" i="39"/>
  <c r="N62" i="39"/>
  <c r="I55" i="39"/>
  <c r="J55" i="39"/>
  <c r="I56" i="39"/>
  <c r="J56" i="39"/>
  <c r="I57" i="39"/>
  <c r="J57" i="39"/>
  <c r="I58" i="39"/>
  <c r="J58" i="39"/>
  <c r="I59" i="39"/>
  <c r="J59" i="39"/>
  <c r="I60" i="39"/>
  <c r="J60" i="39"/>
  <c r="I61" i="39"/>
  <c r="J61" i="39"/>
  <c r="I62" i="39"/>
  <c r="J62" i="39"/>
  <c r="AG53" i="39"/>
  <c r="AH54" i="39" s="1"/>
  <c r="AD53" i="39"/>
  <c r="AE54" i="39" s="1"/>
  <c r="O53" i="39"/>
  <c r="O54" i="39" s="1"/>
  <c r="P53" i="39"/>
  <c r="Q53" i="39"/>
  <c r="Q54" i="39" s="1"/>
  <c r="R53" i="39"/>
  <c r="S53" i="39"/>
  <c r="T53" i="39"/>
  <c r="T54" i="39" s="1"/>
  <c r="U53" i="39"/>
  <c r="U54" i="39" s="1"/>
  <c r="V53" i="39"/>
  <c r="V54" i="39" s="1"/>
  <c r="W53" i="39"/>
  <c r="W54" i="39" s="1"/>
  <c r="X53" i="39"/>
  <c r="Y53" i="39"/>
  <c r="Y54" i="39" s="1"/>
  <c r="Z53" i="39"/>
  <c r="P54" i="39"/>
  <c r="R54" i="39"/>
  <c r="S54" i="39"/>
  <c r="X54" i="39"/>
  <c r="Z54" i="39"/>
  <c r="AI47" i="39"/>
  <c r="AI51" i="39"/>
  <c r="AF47" i="39"/>
  <c r="AF51" i="39"/>
  <c r="AH51" i="39"/>
  <c r="AE51" i="39"/>
  <c r="AH48" i="39"/>
  <c r="AE45" i="39"/>
  <c r="AE46" i="39"/>
  <c r="AE47" i="39"/>
  <c r="AE48" i="39"/>
  <c r="AE49" i="39"/>
  <c r="AB46" i="39"/>
  <c r="AB47" i="39"/>
  <c r="AB48" i="39"/>
  <c r="L45" i="39"/>
  <c r="M45" i="39"/>
  <c r="N45" i="39"/>
  <c r="L46" i="39"/>
  <c r="M46" i="39"/>
  <c r="N46" i="39"/>
  <c r="L47" i="39"/>
  <c r="M47" i="39"/>
  <c r="N47" i="39"/>
  <c r="L48" i="39"/>
  <c r="M48" i="39"/>
  <c r="N48" i="39"/>
  <c r="L49" i="39"/>
  <c r="M49" i="39"/>
  <c r="N49" i="39"/>
  <c r="L50" i="39"/>
  <c r="M50" i="39"/>
  <c r="N50" i="39"/>
  <c r="L51" i="39"/>
  <c r="M51" i="39"/>
  <c r="N51" i="39"/>
  <c r="L52" i="39"/>
  <c r="M52" i="39"/>
  <c r="N52" i="39"/>
  <c r="I45" i="39"/>
  <c r="J45" i="39"/>
  <c r="I46" i="39"/>
  <c r="J46" i="39"/>
  <c r="I47" i="39"/>
  <c r="J47" i="39"/>
  <c r="I48" i="39"/>
  <c r="J48" i="39"/>
  <c r="I49" i="39"/>
  <c r="J49" i="39"/>
  <c r="I50" i="39"/>
  <c r="J50" i="39"/>
  <c r="I51" i="39"/>
  <c r="J51" i="39"/>
  <c r="I52" i="39"/>
  <c r="J52" i="39"/>
  <c r="AG43" i="39"/>
  <c r="AH44" i="39" s="1"/>
  <c r="AD43" i="39"/>
  <c r="AE44" i="39" s="1"/>
  <c r="O43" i="39"/>
  <c r="O44" i="39" s="1"/>
  <c r="P43" i="39"/>
  <c r="P44" i="39" s="1"/>
  <c r="Q43" i="39"/>
  <c r="R43" i="39"/>
  <c r="S43" i="39"/>
  <c r="S44" i="39" s="1"/>
  <c r="T43" i="39"/>
  <c r="U43" i="39"/>
  <c r="U44" i="39" s="1"/>
  <c r="V43" i="39"/>
  <c r="V44" i="39" s="1"/>
  <c r="W43" i="39"/>
  <c r="W44" i="39" s="1"/>
  <c r="X43" i="39"/>
  <c r="X44" i="39" s="1"/>
  <c r="Y43" i="39"/>
  <c r="Z43" i="39"/>
  <c r="Z44" i="39" s="1"/>
  <c r="Q44" i="39"/>
  <c r="R44" i="39"/>
  <c r="T44" i="39"/>
  <c r="Y44" i="39"/>
  <c r="AI38" i="39"/>
  <c r="AI39" i="39"/>
  <c r="AF38" i="39"/>
  <c r="AF41" i="39"/>
  <c r="AH41" i="39"/>
  <c r="AE41" i="39"/>
  <c r="AH38" i="39"/>
  <c r="L35" i="39"/>
  <c r="M35" i="39"/>
  <c r="N35" i="39"/>
  <c r="L36" i="39"/>
  <c r="M36" i="39"/>
  <c r="N36" i="39"/>
  <c r="L37" i="39"/>
  <c r="M37" i="39"/>
  <c r="N37" i="39"/>
  <c r="L38" i="39"/>
  <c r="M38" i="39"/>
  <c r="N38" i="39"/>
  <c r="L39" i="39"/>
  <c r="M39" i="39"/>
  <c r="N39" i="39"/>
  <c r="L40" i="39"/>
  <c r="M40" i="39"/>
  <c r="N40" i="39"/>
  <c r="L41" i="39"/>
  <c r="M41" i="39"/>
  <c r="N41" i="39"/>
  <c r="L42" i="39"/>
  <c r="M42" i="39"/>
  <c r="N42" i="39"/>
  <c r="I35" i="39"/>
  <c r="J35" i="39"/>
  <c r="I36" i="39"/>
  <c r="J36" i="39"/>
  <c r="I37" i="39"/>
  <c r="J37" i="39"/>
  <c r="I38" i="39"/>
  <c r="J38" i="39"/>
  <c r="I39" i="39"/>
  <c r="J39" i="39"/>
  <c r="I40" i="39"/>
  <c r="J40" i="39"/>
  <c r="I41" i="39"/>
  <c r="J41" i="39"/>
  <c r="I42" i="39"/>
  <c r="J42" i="39"/>
  <c r="AG32" i="39"/>
  <c r="AD32" i="39"/>
  <c r="O32" i="39"/>
  <c r="P32" i="39"/>
  <c r="Q32" i="39"/>
  <c r="R32" i="39"/>
  <c r="S32" i="39"/>
  <c r="T32" i="39"/>
  <c r="U32" i="39"/>
  <c r="V32" i="39"/>
  <c r="W32" i="39"/>
  <c r="X32" i="39"/>
  <c r="Y32" i="39"/>
  <c r="Z32" i="39"/>
  <c r="AG31" i="39"/>
  <c r="AD31" i="39"/>
  <c r="O31" i="39"/>
  <c r="P31" i="39"/>
  <c r="Q31" i="39"/>
  <c r="R31" i="39"/>
  <c r="S31" i="39"/>
  <c r="T31" i="39"/>
  <c r="U31" i="39"/>
  <c r="V31" i="39"/>
  <c r="W31" i="39"/>
  <c r="X31" i="39"/>
  <c r="Y31" i="39"/>
  <c r="Z31" i="39"/>
  <c r="AA31" i="39"/>
  <c r="N26" i="39"/>
  <c r="N27" i="39"/>
  <c r="N28" i="39"/>
  <c r="N29" i="39"/>
  <c r="B23" i="39"/>
  <c r="AG16" i="39"/>
  <c r="AG19" i="39"/>
  <c r="AH46" i="39" s="1"/>
  <c r="AG20" i="39"/>
  <c r="AH87" i="39" s="1"/>
  <c r="AD19" i="39"/>
  <c r="AE100" i="39" s="1"/>
  <c r="AD20" i="39"/>
  <c r="AE87" i="39" s="1"/>
  <c r="G19" i="39"/>
  <c r="G20" i="39"/>
  <c r="N19" i="39"/>
  <c r="O19" i="39"/>
  <c r="P19" i="39"/>
  <c r="Q19" i="39"/>
  <c r="R19" i="39"/>
  <c r="S19" i="39"/>
  <c r="T19" i="39"/>
  <c r="U19" i="39"/>
  <c r="V19" i="39"/>
  <c r="W19" i="39"/>
  <c r="X19" i="39"/>
  <c r="Y19" i="39"/>
  <c r="Z19" i="39"/>
  <c r="N20" i="39"/>
  <c r="O20" i="39"/>
  <c r="P20" i="39"/>
  <c r="Q20" i="39"/>
  <c r="R20" i="39"/>
  <c r="S20" i="39"/>
  <c r="T20" i="39"/>
  <c r="U20" i="39"/>
  <c r="V20" i="39"/>
  <c r="W20" i="39"/>
  <c r="X20" i="39"/>
  <c r="Y20" i="39"/>
  <c r="Z20" i="39"/>
  <c r="B17" i="39"/>
  <c r="B18" i="39"/>
  <c r="B19" i="39"/>
  <c r="O16" i="39"/>
  <c r="P16" i="39"/>
  <c r="Q16" i="39"/>
  <c r="R16" i="39"/>
  <c r="S16" i="39"/>
  <c r="T16" i="39"/>
  <c r="U16" i="39"/>
  <c r="V16" i="39"/>
  <c r="W16" i="39"/>
  <c r="X16" i="39"/>
  <c r="Y16" i="39"/>
  <c r="O17" i="39"/>
  <c r="P17" i="39"/>
  <c r="Q17" i="39"/>
  <c r="R17" i="39"/>
  <c r="S17" i="39"/>
  <c r="T17" i="39"/>
  <c r="U17" i="39"/>
  <c r="V17" i="39"/>
  <c r="W17" i="39"/>
  <c r="X17" i="39"/>
  <c r="Y17" i="39"/>
  <c r="Z17" i="39"/>
  <c r="AA17" i="39" s="1"/>
  <c r="AA11" i="39" s="1"/>
  <c r="AA18" i="39" s="1"/>
  <c r="A14" i="39"/>
  <c r="AG12" i="39"/>
  <c r="AG13" i="39"/>
  <c r="AD12" i="39"/>
  <c r="AD13" i="39"/>
  <c r="B12" i="39"/>
  <c r="B13" i="39"/>
  <c r="O11" i="39"/>
  <c r="P11" i="39"/>
  <c r="Q11" i="39"/>
  <c r="R11" i="39"/>
  <c r="S11" i="39"/>
  <c r="T11" i="39"/>
  <c r="U11" i="39"/>
  <c r="V11" i="39"/>
  <c r="W11" i="39"/>
  <c r="X11" i="39"/>
  <c r="Y11" i="39"/>
  <c r="Z11" i="39"/>
  <c r="O12" i="39"/>
  <c r="P12" i="39"/>
  <c r="Q12" i="39"/>
  <c r="R12" i="39"/>
  <c r="S12" i="39"/>
  <c r="T12" i="39"/>
  <c r="U12" i="39"/>
  <c r="V12" i="39"/>
  <c r="W12" i="39"/>
  <c r="X12" i="39"/>
  <c r="Y12" i="39"/>
  <c r="Z12" i="39"/>
  <c r="AA12" i="39"/>
  <c r="O13" i="39"/>
  <c r="P13" i="39"/>
  <c r="Q13" i="39"/>
  <c r="R13" i="39"/>
  <c r="S13" i="39"/>
  <c r="T13" i="39"/>
  <c r="U13" i="39"/>
  <c r="V13" i="39"/>
  <c r="W13" i="39"/>
  <c r="X13" i="39"/>
  <c r="Y13" i="39"/>
  <c r="Z13" i="39"/>
  <c r="AA13" i="39"/>
  <c r="C10" i="39"/>
  <c r="D10" i="39"/>
  <c r="Z16" i="39" s="1"/>
  <c r="C9" i="39"/>
  <c r="C1" i="39"/>
  <c r="C2" i="39"/>
  <c r="C3" i="39"/>
  <c r="C4" i="39"/>
  <c r="C5" i="39"/>
  <c r="C6" i="39"/>
  <c r="C7" i="39"/>
  <c r="C8" i="39"/>
  <c r="E6" i="39"/>
  <c r="E4" i="39"/>
  <c r="F4" i="39"/>
  <c r="B3" i="39"/>
  <c r="AG123" i="9"/>
  <c r="AD123" i="9"/>
  <c r="N123" i="9"/>
  <c r="O123" i="9"/>
  <c r="P123" i="9"/>
  <c r="Q123" i="9"/>
  <c r="R123" i="9"/>
  <c r="S123" i="9"/>
  <c r="T123" i="9"/>
  <c r="U123" i="9"/>
  <c r="V123" i="9"/>
  <c r="W123" i="9"/>
  <c r="X123" i="9"/>
  <c r="Y123" i="9"/>
  <c r="Z123" i="9"/>
  <c r="N124" i="9"/>
  <c r="P124" i="9"/>
  <c r="V124" i="9"/>
  <c r="X124" i="9"/>
  <c r="N120" i="9"/>
  <c r="N121" i="9"/>
  <c r="AH120" i="9"/>
  <c r="AA120" i="9"/>
  <c r="I120" i="9"/>
  <c r="J120" i="9"/>
  <c r="I121" i="9"/>
  <c r="AA121" i="9" s="1"/>
  <c r="J121" i="9"/>
  <c r="B120"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I118" i="9"/>
  <c r="J118" i="9"/>
  <c r="B114" i="9"/>
  <c r="B115" i="9"/>
  <c r="B116" i="9"/>
  <c r="A111" i="9"/>
  <c r="AH95" i="9"/>
  <c r="AH98" i="9"/>
  <c r="AH103" i="9"/>
  <c r="AH105" i="9"/>
  <c r="AH106" i="9"/>
  <c r="AH111" i="9"/>
  <c r="AH113" i="9"/>
  <c r="AH114" i="9"/>
  <c r="AH117" i="9"/>
  <c r="AE98" i="9"/>
  <c r="AE114" i="9"/>
  <c r="AE117" i="9"/>
  <c r="AA94" i="9"/>
  <c r="AA95" i="9"/>
  <c r="AA102" i="9"/>
  <c r="AA103" i="9"/>
  <c r="AA106" i="9"/>
  <c r="AA111" i="9"/>
  <c r="AA118" i="9"/>
  <c r="I93" i="9"/>
  <c r="J93" i="9"/>
  <c r="L93" i="9"/>
  <c r="M93" i="9"/>
  <c r="I94" i="9"/>
  <c r="J94" i="9"/>
  <c r="K94" i="9" s="1"/>
  <c r="L94" i="9"/>
  <c r="M94" i="9"/>
  <c r="I95" i="9"/>
  <c r="J95" i="9"/>
  <c r="K95" i="9" s="1"/>
  <c r="L95" i="9"/>
  <c r="M95" i="9"/>
  <c r="I96" i="9"/>
  <c r="J96" i="9"/>
  <c r="L96" i="9"/>
  <c r="M96" i="9"/>
  <c r="I97" i="9"/>
  <c r="AA97" i="9" s="1"/>
  <c r="J97" i="9"/>
  <c r="K97" i="9"/>
  <c r="L97" i="9"/>
  <c r="M97" i="9"/>
  <c r="I98" i="9"/>
  <c r="J98" i="9"/>
  <c r="L98" i="9"/>
  <c r="M98" i="9"/>
  <c r="I99" i="9"/>
  <c r="J99" i="9"/>
  <c r="L99" i="9"/>
  <c r="M99" i="9"/>
  <c r="I100" i="9"/>
  <c r="AA100" i="9" s="1"/>
  <c r="J100" i="9"/>
  <c r="L100" i="9"/>
  <c r="M100" i="9"/>
  <c r="I101" i="9"/>
  <c r="J101" i="9"/>
  <c r="L101" i="9"/>
  <c r="M101" i="9"/>
  <c r="I102" i="9"/>
  <c r="J102" i="9"/>
  <c r="L102" i="9"/>
  <c r="M102" i="9"/>
  <c r="I103" i="9"/>
  <c r="J103" i="9"/>
  <c r="L103" i="9"/>
  <c r="M103" i="9"/>
  <c r="I104" i="9"/>
  <c r="J104" i="9"/>
  <c r="L104" i="9"/>
  <c r="M104" i="9"/>
  <c r="I105" i="9"/>
  <c r="AA105" i="9" s="1"/>
  <c r="J105" i="9"/>
  <c r="K105" i="9"/>
  <c r="L105" i="9"/>
  <c r="M105" i="9"/>
  <c r="I106" i="9"/>
  <c r="J106" i="9"/>
  <c r="K106" i="9"/>
  <c r="L106" i="9"/>
  <c r="M106" i="9"/>
  <c r="I107" i="9"/>
  <c r="J107" i="9"/>
  <c r="L107" i="9"/>
  <c r="M107" i="9"/>
  <c r="I108" i="9"/>
  <c r="AA108" i="9" s="1"/>
  <c r="J108" i="9"/>
  <c r="L108" i="9"/>
  <c r="M108" i="9"/>
  <c r="I109" i="9"/>
  <c r="J109" i="9"/>
  <c r="L109" i="9"/>
  <c r="M109" i="9"/>
  <c r="I110" i="9"/>
  <c r="AA110" i="9" s="1"/>
  <c r="J110" i="9"/>
  <c r="L110" i="9"/>
  <c r="M110" i="9"/>
  <c r="I111" i="9"/>
  <c r="J111" i="9"/>
  <c r="L111" i="9"/>
  <c r="M111" i="9"/>
  <c r="I112" i="9"/>
  <c r="K112" i="9" s="1"/>
  <c r="J112" i="9"/>
  <c r="L112" i="9"/>
  <c r="M112" i="9"/>
  <c r="I113" i="9"/>
  <c r="AA113" i="9" s="1"/>
  <c r="J113" i="9"/>
  <c r="L113" i="9"/>
  <c r="M113" i="9"/>
  <c r="I114" i="9"/>
  <c r="AA114" i="9" s="1"/>
  <c r="J114" i="9"/>
  <c r="K114" i="9"/>
  <c r="L114" i="9"/>
  <c r="M114" i="9"/>
  <c r="I115" i="9"/>
  <c r="J115" i="9"/>
  <c r="L115" i="9"/>
  <c r="M115" i="9"/>
  <c r="I116" i="9"/>
  <c r="AA116" i="9" s="1"/>
  <c r="J116" i="9"/>
  <c r="L116" i="9"/>
  <c r="M116" i="9"/>
  <c r="I117" i="9"/>
  <c r="J117" i="9"/>
  <c r="L117" i="9"/>
  <c r="M117" i="9"/>
  <c r="I92" i="9"/>
  <c r="J92" i="9"/>
  <c r="B88" i="9"/>
  <c r="B89" i="9"/>
  <c r="B83" i="9"/>
  <c r="B84" i="9"/>
  <c r="B85" i="9"/>
  <c r="A80" i="9"/>
  <c r="AH78" i="9"/>
  <c r="AH81" i="9"/>
  <c r="AH89" i="9"/>
  <c r="AE78" i="9"/>
  <c r="AE83" i="9"/>
  <c r="AA80" i="9"/>
  <c r="AI80" i="9" s="1"/>
  <c r="AA81" i="9"/>
  <c r="AA88" i="9"/>
  <c r="AI88" i="9" s="1"/>
  <c r="I76" i="9"/>
  <c r="AA76" i="9" s="1"/>
  <c r="AI76" i="9" s="1"/>
  <c r="J76" i="9"/>
  <c r="K76" i="9"/>
  <c r="L76" i="9"/>
  <c r="M76" i="9"/>
  <c r="N76" i="9"/>
  <c r="I77" i="9"/>
  <c r="K77" i="9" s="1"/>
  <c r="J77" i="9"/>
  <c r="L77" i="9"/>
  <c r="M77" i="9"/>
  <c r="N77" i="9"/>
  <c r="I78" i="9"/>
  <c r="J78" i="9"/>
  <c r="L78" i="9"/>
  <c r="M78" i="9"/>
  <c r="N78" i="9"/>
  <c r="I79" i="9"/>
  <c r="AA79" i="9" s="1"/>
  <c r="J79" i="9"/>
  <c r="K79" i="9"/>
  <c r="L79" i="9"/>
  <c r="M79" i="9"/>
  <c r="N79" i="9"/>
  <c r="I80" i="9"/>
  <c r="K80" i="9" s="1"/>
  <c r="J80" i="9"/>
  <c r="L80" i="9"/>
  <c r="M80" i="9"/>
  <c r="N80" i="9"/>
  <c r="I81" i="9"/>
  <c r="K81" i="9" s="1"/>
  <c r="J81" i="9"/>
  <c r="L81" i="9"/>
  <c r="M81" i="9"/>
  <c r="N81" i="9"/>
  <c r="I82" i="9"/>
  <c r="AA82" i="9" s="1"/>
  <c r="J82" i="9"/>
  <c r="K82" i="9"/>
  <c r="L82" i="9"/>
  <c r="M82" i="9"/>
  <c r="N82" i="9"/>
  <c r="I83" i="9"/>
  <c r="AA83" i="9" s="1"/>
  <c r="J83" i="9"/>
  <c r="K83" i="9"/>
  <c r="L83" i="9"/>
  <c r="M83" i="9"/>
  <c r="N83" i="9"/>
  <c r="I84" i="9"/>
  <c r="J84" i="9"/>
  <c r="L84" i="9"/>
  <c r="M84" i="9"/>
  <c r="N84" i="9"/>
  <c r="I85" i="9"/>
  <c r="K85" i="9" s="1"/>
  <c r="J85" i="9"/>
  <c r="L85" i="9"/>
  <c r="M85" i="9"/>
  <c r="N85" i="9"/>
  <c r="I86" i="9"/>
  <c r="AA86" i="9" s="1"/>
  <c r="J86" i="9"/>
  <c r="K86" i="9"/>
  <c r="L86" i="9"/>
  <c r="M86" i="9"/>
  <c r="N86" i="9"/>
  <c r="I87" i="9"/>
  <c r="AA87" i="9" s="1"/>
  <c r="J87" i="9"/>
  <c r="L87" i="9"/>
  <c r="M87" i="9"/>
  <c r="N87" i="9"/>
  <c r="I88" i="9"/>
  <c r="J88" i="9"/>
  <c r="K88" i="9"/>
  <c r="L88" i="9"/>
  <c r="M88" i="9"/>
  <c r="N88" i="9"/>
  <c r="I89" i="9"/>
  <c r="J89" i="9"/>
  <c r="L89" i="9"/>
  <c r="M89" i="9"/>
  <c r="N89" i="9"/>
  <c r="I90" i="9"/>
  <c r="J90" i="9"/>
  <c r="L90" i="9"/>
  <c r="M90" i="9"/>
  <c r="N90" i="9"/>
  <c r="N74" i="9"/>
  <c r="N75" i="9"/>
  <c r="I74" i="9"/>
  <c r="J74" i="9"/>
  <c r="I75" i="9"/>
  <c r="J75" i="9"/>
  <c r="AD72" i="9"/>
  <c r="AD124" i="9" s="1"/>
  <c r="AG72" i="9"/>
  <c r="N72" i="9"/>
  <c r="O72" i="9"/>
  <c r="O124" i="9" s="1"/>
  <c r="P72" i="9"/>
  <c r="Q72" i="9"/>
  <c r="Q124" i="9" s="1"/>
  <c r="R72" i="9"/>
  <c r="R124" i="9" s="1"/>
  <c r="S72" i="9"/>
  <c r="S124" i="9" s="1"/>
  <c r="T72" i="9"/>
  <c r="T124" i="9" s="1"/>
  <c r="U72" i="9"/>
  <c r="U124" i="9" s="1"/>
  <c r="V72" i="9"/>
  <c r="W72" i="9"/>
  <c r="W124" i="9" s="1"/>
  <c r="X72" i="9"/>
  <c r="Y72" i="9"/>
  <c r="Y124" i="9" s="1"/>
  <c r="Z72" i="9"/>
  <c r="Z124" i="9" s="1"/>
  <c r="AH71" i="9"/>
  <c r="AI71" i="9"/>
  <c r="AB62" i="9"/>
  <c r="AB63" i="9"/>
  <c r="AN63" i="9" s="1"/>
  <c r="AB64" i="9"/>
  <c r="AN64" i="9" s="1"/>
  <c r="AB65" i="9"/>
  <c r="AB66" i="9"/>
  <c r="AM66" i="9" s="1"/>
  <c r="AB67" i="9"/>
  <c r="AB68" i="9"/>
  <c r="AN68" i="9" s="1"/>
  <c r="AB69" i="9"/>
  <c r="AN69" i="9" s="1"/>
  <c r="AB70" i="9"/>
  <c r="AB71" i="9"/>
  <c r="N60" i="9"/>
  <c r="N61" i="9"/>
  <c r="N62" i="9"/>
  <c r="N63" i="9"/>
  <c r="N64" i="9"/>
  <c r="N65" i="9"/>
  <c r="N66" i="9"/>
  <c r="N67" i="9"/>
  <c r="N68" i="9"/>
  <c r="N69" i="9"/>
  <c r="N70" i="9"/>
  <c r="N71" i="9"/>
  <c r="I71" i="9"/>
  <c r="K71" i="9" s="1"/>
  <c r="J71" i="9"/>
  <c r="I72" i="9"/>
  <c r="K72" i="9" s="1"/>
  <c r="J72" i="9"/>
  <c r="AH62" i="9"/>
  <c r="AM62" i="9"/>
  <c r="AH63" i="9"/>
  <c r="AL63" i="9"/>
  <c r="AM63" i="9"/>
  <c r="AH64" i="9"/>
  <c r="AH65" i="9"/>
  <c r="AN65" i="9" s="1"/>
  <c r="AH66" i="9"/>
  <c r="AN66" i="9" s="1"/>
  <c r="AI66" i="9"/>
  <c r="AH67" i="9"/>
  <c r="AM67" i="9"/>
  <c r="AH68" i="9"/>
  <c r="AH69" i="9"/>
  <c r="AH70" i="9"/>
  <c r="AM70" i="9"/>
  <c r="AE62" i="9"/>
  <c r="AE63" i="9"/>
  <c r="AE64" i="9"/>
  <c r="AE65" i="9"/>
  <c r="AM65" i="9" s="1"/>
  <c r="AE66" i="9"/>
  <c r="AE67" i="9"/>
  <c r="AE68" i="9"/>
  <c r="AE69" i="9"/>
  <c r="AM69" i="9" s="1"/>
  <c r="AE70" i="9"/>
  <c r="AE71" i="9"/>
  <c r="AF71" i="9"/>
  <c r="I62" i="9"/>
  <c r="AA62" i="9" s="1"/>
  <c r="J62" i="9"/>
  <c r="K62" i="9"/>
  <c r="L62" i="9"/>
  <c r="M62" i="9"/>
  <c r="I63" i="9"/>
  <c r="AA63" i="9" s="1"/>
  <c r="J63" i="9"/>
  <c r="L63" i="9"/>
  <c r="M63" i="9"/>
  <c r="I64" i="9"/>
  <c r="J64" i="9"/>
  <c r="L64" i="9"/>
  <c r="M64" i="9"/>
  <c r="I65" i="9"/>
  <c r="AA65" i="9" s="1"/>
  <c r="J65" i="9"/>
  <c r="K65" i="9"/>
  <c r="L65" i="9"/>
  <c r="M65" i="9"/>
  <c r="I66" i="9"/>
  <c r="AA66" i="9" s="1"/>
  <c r="J66" i="9"/>
  <c r="K66" i="9"/>
  <c r="L66" i="9"/>
  <c r="M66" i="9"/>
  <c r="I67" i="9"/>
  <c r="K67" i="9" s="1"/>
  <c r="J67" i="9"/>
  <c r="L67" i="9"/>
  <c r="M67" i="9"/>
  <c r="I68" i="9"/>
  <c r="J68" i="9"/>
  <c r="L68" i="9"/>
  <c r="M68" i="9"/>
  <c r="I69" i="9"/>
  <c r="AA69" i="9" s="1"/>
  <c r="J69" i="9"/>
  <c r="K69" i="9"/>
  <c r="L69" i="9"/>
  <c r="M69" i="9"/>
  <c r="I70" i="9"/>
  <c r="AA70" i="9" s="1"/>
  <c r="J70" i="9"/>
  <c r="K70" i="9"/>
  <c r="L70" i="9"/>
  <c r="M70" i="9"/>
  <c r="I60" i="9"/>
  <c r="J60" i="9"/>
  <c r="I61" i="9"/>
  <c r="J61" i="9"/>
  <c r="B55" i="9"/>
  <c r="B56" i="9"/>
  <c r="B50" i="9"/>
  <c r="B51" i="9"/>
  <c r="B52" i="9"/>
  <c r="A47" i="9"/>
  <c r="AH39" i="9"/>
  <c r="AL39" i="9"/>
  <c r="AH41" i="9"/>
  <c r="AI44" i="9"/>
  <c r="AK44" i="9"/>
  <c r="AH46" i="9"/>
  <c r="AH49" i="9"/>
  <c r="AH50" i="9"/>
  <c r="AH51" i="9"/>
  <c r="AH52" i="9"/>
  <c r="AH53" i="9"/>
  <c r="AL55" i="9"/>
  <c r="AH56" i="9"/>
  <c r="AL58" i="9"/>
  <c r="AE36" i="9"/>
  <c r="AE38" i="9"/>
  <c r="AE39" i="9"/>
  <c r="AE41" i="9"/>
  <c r="AE43" i="9"/>
  <c r="AE45" i="9"/>
  <c r="AE46" i="9"/>
  <c r="AE47" i="9"/>
  <c r="AE48" i="9"/>
  <c r="AE50" i="9"/>
  <c r="AE51" i="9"/>
  <c r="AE52" i="9"/>
  <c r="AE53" i="9"/>
  <c r="AE55" i="9"/>
  <c r="AE56" i="9"/>
  <c r="AA35" i="9"/>
  <c r="AA36" i="9"/>
  <c r="AI36" i="9" s="1"/>
  <c r="AA43" i="9"/>
  <c r="AA44" i="9"/>
  <c r="AA48" i="9"/>
  <c r="AA56" i="9"/>
  <c r="I35" i="9"/>
  <c r="K35" i="9" s="1"/>
  <c r="J35" i="9"/>
  <c r="L35" i="9"/>
  <c r="M35" i="9"/>
  <c r="N35" i="9"/>
  <c r="I36" i="9"/>
  <c r="J36" i="9"/>
  <c r="K36" i="9"/>
  <c r="L36" i="9"/>
  <c r="M36" i="9"/>
  <c r="N36" i="9"/>
  <c r="I37" i="9"/>
  <c r="J37" i="9"/>
  <c r="L37" i="9"/>
  <c r="M37" i="9"/>
  <c r="N37" i="9"/>
  <c r="I38" i="9"/>
  <c r="J38" i="9"/>
  <c r="L38" i="9"/>
  <c r="M38" i="9"/>
  <c r="N38" i="9"/>
  <c r="I39" i="9"/>
  <c r="AA39" i="9" s="1"/>
  <c r="J39" i="9"/>
  <c r="L39" i="9"/>
  <c r="M39" i="9"/>
  <c r="N39" i="9"/>
  <c r="I40" i="9"/>
  <c r="J40" i="9"/>
  <c r="L40" i="9"/>
  <c r="M40" i="9"/>
  <c r="N40" i="9"/>
  <c r="I41" i="9"/>
  <c r="AA41" i="9" s="1"/>
  <c r="J41" i="9"/>
  <c r="K41" i="9"/>
  <c r="L41" i="9"/>
  <c r="M41" i="9"/>
  <c r="N41" i="9"/>
  <c r="I42" i="9"/>
  <c r="J42" i="9"/>
  <c r="L42" i="9"/>
  <c r="M42" i="9"/>
  <c r="N42" i="9"/>
  <c r="I43" i="9"/>
  <c r="J43" i="9"/>
  <c r="K43" i="9"/>
  <c r="L43" i="9"/>
  <c r="M43" i="9"/>
  <c r="N43" i="9"/>
  <c r="I44" i="9"/>
  <c r="K44" i="9" s="1"/>
  <c r="J44" i="9"/>
  <c r="L44" i="9"/>
  <c r="M44" i="9"/>
  <c r="N44" i="9"/>
  <c r="I45" i="9"/>
  <c r="AA45" i="9" s="1"/>
  <c r="J45" i="9"/>
  <c r="L45" i="9"/>
  <c r="M45" i="9"/>
  <c r="N45" i="9"/>
  <c r="I46" i="9"/>
  <c r="J46" i="9"/>
  <c r="L46" i="9"/>
  <c r="M46" i="9"/>
  <c r="N46" i="9"/>
  <c r="I47" i="9"/>
  <c r="J47" i="9"/>
  <c r="L47" i="9"/>
  <c r="M47" i="9"/>
  <c r="N47" i="9"/>
  <c r="I48" i="9"/>
  <c r="J48" i="9"/>
  <c r="K48" i="9"/>
  <c r="L48" i="9"/>
  <c r="M48" i="9"/>
  <c r="N48" i="9"/>
  <c r="I49" i="9"/>
  <c r="J49" i="9"/>
  <c r="L49" i="9"/>
  <c r="M49" i="9"/>
  <c r="N49" i="9"/>
  <c r="I50" i="9"/>
  <c r="J50" i="9"/>
  <c r="L50" i="9"/>
  <c r="M50" i="9"/>
  <c r="N50" i="9"/>
  <c r="I51" i="9"/>
  <c r="K51" i="9" s="1"/>
  <c r="J51" i="9"/>
  <c r="L51" i="9"/>
  <c r="M51" i="9"/>
  <c r="N51" i="9"/>
  <c r="I52" i="9"/>
  <c r="K52" i="9" s="1"/>
  <c r="J52" i="9"/>
  <c r="L52" i="9"/>
  <c r="M52" i="9"/>
  <c r="N52" i="9"/>
  <c r="I53" i="9"/>
  <c r="AA53" i="9" s="1"/>
  <c r="J53" i="9"/>
  <c r="K53" i="9"/>
  <c r="L53" i="9"/>
  <c r="M53" i="9"/>
  <c r="N53" i="9"/>
  <c r="I54" i="9"/>
  <c r="J54" i="9"/>
  <c r="L54" i="9"/>
  <c r="M54" i="9"/>
  <c r="N54" i="9"/>
  <c r="I55" i="9"/>
  <c r="AA55" i="9" s="1"/>
  <c r="J55" i="9"/>
  <c r="L55" i="9"/>
  <c r="M55" i="9"/>
  <c r="N55" i="9"/>
  <c r="I56" i="9"/>
  <c r="J56" i="9"/>
  <c r="K56" i="9"/>
  <c r="L56" i="9"/>
  <c r="M56" i="9"/>
  <c r="N56" i="9"/>
  <c r="I57" i="9"/>
  <c r="AA57" i="9" s="1"/>
  <c r="J57" i="9"/>
  <c r="K57" i="9"/>
  <c r="L57" i="9"/>
  <c r="M57" i="9"/>
  <c r="N57" i="9"/>
  <c r="I58" i="9"/>
  <c r="J58" i="9"/>
  <c r="L58" i="9"/>
  <c r="M58" i="9"/>
  <c r="N58" i="9"/>
  <c r="N33" i="9"/>
  <c r="N34" i="9"/>
  <c r="I33" i="9"/>
  <c r="J33" i="9"/>
  <c r="I34" i="9"/>
  <c r="J34" i="9"/>
  <c r="AG32" i="9"/>
  <c r="AL32" i="9" s="1"/>
  <c r="AD32" i="9"/>
  <c r="AK32" i="9" s="1"/>
  <c r="O32" i="9"/>
  <c r="P32" i="9"/>
  <c r="Q32" i="9"/>
  <c r="R32" i="9"/>
  <c r="S32" i="9"/>
  <c r="T32" i="9"/>
  <c r="U32" i="9"/>
  <c r="V32" i="9"/>
  <c r="W32" i="9"/>
  <c r="X32" i="9"/>
  <c r="Y32" i="9"/>
  <c r="Z32" i="9"/>
  <c r="AJ32" i="9" s="1"/>
  <c r="AJ31" i="9"/>
  <c r="AK31" i="9"/>
  <c r="AM31" i="9" s="1"/>
  <c r="AL31" i="9"/>
  <c r="AN31" i="9" s="1"/>
  <c r="AG31" i="9"/>
  <c r="AD31" i="9"/>
  <c r="O31" i="9"/>
  <c r="P31" i="9"/>
  <c r="Q31" i="9"/>
  <c r="R31" i="9"/>
  <c r="S31" i="9"/>
  <c r="T31" i="9"/>
  <c r="U31" i="9"/>
  <c r="V31" i="9"/>
  <c r="W31" i="9"/>
  <c r="X31" i="9"/>
  <c r="Y31" i="9"/>
  <c r="Z31" i="9"/>
  <c r="AA31" i="9"/>
  <c r="N26" i="9"/>
  <c r="N27" i="9"/>
  <c r="N28" i="9"/>
  <c r="N29" i="9"/>
  <c r="B22" i="9"/>
  <c r="B23" i="9"/>
  <c r="AG16" i="9"/>
  <c r="AG19" i="9"/>
  <c r="AH94" i="9" s="1"/>
  <c r="AG20" i="9"/>
  <c r="AD19" i="9"/>
  <c r="AD20" i="9"/>
  <c r="AK106" i="9" s="1"/>
  <c r="G19" i="9"/>
  <c r="G20" i="9"/>
  <c r="N19" i="9"/>
  <c r="O19" i="9"/>
  <c r="P19" i="9"/>
  <c r="Q19" i="9"/>
  <c r="R19" i="9"/>
  <c r="S19" i="9"/>
  <c r="T19" i="9"/>
  <c r="U19" i="9"/>
  <c r="V19" i="9"/>
  <c r="W19" i="9"/>
  <c r="X19" i="9"/>
  <c r="Y19" i="9"/>
  <c r="Z19" i="9"/>
  <c r="N20" i="9"/>
  <c r="O20" i="9"/>
  <c r="P20" i="9"/>
  <c r="Q20" i="9"/>
  <c r="R20" i="9"/>
  <c r="S20" i="9"/>
  <c r="T20" i="9"/>
  <c r="U20" i="9"/>
  <c r="V20" i="9"/>
  <c r="W20" i="9"/>
  <c r="X20" i="9"/>
  <c r="Y20" i="9"/>
  <c r="Z20" i="9"/>
  <c r="B17" i="9"/>
  <c r="B18" i="9"/>
  <c r="B19" i="9"/>
  <c r="O16" i="9"/>
  <c r="P16" i="9"/>
  <c r="Q16" i="9"/>
  <c r="R16" i="9"/>
  <c r="S16" i="9"/>
  <c r="T16" i="9"/>
  <c r="U16" i="9"/>
  <c r="V16" i="9"/>
  <c r="W16" i="9"/>
  <c r="X16" i="9"/>
  <c r="Y16" i="9"/>
  <c r="O17" i="9"/>
  <c r="P17" i="9"/>
  <c r="Q17" i="9"/>
  <c r="R17" i="9"/>
  <c r="S17" i="9"/>
  <c r="T17" i="9"/>
  <c r="U17" i="9"/>
  <c r="V17" i="9"/>
  <c r="W17" i="9"/>
  <c r="X17" i="9"/>
  <c r="Y17" i="9"/>
  <c r="Z17" i="9"/>
  <c r="AA17" i="9" s="1"/>
  <c r="AA11" i="9" s="1"/>
  <c r="A14" i="9"/>
  <c r="AG12" i="9"/>
  <c r="AG13" i="9"/>
  <c r="AD12" i="9"/>
  <c r="AD13" i="9"/>
  <c r="B12" i="9"/>
  <c r="B13" i="9"/>
  <c r="O11" i="9"/>
  <c r="P11" i="9"/>
  <c r="Q11" i="9"/>
  <c r="R11" i="9"/>
  <c r="S11" i="9"/>
  <c r="T11" i="9"/>
  <c r="U11" i="9"/>
  <c r="V11" i="9"/>
  <c r="W11" i="9"/>
  <c r="X11" i="9"/>
  <c r="Y11" i="9"/>
  <c r="Z11" i="9"/>
  <c r="O12" i="9"/>
  <c r="P12" i="9"/>
  <c r="Q12" i="9"/>
  <c r="R12" i="9"/>
  <c r="S12" i="9"/>
  <c r="T12" i="9"/>
  <c r="U12" i="9"/>
  <c r="V12" i="9"/>
  <c r="W12" i="9"/>
  <c r="X12" i="9"/>
  <c r="Y12" i="9"/>
  <c r="Z12" i="9"/>
  <c r="AA12" i="9"/>
  <c r="O13" i="9"/>
  <c r="P13" i="9"/>
  <c r="Q13" i="9"/>
  <c r="R13" i="9"/>
  <c r="S13" i="9"/>
  <c r="T13" i="9"/>
  <c r="U13" i="9"/>
  <c r="V13" i="9"/>
  <c r="W13" i="9"/>
  <c r="X13" i="9"/>
  <c r="Y13" i="9"/>
  <c r="Z13" i="9"/>
  <c r="AA13" i="9"/>
  <c r="C10" i="9"/>
  <c r="D10" i="9"/>
  <c r="C9" i="9"/>
  <c r="C1" i="9"/>
  <c r="C2" i="9"/>
  <c r="C3" i="9"/>
  <c r="C4" i="9"/>
  <c r="C5" i="9"/>
  <c r="C6" i="9"/>
  <c r="C7" i="9"/>
  <c r="C8" i="9"/>
  <c r="E6" i="9"/>
  <c r="B29" i="9" s="1"/>
  <c r="E4" i="9"/>
  <c r="F4" i="9"/>
  <c r="B3" i="9"/>
  <c r="H2" i="9" s="1"/>
  <c r="N1" i="9"/>
  <c r="N1" i="39" s="1"/>
  <c r="AG173" i="17"/>
  <c r="AG174" i="17"/>
  <c r="AG175" i="17"/>
  <c r="AD173" i="17"/>
  <c r="AD174" i="17"/>
  <c r="AD175" i="17"/>
  <c r="N173" i="17"/>
  <c r="O173" i="17"/>
  <c r="P173" i="17"/>
  <c r="Q173" i="17"/>
  <c r="R173" i="17"/>
  <c r="S173" i="17"/>
  <c r="T173" i="17"/>
  <c r="U173" i="17"/>
  <c r="V173" i="17"/>
  <c r="W173" i="17"/>
  <c r="X173" i="17"/>
  <c r="Y173" i="17"/>
  <c r="Z173" i="17"/>
  <c r="O174" i="17"/>
  <c r="P174" i="17"/>
  <c r="Q174" i="17"/>
  <c r="R174" i="17"/>
  <c r="S174" i="17"/>
  <c r="T174" i="17"/>
  <c r="U174" i="17"/>
  <c r="V174" i="17"/>
  <c r="W174" i="17"/>
  <c r="X174" i="17"/>
  <c r="Y174" i="17"/>
  <c r="Z174" i="17"/>
  <c r="O175" i="17"/>
  <c r="P175" i="17"/>
  <c r="Q175" i="17"/>
  <c r="R175" i="17"/>
  <c r="S175" i="17"/>
  <c r="T175" i="17"/>
  <c r="U175" i="17"/>
  <c r="V175" i="17"/>
  <c r="W175" i="17"/>
  <c r="X175" i="17"/>
  <c r="Y175" i="17"/>
  <c r="Z175" i="17"/>
  <c r="AA175" i="17"/>
  <c r="AG171" i="17"/>
  <c r="AD171" i="17"/>
  <c r="O171" i="17"/>
  <c r="P171" i="17"/>
  <c r="Q171" i="17"/>
  <c r="R171" i="17"/>
  <c r="S171" i="17"/>
  <c r="T171" i="17"/>
  <c r="U171" i="17"/>
  <c r="V171" i="17"/>
  <c r="W171" i="17"/>
  <c r="X171" i="17"/>
  <c r="Y171" i="17"/>
  <c r="Z171" i="17"/>
  <c r="AH170" i="17"/>
  <c r="AE170" i="17"/>
  <c r="AF170" i="17"/>
  <c r="AA170" i="17"/>
  <c r="AI170" i="17" s="1"/>
  <c r="AB170" i="17"/>
  <c r="L170" i="17"/>
  <c r="M170" i="17"/>
  <c r="N170" i="17"/>
  <c r="AI160" i="17"/>
  <c r="AI161" i="17"/>
  <c r="AI162" i="17"/>
  <c r="AI164" i="17"/>
  <c r="AI166" i="17"/>
  <c r="AG168" i="17"/>
  <c r="AD168" i="17"/>
  <c r="O168" i="17"/>
  <c r="P168" i="17"/>
  <c r="Q168" i="17"/>
  <c r="R168" i="17"/>
  <c r="S168" i="17"/>
  <c r="T168" i="17"/>
  <c r="U168" i="17"/>
  <c r="V168" i="17"/>
  <c r="W168" i="17"/>
  <c r="X168" i="17"/>
  <c r="Y168" i="17"/>
  <c r="Z168" i="17"/>
  <c r="AH167" i="17"/>
  <c r="AE167" i="17"/>
  <c r="AA167" i="17"/>
  <c r="AB167" i="17"/>
  <c r="AF160" i="17"/>
  <c r="AF162" i="17"/>
  <c r="AF164" i="17"/>
  <c r="AF166" i="17"/>
  <c r="AH165" i="17"/>
  <c r="AE165" i="17"/>
  <c r="AA165" i="17"/>
  <c r="AB165" i="17"/>
  <c r="AH163" i="17"/>
  <c r="AE163" i="17"/>
  <c r="AA163" i="17"/>
  <c r="AB163" i="17"/>
  <c r="AH161" i="17"/>
  <c r="AE161" i="17"/>
  <c r="AA161" i="17"/>
  <c r="AF161" i="17" s="1"/>
  <c r="AB161" i="17"/>
  <c r="AH159" i="17"/>
  <c r="AE159" i="17"/>
  <c r="AA159" i="17"/>
  <c r="AI159" i="17" s="1"/>
  <c r="AB159" i="17"/>
  <c r="L159" i="17"/>
  <c r="M159" i="17"/>
  <c r="N159" i="17"/>
  <c r="L160" i="17"/>
  <c r="M160" i="17"/>
  <c r="N160" i="17"/>
  <c r="L161" i="17"/>
  <c r="M161" i="17"/>
  <c r="N161" i="17"/>
  <c r="L162" i="17"/>
  <c r="M162" i="17"/>
  <c r="N162" i="17"/>
  <c r="L163" i="17"/>
  <c r="M163" i="17"/>
  <c r="N163" i="17"/>
  <c r="L164" i="17"/>
  <c r="M164" i="17"/>
  <c r="N164" i="17"/>
  <c r="L165" i="17"/>
  <c r="M165" i="17"/>
  <c r="N165" i="17"/>
  <c r="L166" i="17"/>
  <c r="M166" i="17"/>
  <c r="N166" i="17"/>
  <c r="L167" i="17"/>
  <c r="M167" i="17"/>
  <c r="N167" i="17"/>
  <c r="AI153" i="17"/>
  <c r="AI155" i="17"/>
  <c r="AI157" i="17"/>
  <c r="AF153" i="17"/>
  <c r="AF154" i="17"/>
  <c r="AF155" i="17"/>
  <c r="AF157" i="17"/>
  <c r="AH156" i="17"/>
  <c r="AE156" i="17"/>
  <c r="AA156" i="17"/>
  <c r="AF156" i="17" s="1"/>
  <c r="AB156" i="17"/>
  <c r="AH154" i="17"/>
  <c r="AE154" i="17"/>
  <c r="AA154" i="17"/>
  <c r="AI154" i="17" s="1"/>
  <c r="AB154" i="17"/>
  <c r="AH152" i="17"/>
  <c r="AE152" i="17"/>
  <c r="AA152" i="17"/>
  <c r="AF152" i="17" s="1"/>
  <c r="AB152" i="17"/>
  <c r="L152" i="17"/>
  <c r="M152" i="17"/>
  <c r="N152" i="17"/>
  <c r="L153" i="17"/>
  <c r="M153" i="17"/>
  <c r="N153" i="17"/>
  <c r="L154" i="17"/>
  <c r="M154" i="17"/>
  <c r="N154" i="17"/>
  <c r="L155" i="17"/>
  <c r="M155" i="17"/>
  <c r="N155" i="17"/>
  <c r="L156" i="17"/>
  <c r="M156" i="17"/>
  <c r="N156" i="17"/>
  <c r="L157" i="17"/>
  <c r="M157" i="17"/>
  <c r="N157" i="17"/>
  <c r="N151" i="17"/>
  <c r="AD141" i="17"/>
  <c r="AG141" i="17"/>
  <c r="AD142" i="17"/>
  <c r="AG142" i="17"/>
  <c r="AD143" i="17"/>
  <c r="AG143" i="17"/>
  <c r="AH143" i="17" s="1"/>
  <c r="AD144" i="17"/>
  <c r="AG144" i="17"/>
  <c r="AD145" i="17"/>
  <c r="AE145" i="17" s="1"/>
  <c r="AG145" i="17"/>
  <c r="AH145" i="17" s="1"/>
  <c r="AD146" i="17"/>
  <c r="AE146" i="17" s="1"/>
  <c r="AG146" i="17"/>
  <c r="AH146" i="17"/>
  <c r="AD147" i="17"/>
  <c r="AG147" i="17"/>
  <c r="L141" i="17"/>
  <c r="M141" i="17"/>
  <c r="N141" i="17"/>
  <c r="O141" i="17"/>
  <c r="P141" i="17"/>
  <c r="Q141" i="17"/>
  <c r="R141" i="17"/>
  <c r="S141" i="17"/>
  <c r="T141" i="17"/>
  <c r="U141" i="17"/>
  <c r="V141" i="17"/>
  <c r="W141" i="17"/>
  <c r="W148" i="17" s="1"/>
  <c r="X141" i="17"/>
  <c r="Y141" i="17"/>
  <c r="Z141" i="17"/>
  <c r="L142" i="17"/>
  <c r="M142" i="17"/>
  <c r="N142" i="17"/>
  <c r="O142" i="17"/>
  <c r="P142" i="17"/>
  <c r="Q142" i="17"/>
  <c r="R142" i="17"/>
  <c r="S142" i="17"/>
  <c r="T142" i="17"/>
  <c r="U142" i="17"/>
  <c r="V142" i="17"/>
  <c r="W142" i="17"/>
  <c r="X142" i="17"/>
  <c r="Y142" i="17"/>
  <c r="Z142" i="17"/>
  <c r="L143" i="17"/>
  <c r="M143" i="17"/>
  <c r="N143" i="17"/>
  <c r="O143" i="17"/>
  <c r="P143" i="17"/>
  <c r="Q143" i="17"/>
  <c r="R143" i="17"/>
  <c r="S143" i="17"/>
  <c r="T143" i="17"/>
  <c r="U143" i="17"/>
  <c r="V143" i="17"/>
  <c r="W143" i="17"/>
  <c r="X143" i="17"/>
  <c r="Y143" i="17"/>
  <c r="Z143" i="17"/>
  <c r="L144" i="17"/>
  <c r="M144" i="17"/>
  <c r="N144" i="17"/>
  <c r="O144" i="17"/>
  <c r="P144" i="17"/>
  <c r="Q144" i="17"/>
  <c r="R144" i="17"/>
  <c r="S144" i="17"/>
  <c r="T144" i="17"/>
  <c r="U144" i="17"/>
  <c r="V144" i="17"/>
  <c r="W144" i="17"/>
  <c r="X144" i="17"/>
  <c r="Y144" i="17"/>
  <c r="Z144" i="17"/>
  <c r="AA144" i="17"/>
  <c r="L145" i="17"/>
  <c r="M145" i="17"/>
  <c r="N145" i="17"/>
  <c r="O145" i="17"/>
  <c r="P145" i="17"/>
  <c r="Q145" i="17"/>
  <c r="R145" i="17"/>
  <c r="S145" i="17"/>
  <c r="T145" i="17"/>
  <c r="U145" i="17"/>
  <c r="V145" i="17"/>
  <c r="W145" i="17"/>
  <c r="X145" i="17"/>
  <c r="Y145" i="17"/>
  <c r="Z145" i="17"/>
  <c r="L146" i="17"/>
  <c r="M146" i="17"/>
  <c r="N146" i="17"/>
  <c r="O146" i="17"/>
  <c r="P146" i="17"/>
  <c r="Q146" i="17"/>
  <c r="R146" i="17"/>
  <c r="S146" i="17"/>
  <c r="T146" i="17"/>
  <c r="U146" i="17"/>
  <c r="V146" i="17"/>
  <c r="W146" i="17"/>
  <c r="X146" i="17"/>
  <c r="Y146" i="17"/>
  <c r="Z146" i="17"/>
  <c r="L147" i="17"/>
  <c r="M147" i="17"/>
  <c r="N147" i="17"/>
  <c r="O147" i="17"/>
  <c r="P147" i="17"/>
  <c r="Q147" i="17"/>
  <c r="R147" i="17"/>
  <c r="S147" i="17"/>
  <c r="T147" i="17"/>
  <c r="U147" i="17"/>
  <c r="V147" i="17"/>
  <c r="W147" i="17"/>
  <c r="X147" i="17"/>
  <c r="Y147" i="17"/>
  <c r="Z147" i="17"/>
  <c r="L148" i="17"/>
  <c r="M148" i="17"/>
  <c r="N148" i="17"/>
  <c r="AH137" i="17"/>
  <c r="AH138" i="17"/>
  <c r="AF134" i="17"/>
  <c r="AE137" i="17"/>
  <c r="AE138" i="17"/>
  <c r="AA133" i="17"/>
  <c r="AA134" i="17"/>
  <c r="AI134" i="17" s="1"/>
  <c r="AA135" i="17"/>
  <c r="AA136" i="17"/>
  <c r="AA137" i="17"/>
  <c r="AF137" i="17" s="1"/>
  <c r="AA138" i="17"/>
  <c r="AI138" i="17" s="1"/>
  <c r="AA139" i="17"/>
  <c r="L133" i="17"/>
  <c r="M133" i="17"/>
  <c r="N133" i="17"/>
  <c r="L134" i="17"/>
  <c r="M134" i="17"/>
  <c r="N134" i="17"/>
  <c r="L135" i="17"/>
  <c r="M135" i="17"/>
  <c r="N135" i="17"/>
  <c r="L136" i="17"/>
  <c r="M136" i="17"/>
  <c r="N136" i="17"/>
  <c r="L137" i="17"/>
  <c r="M137" i="17"/>
  <c r="N137" i="17"/>
  <c r="L138" i="17"/>
  <c r="M138" i="17"/>
  <c r="N138" i="17"/>
  <c r="L139" i="17"/>
  <c r="M139" i="17"/>
  <c r="N139" i="17"/>
  <c r="AI124" i="17"/>
  <c r="AI125" i="17"/>
  <c r="AH128" i="17"/>
  <c r="AH129" i="17"/>
  <c r="AE126" i="17"/>
  <c r="AF126" i="17"/>
  <c r="AE128" i="17"/>
  <c r="AE129" i="17"/>
  <c r="AF130" i="17"/>
  <c r="AA124" i="17"/>
  <c r="AF124" i="17" s="1"/>
  <c r="AA125" i="17"/>
  <c r="AF125" i="17" s="1"/>
  <c r="AA126" i="17"/>
  <c r="AI126" i="17" s="1"/>
  <c r="AA127" i="17"/>
  <c r="AF127" i="17" s="1"/>
  <c r="AA128" i="17"/>
  <c r="AB128" i="17" s="1"/>
  <c r="AA129" i="17"/>
  <c r="AI129" i="17" s="1"/>
  <c r="AA130" i="17"/>
  <c r="AI130" i="17" s="1"/>
  <c r="L124" i="17"/>
  <c r="M124" i="17"/>
  <c r="N124" i="17"/>
  <c r="L125" i="17"/>
  <c r="M125" i="17"/>
  <c r="N125" i="17"/>
  <c r="L126" i="17"/>
  <c r="M126" i="17"/>
  <c r="N126" i="17"/>
  <c r="L127" i="17"/>
  <c r="M127" i="17"/>
  <c r="N127" i="17"/>
  <c r="L128" i="17"/>
  <c r="M128" i="17"/>
  <c r="N128" i="17"/>
  <c r="L129" i="17"/>
  <c r="M129" i="17"/>
  <c r="N129" i="17"/>
  <c r="L130" i="17"/>
  <c r="M130" i="17"/>
  <c r="N130" i="17"/>
  <c r="AH116" i="17"/>
  <c r="AH119" i="17"/>
  <c r="AH120" i="17"/>
  <c r="AF116" i="17"/>
  <c r="AE119" i="17"/>
  <c r="AE120" i="17"/>
  <c r="AF121" i="17"/>
  <c r="AA115" i="17"/>
  <c r="AA116" i="17"/>
  <c r="AI116" i="17" s="1"/>
  <c r="AA117" i="17"/>
  <c r="AI117" i="17" s="1"/>
  <c r="AA118" i="17"/>
  <c r="AA119" i="17"/>
  <c r="AA120" i="17"/>
  <c r="AF120" i="17" s="1"/>
  <c r="AA121" i="17"/>
  <c r="AI121" i="17" s="1"/>
  <c r="L115" i="17"/>
  <c r="M115" i="17"/>
  <c r="N115" i="17"/>
  <c r="L116" i="17"/>
  <c r="M116" i="17"/>
  <c r="N116" i="17"/>
  <c r="L117" i="17"/>
  <c r="M117" i="17"/>
  <c r="N117" i="17"/>
  <c r="L118" i="17"/>
  <c r="M118" i="17"/>
  <c r="N118" i="17"/>
  <c r="L119" i="17"/>
  <c r="M119" i="17"/>
  <c r="N119" i="17"/>
  <c r="L120" i="17"/>
  <c r="M120" i="17"/>
  <c r="N120" i="17"/>
  <c r="L121" i="17"/>
  <c r="M121" i="17"/>
  <c r="N121" i="17"/>
  <c r="AI109" i="17"/>
  <c r="AD110" i="17"/>
  <c r="AD111" i="17"/>
  <c r="AG110" i="17"/>
  <c r="AG111" i="17"/>
  <c r="O110" i="17"/>
  <c r="P110" i="17"/>
  <c r="Q110" i="17"/>
  <c r="R110" i="17"/>
  <c r="S110" i="17"/>
  <c r="T110" i="17"/>
  <c r="U110" i="17"/>
  <c r="V110" i="17"/>
  <c r="W110" i="17"/>
  <c r="X110" i="17"/>
  <c r="Y110" i="17"/>
  <c r="Z110" i="17"/>
  <c r="O111" i="17"/>
  <c r="P111" i="17"/>
  <c r="Q111" i="17"/>
  <c r="R111" i="17"/>
  <c r="S111" i="17"/>
  <c r="T111" i="17"/>
  <c r="U111" i="17"/>
  <c r="V111" i="17"/>
  <c r="W111" i="17"/>
  <c r="X111" i="17"/>
  <c r="Y111" i="17"/>
  <c r="Z111" i="17"/>
  <c r="AF109" i="17"/>
  <c r="AA108" i="17"/>
  <c r="AI108" i="17" s="1"/>
  <c r="AA109" i="17"/>
  <c r="N108" i="17"/>
  <c r="N109" i="17"/>
  <c r="I108" i="17"/>
  <c r="J108" i="17"/>
  <c r="I109" i="17"/>
  <c r="J109" i="17"/>
  <c r="AF103" i="17"/>
  <c r="AA102" i="17"/>
  <c r="AI102" i="17" s="1"/>
  <c r="AA103" i="17"/>
  <c r="AI103" i="17" s="1"/>
  <c r="AA104" i="17"/>
  <c r="AA111" i="17" s="1"/>
  <c r="N102" i="17"/>
  <c r="N103" i="17"/>
  <c r="N104" i="17"/>
  <c r="N174" i="17" s="1"/>
  <c r="N105" i="17"/>
  <c r="L102" i="17"/>
  <c r="M102" i="17"/>
  <c r="L103" i="17"/>
  <c r="M103" i="17"/>
  <c r="L104" i="17"/>
  <c r="M104" i="17"/>
  <c r="I102" i="17"/>
  <c r="J102" i="17"/>
  <c r="I103" i="17"/>
  <c r="J103" i="17"/>
  <c r="I104" i="17"/>
  <c r="J104" i="17"/>
  <c r="I105" i="17"/>
  <c r="J105" i="17"/>
  <c r="AE99" i="17"/>
  <c r="AA99" i="17"/>
  <c r="AF99" i="17" s="1"/>
  <c r="L99" i="17"/>
  <c r="M99" i="17"/>
  <c r="N99" i="17"/>
  <c r="I99" i="17"/>
  <c r="J99" i="17"/>
  <c r="AF95" i="17"/>
  <c r="AE96" i="17"/>
  <c r="AA95" i="17"/>
  <c r="AI95" i="17" s="1"/>
  <c r="AA96" i="17"/>
  <c r="AA97" i="17"/>
  <c r="L95" i="17"/>
  <c r="M95" i="17"/>
  <c r="N95" i="17"/>
  <c r="L96" i="17"/>
  <c r="M96" i="17"/>
  <c r="N96" i="17"/>
  <c r="L97" i="17"/>
  <c r="M97" i="17"/>
  <c r="N97" i="17"/>
  <c r="I95" i="17"/>
  <c r="J95" i="17"/>
  <c r="I96" i="17"/>
  <c r="J96" i="17"/>
  <c r="I97" i="17"/>
  <c r="J97" i="17"/>
  <c r="AG93" i="17"/>
  <c r="AH94" i="17" s="1"/>
  <c r="AD93" i="17"/>
  <c r="AE94" i="17" s="1"/>
  <c r="O93" i="17"/>
  <c r="O94" i="17" s="1"/>
  <c r="P93" i="17"/>
  <c r="P94" i="17" s="1"/>
  <c r="Q93" i="17"/>
  <c r="Q94" i="17" s="1"/>
  <c r="R93" i="17"/>
  <c r="R94" i="17" s="1"/>
  <c r="S93" i="17"/>
  <c r="T93" i="17"/>
  <c r="U93" i="17"/>
  <c r="V93" i="17"/>
  <c r="V94" i="17" s="1"/>
  <c r="W93" i="17"/>
  <c r="W94" i="17" s="1"/>
  <c r="X93" i="17"/>
  <c r="X94" i="17" s="1"/>
  <c r="Y93" i="17"/>
  <c r="Y94" i="17" s="1"/>
  <c r="Z93" i="17"/>
  <c r="Z94" i="17" s="1"/>
  <c r="S94" i="17"/>
  <c r="T94" i="17"/>
  <c r="U94" i="17"/>
  <c r="AA35" i="17"/>
  <c r="AA36" i="17"/>
  <c r="AA37" i="17"/>
  <c r="AA38" i="17"/>
  <c r="AA39" i="17"/>
  <c r="AA42" i="17" s="1"/>
  <c r="AA40" i="17"/>
  <c r="AF40" i="17" s="1"/>
  <c r="AA44" i="17"/>
  <c r="AI44" i="17" s="1"/>
  <c r="AA45" i="17"/>
  <c r="AA46" i="17"/>
  <c r="AA47" i="17"/>
  <c r="AF47" i="17" s="1"/>
  <c r="AA48" i="17"/>
  <c r="AI48" i="17" s="1"/>
  <c r="AA49" i="17"/>
  <c r="AA53" i="17"/>
  <c r="AA54" i="17"/>
  <c r="AA55" i="17"/>
  <c r="AA56" i="17"/>
  <c r="AA57" i="17"/>
  <c r="AA58" i="17"/>
  <c r="AA62" i="17"/>
  <c r="AI62" i="17" s="1"/>
  <c r="AA63" i="17"/>
  <c r="AA64" i="17"/>
  <c r="AF64" i="17" s="1"/>
  <c r="AA65" i="17"/>
  <c r="AF65" i="17" s="1"/>
  <c r="AA66" i="17"/>
  <c r="AA67" i="17"/>
  <c r="AF67" i="17" s="1"/>
  <c r="AA71" i="17"/>
  <c r="AA72" i="17"/>
  <c r="AI72" i="17" s="1"/>
  <c r="AA73" i="17"/>
  <c r="AI73" i="17" s="1"/>
  <c r="AA74" i="17"/>
  <c r="AA75" i="17"/>
  <c r="AA76" i="17"/>
  <c r="AA80" i="17"/>
  <c r="AA81" i="17"/>
  <c r="AA82" i="17"/>
  <c r="AA83" i="17"/>
  <c r="AF83" i="17" s="1"/>
  <c r="AA84" i="17"/>
  <c r="AB85" i="17" s="1"/>
  <c r="AA85" i="17"/>
  <c r="AA89" i="17"/>
  <c r="AI89" i="17" s="1"/>
  <c r="AA90" i="17"/>
  <c r="AI90" i="17" s="1"/>
  <c r="AA91" i="17"/>
  <c r="AF91" i="17" s="1"/>
  <c r="AH88" i="17"/>
  <c r="AH89" i="17"/>
  <c r="AH90" i="17"/>
  <c r="AH91" i="17"/>
  <c r="AE88" i="17"/>
  <c r="AE89" i="17"/>
  <c r="AE90" i="17"/>
  <c r="AE91" i="17"/>
  <c r="L89" i="17"/>
  <c r="M89" i="17"/>
  <c r="N89" i="17"/>
  <c r="L90" i="17"/>
  <c r="M90" i="17"/>
  <c r="N90" i="17"/>
  <c r="L91" i="17"/>
  <c r="M91" i="17"/>
  <c r="N91" i="17"/>
  <c r="L92" i="17"/>
  <c r="M92" i="17"/>
  <c r="N92" i="17"/>
  <c r="I89" i="17"/>
  <c r="J89" i="17"/>
  <c r="I90" i="17"/>
  <c r="J90" i="17"/>
  <c r="I91" i="17"/>
  <c r="J91" i="17"/>
  <c r="I92" i="17"/>
  <c r="J92" i="17"/>
  <c r="AG87" i="17"/>
  <c r="AD87" i="17"/>
  <c r="O87" i="17"/>
  <c r="P87" i="17"/>
  <c r="Q87" i="17"/>
  <c r="Q88" i="17" s="1"/>
  <c r="R87" i="17"/>
  <c r="R88" i="17" s="1"/>
  <c r="S87" i="17"/>
  <c r="S88" i="17" s="1"/>
  <c r="T87" i="17"/>
  <c r="T88" i="17" s="1"/>
  <c r="U87" i="17"/>
  <c r="U88" i="17" s="1"/>
  <c r="V87" i="17"/>
  <c r="W87" i="17"/>
  <c r="X87" i="17"/>
  <c r="Y87" i="17"/>
  <c r="Z87" i="17"/>
  <c r="Z88" i="17" s="1"/>
  <c r="O88" i="17"/>
  <c r="P88" i="17"/>
  <c r="V88" i="17"/>
  <c r="W88" i="17"/>
  <c r="X88" i="17"/>
  <c r="Y88" i="17"/>
  <c r="AI80" i="17"/>
  <c r="AI82" i="17"/>
  <c r="AI85" i="17"/>
  <c r="AF80" i="17"/>
  <c r="AF85" i="17"/>
  <c r="AH80" i="17"/>
  <c r="AH81" i="17"/>
  <c r="AH82" i="17"/>
  <c r="AH83" i="17"/>
  <c r="AH84" i="17"/>
  <c r="AH85" i="17"/>
  <c r="AE80" i="17"/>
  <c r="AE81" i="17"/>
  <c r="AE82" i="17"/>
  <c r="AE83" i="17"/>
  <c r="AE84" i="17"/>
  <c r="AE85" i="17"/>
  <c r="L80" i="17"/>
  <c r="M80" i="17"/>
  <c r="N80" i="17"/>
  <c r="L81" i="17"/>
  <c r="M81" i="17"/>
  <c r="N81" i="17"/>
  <c r="L82" i="17"/>
  <c r="M82" i="17"/>
  <c r="N82" i="17"/>
  <c r="L83" i="17"/>
  <c r="M83" i="17"/>
  <c r="N83" i="17"/>
  <c r="L84" i="17"/>
  <c r="M84" i="17"/>
  <c r="N84" i="17"/>
  <c r="L85" i="17"/>
  <c r="M85" i="17"/>
  <c r="N85" i="17"/>
  <c r="L86" i="17"/>
  <c r="M86" i="17"/>
  <c r="N86" i="17"/>
  <c r="I80" i="17"/>
  <c r="J80" i="17"/>
  <c r="I81" i="17"/>
  <c r="J81" i="17"/>
  <c r="I82" i="17"/>
  <c r="J82" i="17"/>
  <c r="I83" i="17"/>
  <c r="J83" i="17"/>
  <c r="I84" i="17"/>
  <c r="J84" i="17"/>
  <c r="I85" i="17"/>
  <c r="J85" i="17"/>
  <c r="I86" i="17"/>
  <c r="J86" i="17"/>
  <c r="AG78" i="17"/>
  <c r="AH79" i="17" s="1"/>
  <c r="AD78" i="17"/>
  <c r="AE79" i="17" s="1"/>
  <c r="O78" i="17"/>
  <c r="O79" i="17" s="1"/>
  <c r="P78" i="17"/>
  <c r="Q78" i="17"/>
  <c r="R78" i="17"/>
  <c r="R79" i="17" s="1"/>
  <c r="S78" i="17"/>
  <c r="S79" i="17" s="1"/>
  <c r="T78" i="17"/>
  <c r="T79" i="17" s="1"/>
  <c r="U78" i="17"/>
  <c r="V78" i="17"/>
  <c r="V79" i="17" s="1"/>
  <c r="W78" i="17"/>
  <c r="W79" i="17" s="1"/>
  <c r="X78" i="17"/>
  <c r="Y78" i="17"/>
  <c r="Z78" i="17"/>
  <c r="Z79" i="17" s="1"/>
  <c r="P79" i="17"/>
  <c r="Q79" i="17"/>
  <c r="U79" i="17"/>
  <c r="X79" i="17"/>
  <c r="Y79" i="17"/>
  <c r="AI71" i="17"/>
  <c r="AI74" i="17"/>
  <c r="AI76" i="17"/>
  <c r="AF74" i="17"/>
  <c r="AF76" i="17"/>
  <c r="AH71" i="17"/>
  <c r="AH72" i="17"/>
  <c r="AH73" i="17"/>
  <c r="AH74" i="17"/>
  <c r="AH75" i="17"/>
  <c r="AH76" i="17"/>
  <c r="AE71" i="17"/>
  <c r="AE72" i="17"/>
  <c r="AE73" i="17"/>
  <c r="AE74" i="17"/>
  <c r="AE75" i="17"/>
  <c r="AE76" i="17"/>
  <c r="AB74" i="17"/>
  <c r="AB76" i="17"/>
  <c r="L71" i="17"/>
  <c r="M71" i="17"/>
  <c r="N71" i="17"/>
  <c r="L72" i="17"/>
  <c r="M72" i="17"/>
  <c r="N72" i="17"/>
  <c r="L73" i="17"/>
  <c r="M73" i="17"/>
  <c r="N73" i="17"/>
  <c r="L74" i="17"/>
  <c r="M74" i="17"/>
  <c r="N74" i="17"/>
  <c r="L75" i="17"/>
  <c r="M75" i="17"/>
  <c r="N75" i="17"/>
  <c r="L76" i="17"/>
  <c r="M76" i="17"/>
  <c r="N76" i="17"/>
  <c r="L77" i="17"/>
  <c r="M77" i="17"/>
  <c r="N77" i="17"/>
  <c r="I71" i="17"/>
  <c r="J71" i="17"/>
  <c r="I72" i="17"/>
  <c r="J72" i="17"/>
  <c r="I73" i="17"/>
  <c r="J73" i="17"/>
  <c r="I74" i="17"/>
  <c r="J74" i="17"/>
  <c r="I75" i="17"/>
  <c r="J75" i="17"/>
  <c r="I76" i="17"/>
  <c r="J76" i="17"/>
  <c r="I77" i="17"/>
  <c r="J77" i="17"/>
  <c r="AG69" i="17"/>
  <c r="AH70" i="17" s="1"/>
  <c r="AD69" i="17"/>
  <c r="AE70" i="17" s="1"/>
  <c r="O69" i="17"/>
  <c r="P69" i="17"/>
  <c r="Q69" i="17"/>
  <c r="Q70" i="17" s="1"/>
  <c r="R69" i="17"/>
  <c r="R70" i="17" s="1"/>
  <c r="S69" i="17"/>
  <c r="S70" i="17" s="1"/>
  <c r="T69" i="17"/>
  <c r="T70" i="17" s="1"/>
  <c r="U69" i="17"/>
  <c r="U70" i="17" s="1"/>
  <c r="V69" i="17"/>
  <c r="W69" i="17"/>
  <c r="X69" i="17"/>
  <c r="Y69" i="17"/>
  <c r="Z69" i="17"/>
  <c r="Z70" i="17" s="1"/>
  <c r="O70" i="17"/>
  <c r="P70" i="17"/>
  <c r="V70" i="17"/>
  <c r="W70" i="17"/>
  <c r="X70" i="17"/>
  <c r="Y70" i="17"/>
  <c r="AI64" i="17"/>
  <c r="AI66" i="17"/>
  <c r="AF63" i="17"/>
  <c r="AF66" i="17"/>
  <c r="AH66" i="17"/>
  <c r="AH67" i="17"/>
  <c r="AE63" i="17"/>
  <c r="AE67" i="17"/>
  <c r="L62" i="17"/>
  <c r="M62" i="17"/>
  <c r="N62" i="17"/>
  <c r="L63" i="17"/>
  <c r="M63" i="17"/>
  <c r="N63" i="17"/>
  <c r="L64" i="17"/>
  <c r="M64" i="17"/>
  <c r="N64" i="17"/>
  <c r="L65" i="17"/>
  <c r="M65" i="17"/>
  <c r="N65" i="17"/>
  <c r="L66" i="17"/>
  <c r="M66" i="17"/>
  <c r="N66" i="17"/>
  <c r="L67" i="17"/>
  <c r="M67" i="17"/>
  <c r="N67" i="17"/>
  <c r="L68" i="17"/>
  <c r="M68" i="17"/>
  <c r="N68" i="17"/>
  <c r="I62" i="17"/>
  <c r="J62" i="17"/>
  <c r="I63" i="17"/>
  <c r="J63" i="17"/>
  <c r="I64" i="17"/>
  <c r="J64" i="17"/>
  <c r="I65" i="17"/>
  <c r="J65" i="17"/>
  <c r="I66" i="17"/>
  <c r="J66" i="17"/>
  <c r="I67" i="17"/>
  <c r="J67" i="17"/>
  <c r="I68" i="17"/>
  <c r="J68" i="17"/>
  <c r="AG60" i="17"/>
  <c r="AH61" i="17" s="1"/>
  <c r="AD60" i="17"/>
  <c r="AE61" i="17" s="1"/>
  <c r="O60" i="17"/>
  <c r="O61" i="17" s="1"/>
  <c r="P60" i="17"/>
  <c r="Q60" i="17"/>
  <c r="R60" i="17"/>
  <c r="R61" i="17" s="1"/>
  <c r="S60" i="17"/>
  <c r="S61" i="17" s="1"/>
  <c r="T60" i="17"/>
  <c r="T61" i="17" s="1"/>
  <c r="U60" i="17"/>
  <c r="U61" i="17" s="1"/>
  <c r="V60" i="17"/>
  <c r="W60" i="17"/>
  <c r="X60" i="17"/>
  <c r="Y60" i="17"/>
  <c r="Z60" i="17"/>
  <c r="Z61" i="17" s="1"/>
  <c r="P61" i="17"/>
  <c r="Q61" i="17"/>
  <c r="V61" i="17"/>
  <c r="W61" i="17"/>
  <c r="X61" i="17"/>
  <c r="Y61" i="17"/>
  <c r="AI53" i="17"/>
  <c r="AI55" i="17"/>
  <c r="AI56" i="17"/>
  <c r="AF53" i="17"/>
  <c r="AF56" i="17"/>
  <c r="AH56" i="17"/>
  <c r="AH58" i="17"/>
  <c r="AE55" i="17"/>
  <c r="AE58" i="17"/>
  <c r="L53" i="17"/>
  <c r="M53" i="17"/>
  <c r="N53" i="17"/>
  <c r="L54" i="17"/>
  <c r="M54" i="17"/>
  <c r="N54" i="17"/>
  <c r="L55" i="17"/>
  <c r="M55" i="17"/>
  <c r="N55" i="17"/>
  <c r="L56" i="17"/>
  <c r="M56" i="17"/>
  <c r="N56" i="17"/>
  <c r="L57" i="17"/>
  <c r="M57" i="17"/>
  <c r="N57" i="17"/>
  <c r="L58" i="17"/>
  <c r="M58" i="17"/>
  <c r="N58" i="17"/>
  <c r="L59" i="17"/>
  <c r="M59" i="17"/>
  <c r="N59" i="17"/>
  <c r="I53" i="17"/>
  <c r="J53" i="17"/>
  <c r="I54" i="17"/>
  <c r="J54" i="17"/>
  <c r="I55" i="17"/>
  <c r="J55" i="17"/>
  <c r="I56" i="17"/>
  <c r="J56" i="17"/>
  <c r="I57" i="17"/>
  <c r="J57" i="17"/>
  <c r="I58" i="17"/>
  <c r="J58" i="17"/>
  <c r="I59" i="17"/>
  <c r="J59" i="17"/>
  <c r="AG51" i="17"/>
  <c r="AH52" i="17" s="1"/>
  <c r="AD51" i="17"/>
  <c r="AE52" i="17" s="1"/>
  <c r="O51" i="17"/>
  <c r="P51" i="17"/>
  <c r="Q51" i="17"/>
  <c r="R51" i="17"/>
  <c r="R52" i="17" s="1"/>
  <c r="S51" i="17"/>
  <c r="S52" i="17" s="1"/>
  <c r="T51" i="17"/>
  <c r="T52" i="17" s="1"/>
  <c r="U51" i="17"/>
  <c r="U52" i="17" s="1"/>
  <c r="V51" i="17"/>
  <c r="W51" i="17"/>
  <c r="X51" i="17"/>
  <c r="Y51" i="17"/>
  <c r="Z51" i="17"/>
  <c r="Z52" i="17" s="1"/>
  <c r="O52" i="17"/>
  <c r="P52" i="17"/>
  <c r="Q52" i="17"/>
  <c r="V52" i="17"/>
  <c r="W52" i="17"/>
  <c r="X52" i="17"/>
  <c r="Y52" i="17"/>
  <c r="AI45" i="17"/>
  <c r="AI46" i="17"/>
  <c r="AI47" i="17"/>
  <c r="AF45" i="17"/>
  <c r="AH48" i="17"/>
  <c r="AH49" i="17"/>
  <c r="AE45" i="17"/>
  <c r="AE49" i="17"/>
  <c r="L44" i="17"/>
  <c r="M44" i="17"/>
  <c r="N44" i="17"/>
  <c r="L45" i="17"/>
  <c r="M45" i="17"/>
  <c r="N45" i="17"/>
  <c r="L46" i="17"/>
  <c r="M46" i="17"/>
  <c r="N46" i="17"/>
  <c r="L47" i="17"/>
  <c r="M47" i="17"/>
  <c r="N47" i="17"/>
  <c r="L48" i="17"/>
  <c r="M48" i="17"/>
  <c r="N48" i="17"/>
  <c r="L49" i="17"/>
  <c r="M49" i="17"/>
  <c r="N49" i="17"/>
  <c r="L50" i="17"/>
  <c r="M50" i="17"/>
  <c r="N50" i="17"/>
  <c r="I44" i="17"/>
  <c r="J44" i="17"/>
  <c r="I45" i="17"/>
  <c r="J45" i="17"/>
  <c r="I46" i="17"/>
  <c r="J46" i="17"/>
  <c r="I47" i="17"/>
  <c r="J47" i="17"/>
  <c r="I48" i="17"/>
  <c r="J48" i="17"/>
  <c r="I49" i="17"/>
  <c r="J49" i="17"/>
  <c r="I50" i="17"/>
  <c r="J50" i="17"/>
  <c r="AG42" i="17"/>
  <c r="AH43" i="17" s="1"/>
  <c r="AD42" i="17"/>
  <c r="AE43" i="17" s="1"/>
  <c r="O42" i="17"/>
  <c r="O43" i="17" s="1"/>
  <c r="P42" i="17"/>
  <c r="P43" i="17" s="1"/>
  <c r="Q42" i="17"/>
  <c r="R42" i="17"/>
  <c r="R43" i="17" s="1"/>
  <c r="S42" i="17"/>
  <c r="S43" i="17" s="1"/>
  <c r="T42" i="17"/>
  <c r="T43" i="17" s="1"/>
  <c r="U42" i="17"/>
  <c r="U43" i="17" s="1"/>
  <c r="V42" i="17"/>
  <c r="W42" i="17"/>
  <c r="X42" i="17"/>
  <c r="Y42" i="17"/>
  <c r="Z42" i="17"/>
  <c r="Z43" i="17" s="1"/>
  <c r="Q43" i="17"/>
  <c r="V43" i="17"/>
  <c r="W43" i="17"/>
  <c r="X43" i="17"/>
  <c r="Y43" i="17"/>
  <c r="AI36" i="17"/>
  <c r="AI37" i="17"/>
  <c r="AI38" i="17"/>
  <c r="AI40" i="17"/>
  <c r="AF36" i="17"/>
  <c r="AF37" i="17"/>
  <c r="AF38" i="17"/>
  <c r="AH39" i="17"/>
  <c r="AH40" i="17"/>
  <c r="AE35" i="17"/>
  <c r="AE40" i="17"/>
  <c r="L35" i="17"/>
  <c r="M35" i="17"/>
  <c r="N35" i="17"/>
  <c r="L36" i="17"/>
  <c r="M36" i="17"/>
  <c r="N36" i="17"/>
  <c r="L37" i="17"/>
  <c r="M37" i="17"/>
  <c r="N37" i="17"/>
  <c r="L38" i="17"/>
  <c r="M38" i="17"/>
  <c r="N38" i="17"/>
  <c r="L39" i="17"/>
  <c r="M39" i="17"/>
  <c r="N39" i="17"/>
  <c r="L40" i="17"/>
  <c r="M40" i="17"/>
  <c r="N40" i="17"/>
  <c r="L41" i="17"/>
  <c r="M41" i="17"/>
  <c r="N41" i="17"/>
  <c r="I35" i="17"/>
  <c r="J35" i="17"/>
  <c r="I36" i="17"/>
  <c r="J36" i="17"/>
  <c r="I37" i="17"/>
  <c r="J37" i="17"/>
  <c r="I38" i="17"/>
  <c r="J38" i="17"/>
  <c r="I39" i="17"/>
  <c r="J39" i="17"/>
  <c r="I40" i="17"/>
  <c r="J40" i="17"/>
  <c r="I41" i="17"/>
  <c r="J41" i="17"/>
  <c r="AG32" i="17"/>
  <c r="AD32" i="17"/>
  <c r="O32" i="17"/>
  <c r="P32" i="17"/>
  <c r="Q32" i="17"/>
  <c r="R32" i="17"/>
  <c r="S32" i="17"/>
  <c r="T32" i="17"/>
  <c r="U32" i="17"/>
  <c r="V32" i="17"/>
  <c r="W32" i="17"/>
  <c r="X32" i="17"/>
  <c r="Y32" i="17"/>
  <c r="Z32" i="17"/>
  <c r="AG31" i="17"/>
  <c r="AD31" i="17"/>
  <c r="O31" i="17"/>
  <c r="P31" i="17"/>
  <c r="Q31" i="17"/>
  <c r="R31" i="17"/>
  <c r="S31" i="17"/>
  <c r="T31" i="17"/>
  <c r="U31" i="17"/>
  <c r="V31" i="17"/>
  <c r="W31" i="17"/>
  <c r="X31" i="17"/>
  <c r="Y31" i="17"/>
  <c r="Z31" i="17"/>
  <c r="AA31" i="17"/>
  <c r="N26" i="17"/>
  <c r="N27" i="17"/>
  <c r="N28" i="17"/>
  <c r="N29" i="17"/>
  <c r="B23" i="17"/>
  <c r="AG16" i="17"/>
  <c r="AG19" i="17"/>
  <c r="AH95" i="17" s="1"/>
  <c r="AG20" i="17"/>
  <c r="AH104" i="17" s="1"/>
  <c r="AD19" i="17"/>
  <c r="AD20" i="17"/>
  <c r="AE104" i="17" s="1"/>
  <c r="G19" i="17"/>
  <c r="G20" i="17"/>
  <c r="N19" i="17"/>
  <c r="O19" i="17"/>
  <c r="P19" i="17"/>
  <c r="Q19" i="17"/>
  <c r="R19" i="17"/>
  <c r="S19" i="17"/>
  <c r="T19" i="17"/>
  <c r="U19" i="17"/>
  <c r="V19" i="17"/>
  <c r="W19" i="17"/>
  <c r="X19" i="17"/>
  <c r="Y19" i="17"/>
  <c r="Z19" i="17"/>
  <c r="N20" i="17"/>
  <c r="O20" i="17"/>
  <c r="AA20" i="17" s="1"/>
  <c r="AB104" i="17" s="1"/>
  <c r="P20" i="17"/>
  <c r="Q20" i="17"/>
  <c r="R20" i="17"/>
  <c r="S20" i="17"/>
  <c r="T20" i="17"/>
  <c r="U20" i="17"/>
  <c r="V20" i="17"/>
  <c r="W20" i="17"/>
  <c r="X20" i="17"/>
  <c r="Y20" i="17"/>
  <c r="Z20" i="17"/>
  <c r="B17" i="17"/>
  <c r="B18" i="17"/>
  <c r="B19" i="17"/>
  <c r="AA18" i="17"/>
  <c r="O16" i="17"/>
  <c r="P16" i="17"/>
  <c r="Q16" i="17"/>
  <c r="R16" i="17"/>
  <c r="S16" i="17"/>
  <c r="T16" i="17"/>
  <c r="U16" i="17"/>
  <c r="V16" i="17"/>
  <c r="W16" i="17"/>
  <c r="X16" i="17"/>
  <c r="Y16" i="17"/>
  <c r="O17" i="17"/>
  <c r="P17" i="17"/>
  <c r="Q17" i="17"/>
  <c r="R17" i="17"/>
  <c r="S17" i="17"/>
  <c r="T17" i="17"/>
  <c r="U17" i="17"/>
  <c r="V17" i="17"/>
  <c r="W17" i="17"/>
  <c r="X17" i="17"/>
  <c r="Y17" i="17"/>
  <c r="Z17" i="17"/>
  <c r="AA17" i="17" s="1"/>
  <c r="AA11" i="17" s="1"/>
  <c r="A14" i="17"/>
  <c r="AG12" i="17"/>
  <c r="AG13" i="17"/>
  <c r="AD12" i="17"/>
  <c r="AD13" i="17"/>
  <c r="B12" i="17"/>
  <c r="B13" i="17"/>
  <c r="O11" i="17"/>
  <c r="P11" i="17"/>
  <c r="Q11" i="17"/>
  <c r="R11" i="17"/>
  <c r="S11" i="17"/>
  <c r="T11" i="17"/>
  <c r="U11" i="17"/>
  <c r="V11" i="17"/>
  <c r="W11" i="17"/>
  <c r="X11" i="17"/>
  <c r="Y11" i="17"/>
  <c r="Z11" i="17"/>
  <c r="O12" i="17"/>
  <c r="P12" i="17"/>
  <c r="Q12" i="17"/>
  <c r="R12" i="17"/>
  <c r="S12" i="17"/>
  <c r="T12" i="17"/>
  <c r="U12" i="17"/>
  <c r="V12" i="17"/>
  <c r="W12" i="17"/>
  <c r="X12" i="17"/>
  <c r="Y12" i="17"/>
  <c r="Z12" i="17"/>
  <c r="AA12" i="17"/>
  <c r="O13" i="17"/>
  <c r="P13" i="17"/>
  <c r="Q13" i="17"/>
  <c r="R13" i="17"/>
  <c r="S13" i="17"/>
  <c r="T13" i="17"/>
  <c r="U13" i="17"/>
  <c r="V13" i="17"/>
  <c r="W13" i="17"/>
  <c r="X13" i="17"/>
  <c r="Y13" i="17"/>
  <c r="Z13" i="17"/>
  <c r="AA13" i="17"/>
  <c r="C10" i="17"/>
  <c r="D10" i="17"/>
  <c r="C9" i="17"/>
  <c r="C1" i="17"/>
  <c r="C2" i="17"/>
  <c r="C3" i="17"/>
  <c r="C4" i="17"/>
  <c r="C5" i="17"/>
  <c r="C6" i="17"/>
  <c r="C7" i="17"/>
  <c r="C8" i="17"/>
  <c r="E6" i="17"/>
  <c r="E4" i="17"/>
  <c r="F4" i="17"/>
  <c r="B3" i="17"/>
  <c r="AG122" i="16"/>
  <c r="AD122" i="16"/>
  <c r="O122" i="16"/>
  <c r="P122" i="16"/>
  <c r="Q122" i="16"/>
  <c r="R122" i="16"/>
  <c r="S122" i="16"/>
  <c r="T122" i="16"/>
  <c r="U122" i="16"/>
  <c r="V122" i="16"/>
  <c r="W122" i="16"/>
  <c r="X122" i="16"/>
  <c r="Y122" i="16"/>
  <c r="Z122" i="16"/>
  <c r="P123" i="16"/>
  <c r="N119" i="16"/>
  <c r="N122" i="16" s="1"/>
  <c r="N120" i="16"/>
  <c r="N123" i="16" s="1"/>
  <c r="AA119" i="16"/>
  <c r="AF119" i="16" s="1"/>
  <c r="I119" i="16"/>
  <c r="J119" i="16"/>
  <c r="I120" i="16"/>
  <c r="AA120" i="16" s="1"/>
  <c r="J12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I117" i="16"/>
  <c r="J117" i="16"/>
  <c r="B109" i="16"/>
  <c r="B103" i="16"/>
  <c r="B104" i="16"/>
  <c r="B105" i="16"/>
  <c r="A100" i="16"/>
  <c r="AH96" i="16"/>
  <c r="AH97" i="16"/>
  <c r="AH104" i="16"/>
  <c r="AH105" i="16"/>
  <c r="AH112" i="16"/>
  <c r="AH116" i="16"/>
  <c r="AE93" i="16"/>
  <c r="AE97" i="16"/>
  <c r="AE104" i="16"/>
  <c r="AE115" i="16"/>
  <c r="AE116" i="16"/>
  <c r="AA95" i="16"/>
  <c r="AA97" i="16"/>
  <c r="AF97" i="16" s="1"/>
  <c r="AA103" i="16"/>
  <c r="AA113" i="16"/>
  <c r="AF113" i="16" s="1"/>
  <c r="AA115" i="16"/>
  <c r="AA117" i="16"/>
  <c r="AI117" i="16" s="1"/>
  <c r="I92" i="16"/>
  <c r="AA92" i="16" s="1"/>
  <c r="J92" i="16"/>
  <c r="L92" i="16"/>
  <c r="M92" i="16"/>
  <c r="I93" i="16"/>
  <c r="K93" i="16" s="1"/>
  <c r="J93" i="16"/>
  <c r="L93" i="16"/>
  <c r="M93" i="16"/>
  <c r="I94" i="16"/>
  <c r="J94" i="16"/>
  <c r="L94" i="16"/>
  <c r="M94" i="16"/>
  <c r="I95" i="16"/>
  <c r="K95" i="16" s="1"/>
  <c r="J95" i="16"/>
  <c r="L95" i="16"/>
  <c r="M95" i="16"/>
  <c r="I96" i="16"/>
  <c r="AA96" i="16" s="1"/>
  <c r="J96" i="16"/>
  <c r="L96" i="16"/>
  <c r="M96" i="16"/>
  <c r="I97" i="16"/>
  <c r="J97" i="16"/>
  <c r="K97" i="16" s="1"/>
  <c r="L97" i="16"/>
  <c r="M97" i="16"/>
  <c r="I98" i="16"/>
  <c r="AA98" i="16" s="1"/>
  <c r="J98" i="16"/>
  <c r="L98" i="16"/>
  <c r="M98" i="16"/>
  <c r="I99" i="16"/>
  <c r="J99" i="16"/>
  <c r="L99" i="16"/>
  <c r="M99" i="16"/>
  <c r="I100" i="16"/>
  <c r="AA100" i="16" s="1"/>
  <c r="J100" i="16"/>
  <c r="K100" i="16"/>
  <c r="L100" i="16"/>
  <c r="M100" i="16"/>
  <c r="I101" i="16"/>
  <c r="J101" i="16"/>
  <c r="L101" i="16"/>
  <c r="M101" i="16"/>
  <c r="I102" i="16"/>
  <c r="J102" i="16"/>
  <c r="L102" i="16"/>
  <c r="M102" i="16"/>
  <c r="I103" i="16"/>
  <c r="J103" i="16"/>
  <c r="L103" i="16"/>
  <c r="M103" i="16"/>
  <c r="I104" i="16"/>
  <c r="AA104" i="16" s="1"/>
  <c r="J104" i="16"/>
  <c r="K104" i="16" s="1"/>
  <c r="L104" i="16"/>
  <c r="M104" i="16"/>
  <c r="I105" i="16"/>
  <c r="AA105" i="16" s="1"/>
  <c r="AF105" i="16" s="1"/>
  <c r="J105" i="16"/>
  <c r="L105" i="16"/>
  <c r="M105" i="16"/>
  <c r="I106" i="16"/>
  <c r="AA106" i="16" s="1"/>
  <c r="J106" i="16"/>
  <c r="L106" i="16"/>
  <c r="M106" i="16"/>
  <c r="I107" i="16"/>
  <c r="K107" i="16" s="1"/>
  <c r="J107" i="16"/>
  <c r="L107" i="16"/>
  <c r="M107" i="16"/>
  <c r="I108" i="16"/>
  <c r="AA108" i="16" s="1"/>
  <c r="J108" i="16"/>
  <c r="L108" i="16"/>
  <c r="M108" i="16"/>
  <c r="I109" i="16"/>
  <c r="K109" i="16" s="1"/>
  <c r="J109" i="16"/>
  <c r="L109" i="16"/>
  <c r="M109" i="16"/>
  <c r="I110" i="16"/>
  <c r="J110" i="16"/>
  <c r="L110" i="16"/>
  <c r="M110" i="16"/>
  <c r="I111" i="16"/>
  <c r="K111" i="16" s="1"/>
  <c r="J111" i="16"/>
  <c r="L111" i="16"/>
  <c r="M111" i="16"/>
  <c r="I112" i="16"/>
  <c r="AA112" i="16" s="1"/>
  <c r="J112" i="16"/>
  <c r="K112" i="16"/>
  <c r="L112" i="16"/>
  <c r="M112" i="16"/>
  <c r="I113" i="16"/>
  <c r="J113" i="16"/>
  <c r="K113" i="16" s="1"/>
  <c r="L113" i="16"/>
  <c r="M113" i="16"/>
  <c r="I114" i="16"/>
  <c r="AA114" i="16" s="1"/>
  <c r="J114" i="16"/>
  <c r="L114" i="16"/>
  <c r="M114" i="16"/>
  <c r="I115" i="16"/>
  <c r="J115" i="16"/>
  <c r="L115" i="16"/>
  <c r="M115" i="16"/>
  <c r="I116" i="16"/>
  <c r="AA116" i="16" s="1"/>
  <c r="J116" i="16"/>
  <c r="K116" i="16"/>
  <c r="L116" i="16"/>
  <c r="M116" i="16"/>
  <c r="I91" i="16"/>
  <c r="J91" i="16"/>
  <c r="B77" i="16"/>
  <c r="B78" i="16"/>
  <c r="AH75" i="16"/>
  <c r="AH76" i="16"/>
  <c r="AH83" i="16"/>
  <c r="AH85" i="16"/>
  <c r="AE76" i="16"/>
  <c r="AE77" i="16"/>
  <c r="AF78" i="16"/>
  <c r="AE82" i="16"/>
  <c r="AF86" i="16"/>
  <c r="AE87" i="16"/>
  <c r="I74" i="16"/>
  <c r="AA74" i="16" s="1"/>
  <c r="AI74" i="16" s="1"/>
  <c r="J74" i="16"/>
  <c r="L74" i="16"/>
  <c r="M74" i="16"/>
  <c r="N74" i="16"/>
  <c r="I75" i="16"/>
  <c r="K75" i="16" s="1"/>
  <c r="J75" i="16"/>
  <c r="L75" i="16"/>
  <c r="M75" i="16"/>
  <c r="N75" i="16"/>
  <c r="I76" i="16"/>
  <c r="AA76" i="16" s="1"/>
  <c r="J76" i="16"/>
  <c r="L76" i="16"/>
  <c r="M76" i="16"/>
  <c r="N76" i="16"/>
  <c r="I77" i="16"/>
  <c r="K77" i="16" s="1"/>
  <c r="J77" i="16"/>
  <c r="L77" i="16"/>
  <c r="M77" i="16"/>
  <c r="N77" i="16"/>
  <c r="I78" i="16"/>
  <c r="AA78" i="16" s="1"/>
  <c r="J78" i="16"/>
  <c r="L78" i="16"/>
  <c r="M78" i="16"/>
  <c r="N78" i="16"/>
  <c r="I79" i="16"/>
  <c r="K79" i="16" s="1"/>
  <c r="J79" i="16"/>
  <c r="L79" i="16"/>
  <c r="M79" i="16"/>
  <c r="N79" i="16"/>
  <c r="I80" i="16"/>
  <c r="AA80" i="16" s="1"/>
  <c r="J80" i="16"/>
  <c r="L80" i="16"/>
  <c r="M80" i="16"/>
  <c r="N80" i="16"/>
  <c r="I81" i="16"/>
  <c r="K81" i="16" s="1"/>
  <c r="J81" i="16"/>
  <c r="L81" i="16"/>
  <c r="M81" i="16"/>
  <c r="N81" i="16"/>
  <c r="I82" i="16"/>
  <c r="AA82" i="16" s="1"/>
  <c r="J82" i="16"/>
  <c r="L82" i="16"/>
  <c r="M82" i="16"/>
  <c r="N82" i="16"/>
  <c r="I83" i="16"/>
  <c r="K83" i="16" s="1"/>
  <c r="J83" i="16"/>
  <c r="L83" i="16"/>
  <c r="M83" i="16"/>
  <c r="N83" i="16"/>
  <c r="I84" i="16"/>
  <c r="AA84" i="16" s="1"/>
  <c r="J84" i="16"/>
  <c r="L84" i="16"/>
  <c r="M84" i="16"/>
  <c r="N84" i="16"/>
  <c r="I85" i="16"/>
  <c r="K85" i="16" s="1"/>
  <c r="J85" i="16"/>
  <c r="L85" i="16"/>
  <c r="M85" i="16"/>
  <c r="N85" i="16"/>
  <c r="I86" i="16"/>
  <c r="AA86" i="16" s="1"/>
  <c r="J86" i="16"/>
  <c r="K86" i="16"/>
  <c r="L86" i="16"/>
  <c r="M86" i="16"/>
  <c r="N86" i="16"/>
  <c r="I87" i="16"/>
  <c r="K87" i="16" s="1"/>
  <c r="J87" i="16"/>
  <c r="L87" i="16"/>
  <c r="M87" i="16"/>
  <c r="N87" i="16"/>
  <c r="I88" i="16"/>
  <c r="AA88" i="16" s="1"/>
  <c r="J88" i="16"/>
  <c r="L88" i="16"/>
  <c r="M88" i="16"/>
  <c r="N88" i="16"/>
  <c r="I89" i="16"/>
  <c r="K89" i="16" s="1"/>
  <c r="J89" i="16"/>
  <c r="L89" i="16"/>
  <c r="M89" i="16"/>
  <c r="N89" i="16"/>
  <c r="B72" i="16"/>
  <c r="B73" i="16"/>
  <c r="B74" i="16"/>
  <c r="N72" i="16"/>
  <c r="N73" i="16"/>
  <c r="I72" i="16"/>
  <c r="J72" i="16"/>
  <c r="I73" i="16"/>
  <c r="J73" i="16"/>
  <c r="AD70" i="16"/>
  <c r="AG70" i="16"/>
  <c r="AG123" i="16" s="1"/>
  <c r="N70" i="16"/>
  <c r="O70" i="16"/>
  <c r="O123" i="16" s="1"/>
  <c r="P70" i="16"/>
  <c r="Q70" i="16"/>
  <c r="Q123" i="16" s="1"/>
  <c r="R70" i="16"/>
  <c r="R123" i="16" s="1"/>
  <c r="S70" i="16"/>
  <c r="S123" i="16" s="1"/>
  <c r="T70" i="16"/>
  <c r="T123" i="16" s="1"/>
  <c r="U70" i="16"/>
  <c r="U123" i="16" s="1"/>
  <c r="V70" i="16"/>
  <c r="V123" i="16" s="1"/>
  <c r="W70" i="16"/>
  <c r="W123" i="16" s="1"/>
  <c r="X70" i="16"/>
  <c r="X123" i="16" s="1"/>
  <c r="Y70" i="16"/>
  <c r="Y123" i="16" s="1"/>
  <c r="Z70" i="16"/>
  <c r="Z123" i="16" s="1"/>
  <c r="AH69" i="16"/>
  <c r="AI69" i="16"/>
  <c r="AB60" i="16"/>
  <c r="AM60" i="16" s="1"/>
  <c r="AB61" i="16"/>
  <c r="AN61" i="16" s="1"/>
  <c r="AB62" i="16"/>
  <c r="AB63" i="16"/>
  <c r="AN63" i="16" s="1"/>
  <c r="AB64" i="16"/>
  <c r="AB65" i="16"/>
  <c r="AM65" i="16" s="1"/>
  <c r="AB66" i="16"/>
  <c r="AB67" i="16"/>
  <c r="AM67" i="16" s="1"/>
  <c r="AB68" i="16"/>
  <c r="AM68" i="16" s="1"/>
  <c r="AB69" i="16"/>
  <c r="N58" i="16"/>
  <c r="N59" i="16"/>
  <c r="N60" i="16"/>
  <c r="N61" i="16"/>
  <c r="N62" i="16"/>
  <c r="N63" i="16"/>
  <c r="N64" i="16"/>
  <c r="N65" i="16"/>
  <c r="N66" i="16"/>
  <c r="N67" i="16"/>
  <c r="N68" i="16"/>
  <c r="N69" i="16"/>
  <c r="I69" i="16"/>
  <c r="J69" i="16"/>
  <c r="K69" i="16"/>
  <c r="I70" i="16"/>
  <c r="K70" i="16" s="1"/>
  <c r="J70" i="16"/>
  <c r="A69" i="16"/>
  <c r="AH60" i="16"/>
  <c r="AH61" i="16"/>
  <c r="AH62" i="16"/>
  <c r="AN62" i="16" s="1"/>
  <c r="AH63" i="16"/>
  <c r="AI63" i="16"/>
  <c r="AM63" i="16"/>
  <c r="AH64" i="16"/>
  <c r="AH65" i="16"/>
  <c r="AN65" i="16" s="1"/>
  <c r="AH66" i="16"/>
  <c r="AN66" i="16" s="1"/>
  <c r="AM66" i="16"/>
  <c r="AH67" i="16"/>
  <c r="AH68" i="16"/>
  <c r="AE60" i="16"/>
  <c r="AE61" i="16"/>
  <c r="AE62" i="16"/>
  <c r="AE63" i="16"/>
  <c r="AF63" i="16"/>
  <c r="AE64" i="16"/>
  <c r="AE65" i="16"/>
  <c r="AE66" i="16"/>
  <c r="AE67" i="16"/>
  <c r="AE68" i="16"/>
  <c r="AE69" i="16"/>
  <c r="AF69" i="16"/>
  <c r="I60" i="16"/>
  <c r="K60" i="16" s="1"/>
  <c r="J60" i="16"/>
  <c r="L60" i="16"/>
  <c r="M60" i="16"/>
  <c r="I61" i="16"/>
  <c r="AA61" i="16" s="1"/>
  <c r="J61" i="16"/>
  <c r="L61" i="16"/>
  <c r="M61" i="16"/>
  <c r="I62" i="16"/>
  <c r="AA62" i="16" s="1"/>
  <c r="J62" i="16"/>
  <c r="K62" i="16"/>
  <c r="L62" i="16"/>
  <c r="M62" i="16"/>
  <c r="I63" i="16"/>
  <c r="AA63" i="16" s="1"/>
  <c r="J63" i="16"/>
  <c r="L63" i="16"/>
  <c r="M63" i="16"/>
  <c r="I64" i="16"/>
  <c r="AA64" i="16" s="1"/>
  <c r="J64" i="16"/>
  <c r="K64" i="16"/>
  <c r="L64" i="16"/>
  <c r="M64" i="16"/>
  <c r="I65" i="16"/>
  <c r="AA65" i="16" s="1"/>
  <c r="J65" i="16"/>
  <c r="K65" i="16"/>
  <c r="L65" i="16"/>
  <c r="M65" i="16"/>
  <c r="I66" i="16"/>
  <c r="K66" i="16" s="1"/>
  <c r="J66" i="16"/>
  <c r="L66" i="16"/>
  <c r="M66" i="16"/>
  <c r="I67" i="16"/>
  <c r="K67" i="16" s="1"/>
  <c r="J67" i="16"/>
  <c r="L67" i="16"/>
  <c r="M67" i="16"/>
  <c r="I68" i="16"/>
  <c r="K68" i="16" s="1"/>
  <c r="J68" i="16"/>
  <c r="L68" i="16"/>
  <c r="M68" i="16"/>
  <c r="I58" i="16"/>
  <c r="J58" i="16"/>
  <c r="I59" i="16"/>
  <c r="J59" i="16"/>
  <c r="N33" i="16"/>
  <c r="N34" i="16"/>
  <c r="N35" i="16"/>
  <c r="N36" i="16"/>
  <c r="N37" i="16"/>
  <c r="N38" i="16"/>
  <c r="N39" i="16"/>
  <c r="N40" i="16"/>
  <c r="N41" i="16"/>
  <c r="N42" i="16"/>
  <c r="N43" i="16"/>
  <c r="N44" i="16"/>
  <c r="N45" i="16"/>
  <c r="N46" i="16"/>
  <c r="N47" i="16"/>
  <c r="N48" i="16"/>
  <c r="N49" i="16"/>
  <c r="N50" i="16"/>
  <c r="N51" i="16"/>
  <c r="N52" i="16"/>
  <c r="N53" i="16"/>
  <c r="N54" i="16"/>
  <c r="N55" i="16"/>
  <c r="N56" i="16"/>
  <c r="I56" i="16"/>
  <c r="AA56" i="16" s="1"/>
  <c r="AF56" i="16" s="1"/>
  <c r="J56" i="16"/>
  <c r="AH51" i="16"/>
  <c r="AH52" i="16"/>
  <c r="AH53" i="16"/>
  <c r="AH54" i="16"/>
  <c r="AH55" i="16"/>
  <c r="AI55" i="16"/>
  <c r="AE49" i="16"/>
  <c r="AE50" i="16"/>
  <c r="AE51" i="16"/>
  <c r="AE55" i="16"/>
  <c r="AF55" i="16"/>
  <c r="AA55" i="16"/>
  <c r="AB55" i="16"/>
  <c r="AN55" i="16" s="1"/>
  <c r="I49" i="16"/>
  <c r="AA49" i="16" s="1"/>
  <c r="J49" i="16"/>
  <c r="I50" i="16"/>
  <c r="AA50" i="16" s="1"/>
  <c r="J50" i="16"/>
  <c r="I51" i="16"/>
  <c r="AA51" i="16" s="1"/>
  <c r="AI51" i="16" s="1"/>
  <c r="J51" i="16"/>
  <c r="I52" i="16"/>
  <c r="AA52" i="16" s="1"/>
  <c r="AI52" i="16" s="1"/>
  <c r="J52" i="16"/>
  <c r="I53" i="16"/>
  <c r="AA53" i="16" s="1"/>
  <c r="J53" i="16"/>
  <c r="I54" i="16"/>
  <c r="AA54" i="16" s="1"/>
  <c r="J54" i="16"/>
  <c r="AA35" i="16"/>
  <c r="AF35" i="16" s="1"/>
  <c r="AA38" i="16"/>
  <c r="AA42" i="16"/>
  <c r="AF42" i="16" s="1"/>
  <c r="AA44" i="16"/>
  <c r="AI44" i="16" s="1"/>
  <c r="AA46" i="16"/>
  <c r="AA47" i="16"/>
  <c r="AF47" i="16" s="1"/>
  <c r="I47" i="16"/>
  <c r="J47" i="16"/>
  <c r="K47" i="16"/>
  <c r="I48" i="16"/>
  <c r="AA48" i="16" s="1"/>
  <c r="J48" i="16"/>
  <c r="B44" i="16"/>
  <c r="B45" i="16"/>
  <c r="AH42" i="16"/>
  <c r="AH44" i="16"/>
  <c r="AH46" i="16"/>
  <c r="AE42" i="16"/>
  <c r="AE45" i="16"/>
  <c r="AE46" i="16"/>
  <c r="I41" i="16"/>
  <c r="AA41" i="16" s="1"/>
  <c r="J41" i="16"/>
  <c r="K41" i="16"/>
  <c r="I42" i="16"/>
  <c r="J42" i="16"/>
  <c r="K42" i="16"/>
  <c r="I43" i="16"/>
  <c r="AA43" i="16" s="1"/>
  <c r="J43" i="16"/>
  <c r="I44" i="16"/>
  <c r="J44" i="16"/>
  <c r="K44" i="16"/>
  <c r="I45" i="16"/>
  <c r="AA45" i="16" s="1"/>
  <c r="J45" i="16"/>
  <c r="K45" i="16"/>
  <c r="B39" i="16"/>
  <c r="B40" i="16"/>
  <c r="B41" i="16"/>
  <c r="I40" i="16"/>
  <c r="AA40" i="16" s="1"/>
  <c r="J40" i="16"/>
  <c r="A36" i="16"/>
  <c r="AL39" i="16"/>
  <c r="AM40" i="16"/>
  <c r="AN40" i="16"/>
  <c r="AK46" i="16"/>
  <c r="AM48" i="16"/>
  <c r="AN48" i="16"/>
  <c r="AH35" i="16"/>
  <c r="AH36" i="16"/>
  <c r="AH39" i="16"/>
  <c r="AE36" i="16"/>
  <c r="AE37" i="16"/>
  <c r="AE38" i="16"/>
  <c r="I35" i="16"/>
  <c r="J35" i="16"/>
  <c r="K35" i="16"/>
  <c r="I36" i="16"/>
  <c r="K36" i="16" s="1"/>
  <c r="J36" i="16"/>
  <c r="I37" i="16"/>
  <c r="J37" i="16"/>
  <c r="I38" i="16"/>
  <c r="K38" i="16" s="1"/>
  <c r="J38" i="16"/>
  <c r="I39" i="16"/>
  <c r="AA39" i="16" s="1"/>
  <c r="J39" i="16"/>
  <c r="I33" i="16"/>
  <c r="J33" i="16"/>
  <c r="I34" i="16"/>
  <c r="J34" i="16"/>
  <c r="AG32" i="16"/>
  <c r="AL32" i="16" s="1"/>
  <c r="AD32" i="16"/>
  <c r="AK32" i="16" s="1"/>
  <c r="O32" i="16"/>
  <c r="P32" i="16"/>
  <c r="Q32" i="16"/>
  <c r="R32" i="16"/>
  <c r="S32" i="16"/>
  <c r="T32" i="16"/>
  <c r="U32" i="16"/>
  <c r="V32" i="16"/>
  <c r="W32" i="16"/>
  <c r="X32" i="16"/>
  <c r="Y32" i="16"/>
  <c r="Z32" i="16"/>
  <c r="AJ32" i="16" s="1"/>
  <c r="AJ31" i="16"/>
  <c r="AK31" i="16"/>
  <c r="AL31" i="16"/>
  <c r="AN31" i="16" s="1"/>
  <c r="AM31" i="16"/>
  <c r="AG31" i="16"/>
  <c r="AD31" i="16"/>
  <c r="O31" i="16"/>
  <c r="P31" i="16"/>
  <c r="Q31" i="16"/>
  <c r="R31" i="16"/>
  <c r="S31" i="16"/>
  <c r="T31" i="16"/>
  <c r="U31" i="16"/>
  <c r="V31" i="16"/>
  <c r="W31" i="16"/>
  <c r="X31" i="16"/>
  <c r="Y31" i="16"/>
  <c r="Z31" i="16"/>
  <c r="AA31" i="16"/>
  <c r="N26" i="16"/>
  <c r="N27" i="16"/>
  <c r="N28" i="16"/>
  <c r="N29" i="16"/>
  <c r="B23" i="16"/>
  <c r="AG16" i="16"/>
  <c r="AG19" i="16"/>
  <c r="AH120" i="16" s="1"/>
  <c r="AG20" i="16"/>
  <c r="AL95" i="16" s="1"/>
  <c r="AD19" i="16"/>
  <c r="AE94" i="16" s="1"/>
  <c r="AD20" i="16"/>
  <c r="G19" i="16"/>
  <c r="G20" i="16"/>
  <c r="N19" i="16"/>
  <c r="O19" i="16"/>
  <c r="P19" i="16"/>
  <c r="AA19" i="16" s="1"/>
  <c r="AB56" i="16" s="1"/>
  <c r="Q19" i="16"/>
  <c r="R19" i="16"/>
  <c r="S19" i="16"/>
  <c r="T19" i="16"/>
  <c r="U19" i="16"/>
  <c r="V19" i="16"/>
  <c r="W19" i="16"/>
  <c r="X19" i="16"/>
  <c r="Y19" i="16"/>
  <c r="Z19" i="16"/>
  <c r="N20" i="16"/>
  <c r="O20" i="16"/>
  <c r="P20" i="16"/>
  <c r="Q20" i="16"/>
  <c r="R20" i="16"/>
  <c r="S20" i="16"/>
  <c r="T20" i="16"/>
  <c r="U20" i="16"/>
  <c r="V20" i="16"/>
  <c r="W20" i="16"/>
  <c r="X20" i="16"/>
  <c r="Y20" i="16"/>
  <c r="Z20" i="16"/>
  <c r="B17" i="16"/>
  <c r="B18" i="16"/>
  <c r="B19" i="16"/>
  <c r="O16" i="16"/>
  <c r="P16" i="16"/>
  <c r="Q16" i="16"/>
  <c r="R16" i="16"/>
  <c r="S16" i="16"/>
  <c r="T16" i="16"/>
  <c r="U16" i="16"/>
  <c r="V16" i="16"/>
  <c r="W16" i="16"/>
  <c r="X16" i="16"/>
  <c r="Y16" i="16"/>
  <c r="O17" i="16"/>
  <c r="P17" i="16"/>
  <c r="Q17" i="16"/>
  <c r="R17" i="16"/>
  <c r="S17" i="16"/>
  <c r="T17" i="16"/>
  <c r="U17" i="16"/>
  <c r="V17" i="16"/>
  <c r="W17" i="16"/>
  <c r="X17" i="16"/>
  <c r="Y17" i="16"/>
  <c r="Z17" i="16"/>
  <c r="AA17" i="16"/>
  <c r="AA11" i="16" s="1"/>
  <c r="A14" i="16"/>
  <c r="AG12" i="16"/>
  <c r="AG13" i="16"/>
  <c r="AD12" i="16"/>
  <c r="AD13" i="16"/>
  <c r="B12" i="16"/>
  <c r="B13" i="16"/>
  <c r="O11" i="16"/>
  <c r="P11" i="16"/>
  <c r="Q11" i="16"/>
  <c r="R11" i="16"/>
  <c r="S11" i="16"/>
  <c r="T11" i="16"/>
  <c r="U11" i="16"/>
  <c r="V11" i="16"/>
  <c r="W11" i="16"/>
  <c r="X11" i="16"/>
  <c r="Y11" i="16"/>
  <c r="Z11" i="16"/>
  <c r="O12" i="16"/>
  <c r="P12" i="16"/>
  <c r="Q12" i="16"/>
  <c r="R12" i="16"/>
  <c r="S12" i="16"/>
  <c r="T12" i="16"/>
  <c r="U12" i="16"/>
  <c r="V12" i="16"/>
  <c r="W12" i="16"/>
  <c r="X12" i="16"/>
  <c r="Y12" i="16"/>
  <c r="Z12" i="16"/>
  <c r="AA12" i="16"/>
  <c r="O13" i="16"/>
  <c r="P13" i="16"/>
  <c r="Q13" i="16"/>
  <c r="R13" i="16"/>
  <c r="S13" i="16"/>
  <c r="T13" i="16"/>
  <c r="U13" i="16"/>
  <c r="V13" i="16"/>
  <c r="W13" i="16"/>
  <c r="X13" i="16"/>
  <c r="Y13" i="16"/>
  <c r="Z13" i="16"/>
  <c r="AA13" i="16"/>
  <c r="C10" i="16"/>
  <c r="D10" i="16"/>
  <c r="C9" i="16"/>
  <c r="C1" i="16"/>
  <c r="C2" i="16"/>
  <c r="C3" i="16"/>
  <c r="C4" i="16"/>
  <c r="C5" i="16"/>
  <c r="C6" i="16"/>
  <c r="C7" i="16"/>
  <c r="C8" i="16"/>
  <c r="E6" i="16"/>
  <c r="B51" i="16" s="1"/>
  <c r="E4" i="16"/>
  <c r="F4" i="16"/>
  <c r="B3" i="16"/>
  <c r="AG76" i="7"/>
  <c r="AD76" i="7"/>
  <c r="O76" i="7"/>
  <c r="P76" i="7"/>
  <c r="Q76" i="7"/>
  <c r="R76" i="7"/>
  <c r="S76" i="7"/>
  <c r="T76" i="7"/>
  <c r="U76" i="7"/>
  <c r="V76" i="7"/>
  <c r="W76" i="7"/>
  <c r="X76" i="7"/>
  <c r="Y76" i="7"/>
  <c r="Z76" i="7"/>
  <c r="AI71" i="7"/>
  <c r="AD72" i="7"/>
  <c r="AD73" i="7"/>
  <c r="AD74" i="7"/>
  <c r="AG72" i="7"/>
  <c r="AG73" i="7"/>
  <c r="AG74" i="7"/>
  <c r="O72" i="7"/>
  <c r="P72" i="7"/>
  <c r="Q72" i="7"/>
  <c r="R72" i="7"/>
  <c r="S72" i="7"/>
  <c r="T72" i="7"/>
  <c r="U72" i="7"/>
  <c r="V72" i="7"/>
  <c r="W72" i="7"/>
  <c r="X72" i="7"/>
  <c r="Y72" i="7"/>
  <c r="Z72" i="7"/>
  <c r="O73" i="7"/>
  <c r="P73" i="7"/>
  <c r="Q73" i="7"/>
  <c r="R73" i="7"/>
  <c r="S73" i="7"/>
  <c r="T73" i="7"/>
  <c r="U73" i="7"/>
  <c r="V73" i="7"/>
  <c r="W73" i="7"/>
  <c r="X73" i="7"/>
  <c r="Y73" i="7"/>
  <c r="Z73" i="7"/>
  <c r="O74" i="7"/>
  <c r="P74" i="7"/>
  <c r="Q74" i="7"/>
  <c r="R74" i="7"/>
  <c r="S74" i="7"/>
  <c r="T74" i="7"/>
  <c r="U74" i="7"/>
  <c r="V74" i="7"/>
  <c r="W74" i="7"/>
  <c r="X74" i="7"/>
  <c r="Y74" i="7"/>
  <c r="Z74" i="7"/>
  <c r="AF71" i="7"/>
  <c r="AG65" i="7"/>
  <c r="AG66" i="7"/>
  <c r="AG68" i="7"/>
  <c r="AG69" i="7"/>
  <c r="AG70" i="7"/>
  <c r="AD65" i="7"/>
  <c r="AD66" i="7"/>
  <c r="AD68" i="7"/>
  <c r="AD69" i="7"/>
  <c r="AD70" i="7"/>
  <c r="B65" i="7"/>
  <c r="B66" i="7"/>
  <c r="O65" i="7"/>
  <c r="P65" i="7"/>
  <c r="Q65" i="7"/>
  <c r="R65" i="7"/>
  <c r="S65" i="7"/>
  <c r="T65" i="7"/>
  <c r="U65" i="7"/>
  <c r="V65" i="7"/>
  <c r="W65" i="7"/>
  <c r="X65" i="7"/>
  <c r="Y65" i="7"/>
  <c r="Z65" i="7"/>
  <c r="O66" i="7"/>
  <c r="P66" i="7"/>
  <c r="Q66" i="7"/>
  <c r="R66" i="7"/>
  <c r="S66" i="7"/>
  <c r="T66" i="7"/>
  <c r="U66" i="7"/>
  <c r="V66" i="7"/>
  <c r="W66" i="7"/>
  <c r="X66" i="7"/>
  <c r="Y66" i="7"/>
  <c r="Z66" i="7"/>
  <c r="O68" i="7"/>
  <c r="P68" i="7"/>
  <c r="Q68" i="7"/>
  <c r="R68" i="7"/>
  <c r="S68" i="7"/>
  <c r="T68" i="7"/>
  <c r="U68" i="7"/>
  <c r="V68" i="7"/>
  <c r="W68" i="7"/>
  <c r="X68" i="7"/>
  <c r="Y68" i="7"/>
  <c r="Z68" i="7"/>
  <c r="O69" i="7"/>
  <c r="P69" i="7"/>
  <c r="Q69" i="7"/>
  <c r="R69" i="7"/>
  <c r="S69" i="7"/>
  <c r="T69" i="7"/>
  <c r="U69" i="7"/>
  <c r="V69" i="7"/>
  <c r="W69" i="7"/>
  <c r="X69" i="7"/>
  <c r="Y69" i="7"/>
  <c r="Z69" i="7"/>
  <c r="O70" i="7"/>
  <c r="P70" i="7"/>
  <c r="Q70" i="7"/>
  <c r="R70" i="7"/>
  <c r="S70" i="7"/>
  <c r="T70" i="7"/>
  <c r="U70" i="7"/>
  <c r="V70" i="7"/>
  <c r="W70" i="7"/>
  <c r="X70" i="7"/>
  <c r="Y70" i="7"/>
  <c r="Z70" i="7"/>
  <c r="P63" i="7"/>
  <c r="P67" i="7" s="1"/>
  <c r="B60" i="7"/>
  <c r="B61" i="7"/>
  <c r="B62" i="7"/>
  <c r="A57" i="7"/>
  <c r="AH54" i="7"/>
  <c r="AH55" i="7"/>
  <c r="AH56" i="7"/>
  <c r="AH57" i="7"/>
  <c r="AH59" i="7"/>
  <c r="AH60" i="7"/>
  <c r="AH61" i="7"/>
  <c r="AE54" i="7"/>
  <c r="AE55" i="7"/>
  <c r="AE56" i="7"/>
  <c r="AE57" i="7"/>
  <c r="AE58" i="7"/>
  <c r="AE59" i="7"/>
  <c r="AE60" i="7"/>
  <c r="AE61" i="7"/>
  <c r="AA59" i="7"/>
  <c r="I54" i="7"/>
  <c r="AA54" i="7" s="1"/>
  <c r="J54" i="7"/>
  <c r="K54" i="7"/>
  <c r="L54" i="7"/>
  <c r="M54" i="7"/>
  <c r="N54" i="7"/>
  <c r="I55" i="7"/>
  <c r="K55" i="7" s="1"/>
  <c r="J55" i="7"/>
  <c r="L55" i="7"/>
  <c r="M55" i="7"/>
  <c r="N55" i="7"/>
  <c r="I56" i="7"/>
  <c r="AA56" i="7" s="1"/>
  <c r="J56" i="7"/>
  <c r="L56" i="7"/>
  <c r="M56" i="7"/>
  <c r="N56" i="7"/>
  <c r="I57" i="7"/>
  <c r="J57" i="7"/>
  <c r="L57" i="7"/>
  <c r="M57" i="7"/>
  <c r="N57" i="7"/>
  <c r="I58" i="7"/>
  <c r="AA58" i="7" s="1"/>
  <c r="J58" i="7"/>
  <c r="L58" i="7"/>
  <c r="M58" i="7"/>
  <c r="N58" i="7"/>
  <c r="I59" i="7"/>
  <c r="K59" i="7" s="1"/>
  <c r="J59" i="7"/>
  <c r="L59" i="7"/>
  <c r="M59" i="7"/>
  <c r="N59" i="7"/>
  <c r="I60" i="7"/>
  <c r="AA60" i="7" s="1"/>
  <c r="J60" i="7"/>
  <c r="K60" i="7"/>
  <c r="L60" i="7"/>
  <c r="M60" i="7"/>
  <c r="N60" i="7"/>
  <c r="I61" i="7"/>
  <c r="J61" i="7"/>
  <c r="L61" i="7"/>
  <c r="M61" i="7"/>
  <c r="N61" i="7"/>
  <c r="N53" i="7"/>
  <c r="I53" i="7"/>
  <c r="J53" i="7"/>
  <c r="B53" i="7"/>
  <c r="N50" i="7"/>
  <c r="N51" i="7"/>
  <c r="N76" i="7" s="1"/>
  <c r="AI50" i="7"/>
  <c r="I50" i="7"/>
  <c r="AA50" i="7" s="1"/>
  <c r="J50" i="7"/>
  <c r="I51" i="7"/>
  <c r="AA51" i="7" s="1"/>
  <c r="J51" i="7"/>
  <c r="B47" i="7"/>
  <c r="B48" i="7"/>
  <c r="B49" i="7"/>
  <c r="I48" i="7"/>
  <c r="J48" i="7"/>
  <c r="AD47" i="7"/>
  <c r="AG47" i="7"/>
  <c r="AA48" i="7"/>
  <c r="AA76" i="7" s="1"/>
  <c r="O47" i="7"/>
  <c r="P47" i="7"/>
  <c r="Q47" i="7"/>
  <c r="R47" i="7"/>
  <c r="S47" i="7"/>
  <c r="T47" i="7"/>
  <c r="U47" i="7"/>
  <c r="V47" i="7"/>
  <c r="W47" i="7"/>
  <c r="X47" i="7"/>
  <c r="Y47" i="7"/>
  <c r="Z47" i="7"/>
  <c r="A44" i="7"/>
  <c r="AH34" i="7"/>
  <c r="AH35" i="7"/>
  <c r="AH36" i="7"/>
  <c r="AH37" i="7"/>
  <c r="AH39" i="7"/>
  <c r="AH40" i="7"/>
  <c r="AH42" i="7"/>
  <c r="AH43" i="7"/>
  <c r="AH44" i="7"/>
  <c r="AE34" i="7"/>
  <c r="AE35" i="7"/>
  <c r="AE36" i="7"/>
  <c r="AE37" i="7"/>
  <c r="AE39" i="7"/>
  <c r="AE40" i="7"/>
  <c r="AE42" i="7"/>
  <c r="AE43" i="7"/>
  <c r="AE44" i="7"/>
  <c r="AA43" i="7"/>
  <c r="I34" i="7"/>
  <c r="AA34" i="7" s="1"/>
  <c r="J34" i="7"/>
  <c r="L34" i="7"/>
  <c r="M34" i="7"/>
  <c r="N34" i="7"/>
  <c r="I35" i="7"/>
  <c r="K35" i="7" s="1"/>
  <c r="J35" i="7"/>
  <c r="L35" i="7"/>
  <c r="M35" i="7"/>
  <c r="N35" i="7"/>
  <c r="I36" i="7"/>
  <c r="AA36" i="7" s="1"/>
  <c r="J36" i="7"/>
  <c r="K36" i="7"/>
  <c r="L36" i="7"/>
  <c r="M36" i="7"/>
  <c r="N36" i="7"/>
  <c r="I37" i="7"/>
  <c r="K37" i="7" s="1"/>
  <c r="J37" i="7"/>
  <c r="L37" i="7"/>
  <c r="M37" i="7"/>
  <c r="N37" i="7"/>
  <c r="I38" i="7"/>
  <c r="AA38" i="7" s="1"/>
  <c r="J38" i="7"/>
  <c r="K38" i="7"/>
  <c r="L38" i="7"/>
  <c r="M38" i="7"/>
  <c r="N38" i="7"/>
  <c r="I39" i="7"/>
  <c r="K39" i="7" s="1"/>
  <c r="J39" i="7"/>
  <c r="L39" i="7"/>
  <c r="M39" i="7"/>
  <c r="N39" i="7"/>
  <c r="I40" i="7"/>
  <c r="AA40" i="7" s="1"/>
  <c r="J40" i="7"/>
  <c r="L40" i="7"/>
  <c r="M40" i="7"/>
  <c r="N40" i="7"/>
  <c r="I41" i="7"/>
  <c r="K41" i="7" s="1"/>
  <c r="J41" i="7"/>
  <c r="L41" i="7"/>
  <c r="M41" i="7"/>
  <c r="N41" i="7"/>
  <c r="I42" i="7"/>
  <c r="AA42" i="7" s="1"/>
  <c r="J42" i="7"/>
  <c r="L42" i="7"/>
  <c r="M42" i="7"/>
  <c r="N42" i="7"/>
  <c r="I43" i="7"/>
  <c r="K43" i="7" s="1"/>
  <c r="J43" i="7"/>
  <c r="L43" i="7"/>
  <c r="M43" i="7"/>
  <c r="N43" i="7"/>
  <c r="I44" i="7"/>
  <c r="AA44" i="7" s="1"/>
  <c r="J44" i="7"/>
  <c r="L44" i="7"/>
  <c r="M44" i="7"/>
  <c r="N44" i="7"/>
  <c r="I45" i="7"/>
  <c r="K45" i="7" s="1"/>
  <c r="J45" i="7"/>
  <c r="L45" i="7"/>
  <c r="M45" i="7"/>
  <c r="N45" i="7"/>
  <c r="N33" i="7"/>
  <c r="I33" i="7"/>
  <c r="J33" i="7"/>
  <c r="AM31" i="7"/>
  <c r="AG32" i="7"/>
  <c r="AM32" i="7" s="1"/>
  <c r="AD32" i="7"/>
  <c r="AK32" i="7" s="1"/>
  <c r="O32" i="7"/>
  <c r="P32" i="7"/>
  <c r="Q32" i="7"/>
  <c r="R32" i="7"/>
  <c r="S32" i="7"/>
  <c r="T32" i="7"/>
  <c r="U32" i="7"/>
  <c r="V32" i="7"/>
  <c r="W32" i="7"/>
  <c r="X32" i="7"/>
  <c r="Y32" i="7"/>
  <c r="Z32" i="7"/>
  <c r="AJ32" i="7" s="1"/>
  <c r="AJ31" i="7"/>
  <c r="AK31" i="7"/>
  <c r="AG31" i="7"/>
  <c r="AD31" i="7"/>
  <c r="O31" i="7"/>
  <c r="P31" i="7"/>
  <c r="Q31" i="7"/>
  <c r="R31" i="7"/>
  <c r="S31" i="7"/>
  <c r="T31" i="7"/>
  <c r="U31" i="7"/>
  <c r="V31" i="7"/>
  <c r="W31" i="7"/>
  <c r="X31" i="7"/>
  <c r="Y31" i="7"/>
  <c r="Z31" i="7"/>
  <c r="AA31" i="7"/>
  <c r="N26" i="7"/>
  <c r="N27" i="7"/>
  <c r="N28" i="7"/>
  <c r="N29" i="7"/>
  <c r="B22" i="7"/>
  <c r="B23" i="7"/>
  <c r="AG16" i="7"/>
  <c r="AG19" i="7"/>
  <c r="AH45" i="7" s="1"/>
  <c r="AG20" i="7"/>
  <c r="AH58" i="7" s="1"/>
  <c r="AG21" i="7"/>
  <c r="AG63" i="7" s="1"/>
  <c r="AG67" i="7" s="1"/>
  <c r="AG22" i="7"/>
  <c r="AD19" i="7"/>
  <c r="AD20" i="7"/>
  <c r="AD21" i="7"/>
  <c r="AD63" i="7" s="1"/>
  <c r="AD67" i="7" s="1"/>
  <c r="AD22" i="7"/>
  <c r="AK50" i="7" s="1"/>
  <c r="G19" i="7"/>
  <c r="G20" i="7"/>
  <c r="N19" i="7"/>
  <c r="O19" i="7"/>
  <c r="P19" i="7"/>
  <c r="Q19" i="7"/>
  <c r="R19" i="7"/>
  <c r="S19" i="7"/>
  <c r="T19" i="7"/>
  <c r="U19" i="7"/>
  <c r="V19" i="7"/>
  <c r="W19" i="7"/>
  <c r="X19" i="7"/>
  <c r="Y19" i="7"/>
  <c r="Z19" i="7"/>
  <c r="N20" i="7"/>
  <c r="O20" i="7"/>
  <c r="P20" i="7"/>
  <c r="Q20" i="7"/>
  <c r="R20" i="7"/>
  <c r="S20" i="7"/>
  <c r="T20" i="7"/>
  <c r="U20" i="7"/>
  <c r="V20" i="7"/>
  <c r="W20" i="7"/>
  <c r="X20" i="7"/>
  <c r="Y20" i="7"/>
  <c r="Z20" i="7"/>
  <c r="N21" i="7"/>
  <c r="N63" i="7" s="1"/>
  <c r="O21" i="7"/>
  <c r="O63" i="7" s="1"/>
  <c r="O67" i="7" s="1"/>
  <c r="P21" i="7"/>
  <c r="Q21" i="7"/>
  <c r="Q63" i="7" s="1"/>
  <c r="Q67" i="7" s="1"/>
  <c r="R21" i="7"/>
  <c r="R63" i="7" s="1"/>
  <c r="R67" i="7" s="1"/>
  <c r="S21" i="7"/>
  <c r="S63" i="7" s="1"/>
  <c r="S67" i="7" s="1"/>
  <c r="T21" i="7"/>
  <c r="T63" i="7" s="1"/>
  <c r="T67" i="7" s="1"/>
  <c r="U21" i="7"/>
  <c r="U63" i="7" s="1"/>
  <c r="U67" i="7" s="1"/>
  <c r="V21" i="7"/>
  <c r="V63" i="7" s="1"/>
  <c r="V67" i="7" s="1"/>
  <c r="W21" i="7"/>
  <c r="W63" i="7" s="1"/>
  <c r="W67" i="7" s="1"/>
  <c r="X21" i="7"/>
  <c r="X63" i="7" s="1"/>
  <c r="X67" i="7" s="1"/>
  <c r="Y21" i="7"/>
  <c r="Y63" i="7" s="1"/>
  <c r="Y67" i="7" s="1"/>
  <c r="Z21" i="7"/>
  <c r="Z63" i="7" s="1"/>
  <c r="Z67" i="7" s="1"/>
  <c r="N22" i="7"/>
  <c r="O22" i="7"/>
  <c r="P22" i="7"/>
  <c r="Q22" i="7"/>
  <c r="R22" i="7"/>
  <c r="S22" i="7"/>
  <c r="T22" i="7"/>
  <c r="U22" i="7"/>
  <c r="V22" i="7"/>
  <c r="W22" i="7"/>
  <c r="X22" i="7"/>
  <c r="Y22" i="7"/>
  <c r="Z22" i="7"/>
  <c r="B17" i="7"/>
  <c r="B18" i="7"/>
  <c r="B19" i="7"/>
  <c r="O17" i="7"/>
  <c r="P17" i="7"/>
  <c r="Q17" i="7"/>
  <c r="R17" i="7"/>
  <c r="S17" i="7"/>
  <c r="T17" i="7"/>
  <c r="U17" i="7"/>
  <c r="V17" i="7"/>
  <c r="W17" i="7"/>
  <c r="X17" i="7"/>
  <c r="Y17" i="7"/>
  <c r="Z17" i="7"/>
  <c r="O16" i="7"/>
  <c r="P16" i="7"/>
  <c r="Q16" i="7"/>
  <c r="R16" i="7"/>
  <c r="S16" i="7"/>
  <c r="T16" i="7"/>
  <c r="U16" i="7"/>
  <c r="V16" i="7"/>
  <c r="W16" i="7"/>
  <c r="X16" i="7"/>
  <c r="Y16" i="7"/>
  <c r="A14" i="7"/>
  <c r="AG12" i="7"/>
  <c r="AG13" i="7"/>
  <c r="AD12" i="7"/>
  <c r="AD13" i="7"/>
  <c r="B12" i="7"/>
  <c r="B13" i="7"/>
  <c r="O12" i="7"/>
  <c r="P12" i="7"/>
  <c r="Q12" i="7"/>
  <c r="R12" i="7"/>
  <c r="S12" i="7"/>
  <c r="T12" i="7"/>
  <c r="U12" i="7"/>
  <c r="V12" i="7"/>
  <c r="W12" i="7"/>
  <c r="X12" i="7"/>
  <c r="Y12" i="7"/>
  <c r="Z12" i="7"/>
  <c r="AA12" i="7"/>
  <c r="O13" i="7"/>
  <c r="P13" i="7"/>
  <c r="Q13" i="7"/>
  <c r="R13" i="7"/>
  <c r="S13" i="7"/>
  <c r="T13" i="7"/>
  <c r="U13" i="7"/>
  <c r="V13" i="7"/>
  <c r="W13" i="7"/>
  <c r="X13" i="7"/>
  <c r="Y13" i="7"/>
  <c r="Z13" i="7"/>
  <c r="AA13" i="7"/>
  <c r="O11" i="7"/>
  <c r="P11" i="7"/>
  <c r="Q11" i="7"/>
  <c r="R11" i="7"/>
  <c r="S11" i="7"/>
  <c r="T11" i="7"/>
  <c r="U11" i="7"/>
  <c r="V11" i="7"/>
  <c r="W11" i="7"/>
  <c r="X11" i="7"/>
  <c r="Y11" i="7"/>
  <c r="Z11" i="7"/>
  <c r="C10" i="7"/>
  <c r="D10" i="7"/>
  <c r="C9" i="7"/>
  <c r="C1" i="7"/>
  <c r="C2" i="7"/>
  <c r="C3" i="7"/>
  <c r="C4" i="7"/>
  <c r="C5" i="7"/>
  <c r="C6" i="7"/>
  <c r="C7" i="7"/>
  <c r="C8" i="7"/>
  <c r="E6" i="7"/>
  <c r="E4" i="7"/>
  <c r="F4" i="7"/>
  <c r="G4" i="7"/>
  <c r="B3" i="7"/>
  <c r="AG154" i="6"/>
  <c r="AH154" i="6"/>
  <c r="AD154" i="6"/>
  <c r="AE154" i="6"/>
  <c r="N154" i="6"/>
  <c r="O154" i="6"/>
  <c r="P154" i="6"/>
  <c r="Q154" i="6"/>
  <c r="R154" i="6"/>
  <c r="S154" i="6"/>
  <c r="T154" i="6"/>
  <c r="U154" i="6"/>
  <c r="V154" i="6"/>
  <c r="W154" i="6"/>
  <c r="X154" i="6"/>
  <c r="Y154" i="6"/>
  <c r="Z154" i="6"/>
  <c r="AD152" i="6"/>
  <c r="AE152" i="6"/>
  <c r="AG152" i="6"/>
  <c r="AH152" i="6"/>
  <c r="O152" i="6"/>
  <c r="P152" i="6"/>
  <c r="Q152" i="6"/>
  <c r="R152" i="6"/>
  <c r="S152" i="6"/>
  <c r="T152" i="6"/>
  <c r="U152" i="6"/>
  <c r="V152" i="6"/>
  <c r="W152" i="6"/>
  <c r="X152" i="6"/>
  <c r="Y152" i="6"/>
  <c r="Z152" i="6"/>
  <c r="AA152" i="6"/>
  <c r="AF152" i="6" s="1"/>
  <c r="AB152" i="6"/>
  <c r="L152" i="6"/>
  <c r="M152" i="6"/>
  <c r="AB119" i="6"/>
  <c r="AB120" i="6"/>
  <c r="AB121" i="6"/>
  <c r="AB122" i="6"/>
  <c r="AB123" i="6"/>
  <c r="AB124" i="6"/>
  <c r="AB125" i="6"/>
  <c r="AB126" i="6"/>
  <c r="AB127" i="6"/>
  <c r="AB128" i="6"/>
  <c r="AB129" i="6"/>
  <c r="AB130" i="6"/>
  <c r="AB131" i="6"/>
  <c r="AB132" i="6"/>
  <c r="AB133" i="6"/>
  <c r="AB134" i="6"/>
  <c r="AB135" i="6"/>
  <c r="AB136" i="6"/>
  <c r="AB137" i="6"/>
  <c r="AB138" i="6"/>
  <c r="AB139" i="6"/>
  <c r="AB140" i="6"/>
  <c r="AB141" i="6"/>
  <c r="AB142" i="6"/>
  <c r="AB143" i="6"/>
  <c r="AB144" i="6"/>
  <c r="AB145" i="6"/>
  <c r="AB146" i="6"/>
  <c r="AB147" i="6"/>
  <c r="AB148" i="6"/>
  <c r="AB149" i="6"/>
  <c r="AB150" i="6"/>
  <c r="AB151"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AA122" i="6"/>
  <c r="AI122" i="6" s="1"/>
  <c r="AA124" i="6"/>
  <c r="AI124" i="6" s="1"/>
  <c r="AA138" i="6"/>
  <c r="AI138" i="6" s="1"/>
  <c r="AA148" i="6"/>
  <c r="AI148" i="6" s="1"/>
  <c r="AH119" i="6"/>
  <c r="AH120" i="6"/>
  <c r="AH121" i="6"/>
  <c r="AH122" i="6"/>
  <c r="AH123" i="6"/>
  <c r="AH124" i="6"/>
  <c r="AH125" i="6"/>
  <c r="AH126" i="6"/>
  <c r="AH127" i="6"/>
  <c r="AH128" i="6"/>
  <c r="AH129" i="6"/>
  <c r="AH130" i="6"/>
  <c r="AH131" i="6"/>
  <c r="AH132" i="6"/>
  <c r="AH133" i="6"/>
  <c r="AH134" i="6"/>
  <c r="AH135" i="6"/>
  <c r="AH136" i="6"/>
  <c r="AH137" i="6"/>
  <c r="AH138" i="6"/>
  <c r="AH139" i="6"/>
  <c r="AH140" i="6"/>
  <c r="AH141" i="6"/>
  <c r="AH142" i="6"/>
  <c r="AH143" i="6"/>
  <c r="AH144" i="6"/>
  <c r="AH145" i="6"/>
  <c r="AH146" i="6"/>
  <c r="AH147" i="6"/>
  <c r="AH148" i="6"/>
  <c r="AH149" i="6"/>
  <c r="AH150" i="6"/>
  <c r="AH151" i="6"/>
  <c r="AI151" i="6"/>
  <c r="AE119" i="6"/>
  <c r="AE120" i="6"/>
  <c r="AE121" i="6"/>
  <c r="AE122" i="6"/>
  <c r="AE123" i="6"/>
  <c r="AE124" i="6"/>
  <c r="AE125" i="6"/>
  <c r="AE126" i="6"/>
  <c r="AE127" i="6"/>
  <c r="AE128" i="6"/>
  <c r="AE129" i="6"/>
  <c r="AE130" i="6"/>
  <c r="AE131" i="6"/>
  <c r="AE132" i="6"/>
  <c r="AE133" i="6"/>
  <c r="AE134" i="6"/>
  <c r="AE135" i="6"/>
  <c r="AE136" i="6"/>
  <c r="AE137" i="6"/>
  <c r="AE138" i="6"/>
  <c r="AF138" i="6"/>
  <c r="AE139" i="6"/>
  <c r="AE140" i="6"/>
  <c r="AE141" i="6"/>
  <c r="AE142" i="6"/>
  <c r="AE143" i="6"/>
  <c r="AE144" i="6"/>
  <c r="AE145" i="6"/>
  <c r="AE146" i="6"/>
  <c r="AE147" i="6"/>
  <c r="AE148" i="6"/>
  <c r="AE149" i="6"/>
  <c r="AE150" i="6"/>
  <c r="AE151" i="6"/>
  <c r="AF151" i="6"/>
  <c r="L119" i="6"/>
  <c r="M119" i="6"/>
  <c r="N119" i="6"/>
  <c r="L120" i="6"/>
  <c r="M120" i="6"/>
  <c r="N120" i="6"/>
  <c r="L121" i="6"/>
  <c r="M121" i="6"/>
  <c r="N121" i="6"/>
  <c r="L122" i="6"/>
  <c r="M122" i="6"/>
  <c r="N122" i="6"/>
  <c r="L123" i="6"/>
  <c r="M123" i="6"/>
  <c r="N123" i="6"/>
  <c r="L124" i="6"/>
  <c r="M124" i="6"/>
  <c r="N124" i="6"/>
  <c r="L125" i="6"/>
  <c r="M125" i="6"/>
  <c r="N125" i="6"/>
  <c r="L126" i="6"/>
  <c r="M126" i="6"/>
  <c r="N126" i="6"/>
  <c r="L127" i="6"/>
  <c r="M127" i="6"/>
  <c r="N127" i="6"/>
  <c r="L128" i="6"/>
  <c r="M128" i="6"/>
  <c r="N128" i="6"/>
  <c r="L129" i="6"/>
  <c r="M129" i="6"/>
  <c r="N129" i="6"/>
  <c r="L130" i="6"/>
  <c r="M130" i="6"/>
  <c r="N130" i="6"/>
  <c r="L131" i="6"/>
  <c r="M131" i="6"/>
  <c r="N131" i="6"/>
  <c r="L132" i="6"/>
  <c r="M132" i="6"/>
  <c r="N132" i="6"/>
  <c r="L133" i="6"/>
  <c r="M133" i="6"/>
  <c r="N133" i="6"/>
  <c r="L134" i="6"/>
  <c r="M134" i="6"/>
  <c r="N134" i="6"/>
  <c r="L135" i="6"/>
  <c r="M135" i="6"/>
  <c r="N135" i="6"/>
  <c r="L136" i="6"/>
  <c r="M136" i="6"/>
  <c r="N136" i="6"/>
  <c r="L137" i="6"/>
  <c r="M137" i="6"/>
  <c r="N137" i="6"/>
  <c r="L138" i="6"/>
  <c r="M138" i="6"/>
  <c r="N138" i="6"/>
  <c r="L139" i="6"/>
  <c r="M139" i="6"/>
  <c r="N139" i="6"/>
  <c r="L140" i="6"/>
  <c r="M140" i="6"/>
  <c r="N140" i="6"/>
  <c r="L141" i="6"/>
  <c r="M141" i="6"/>
  <c r="N141" i="6"/>
  <c r="L142" i="6"/>
  <c r="M142" i="6"/>
  <c r="N142" i="6"/>
  <c r="L143" i="6"/>
  <c r="M143" i="6"/>
  <c r="N143" i="6"/>
  <c r="L144" i="6"/>
  <c r="M144" i="6"/>
  <c r="N144" i="6"/>
  <c r="L145" i="6"/>
  <c r="M145" i="6"/>
  <c r="N145" i="6"/>
  <c r="L146" i="6"/>
  <c r="M146" i="6"/>
  <c r="N146" i="6"/>
  <c r="L147" i="6"/>
  <c r="M147" i="6"/>
  <c r="N147" i="6"/>
  <c r="L148" i="6"/>
  <c r="M148" i="6"/>
  <c r="N148" i="6"/>
  <c r="L149" i="6"/>
  <c r="M149" i="6"/>
  <c r="N149" i="6"/>
  <c r="L150" i="6"/>
  <c r="M150" i="6"/>
  <c r="N150" i="6"/>
  <c r="L151" i="6"/>
  <c r="M151" i="6"/>
  <c r="N151" i="6"/>
  <c r="N118" i="6"/>
  <c r="I118" i="6"/>
  <c r="J118" i="6"/>
  <c r="I119" i="6"/>
  <c r="J119" i="6"/>
  <c r="I120" i="6"/>
  <c r="J120" i="6"/>
  <c r="I121" i="6"/>
  <c r="J121" i="6"/>
  <c r="I122" i="6"/>
  <c r="J122" i="6"/>
  <c r="I123" i="6"/>
  <c r="J123" i="6"/>
  <c r="I124" i="6"/>
  <c r="J124" i="6"/>
  <c r="I125" i="6"/>
  <c r="J125" i="6"/>
  <c r="I126" i="6"/>
  <c r="J126" i="6"/>
  <c r="I127" i="6"/>
  <c r="J127" i="6"/>
  <c r="I128" i="6"/>
  <c r="J128" i="6"/>
  <c r="I129" i="6"/>
  <c r="J129" i="6"/>
  <c r="I130" i="6"/>
  <c r="J130" i="6"/>
  <c r="I131" i="6"/>
  <c r="J131" i="6"/>
  <c r="I132" i="6"/>
  <c r="J132" i="6"/>
  <c r="I133" i="6"/>
  <c r="J133" i="6"/>
  <c r="I134" i="6"/>
  <c r="J134" i="6"/>
  <c r="I135" i="6"/>
  <c r="J135" i="6"/>
  <c r="I136" i="6"/>
  <c r="J136" i="6"/>
  <c r="I137" i="6"/>
  <c r="J137" i="6"/>
  <c r="I138" i="6"/>
  <c r="J138" i="6"/>
  <c r="I139" i="6"/>
  <c r="J139" i="6"/>
  <c r="I140" i="6"/>
  <c r="J140" i="6"/>
  <c r="I141" i="6"/>
  <c r="J141" i="6"/>
  <c r="I142" i="6"/>
  <c r="J142" i="6"/>
  <c r="I143" i="6"/>
  <c r="J143" i="6"/>
  <c r="I144" i="6"/>
  <c r="J144" i="6"/>
  <c r="I145" i="6"/>
  <c r="J145" i="6"/>
  <c r="I146" i="6"/>
  <c r="J146" i="6"/>
  <c r="I147" i="6"/>
  <c r="J147" i="6"/>
  <c r="I148" i="6"/>
  <c r="J148" i="6"/>
  <c r="I149" i="6"/>
  <c r="J149" i="6"/>
  <c r="I150" i="6"/>
  <c r="J150" i="6"/>
  <c r="I151" i="6"/>
  <c r="J151" i="6"/>
  <c r="I152" i="6"/>
  <c r="J152" i="6"/>
  <c r="AI74" i="6"/>
  <c r="AI75" i="6"/>
  <c r="AH81" i="6"/>
  <c r="AI83" i="6"/>
  <c r="AI85" i="6"/>
  <c r="AI87" i="6"/>
  <c r="AH91" i="6"/>
  <c r="AI91" i="6"/>
  <c r="AI94" i="6"/>
  <c r="AI97" i="6"/>
  <c r="AH98" i="6"/>
  <c r="AI98" i="6"/>
  <c r="AH99" i="6"/>
  <c r="AH100" i="6"/>
  <c r="AH101" i="6"/>
  <c r="AI102" i="6"/>
  <c r="AI103" i="6"/>
  <c r="AH104" i="6"/>
  <c r="AI106" i="6"/>
  <c r="AI107" i="6"/>
  <c r="AH108" i="6"/>
  <c r="AH110" i="6"/>
  <c r="AI110" i="6"/>
  <c r="AH112" i="6"/>
  <c r="AI114" i="6"/>
  <c r="AI115" i="6"/>
  <c r="AF76" i="6"/>
  <c r="AF80" i="6"/>
  <c r="AE81" i="6"/>
  <c r="AF82" i="6"/>
  <c r="AF84" i="6"/>
  <c r="AF89" i="6"/>
  <c r="AF90" i="6"/>
  <c r="AE91" i="6"/>
  <c r="AF94" i="6"/>
  <c r="AE96" i="6"/>
  <c r="AF97" i="6"/>
  <c r="AE98" i="6"/>
  <c r="AE100" i="6"/>
  <c r="AE104" i="6"/>
  <c r="AF104" i="6"/>
  <c r="AE106" i="6"/>
  <c r="AF106" i="6"/>
  <c r="AE108" i="6"/>
  <c r="AE110" i="6"/>
  <c r="AF110" i="6"/>
  <c r="AE111" i="6"/>
  <c r="AE112" i="6"/>
  <c r="AE113" i="6"/>
  <c r="AE114" i="6"/>
  <c r="AE115" i="6"/>
  <c r="AF116" i="6"/>
  <c r="AA72" i="6"/>
  <c r="AI72" i="6" s="1"/>
  <c r="AA73" i="6"/>
  <c r="AF73" i="6" s="1"/>
  <c r="AA74" i="6"/>
  <c r="AF74" i="6" s="1"/>
  <c r="AA75" i="6"/>
  <c r="AF75" i="6" s="1"/>
  <c r="AA76" i="6"/>
  <c r="AI76" i="6" s="1"/>
  <c r="AA77" i="6"/>
  <c r="AF77" i="6" s="1"/>
  <c r="AA78" i="6"/>
  <c r="AI78" i="6" s="1"/>
  <c r="AA79" i="6"/>
  <c r="AF79" i="6" s="1"/>
  <c r="AA80" i="6"/>
  <c r="AI80" i="6" s="1"/>
  <c r="AA81" i="6"/>
  <c r="AI81" i="6" s="1"/>
  <c r="AB81" i="6"/>
  <c r="AA82" i="6"/>
  <c r="AI82" i="6" s="1"/>
  <c r="AA83" i="6"/>
  <c r="AF83" i="6" s="1"/>
  <c r="AA84" i="6"/>
  <c r="AI84" i="6" s="1"/>
  <c r="AA85" i="6"/>
  <c r="AA132" i="6" s="1"/>
  <c r="AI132" i="6" s="1"/>
  <c r="AA86" i="6"/>
  <c r="AF86" i="6" s="1"/>
  <c r="AA87" i="6"/>
  <c r="AF87" i="6" s="1"/>
  <c r="AA88" i="6"/>
  <c r="AI88" i="6" s="1"/>
  <c r="AA89" i="6"/>
  <c r="AA136" i="6" s="1"/>
  <c r="AI136" i="6" s="1"/>
  <c r="AA90" i="6"/>
  <c r="AI90" i="6" s="1"/>
  <c r="AA91" i="6"/>
  <c r="AF91" i="6" s="1"/>
  <c r="AB91" i="6"/>
  <c r="AA92" i="6"/>
  <c r="AI92" i="6" s="1"/>
  <c r="AA93" i="6"/>
  <c r="AF93" i="6" s="1"/>
  <c r="AA94" i="6"/>
  <c r="AA95" i="6"/>
  <c r="AF95" i="6" s="1"/>
  <c r="AA96" i="6"/>
  <c r="AI96" i="6" s="1"/>
  <c r="AA97" i="6"/>
  <c r="AA98" i="6"/>
  <c r="AB98" i="6" s="1"/>
  <c r="AA99" i="6"/>
  <c r="AF99" i="6" s="1"/>
  <c r="AB99" i="6"/>
  <c r="AA100" i="6"/>
  <c r="AI100" i="6" s="1"/>
  <c r="AA101" i="6"/>
  <c r="AF101" i="6" s="1"/>
  <c r="AB101" i="6"/>
  <c r="AA102" i="6"/>
  <c r="AF102" i="6" s="1"/>
  <c r="AA103" i="6"/>
  <c r="AF103" i="6" s="1"/>
  <c r="AA104" i="6"/>
  <c r="AI104" i="6" s="1"/>
  <c r="AB104" i="6"/>
  <c r="AA105" i="6"/>
  <c r="AB154" i="6" s="1"/>
  <c r="AA106" i="6"/>
  <c r="AA107" i="6"/>
  <c r="AF107" i="6" s="1"/>
  <c r="AA108" i="6"/>
  <c r="AI108" i="6" s="1"/>
  <c r="AA109" i="6"/>
  <c r="AF109" i="6" s="1"/>
  <c r="AA110" i="6"/>
  <c r="AB110" i="6" s="1"/>
  <c r="AA111" i="6"/>
  <c r="AF111" i="6" s="1"/>
  <c r="AA112" i="6"/>
  <c r="AI112" i="6" s="1"/>
  <c r="AA113" i="6"/>
  <c r="AF113" i="6" s="1"/>
  <c r="AA114" i="6"/>
  <c r="AF114" i="6" s="1"/>
  <c r="AA115" i="6"/>
  <c r="AF115" i="6" s="1"/>
  <c r="AA116" i="6"/>
  <c r="AI116" i="6" s="1"/>
  <c r="L72" i="6"/>
  <c r="M72" i="6"/>
  <c r="N72" i="6"/>
  <c r="L73" i="6"/>
  <c r="M73" i="6"/>
  <c r="N73" i="6"/>
  <c r="L74" i="6"/>
  <c r="M74" i="6"/>
  <c r="N74" i="6"/>
  <c r="L75" i="6"/>
  <c r="M75" i="6"/>
  <c r="N75" i="6"/>
  <c r="L76" i="6"/>
  <c r="M76" i="6"/>
  <c r="N76" i="6"/>
  <c r="L77" i="6"/>
  <c r="M77" i="6"/>
  <c r="N77" i="6"/>
  <c r="L78" i="6"/>
  <c r="M78" i="6"/>
  <c r="N78" i="6"/>
  <c r="L79" i="6"/>
  <c r="M79" i="6"/>
  <c r="N79" i="6"/>
  <c r="L80" i="6"/>
  <c r="M80" i="6"/>
  <c r="N80" i="6"/>
  <c r="L81" i="6"/>
  <c r="M81" i="6"/>
  <c r="N81" i="6"/>
  <c r="L82" i="6"/>
  <c r="M82" i="6"/>
  <c r="N82" i="6"/>
  <c r="L83" i="6"/>
  <c r="M83" i="6"/>
  <c r="N83" i="6"/>
  <c r="L84" i="6"/>
  <c r="M84" i="6"/>
  <c r="N84" i="6"/>
  <c r="L85" i="6"/>
  <c r="M85" i="6"/>
  <c r="N85" i="6"/>
  <c r="L86" i="6"/>
  <c r="M86" i="6"/>
  <c r="N86" i="6"/>
  <c r="L87" i="6"/>
  <c r="M87" i="6"/>
  <c r="N87" i="6"/>
  <c r="L88" i="6"/>
  <c r="M88" i="6"/>
  <c r="N88" i="6"/>
  <c r="L89" i="6"/>
  <c r="M89" i="6"/>
  <c r="N89" i="6"/>
  <c r="L90" i="6"/>
  <c r="M90" i="6"/>
  <c r="N90" i="6"/>
  <c r="L91" i="6"/>
  <c r="M91" i="6"/>
  <c r="N91" i="6"/>
  <c r="L92" i="6"/>
  <c r="M92" i="6"/>
  <c r="N92" i="6"/>
  <c r="L93" i="6"/>
  <c r="M93" i="6"/>
  <c r="N93" i="6"/>
  <c r="L94" i="6"/>
  <c r="M94" i="6"/>
  <c r="N94" i="6"/>
  <c r="L95" i="6"/>
  <c r="M95" i="6"/>
  <c r="N95" i="6"/>
  <c r="L96" i="6"/>
  <c r="M96" i="6"/>
  <c r="N96" i="6"/>
  <c r="L97" i="6"/>
  <c r="M97" i="6"/>
  <c r="N97" i="6"/>
  <c r="L98" i="6"/>
  <c r="M98" i="6"/>
  <c r="N98" i="6"/>
  <c r="L99" i="6"/>
  <c r="M99" i="6"/>
  <c r="N99" i="6"/>
  <c r="L100" i="6"/>
  <c r="M100" i="6"/>
  <c r="N100" i="6"/>
  <c r="L101" i="6"/>
  <c r="M101" i="6"/>
  <c r="N101" i="6"/>
  <c r="L102" i="6"/>
  <c r="M102" i="6"/>
  <c r="N102" i="6"/>
  <c r="L103" i="6"/>
  <c r="M103" i="6"/>
  <c r="N103" i="6"/>
  <c r="L104" i="6"/>
  <c r="M104" i="6"/>
  <c r="N104" i="6"/>
  <c r="L105" i="6"/>
  <c r="M105" i="6"/>
  <c r="N105" i="6"/>
  <c r="L106" i="6"/>
  <c r="M106" i="6"/>
  <c r="N106" i="6"/>
  <c r="L107" i="6"/>
  <c r="M107" i="6"/>
  <c r="N107" i="6"/>
  <c r="L108" i="6"/>
  <c r="M108" i="6"/>
  <c r="N108" i="6"/>
  <c r="L109" i="6"/>
  <c r="M109" i="6"/>
  <c r="N109" i="6"/>
  <c r="L110" i="6"/>
  <c r="M110" i="6"/>
  <c r="N110" i="6"/>
  <c r="L111" i="6"/>
  <c r="M111" i="6"/>
  <c r="N111" i="6"/>
  <c r="L112" i="6"/>
  <c r="M112" i="6"/>
  <c r="N112" i="6"/>
  <c r="L113" i="6"/>
  <c r="M113" i="6"/>
  <c r="N113" i="6"/>
  <c r="L114" i="6"/>
  <c r="M114" i="6"/>
  <c r="N114" i="6"/>
  <c r="L115" i="6"/>
  <c r="M115" i="6"/>
  <c r="N115" i="6"/>
  <c r="L116" i="6"/>
  <c r="M116" i="6"/>
  <c r="N116" i="6"/>
  <c r="N71" i="6"/>
  <c r="I71" i="6"/>
  <c r="J71" i="6"/>
  <c r="I72" i="6"/>
  <c r="J72" i="6"/>
  <c r="I73" i="6"/>
  <c r="J73" i="6"/>
  <c r="I74" i="6"/>
  <c r="J74" i="6"/>
  <c r="I75" i="6"/>
  <c r="J75" i="6"/>
  <c r="I76" i="6"/>
  <c r="J76" i="6"/>
  <c r="I77" i="6"/>
  <c r="J77" i="6"/>
  <c r="I78" i="6"/>
  <c r="J78" i="6"/>
  <c r="I79" i="6"/>
  <c r="J79" i="6"/>
  <c r="I80" i="6"/>
  <c r="J80" i="6"/>
  <c r="I81" i="6"/>
  <c r="J81" i="6"/>
  <c r="I82" i="6"/>
  <c r="J82" i="6"/>
  <c r="I83" i="6"/>
  <c r="J83" i="6"/>
  <c r="I84" i="6"/>
  <c r="J84" i="6"/>
  <c r="I85" i="6"/>
  <c r="J85" i="6"/>
  <c r="I86" i="6"/>
  <c r="J86" i="6"/>
  <c r="I87" i="6"/>
  <c r="J87" i="6"/>
  <c r="I88" i="6"/>
  <c r="J88" i="6"/>
  <c r="I89" i="6"/>
  <c r="J89" i="6"/>
  <c r="I90" i="6"/>
  <c r="J90" i="6"/>
  <c r="I91" i="6"/>
  <c r="J91" i="6"/>
  <c r="I92" i="6"/>
  <c r="J92" i="6"/>
  <c r="I93" i="6"/>
  <c r="J93" i="6"/>
  <c r="I94" i="6"/>
  <c r="J94" i="6"/>
  <c r="I95" i="6"/>
  <c r="J95" i="6"/>
  <c r="I96" i="6"/>
  <c r="J96" i="6"/>
  <c r="I97" i="6"/>
  <c r="J97" i="6"/>
  <c r="I98" i="6"/>
  <c r="J98" i="6"/>
  <c r="I99" i="6"/>
  <c r="J99" i="6"/>
  <c r="I100" i="6"/>
  <c r="J100" i="6"/>
  <c r="I101" i="6"/>
  <c r="J101" i="6"/>
  <c r="I102" i="6"/>
  <c r="J102" i="6"/>
  <c r="I103" i="6"/>
  <c r="J103" i="6"/>
  <c r="I104" i="6"/>
  <c r="J104" i="6"/>
  <c r="I105" i="6"/>
  <c r="J105" i="6"/>
  <c r="I106" i="6"/>
  <c r="J106" i="6"/>
  <c r="I107" i="6"/>
  <c r="J107" i="6"/>
  <c r="I108" i="6"/>
  <c r="J108" i="6"/>
  <c r="I109" i="6"/>
  <c r="J109" i="6"/>
  <c r="I110" i="6"/>
  <c r="J110" i="6"/>
  <c r="I111" i="6"/>
  <c r="J111" i="6"/>
  <c r="I112" i="6"/>
  <c r="J112" i="6"/>
  <c r="I113" i="6"/>
  <c r="J113" i="6"/>
  <c r="I114" i="6"/>
  <c r="J114" i="6"/>
  <c r="I115" i="6"/>
  <c r="J115" i="6"/>
  <c r="I116" i="6"/>
  <c r="J116" i="6"/>
  <c r="AA54" i="6"/>
  <c r="AI54" i="6" s="1"/>
  <c r="AA55" i="6"/>
  <c r="AF55" i="6" s="1"/>
  <c r="AA56" i="6"/>
  <c r="AA141" i="6" s="1"/>
  <c r="AF141" i="6" s="1"/>
  <c r="AA57" i="6"/>
  <c r="AA58" i="6"/>
  <c r="AA59" i="6"/>
  <c r="AI59" i="6" s="1"/>
  <c r="AA60" i="6"/>
  <c r="AA145" i="6" s="1"/>
  <c r="AF145" i="6" s="1"/>
  <c r="AA61" i="6"/>
  <c r="AB61" i="6" s="1"/>
  <c r="AA62" i="6"/>
  <c r="AB62" i="6" s="1"/>
  <c r="AA63" i="6"/>
  <c r="AB63" i="6"/>
  <c r="AA64" i="6"/>
  <c r="AA149" i="6" s="1"/>
  <c r="AF149" i="6" s="1"/>
  <c r="AA65" i="6"/>
  <c r="AA150" i="6" s="1"/>
  <c r="AI150" i="6" s="1"/>
  <c r="AA66" i="6"/>
  <c r="AB66" i="6"/>
  <c r="AA67" i="6"/>
  <c r="AI67" i="6" s="1"/>
  <c r="AA68" i="6"/>
  <c r="AI68" i="6" s="1"/>
  <c r="AA69" i="6"/>
  <c r="AB43" i="6"/>
  <c r="AB53" i="6"/>
  <c r="AA34" i="6"/>
  <c r="AA119" i="6" s="1"/>
  <c r="AF119" i="6" s="1"/>
  <c r="AA35" i="6"/>
  <c r="AA120" i="6" s="1"/>
  <c r="AI120" i="6" s="1"/>
  <c r="AA36" i="6"/>
  <c r="AA37" i="6"/>
  <c r="AI37" i="6" s="1"/>
  <c r="AA38" i="6"/>
  <c r="AA123" i="6" s="1"/>
  <c r="AF123" i="6" s="1"/>
  <c r="AA39" i="6"/>
  <c r="AA40" i="6"/>
  <c r="AF40" i="6" s="1"/>
  <c r="AA41" i="6"/>
  <c r="AI41" i="6" s="1"/>
  <c r="AA42" i="6"/>
  <c r="AA127" i="6" s="1"/>
  <c r="AF127" i="6" s="1"/>
  <c r="AA43" i="6"/>
  <c r="AA44" i="6"/>
  <c r="AA129" i="6" s="1"/>
  <c r="AF129" i="6" s="1"/>
  <c r="AA45" i="6"/>
  <c r="AI45" i="6" s="1"/>
  <c r="AA46" i="6"/>
  <c r="AA131" i="6" s="1"/>
  <c r="AF131" i="6" s="1"/>
  <c r="AA47" i="6"/>
  <c r="AA48" i="6"/>
  <c r="AA49" i="6"/>
  <c r="AI49" i="6" s="1"/>
  <c r="AA50" i="6"/>
  <c r="AA135" i="6" s="1"/>
  <c r="AF135" i="6" s="1"/>
  <c r="AA51" i="6"/>
  <c r="AA52" i="6"/>
  <c r="AA137" i="6" s="1"/>
  <c r="AF137" i="6" s="1"/>
  <c r="AH39" i="6"/>
  <c r="AI40" i="6"/>
  <c r="AH43" i="6"/>
  <c r="AI48" i="6"/>
  <c r="AH49" i="6"/>
  <c r="AH51" i="6"/>
  <c r="AH53" i="6"/>
  <c r="AI53" i="6"/>
  <c r="AH56" i="6"/>
  <c r="AI56" i="6"/>
  <c r="AI57" i="6"/>
  <c r="AI58" i="6"/>
  <c r="AH59" i="6"/>
  <c r="AH60" i="6"/>
  <c r="AH61" i="6"/>
  <c r="AI61" i="6"/>
  <c r="AH62" i="6"/>
  <c r="AH63" i="6"/>
  <c r="AI63" i="6"/>
  <c r="AH65" i="6"/>
  <c r="AI65" i="6"/>
  <c r="AH66" i="6"/>
  <c r="AI66" i="6"/>
  <c r="AH67" i="6"/>
  <c r="AH69" i="6"/>
  <c r="AI69" i="6"/>
  <c r="AE35" i="6"/>
  <c r="AE36" i="6"/>
  <c r="AE37" i="6"/>
  <c r="AE39" i="6"/>
  <c r="AE40" i="6"/>
  <c r="AE41" i="6"/>
  <c r="AE43" i="6"/>
  <c r="AF45" i="6"/>
  <c r="AF46" i="6"/>
  <c r="AE48" i="6"/>
  <c r="AF48" i="6"/>
  <c r="AE49" i="6"/>
  <c r="AE52" i="6"/>
  <c r="AE53" i="6"/>
  <c r="AF53" i="6"/>
  <c r="AF54" i="6"/>
  <c r="AE55" i="6"/>
  <c r="AE57" i="6"/>
  <c r="AF57" i="6"/>
  <c r="AE58" i="6"/>
  <c r="AF58" i="6"/>
  <c r="AE59" i="6"/>
  <c r="AE60" i="6"/>
  <c r="AE61" i="6"/>
  <c r="AF61" i="6"/>
  <c r="AE62" i="6"/>
  <c r="AE63" i="6"/>
  <c r="AF63" i="6"/>
  <c r="AE65" i="6"/>
  <c r="AF65" i="6"/>
  <c r="AE66" i="6"/>
  <c r="AF66" i="6"/>
  <c r="AE67" i="6"/>
  <c r="AE69" i="6"/>
  <c r="AF69" i="6"/>
  <c r="L34" i="6"/>
  <c r="M34" i="6"/>
  <c r="N34" i="6"/>
  <c r="L35" i="6"/>
  <c r="M35" i="6"/>
  <c r="N35" i="6"/>
  <c r="L36" i="6"/>
  <c r="M36" i="6"/>
  <c r="N36" i="6"/>
  <c r="L37" i="6"/>
  <c r="M37" i="6"/>
  <c r="N37" i="6"/>
  <c r="L38" i="6"/>
  <c r="M38" i="6"/>
  <c r="N38" i="6"/>
  <c r="L39" i="6"/>
  <c r="M39" i="6"/>
  <c r="N39" i="6"/>
  <c r="L40" i="6"/>
  <c r="M40" i="6"/>
  <c r="N40" i="6"/>
  <c r="L41" i="6"/>
  <c r="M41" i="6"/>
  <c r="N41" i="6"/>
  <c r="L42" i="6"/>
  <c r="M42" i="6"/>
  <c r="N42" i="6"/>
  <c r="L43" i="6"/>
  <c r="M43" i="6"/>
  <c r="N43" i="6"/>
  <c r="L44" i="6"/>
  <c r="M44" i="6"/>
  <c r="N44" i="6"/>
  <c r="L45" i="6"/>
  <c r="M45" i="6"/>
  <c r="N45" i="6"/>
  <c r="L46" i="6"/>
  <c r="M46" i="6"/>
  <c r="N46" i="6"/>
  <c r="L47" i="6"/>
  <c r="M47" i="6"/>
  <c r="N47" i="6"/>
  <c r="L48" i="6"/>
  <c r="M48" i="6"/>
  <c r="N48" i="6"/>
  <c r="L49" i="6"/>
  <c r="M49" i="6"/>
  <c r="N49" i="6"/>
  <c r="L50" i="6"/>
  <c r="M50" i="6"/>
  <c r="N50" i="6"/>
  <c r="L51" i="6"/>
  <c r="M51" i="6"/>
  <c r="N51" i="6"/>
  <c r="L52" i="6"/>
  <c r="M52" i="6"/>
  <c r="N52" i="6"/>
  <c r="L53" i="6"/>
  <c r="M53" i="6"/>
  <c r="N53" i="6"/>
  <c r="L54" i="6"/>
  <c r="M54" i="6"/>
  <c r="N54" i="6"/>
  <c r="L55" i="6"/>
  <c r="M55" i="6"/>
  <c r="N55" i="6"/>
  <c r="L56" i="6"/>
  <c r="M56" i="6"/>
  <c r="N56" i="6"/>
  <c r="L57" i="6"/>
  <c r="M57" i="6"/>
  <c r="N57" i="6"/>
  <c r="L58" i="6"/>
  <c r="M58" i="6"/>
  <c r="N58" i="6"/>
  <c r="L59" i="6"/>
  <c r="M59" i="6"/>
  <c r="N59" i="6"/>
  <c r="L60" i="6"/>
  <c r="M60" i="6"/>
  <c r="N60" i="6"/>
  <c r="L61" i="6"/>
  <c r="M61" i="6"/>
  <c r="N61" i="6"/>
  <c r="L62" i="6"/>
  <c r="M62" i="6"/>
  <c r="N62" i="6"/>
  <c r="L63" i="6"/>
  <c r="M63" i="6"/>
  <c r="N63" i="6"/>
  <c r="L64" i="6"/>
  <c r="M64" i="6"/>
  <c r="N64" i="6"/>
  <c r="L65" i="6"/>
  <c r="M65" i="6"/>
  <c r="N65" i="6"/>
  <c r="L66" i="6"/>
  <c r="M66" i="6"/>
  <c r="N66" i="6"/>
  <c r="L67" i="6"/>
  <c r="M67" i="6"/>
  <c r="N67" i="6"/>
  <c r="L68" i="6"/>
  <c r="M68" i="6"/>
  <c r="N68" i="6"/>
  <c r="L69" i="6"/>
  <c r="M69" i="6"/>
  <c r="N69" i="6"/>
  <c r="N33" i="6"/>
  <c r="I33" i="6"/>
  <c r="J33" i="6"/>
  <c r="I34" i="6"/>
  <c r="J34" i="6"/>
  <c r="I35" i="6"/>
  <c r="J35" i="6"/>
  <c r="I36" i="6"/>
  <c r="J36" i="6"/>
  <c r="I37" i="6"/>
  <c r="J37" i="6"/>
  <c r="I38" i="6"/>
  <c r="J38" i="6"/>
  <c r="I39" i="6"/>
  <c r="J39" i="6"/>
  <c r="I40" i="6"/>
  <c r="J40" i="6"/>
  <c r="I41" i="6"/>
  <c r="J41" i="6"/>
  <c r="I42" i="6"/>
  <c r="J42" i="6"/>
  <c r="I43" i="6"/>
  <c r="J43" i="6"/>
  <c r="I44" i="6"/>
  <c r="J44" i="6"/>
  <c r="I45" i="6"/>
  <c r="J45" i="6"/>
  <c r="I46" i="6"/>
  <c r="J46" i="6"/>
  <c r="I47" i="6"/>
  <c r="J47" i="6"/>
  <c r="I48" i="6"/>
  <c r="J48" i="6"/>
  <c r="I49" i="6"/>
  <c r="J49" i="6"/>
  <c r="I50" i="6"/>
  <c r="J50" i="6"/>
  <c r="I51" i="6"/>
  <c r="J51" i="6"/>
  <c r="I52" i="6"/>
  <c r="J52" i="6"/>
  <c r="I53" i="6"/>
  <c r="J53" i="6"/>
  <c r="I54" i="6"/>
  <c r="J54" i="6"/>
  <c r="I55" i="6"/>
  <c r="J55" i="6"/>
  <c r="I56" i="6"/>
  <c r="J56" i="6"/>
  <c r="I57" i="6"/>
  <c r="J57" i="6"/>
  <c r="I58" i="6"/>
  <c r="J58" i="6"/>
  <c r="I59" i="6"/>
  <c r="J59" i="6"/>
  <c r="I60" i="6"/>
  <c r="J60" i="6"/>
  <c r="I61" i="6"/>
  <c r="J61" i="6"/>
  <c r="I62" i="6"/>
  <c r="J62" i="6"/>
  <c r="I63" i="6"/>
  <c r="J63" i="6"/>
  <c r="I64" i="6"/>
  <c r="J64" i="6"/>
  <c r="I65" i="6"/>
  <c r="J65" i="6"/>
  <c r="I66" i="6"/>
  <c r="J66" i="6"/>
  <c r="I67" i="6"/>
  <c r="J67" i="6"/>
  <c r="I68" i="6"/>
  <c r="J68" i="6"/>
  <c r="I69" i="6"/>
  <c r="J69" i="6"/>
  <c r="AG32" i="6"/>
  <c r="AD32" i="6"/>
  <c r="O32" i="6"/>
  <c r="P32" i="6"/>
  <c r="Q32" i="6"/>
  <c r="R32" i="6"/>
  <c r="S32" i="6"/>
  <c r="T32" i="6"/>
  <c r="U32" i="6"/>
  <c r="V32" i="6"/>
  <c r="W32" i="6"/>
  <c r="X32" i="6"/>
  <c r="Y32" i="6"/>
  <c r="Z32" i="6"/>
  <c r="AG31" i="6"/>
  <c r="AD31" i="6"/>
  <c r="O31" i="6"/>
  <c r="P31" i="6"/>
  <c r="Q31" i="6"/>
  <c r="R31" i="6"/>
  <c r="S31" i="6"/>
  <c r="T31" i="6"/>
  <c r="U31" i="6"/>
  <c r="V31" i="6"/>
  <c r="W31" i="6"/>
  <c r="X31" i="6"/>
  <c r="Y31" i="6"/>
  <c r="Z31" i="6"/>
  <c r="AA31" i="6"/>
  <c r="N26" i="6"/>
  <c r="N27" i="6"/>
  <c r="N28" i="6"/>
  <c r="N29" i="6"/>
  <c r="B23" i="6"/>
  <c r="AG16" i="6"/>
  <c r="AG19" i="6"/>
  <c r="AH37" i="6" s="1"/>
  <c r="AG20" i="6"/>
  <c r="AH72" i="6" s="1"/>
  <c r="AD19" i="6"/>
  <c r="AE34" i="6" s="1"/>
  <c r="AD20" i="6"/>
  <c r="G19" i="6"/>
  <c r="G20" i="6"/>
  <c r="N19" i="6"/>
  <c r="O19" i="6"/>
  <c r="P19" i="6"/>
  <c r="Q19" i="6"/>
  <c r="R19" i="6"/>
  <c r="S19" i="6"/>
  <c r="T19" i="6"/>
  <c r="U19" i="6"/>
  <c r="V19" i="6"/>
  <c r="W19" i="6"/>
  <c r="X19" i="6"/>
  <c r="Y19" i="6"/>
  <c r="Z19" i="6"/>
  <c r="N20" i="6"/>
  <c r="O20" i="6"/>
  <c r="P20" i="6"/>
  <c r="Q20" i="6"/>
  <c r="R20" i="6"/>
  <c r="S20" i="6"/>
  <c r="T20" i="6"/>
  <c r="U20" i="6"/>
  <c r="V20" i="6"/>
  <c r="W20" i="6"/>
  <c r="X20" i="6"/>
  <c r="Y20" i="6"/>
  <c r="Z20" i="6"/>
  <c r="B17" i="6"/>
  <c r="B18" i="6"/>
  <c r="B19" i="6"/>
  <c r="AA16" i="6"/>
  <c r="O16" i="6"/>
  <c r="P16" i="6"/>
  <c r="Q16" i="6"/>
  <c r="R16" i="6"/>
  <c r="S16" i="6"/>
  <c r="T16" i="6"/>
  <c r="U16" i="6"/>
  <c r="V16" i="6"/>
  <c r="W16" i="6"/>
  <c r="X16" i="6"/>
  <c r="Y16" i="6"/>
  <c r="Z16" i="6"/>
  <c r="O17" i="6"/>
  <c r="P17" i="6"/>
  <c r="Q17" i="6"/>
  <c r="R17" i="6"/>
  <c r="S17" i="6"/>
  <c r="T17" i="6"/>
  <c r="U17" i="6"/>
  <c r="V17" i="6"/>
  <c r="W17" i="6"/>
  <c r="X17" i="6"/>
  <c r="Y17" i="6"/>
  <c r="Z17" i="6"/>
  <c r="AA17" i="6" s="1"/>
  <c r="AA18" i="6" s="1"/>
  <c r="A14" i="6"/>
  <c r="AG12" i="6"/>
  <c r="AG13" i="6"/>
  <c r="AD12" i="6"/>
  <c r="AD13" i="6"/>
  <c r="B12" i="6"/>
  <c r="B13" i="6"/>
  <c r="O12" i="6"/>
  <c r="P12" i="6"/>
  <c r="Q12" i="6"/>
  <c r="R12" i="6"/>
  <c r="S12" i="6"/>
  <c r="T12" i="6"/>
  <c r="U12" i="6"/>
  <c r="V12" i="6"/>
  <c r="W12" i="6"/>
  <c r="X12" i="6"/>
  <c r="Y12" i="6"/>
  <c r="Z12" i="6"/>
  <c r="AA12" i="6"/>
  <c r="O13" i="6"/>
  <c r="P13" i="6"/>
  <c r="Q13" i="6"/>
  <c r="R13" i="6"/>
  <c r="S13" i="6"/>
  <c r="T13" i="6"/>
  <c r="U13" i="6"/>
  <c r="V13" i="6"/>
  <c r="W13" i="6"/>
  <c r="X13" i="6"/>
  <c r="Y13" i="6"/>
  <c r="Z13" i="6"/>
  <c r="AA13" i="6"/>
  <c r="O11" i="6"/>
  <c r="P11" i="6"/>
  <c r="Q11" i="6"/>
  <c r="R11" i="6"/>
  <c r="S11" i="6"/>
  <c r="T11" i="6"/>
  <c r="U11" i="6"/>
  <c r="V11" i="6"/>
  <c r="W11" i="6"/>
  <c r="X11" i="6"/>
  <c r="Y11" i="6"/>
  <c r="Z11" i="6"/>
  <c r="C10" i="6"/>
  <c r="D10" i="6"/>
  <c r="C9" i="6"/>
  <c r="C1" i="6"/>
  <c r="C2" i="6"/>
  <c r="C3" i="6"/>
  <c r="C4" i="6"/>
  <c r="C5" i="6"/>
  <c r="C6" i="6"/>
  <c r="C7" i="6"/>
  <c r="C8" i="6"/>
  <c r="E6" i="6"/>
  <c r="E4" i="6"/>
  <c r="F4" i="6"/>
  <c r="B3" i="6"/>
  <c r="AG100" i="4"/>
  <c r="AG101" i="4"/>
  <c r="AD100" i="4"/>
  <c r="AD101" i="4"/>
  <c r="O100" i="4"/>
  <c r="P100" i="4"/>
  <c r="Q100" i="4"/>
  <c r="R100" i="4"/>
  <c r="S100" i="4"/>
  <c r="T100" i="4"/>
  <c r="U100" i="4"/>
  <c r="V100" i="4"/>
  <c r="W100" i="4"/>
  <c r="X100" i="4"/>
  <c r="Y100" i="4"/>
  <c r="Z100" i="4"/>
  <c r="O101" i="4"/>
  <c r="P101" i="4"/>
  <c r="Q101" i="4"/>
  <c r="R101" i="4"/>
  <c r="S101" i="4"/>
  <c r="T101" i="4"/>
  <c r="U101" i="4"/>
  <c r="V101" i="4"/>
  <c r="W101" i="4"/>
  <c r="X101" i="4"/>
  <c r="Y101" i="4"/>
  <c r="Z101" i="4"/>
  <c r="N97" i="4"/>
  <c r="N100" i="4" s="1"/>
  <c r="N98" i="4"/>
  <c r="N101" i="4" s="1"/>
  <c r="AK97" i="4"/>
  <c r="I97" i="4"/>
  <c r="AA97" i="4" s="1"/>
  <c r="J97" i="4"/>
  <c r="I98" i="4"/>
  <c r="AA98" i="4" s="1"/>
  <c r="J98" i="4"/>
  <c r="N70" i="4"/>
  <c r="N71" i="4"/>
  <c r="N72" i="4"/>
  <c r="N73" i="4"/>
  <c r="N74" i="4"/>
  <c r="N75" i="4"/>
  <c r="N76" i="4"/>
  <c r="N77" i="4"/>
  <c r="N78" i="4"/>
  <c r="N79" i="4"/>
  <c r="N80" i="4"/>
  <c r="N81" i="4"/>
  <c r="N82" i="4"/>
  <c r="N83" i="4"/>
  <c r="N84" i="4"/>
  <c r="N85" i="4"/>
  <c r="N86" i="4"/>
  <c r="N87" i="4"/>
  <c r="N88" i="4"/>
  <c r="N89" i="4"/>
  <c r="N90" i="4"/>
  <c r="N91" i="4"/>
  <c r="N92" i="4"/>
  <c r="N93" i="4"/>
  <c r="N94" i="4"/>
  <c r="N95" i="4"/>
  <c r="I95" i="4"/>
  <c r="AA95" i="4" s="1"/>
  <c r="J95" i="4"/>
  <c r="B84" i="4"/>
  <c r="B78" i="4"/>
  <c r="B79" i="4"/>
  <c r="B80" i="4"/>
  <c r="A75" i="4"/>
  <c r="AH74" i="4"/>
  <c r="AK74" i="4"/>
  <c r="AH77" i="4"/>
  <c r="AH81" i="4"/>
  <c r="AK84" i="4"/>
  <c r="AM84" i="4"/>
  <c r="AH87" i="4"/>
  <c r="AK92" i="4"/>
  <c r="AE71" i="4"/>
  <c r="AE79" i="4"/>
  <c r="AE80" i="4"/>
  <c r="AE83" i="4"/>
  <c r="AE91" i="4"/>
  <c r="AA77" i="4"/>
  <c r="AI77" i="4" s="1"/>
  <c r="AA83" i="4"/>
  <c r="AF83" i="4" s="1"/>
  <c r="AA84" i="4"/>
  <c r="AI84" i="4" s="1"/>
  <c r="AA85" i="4"/>
  <c r="AI85" i="4" s="1"/>
  <c r="I71" i="4"/>
  <c r="AA71" i="4" s="1"/>
  <c r="J71" i="4"/>
  <c r="L71" i="4"/>
  <c r="M71" i="4"/>
  <c r="I72" i="4"/>
  <c r="J72" i="4"/>
  <c r="L72" i="4"/>
  <c r="M72" i="4"/>
  <c r="I73" i="4"/>
  <c r="K73" i="4" s="1"/>
  <c r="J73" i="4"/>
  <c r="L73" i="4"/>
  <c r="M73" i="4"/>
  <c r="I74" i="4"/>
  <c r="AA74" i="4" s="1"/>
  <c r="J74" i="4"/>
  <c r="L74" i="4"/>
  <c r="M74" i="4"/>
  <c r="I75" i="4"/>
  <c r="AA75" i="4" s="1"/>
  <c r="J75" i="4"/>
  <c r="L75" i="4"/>
  <c r="M75" i="4"/>
  <c r="I76" i="4"/>
  <c r="AA76" i="4" s="1"/>
  <c r="J76" i="4"/>
  <c r="L76" i="4"/>
  <c r="M76" i="4"/>
  <c r="I77" i="4"/>
  <c r="K77" i="4" s="1"/>
  <c r="J77" i="4"/>
  <c r="L77" i="4"/>
  <c r="M77" i="4"/>
  <c r="I78" i="4"/>
  <c r="AA78" i="4" s="1"/>
  <c r="J78" i="4"/>
  <c r="L78" i="4"/>
  <c r="M78" i="4"/>
  <c r="I79" i="4"/>
  <c r="K79" i="4" s="1"/>
  <c r="J79" i="4"/>
  <c r="L79" i="4"/>
  <c r="M79" i="4"/>
  <c r="I80" i="4"/>
  <c r="J80" i="4"/>
  <c r="L80" i="4"/>
  <c r="M80" i="4"/>
  <c r="I81" i="4"/>
  <c r="J81" i="4"/>
  <c r="L81" i="4"/>
  <c r="M81" i="4"/>
  <c r="I82" i="4"/>
  <c r="AA82" i="4" s="1"/>
  <c r="J82" i="4"/>
  <c r="L82" i="4"/>
  <c r="M82" i="4"/>
  <c r="I83" i="4"/>
  <c r="J83" i="4"/>
  <c r="K83" i="4" s="1"/>
  <c r="L83" i="4"/>
  <c r="M83" i="4"/>
  <c r="I84" i="4"/>
  <c r="J84" i="4"/>
  <c r="K84" i="4"/>
  <c r="L84" i="4"/>
  <c r="M84" i="4"/>
  <c r="I85" i="4"/>
  <c r="J85" i="4"/>
  <c r="L85" i="4"/>
  <c r="M85" i="4"/>
  <c r="I86" i="4"/>
  <c r="AA86" i="4" s="1"/>
  <c r="J86" i="4"/>
  <c r="L86" i="4"/>
  <c r="M86" i="4"/>
  <c r="I87" i="4"/>
  <c r="AA87" i="4" s="1"/>
  <c r="J87" i="4"/>
  <c r="K87" i="4"/>
  <c r="L87" i="4"/>
  <c r="M87" i="4"/>
  <c r="I88" i="4"/>
  <c r="K88" i="4" s="1"/>
  <c r="J88" i="4"/>
  <c r="L88" i="4"/>
  <c r="M88" i="4"/>
  <c r="I89" i="4"/>
  <c r="J89" i="4"/>
  <c r="L89" i="4"/>
  <c r="M89" i="4"/>
  <c r="I90" i="4"/>
  <c r="AA90" i="4" s="1"/>
  <c r="J90" i="4"/>
  <c r="L90" i="4"/>
  <c r="M90" i="4"/>
  <c r="I91" i="4"/>
  <c r="AA91" i="4" s="1"/>
  <c r="J91" i="4"/>
  <c r="K91" i="4" s="1"/>
  <c r="L91" i="4"/>
  <c r="M91" i="4"/>
  <c r="I92" i="4"/>
  <c r="K92" i="4" s="1"/>
  <c r="J92" i="4"/>
  <c r="L92" i="4"/>
  <c r="M92" i="4"/>
  <c r="I93" i="4"/>
  <c r="K93" i="4" s="1"/>
  <c r="J93" i="4"/>
  <c r="L93" i="4"/>
  <c r="M93" i="4"/>
  <c r="I94" i="4"/>
  <c r="AA94" i="4" s="1"/>
  <c r="J94" i="4"/>
  <c r="L94" i="4"/>
  <c r="M94" i="4"/>
  <c r="I70" i="4"/>
  <c r="J70" i="4"/>
  <c r="AI58" i="4"/>
  <c r="AK58" i="4"/>
  <c r="AH61" i="4"/>
  <c r="AH62" i="4"/>
  <c r="AK66" i="4"/>
  <c r="AK68" i="4"/>
  <c r="AE58" i="4"/>
  <c r="AE60" i="4"/>
  <c r="AE61" i="4"/>
  <c r="AE64" i="4"/>
  <c r="AE65" i="4"/>
  <c r="AE66" i="4"/>
  <c r="AA58" i="4"/>
  <c r="AA59" i="4"/>
  <c r="AA64" i="4"/>
  <c r="AF64" i="4" s="1"/>
  <c r="AA67" i="4"/>
  <c r="AH56" i="4"/>
  <c r="AE56" i="4"/>
  <c r="AA55" i="4"/>
  <c r="AI55" i="4" s="1"/>
  <c r="I55" i="4"/>
  <c r="K55" i="4" s="1"/>
  <c r="J55" i="4"/>
  <c r="L55" i="4"/>
  <c r="M55" i="4"/>
  <c r="N55" i="4"/>
  <c r="I56" i="4"/>
  <c r="AA56" i="4" s="1"/>
  <c r="J56" i="4"/>
  <c r="K56" i="4"/>
  <c r="L56" i="4"/>
  <c r="M56" i="4"/>
  <c r="N56" i="4"/>
  <c r="I57" i="4"/>
  <c r="K57" i="4" s="1"/>
  <c r="J57" i="4"/>
  <c r="L57" i="4"/>
  <c r="M57" i="4"/>
  <c r="N57" i="4"/>
  <c r="I58" i="4"/>
  <c r="K58" i="4" s="1"/>
  <c r="J58" i="4"/>
  <c r="L58" i="4"/>
  <c r="M58" i="4"/>
  <c r="N58" i="4"/>
  <c r="I59" i="4"/>
  <c r="K59" i="4" s="1"/>
  <c r="J59" i="4"/>
  <c r="L59" i="4"/>
  <c r="M59" i="4"/>
  <c r="N59" i="4"/>
  <c r="I60" i="4"/>
  <c r="AA60" i="4" s="1"/>
  <c r="AF60" i="4" s="1"/>
  <c r="J60" i="4"/>
  <c r="L60" i="4"/>
  <c r="M60" i="4"/>
  <c r="N60" i="4"/>
  <c r="I61" i="4"/>
  <c r="K61" i="4" s="1"/>
  <c r="J61" i="4"/>
  <c r="L61" i="4"/>
  <c r="M61" i="4"/>
  <c r="N61" i="4"/>
  <c r="I62" i="4"/>
  <c r="K62" i="4" s="1"/>
  <c r="J62" i="4"/>
  <c r="L62" i="4"/>
  <c r="M62" i="4"/>
  <c r="N62" i="4"/>
  <c r="I63" i="4"/>
  <c r="K63" i="4" s="1"/>
  <c r="J63" i="4"/>
  <c r="L63" i="4"/>
  <c r="M63" i="4"/>
  <c r="N63" i="4"/>
  <c r="I64" i="4"/>
  <c r="J64" i="4"/>
  <c r="K64" i="4"/>
  <c r="L64" i="4"/>
  <c r="M64" i="4"/>
  <c r="N64" i="4"/>
  <c r="I65" i="4"/>
  <c r="K65" i="4" s="1"/>
  <c r="J65" i="4"/>
  <c r="L65" i="4"/>
  <c r="M65" i="4"/>
  <c r="N65" i="4"/>
  <c r="I66" i="4"/>
  <c r="AA66" i="4" s="1"/>
  <c r="J66" i="4"/>
  <c r="L66" i="4"/>
  <c r="M66" i="4"/>
  <c r="N66" i="4"/>
  <c r="I67" i="4"/>
  <c r="K67" i="4" s="1"/>
  <c r="J67" i="4"/>
  <c r="L67" i="4"/>
  <c r="M67" i="4"/>
  <c r="N67" i="4"/>
  <c r="I68" i="4"/>
  <c r="AA68" i="4" s="1"/>
  <c r="AF68" i="4" s="1"/>
  <c r="J68" i="4"/>
  <c r="L68" i="4"/>
  <c r="M68" i="4"/>
  <c r="N68" i="4"/>
  <c r="N53" i="4"/>
  <c r="N54" i="4"/>
  <c r="I53" i="4"/>
  <c r="J53" i="4"/>
  <c r="I54" i="4"/>
  <c r="J54" i="4"/>
  <c r="B52" i="4"/>
  <c r="B53" i="4"/>
  <c r="B47" i="4"/>
  <c r="B48" i="4"/>
  <c r="B49" i="4"/>
  <c r="A44" i="4"/>
  <c r="AH36" i="4"/>
  <c r="AH38" i="4"/>
  <c r="AK39" i="4"/>
  <c r="AH41" i="4"/>
  <c r="AH42" i="4"/>
  <c r="AH44" i="4"/>
  <c r="AH45" i="4"/>
  <c r="AK47" i="4"/>
  <c r="AH48" i="4"/>
  <c r="AH49" i="4"/>
  <c r="AK49" i="4"/>
  <c r="AH51" i="4"/>
  <c r="AM51" i="4"/>
  <c r="AE36" i="4"/>
  <c r="AE38" i="4"/>
  <c r="AE39" i="4"/>
  <c r="AE41" i="4"/>
  <c r="AE42" i="4"/>
  <c r="AE43" i="4"/>
  <c r="AE44" i="4"/>
  <c r="AE46" i="4"/>
  <c r="AE47" i="4"/>
  <c r="AE48" i="4"/>
  <c r="AE51" i="4"/>
  <c r="AA37" i="4"/>
  <c r="AA43" i="4"/>
  <c r="AF43" i="4" s="1"/>
  <c r="AA45" i="4"/>
  <c r="AB45" i="4" s="1"/>
  <c r="AA51" i="4"/>
  <c r="AF51" i="4" s="1"/>
  <c r="I35" i="4"/>
  <c r="K35" i="4" s="1"/>
  <c r="J35" i="4"/>
  <c r="L35" i="4"/>
  <c r="M35" i="4"/>
  <c r="N35" i="4"/>
  <c r="I36" i="4"/>
  <c r="AA36" i="4" s="1"/>
  <c r="J36" i="4"/>
  <c r="L36" i="4"/>
  <c r="M36" i="4"/>
  <c r="N36" i="4"/>
  <c r="I37" i="4"/>
  <c r="K37" i="4" s="1"/>
  <c r="J37" i="4"/>
  <c r="L37" i="4"/>
  <c r="M37" i="4"/>
  <c r="N37" i="4"/>
  <c r="I38" i="4"/>
  <c r="K38" i="4" s="1"/>
  <c r="J38" i="4"/>
  <c r="L38" i="4"/>
  <c r="M38" i="4"/>
  <c r="N38" i="4"/>
  <c r="I39" i="4"/>
  <c r="AA39" i="4" s="1"/>
  <c r="J39" i="4"/>
  <c r="K39" i="4"/>
  <c r="L39" i="4"/>
  <c r="M39" i="4"/>
  <c r="N39" i="4"/>
  <c r="I40" i="4"/>
  <c r="AA40" i="4" s="1"/>
  <c r="J40" i="4"/>
  <c r="L40" i="4"/>
  <c r="M40" i="4"/>
  <c r="N40" i="4"/>
  <c r="I41" i="4"/>
  <c r="K41" i="4" s="1"/>
  <c r="J41" i="4"/>
  <c r="L41" i="4"/>
  <c r="M41" i="4"/>
  <c r="N41" i="4"/>
  <c r="I42" i="4"/>
  <c r="AA42" i="4" s="1"/>
  <c r="J42" i="4"/>
  <c r="L42" i="4"/>
  <c r="M42" i="4"/>
  <c r="N42" i="4"/>
  <c r="I43" i="4"/>
  <c r="K43" i="4" s="1"/>
  <c r="J43" i="4"/>
  <c r="L43" i="4"/>
  <c r="M43" i="4"/>
  <c r="N43" i="4"/>
  <c r="I44" i="4"/>
  <c r="AA44" i="4" s="1"/>
  <c r="J44" i="4"/>
  <c r="L44" i="4"/>
  <c r="M44" i="4"/>
  <c r="N44" i="4"/>
  <c r="I45" i="4"/>
  <c r="K45" i="4" s="1"/>
  <c r="J45" i="4"/>
  <c r="L45" i="4"/>
  <c r="M45" i="4"/>
  <c r="N45" i="4"/>
  <c r="I46" i="4"/>
  <c r="AA46" i="4" s="1"/>
  <c r="J46" i="4"/>
  <c r="L46" i="4"/>
  <c r="M46" i="4"/>
  <c r="N46" i="4"/>
  <c r="I47" i="4"/>
  <c r="AA47" i="4" s="1"/>
  <c r="J47" i="4"/>
  <c r="L47" i="4"/>
  <c r="M47" i="4"/>
  <c r="N47" i="4"/>
  <c r="I48" i="4"/>
  <c r="AA48" i="4" s="1"/>
  <c r="J48" i="4"/>
  <c r="L48" i="4"/>
  <c r="M48" i="4"/>
  <c r="N48" i="4"/>
  <c r="I49" i="4"/>
  <c r="K49" i="4" s="1"/>
  <c r="J49" i="4"/>
  <c r="L49" i="4"/>
  <c r="M49" i="4"/>
  <c r="N49" i="4"/>
  <c r="I50" i="4"/>
  <c r="K50" i="4" s="1"/>
  <c r="J50" i="4"/>
  <c r="L50" i="4"/>
  <c r="M50" i="4"/>
  <c r="N50" i="4"/>
  <c r="I51" i="4"/>
  <c r="K51" i="4" s="1"/>
  <c r="J51" i="4"/>
  <c r="L51" i="4"/>
  <c r="M51" i="4"/>
  <c r="N51" i="4"/>
  <c r="N33" i="4"/>
  <c r="N34" i="4"/>
  <c r="I33" i="4"/>
  <c r="J33" i="4"/>
  <c r="I34" i="4"/>
  <c r="J34" i="4"/>
  <c r="AM31" i="4"/>
  <c r="AG32" i="4"/>
  <c r="AM32" i="4" s="1"/>
  <c r="AD32" i="4"/>
  <c r="O32" i="4"/>
  <c r="P32" i="4"/>
  <c r="Q32" i="4"/>
  <c r="R32" i="4"/>
  <c r="S32" i="4"/>
  <c r="T32" i="4"/>
  <c r="U32" i="4"/>
  <c r="V32" i="4"/>
  <c r="W32" i="4"/>
  <c r="X32" i="4"/>
  <c r="Y32" i="4"/>
  <c r="Z32" i="4"/>
  <c r="AJ32" i="4" s="1"/>
  <c r="AJ31" i="4"/>
  <c r="AK31" i="4"/>
  <c r="AK32" i="4"/>
  <c r="AG31" i="4"/>
  <c r="AD31" i="4"/>
  <c r="O31" i="4"/>
  <c r="P31" i="4"/>
  <c r="Q31" i="4"/>
  <c r="R31" i="4"/>
  <c r="S31" i="4"/>
  <c r="T31" i="4"/>
  <c r="U31" i="4"/>
  <c r="V31" i="4"/>
  <c r="W31" i="4"/>
  <c r="X31" i="4"/>
  <c r="Y31" i="4"/>
  <c r="Z31" i="4"/>
  <c r="AA31" i="4"/>
  <c r="N26" i="4"/>
  <c r="N27" i="4"/>
  <c r="N28" i="4"/>
  <c r="N29" i="4"/>
  <c r="B22" i="4"/>
  <c r="B23" i="4"/>
  <c r="AG16" i="4"/>
  <c r="AG19" i="4"/>
  <c r="AH72" i="4" s="1"/>
  <c r="AG20" i="4"/>
  <c r="AM77" i="4" s="1"/>
  <c r="AD16" i="4"/>
  <c r="AD19" i="4"/>
  <c r="AE75" i="4" s="1"/>
  <c r="AD20" i="4"/>
  <c r="AK98" i="4" s="1"/>
  <c r="N19" i="4"/>
  <c r="O19" i="4"/>
  <c r="P19" i="4"/>
  <c r="Q19" i="4"/>
  <c r="R19" i="4"/>
  <c r="S19" i="4"/>
  <c r="T19" i="4"/>
  <c r="U19" i="4"/>
  <c r="V19" i="4"/>
  <c r="W19" i="4"/>
  <c r="X19" i="4"/>
  <c r="Y19" i="4"/>
  <c r="Z19" i="4"/>
  <c r="N20" i="4"/>
  <c r="O20" i="4"/>
  <c r="P20" i="4"/>
  <c r="AA20" i="4" s="1"/>
  <c r="AJ57" i="4" s="1"/>
  <c r="Q20" i="4"/>
  <c r="R20" i="4"/>
  <c r="S20" i="4"/>
  <c r="T20" i="4"/>
  <c r="U20" i="4"/>
  <c r="V20" i="4"/>
  <c r="W20" i="4"/>
  <c r="X20" i="4"/>
  <c r="Y20" i="4"/>
  <c r="Z20" i="4"/>
  <c r="G19" i="4"/>
  <c r="B17" i="4"/>
  <c r="B18" i="4"/>
  <c r="B19" i="4"/>
  <c r="O17" i="4"/>
  <c r="P17" i="4"/>
  <c r="Q17" i="4"/>
  <c r="R17" i="4"/>
  <c r="S17" i="4"/>
  <c r="T17" i="4"/>
  <c r="U17" i="4"/>
  <c r="V17" i="4"/>
  <c r="W17" i="4"/>
  <c r="X17" i="4"/>
  <c r="Y17" i="4"/>
  <c r="Z17" i="4"/>
  <c r="O16" i="4"/>
  <c r="P16" i="4"/>
  <c r="Q16" i="4"/>
  <c r="R16" i="4"/>
  <c r="S16" i="4"/>
  <c r="T16" i="4"/>
  <c r="U16" i="4"/>
  <c r="V16" i="4"/>
  <c r="W16" i="4"/>
  <c r="X16" i="4"/>
  <c r="Y16" i="4"/>
  <c r="A14" i="4"/>
  <c r="AG12" i="4"/>
  <c r="AG13" i="4"/>
  <c r="AD12" i="4"/>
  <c r="AD13" i="4"/>
  <c r="B12" i="4"/>
  <c r="AA16" i="4" s="1"/>
  <c r="B13" i="4"/>
  <c r="O12" i="4"/>
  <c r="P12" i="4"/>
  <c r="Q12" i="4"/>
  <c r="R12" i="4"/>
  <c r="S12" i="4"/>
  <c r="T12" i="4"/>
  <c r="U12" i="4"/>
  <c r="V12" i="4"/>
  <c r="W12" i="4"/>
  <c r="X12" i="4"/>
  <c r="Y12" i="4"/>
  <c r="Z12" i="4"/>
  <c r="AA12" i="4"/>
  <c r="O13" i="4"/>
  <c r="P13" i="4"/>
  <c r="Q13" i="4"/>
  <c r="R13" i="4"/>
  <c r="S13" i="4"/>
  <c r="T13" i="4"/>
  <c r="U13" i="4"/>
  <c r="V13" i="4"/>
  <c r="W13" i="4"/>
  <c r="X13" i="4"/>
  <c r="Y13" i="4"/>
  <c r="Z13" i="4"/>
  <c r="AA13" i="4"/>
  <c r="O11" i="4"/>
  <c r="P11" i="4"/>
  <c r="Q11" i="4"/>
  <c r="R11" i="4"/>
  <c r="S11" i="4"/>
  <c r="T11" i="4"/>
  <c r="U11" i="4"/>
  <c r="V11" i="4"/>
  <c r="W11" i="4"/>
  <c r="X11" i="4"/>
  <c r="Y11" i="4"/>
  <c r="Z11" i="4"/>
  <c r="C10" i="4"/>
  <c r="D10" i="4"/>
  <c r="Z16" i="4" s="1"/>
  <c r="C9" i="4"/>
  <c r="C1" i="4"/>
  <c r="C2" i="4"/>
  <c r="C3" i="4"/>
  <c r="C4" i="4"/>
  <c r="C5" i="4"/>
  <c r="C6" i="4"/>
  <c r="C7" i="4"/>
  <c r="C8" i="4"/>
  <c r="E6" i="4"/>
  <c r="E4" i="4"/>
  <c r="F4" i="4"/>
  <c r="B3" i="4"/>
  <c r="M97" i="37"/>
  <c r="M98" i="37"/>
  <c r="M99" i="37"/>
  <c r="M100" i="37"/>
  <c r="M101" i="37"/>
  <c r="M102" i="37"/>
  <c r="M103" i="37"/>
  <c r="M104" i="37"/>
  <c r="M105" i="37"/>
  <c r="AG97" i="37"/>
  <c r="AG99" i="37"/>
  <c r="AG101" i="37"/>
  <c r="AH101" i="37"/>
  <c r="AH102" i="37"/>
  <c r="AH104" i="37"/>
  <c r="AG105" i="37"/>
  <c r="AE97" i="37"/>
  <c r="AD98" i="37"/>
  <c r="AE101" i="37"/>
  <c r="AD102" i="37"/>
  <c r="AD104" i="37"/>
  <c r="AE104" i="37"/>
  <c r="Z97" i="37"/>
  <c r="AH97" i="37" s="1"/>
  <c r="Z98" i="37"/>
  <c r="AE98" i="37" s="1"/>
  <c r="Z99" i="37"/>
  <c r="AE99" i="37" s="1"/>
  <c r="Z100" i="37"/>
  <c r="AE100" i="37" s="1"/>
  <c r="Z101" i="37"/>
  <c r="Z102" i="37"/>
  <c r="AE102" i="37" s="1"/>
  <c r="Z103" i="37"/>
  <c r="AE103" i="37" s="1"/>
  <c r="Z104" i="37"/>
  <c r="Z105" i="37"/>
  <c r="AE105" i="37" s="1"/>
  <c r="I97" i="37"/>
  <c r="J97" i="37"/>
  <c r="I98" i="37"/>
  <c r="J98" i="37"/>
  <c r="I99" i="37"/>
  <c r="J99" i="37"/>
  <c r="I100" i="37"/>
  <c r="J100" i="37"/>
  <c r="I101" i="37"/>
  <c r="J101" i="37"/>
  <c r="I102" i="37"/>
  <c r="J102" i="37"/>
  <c r="I103" i="37"/>
  <c r="J103" i="37"/>
  <c r="I104" i="37"/>
  <c r="J104" i="37"/>
  <c r="I105" i="37"/>
  <c r="J105" i="37"/>
  <c r="AH93" i="37"/>
  <c r="AC94" i="37"/>
  <c r="AC95" i="37" s="1"/>
  <c r="AC71" i="37" s="1"/>
  <c r="AF94" i="37"/>
  <c r="AF95" i="37"/>
  <c r="AF71" i="37" s="1"/>
  <c r="N94" i="37"/>
  <c r="O94" i="37"/>
  <c r="P94" i="37"/>
  <c r="P95" i="37" s="1"/>
  <c r="P71" i="37" s="1"/>
  <c r="P72" i="37" s="1"/>
  <c r="Q94" i="37"/>
  <c r="R94" i="37"/>
  <c r="R95" i="37" s="1"/>
  <c r="R71" i="37" s="1"/>
  <c r="R72" i="37" s="1"/>
  <c r="S94" i="37"/>
  <c r="S95" i="37" s="1"/>
  <c r="S71" i="37" s="1"/>
  <c r="S72" i="37" s="1"/>
  <c r="T94" i="37"/>
  <c r="U94" i="37"/>
  <c r="V94" i="37"/>
  <c r="V95" i="37" s="1"/>
  <c r="V71" i="37" s="1"/>
  <c r="V72" i="37" s="1"/>
  <c r="W94" i="37"/>
  <c r="X94" i="37"/>
  <c r="X95" i="37" s="1"/>
  <c r="X71" i="37" s="1"/>
  <c r="X72" i="37" s="1"/>
  <c r="Y94" i="37"/>
  <c r="Y95" i="37" s="1"/>
  <c r="Y71" i="37" s="1"/>
  <c r="Y72" i="37" s="1"/>
  <c r="O95" i="37"/>
  <c r="Q95" i="37"/>
  <c r="Q71" i="37" s="1"/>
  <c r="Q72" i="37" s="1"/>
  <c r="T95" i="37"/>
  <c r="T71" i="37" s="1"/>
  <c r="T72" i="37" s="1"/>
  <c r="U95" i="37"/>
  <c r="U71" i="37" s="1"/>
  <c r="U72" i="37" s="1"/>
  <c r="W95" i="37"/>
  <c r="W71" i="37" s="1"/>
  <c r="W72" i="37" s="1"/>
  <c r="M93" i="37"/>
  <c r="M94" i="37"/>
  <c r="AE93" i="37"/>
  <c r="Z93" i="37"/>
  <c r="I93" i="37"/>
  <c r="J93" i="37"/>
  <c r="I94" i="37"/>
  <c r="J94" i="37"/>
  <c r="AD87" i="37"/>
  <c r="M82" i="37"/>
  <c r="M83" i="37"/>
  <c r="M84" i="37"/>
  <c r="M86" i="37"/>
  <c r="M87" i="37"/>
  <c r="I87" i="37"/>
  <c r="J87" i="37"/>
  <c r="AG87" i="37"/>
  <c r="AD83" i="37"/>
  <c r="I83" i="37"/>
  <c r="J83" i="37"/>
  <c r="AG83" i="37"/>
  <c r="Z83" i="37"/>
  <c r="AA83" i="37" s="1"/>
  <c r="Z87" i="37"/>
  <c r="AC80" i="37"/>
  <c r="AD80" i="37"/>
  <c r="AF80" i="37"/>
  <c r="AG80" i="37" s="1"/>
  <c r="N80" i="37"/>
  <c r="O80" i="37"/>
  <c r="P80" i="37"/>
  <c r="Q80" i="37"/>
  <c r="R80" i="37"/>
  <c r="S80" i="37"/>
  <c r="T80" i="37"/>
  <c r="U80" i="37"/>
  <c r="V80" i="37"/>
  <c r="W80" i="37"/>
  <c r="X80" i="37"/>
  <c r="Y80" i="37"/>
  <c r="M74" i="37"/>
  <c r="M76" i="37"/>
  <c r="M80" i="37" s="1"/>
  <c r="M77" i="37"/>
  <c r="M78" i="37"/>
  <c r="M79" i="37"/>
  <c r="AG77" i="37"/>
  <c r="AH77" i="37"/>
  <c r="AG79" i="37"/>
  <c r="AE77" i="37"/>
  <c r="AE78" i="37"/>
  <c r="AD79" i="37"/>
  <c r="Z77" i="37"/>
  <c r="Z78" i="37"/>
  <c r="AH78" i="37" s="1"/>
  <c r="Z79" i="37"/>
  <c r="AE79" i="37" s="1"/>
  <c r="I76" i="37"/>
  <c r="J76" i="37"/>
  <c r="I77" i="37"/>
  <c r="J77" i="37"/>
  <c r="I78" i="37"/>
  <c r="J78" i="37"/>
  <c r="I79" i="37"/>
  <c r="J79" i="37"/>
  <c r="O71" i="37"/>
  <c r="O72" i="37" s="1"/>
  <c r="M66" i="37"/>
  <c r="M72" i="37" s="1"/>
  <c r="M67" i="37"/>
  <c r="M68" i="37"/>
  <c r="M69" i="37"/>
  <c r="M70" i="37"/>
  <c r="AG67" i="37"/>
  <c r="AG68" i="37"/>
  <c r="AG70" i="37"/>
  <c r="AD67" i="37"/>
  <c r="AE67" i="37"/>
  <c r="AD68" i="37"/>
  <c r="AD69" i="37"/>
  <c r="Z67" i="37"/>
  <c r="AH67" i="37" s="1"/>
  <c r="AA67" i="37"/>
  <c r="AK67" i="37" s="1"/>
  <c r="Z68" i="37"/>
  <c r="AE68" i="37" s="1"/>
  <c r="Z69" i="37"/>
  <c r="AE69" i="37" s="1"/>
  <c r="Z70" i="37"/>
  <c r="AH70" i="37" s="1"/>
  <c r="I66" i="37"/>
  <c r="J66" i="37"/>
  <c r="I67" i="37"/>
  <c r="J67" i="37"/>
  <c r="I68" i="37"/>
  <c r="J68" i="37"/>
  <c r="I69" i="37"/>
  <c r="J69" i="37"/>
  <c r="I70" i="37"/>
  <c r="J70" i="37"/>
  <c r="M64" i="37"/>
  <c r="AD63" i="37"/>
  <c r="M53" i="37"/>
  <c r="M54" i="37"/>
  <c r="M55" i="37"/>
  <c r="M56" i="37"/>
  <c r="M57" i="37"/>
  <c r="M58" i="37"/>
  <c r="M59" i="37"/>
  <c r="M61" i="37"/>
  <c r="M63" i="37"/>
  <c r="I63" i="37"/>
  <c r="J63" i="37"/>
  <c r="AC59" i="37"/>
  <c r="AD59" i="37" s="1"/>
  <c r="AF59" i="37"/>
  <c r="AG59" i="37" s="1"/>
  <c r="N59" i="37"/>
  <c r="N60" i="37" s="1"/>
  <c r="O59" i="37"/>
  <c r="O60" i="37" s="1"/>
  <c r="P59" i="37"/>
  <c r="P60" i="37" s="1"/>
  <c r="Q59" i="37"/>
  <c r="Q60" i="37" s="1"/>
  <c r="R59" i="37"/>
  <c r="S59" i="37"/>
  <c r="S60" i="37" s="1"/>
  <c r="T59" i="37"/>
  <c r="T60" i="37" s="1"/>
  <c r="U59" i="37"/>
  <c r="U60" i="37" s="1"/>
  <c r="V59" i="37"/>
  <c r="V60" i="37" s="1"/>
  <c r="W59" i="37"/>
  <c r="W60" i="37" s="1"/>
  <c r="X59" i="37"/>
  <c r="X60" i="37" s="1"/>
  <c r="Y59" i="37"/>
  <c r="Y60" i="37" s="1"/>
  <c r="R60" i="37"/>
  <c r="AG54" i="37"/>
  <c r="AH55" i="37"/>
  <c r="AG56" i="37"/>
  <c r="AE54" i="37"/>
  <c r="AD55" i="37"/>
  <c r="AD56" i="37"/>
  <c r="AD57" i="37"/>
  <c r="AE57" i="37"/>
  <c r="Z54" i="37"/>
  <c r="AH54" i="37" s="1"/>
  <c r="Z55" i="37"/>
  <c r="AE55" i="37" s="1"/>
  <c r="Z56" i="37"/>
  <c r="AH56" i="37" s="1"/>
  <c r="Z57" i="37"/>
  <c r="AH57" i="37" s="1"/>
  <c r="Z58" i="37"/>
  <c r="AH58" i="37" s="1"/>
  <c r="Z63" i="37"/>
  <c r="I53" i="37"/>
  <c r="J53" i="37"/>
  <c r="I54" i="37"/>
  <c r="J54" i="37"/>
  <c r="I55" i="37"/>
  <c r="J55" i="37"/>
  <c r="I56" i="37"/>
  <c r="J56" i="37"/>
  <c r="I57" i="37"/>
  <c r="J57" i="37"/>
  <c r="I58" i="37"/>
  <c r="J58" i="37"/>
  <c r="B53" i="37"/>
  <c r="AC49" i="37"/>
  <c r="AC50" i="37" s="1"/>
  <c r="AD50" i="37" s="1"/>
  <c r="AD49" i="37"/>
  <c r="AF49" i="37"/>
  <c r="AF50" i="37" s="1"/>
  <c r="AG50" i="37" s="1"/>
  <c r="N49" i="37"/>
  <c r="O49" i="37"/>
  <c r="P49" i="37"/>
  <c r="Q49" i="37"/>
  <c r="Q50" i="37" s="1"/>
  <c r="R49" i="37"/>
  <c r="R50" i="37" s="1"/>
  <c r="S49" i="37"/>
  <c r="T49" i="37"/>
  <c r="U49" i="37"/>
  <c r="U50" i="37" s="1"/>
  <c r="V49" i="37"/>
  <c r="W49" i="37"/>
  <c r="X49" i="37"/>
  <c r="X50" i="37" s="1"/>
  <c r="Y49" i="37"/>
  <c r="Y50" i="37" s="1"/>
  <c r="P50" i="37"/>
  <c r="S50" i="37"/>
  <c r="T50" i="37"/>
  <c r="S51" i="37"/>
  <c r="S52" i="37" s="1"/>
  <c r="M33" i="37"/>
  <c r="M34" i="37"/>
  <c r="M35" i="37"/>
  <c r="M36" i="37"/>
  <c r="M37" i="37"/>
  <c r="M38" i="37"/>
  <c r="M43" i="37" s="1"/>
  <c r="M39" i="37"/>
  <c r="M40" i="37"/>
  <c r="M41" i="37"/>
  <c r="M42" i="37"/>
  <c r="M45" i="37"/>
  <c r="M46" i="37"/>
  <c r="M47" i="37"/>
  <c r="M48" i="37"/>
  <c r="M49" i="37"/>
  <c r="B47" i="37"/>
  <c r="B48" i="37"/>
  <c r="B49" i="37"/>
  <c r="AG46" i="37"/>
  <c r="AH46" i="37"/>
  <c r="AG47" i="37"/>
  <c r="AH47" i="37"/>
  <c r="AG48" i="37"/>
  <c r="AD46" i="37"/>
  <c r="AE46" i="37"/>
  <c r="AD47" i="37"/>
  <c r="AD48" i="37"/>
  <c r="AE48" i="37"/>
  <c r="Z46" i="37"/>
  <c r="Z47" i="37"/>
  <c r="AE47" i="37" s="1"/>
  <c r="AA47" i="37"/>
  <c r="AI47" i="37" s="1"/>
  <c r="Z48" i="37"/>
  <c r="AH48" i="37" s="1"/>
  <c r="I45" i="37"/>
  <c r="J45" i="37"/>
  <c r="I46" i="37"/>
  <c r="J46" i="37"/>
  <c r="I47" i="37"/>
  <c r="J47" i="37"/>
  <c r="I48" i="37"/>
  <c r="J48" i="37"/>
  <c r="AC44" i="37"/>
  <c r="AD44" i="37" s="1"/>
  <c r="A44" i="37"/>
  <c r="AK40" i="37"/>
  <c r="AK41" i="37"/>
  <c r="AC43" i="37"/>
  <c r="AD97" i="37" s="1"/>
  <c r="AF43" i="37"/>
  <c r="AG98" i="37" s="1"/>
  <c r="N43" i="37"/>
  <c r="AA99" i="37" s="1"/>
  <c r="O43" i="37"/>
  <c r="P43" i="37"/>
  <c r="P51" i="37" s="1"/>
  <c r="P52" i="37" s="1"/>
  <c r="Q43" i="37"/>
  <c r="Q61" i="37" s="1"/>
  <c r="R43" i="37"/>
  <c r="R44" i="37" s="1"/>
  <c r="S43" i="37"/>
  <c r="T43" i="37"/>
  <c r="U43" i="37"/>
  <c r="U51" i="37" s="1"/>
  <c r="U52" i="37" s="1"/>
  <c r="V43" i="37"/>
  <c r="V61" i="37" s="1"/>
  <c r="W43" i="37"/>
  <c r="X43" i="37"/>
  <c r="X51" i="37" s="1"/>
  <c r="X52" i="37" s="1"/>
  <c r="Y43" i="37"/>
  <c r="Y51" i="37" s="1"/>
  <c r="Y52" i="37" s="1"/>
  <c r="O44" i="37"/>
  <c r="S44" i="37"/>
  <c r="U44" i="37"/>
  <c r="W44" i="37"/>
  <c r="AH39" i="37"/>
  <c r="AI42" i="37"/>
  <c r="AE41" i="37"/>
  <c r="AE42" i="37"/>
  <c r="Z39" i="37"/>
  <c r="AK39" i="37" s="1"/>
  <c r="Z40" i="37"/>
  <c r="AH40" i="37" s="1"/>
  <c r="Z41" i="37"/>
  <c r="AI41" i="37" s="1"/>
  <c r="Z42" i="37"/>
  <c r="AH42" i="37" s="1"/>
  <c r="Z33" i="37"/>
  <c r="AE33" i="37" s="1"/>
  <c r="Z34" i="37"/>
  <c r="AH34" i="37" s="1"/>
  <c r="AH33" i="37"/>
  <c r="I33" i="37"/>
  <c r="J33" i="37"/>
  <c r="I34" i="37"/>
  <c r="J34" i="37"/>
  <c r="I35" i="37"/>
  <c r="J35" i="37"/>
  <c r="I36" i="37"/>
  <c r="J36" i="37"/>
  <c r="I37" i="37"/>
  <c r="J37" i="37"/>
  <c r="I38" i="37"/>
  <c r="J38" i="37"/>
  <c r="I39" i="37"/>
  <c r="J39" i="37"/>
  <c r="I40" i="37"/>
  <c r="J40" i="37"/>
  <c r="I41" i="37"/>
  <c r="J41" i="37"/>
  <c r="I42" i="37"/>
  <c r="J42" i="37"/>
  <c r="AF32" i="37"/>
  <c r="AC32" i="37"/>
  <c r="N32" i="37"/>
  <c r="O32" i="37"/>
  <c r="P32" i="37"/>
  <c r="Q32" i="37"/>
  <c r="R32" i="37"/>
  <c r="S32" i="37"/>
  <c r="T32" i="37"/>
  <c r="U32" i="37"/>
  <c r="V32" i="37"/>
  <c r="W32" i="37"/>
  <c r="X32" i="37"/>
  <c r="Y32" i="37"/>
  <c r="AK31" i="37"/>
  <c r="AI31" i="37"/>
  <c r="AF31" i="37"/>
  <c r="AC31" i="37"/>
  <c r="N31" i="37"/>
  <c r="O31" i="37"/>
  <c r="P31" i="37"/>
  <c r="Q31" i="37"/>
  <c r="R31" i="37"/>
  <c r="S31" i="37"/>
  <c r="T31" i="37"/>
  <c r="U31" i="37"/>
  <c r="V31" i="37"/>
  <c r="W31" i="37"/>
  <c r="X31" i="37"/>
  <c r="Y31" i="37"/>
  <c r="Z31" i="37"/>
  <c r="M26" i="37"/>
  <c r="M27" i="37"/>
  <c r="M28" i="37"/>
  <c r="M29" i="37"/>
  <c r="B23" i="37"/>
  <c r="AF16" i="37"/>
  <c r="AF19" i="37"/>
  <c r="AG39" i="37" s="1"/>
  <c r="AC16" i="37"/>
  <c r="AC19" i="37"/>
  <c r="AD41" i="37" s="1"/>
  <c r="M19" i="37"/>
  <c r="N19" i="37"/>
  <c r="O19" i="37"/>
  <c r="P19" i="37"/>
  <c r="Q19" i="37"/>
  <c r="R19" i="37"/>
  <c r="S19" i="37"/>
  <c r="T19" i="37"/>
  <c r="U19" i="37"/>
  <c r="V19" i="37"/>
  <c r="W19" i="37"/>
  <c r="X19" i="37"/>
  <c r="Y19" i="37"/>
  <c r="B17" i="37"/>
  <c r="B18" i="37"/>
  <c r="B19" i="37"/>
  <c r="N17" i="37"/>
  <c r="O17" i="37"/>
  <c r="P17" i="37"/>
  <c r="Q17" i="37"/>
  <c r="R17" i="37"/>
  <c r="S17" i="37"/>
  <c r="T17" i="37"/>
  <c r="U17" i="37"/>
  <c r="V17" i="37"/>
  <c r="W17" i="37"/>
  <c r="X17" i="37"/>
  <c r="Y17" i="37"/>
  <c r="N16" i="37"/>
  <c r="O16" i="37"/>
  <c r="P16" i="37"/>
  <c r="Q16" i="37"/>
  <c r="R16" i="37"/>
  <c r="S16" i="37"/>
  <c r="T16" i="37"/>
  <c r="U16" i="37"/>
  <c r="V16" i="37"/>
  <c r="W16" i="37"/>
  <c r="X16" i="37"/>
  <c r="A14" i="37"/>
  <c r="AF12" i="37"/>
  <c r="AF13" i="37"/>
  <c r="AC12" i="37"/>
  <c r="AC13" i="37"/>
  <c r="B12" i="37"/>
  <c r="Z16" i="37" s="1"/>
  <c r="B13" i="37"/>
  <c r="N12" i="37"/>
  <c r="O12" i="37"/>
  <c r="P12" i="37"/>
  <c r="Q12" i="37"/>
  <c r="R12" i="37"/>
  <c r="S12" i="37"/>
  <c r="T12" i="37"/>
  <c r="U12" i="37"/>
  <c r="V12" i="37"/>
  <c r="W12" i="37"/>
  <c r="X12" i="37"/>
  <c r="Y12" i="37"/>
  <c r="Z12" i="37"/>
  <c r="N13" i="37"/>
  <c r="O13" i="37"/>
  <c r="P13" i="37"/>
  <c r="Q13" i="37"/>
  <c r="R13" i="37"/>
  <c r="S13" i="37"/>
  <c r="T13" i="37"/>
  <c r="U13" i="37"/>
  <c r="V13" i="37"/>
  <c r="W13" i="37"/>
  <c r="X13" i="37"/>
  <c r="Y13" i="37"/>
  <c r="Z13" i="37"/>
  <c r="N11" i="37"/>
  <c r="O11" i="37"/>
  <c r="P11" i="37"/>
  <c r="Q11" i="37"/>
  <c r="R11" i="37"/>
  <c r="S11" i="37"/>
  <c r="T11" i="37"/>
  <c r="U11" i="37"/>
  <c r="V11" i="37"/>
  <c r="W11" i="37"/>
  <c r="X11" i="37"/>
  <c r="Y11" i="37"/>
  <c r="L11" i="37"/>
  <c r="C10" i="37"/>
  <c r="D10" i="37"/>
  <c r="Y16" i="37" s="1"/>
  <c r="C9" i="37"/>
  <c r="C1" i="37"/>
  <c r="C2" i="37"/>
  <c r="C3" i="37"/>
  <c r="C4" i="37"/>
  <c r="C5" i="37"/>
  <c r="C6" i="37"/>
  <c r="C7" i="37"/>
  <c r="C8" i="37"/>
  <c r="E6" i="37"/>
  <c r="E4" i="37"/>
  <c r="F4" i="37"/>
  <c r="B3" i="37"/>
  <c r="T28" i="5"/>
  <c r="T29" i="5"/>
  <c r="I29" i="5" s="1"/>
  <c r="T30" i="5"/>
  <c r="I30" i="5" s="1"/>
  <c r="T31" i="5"/>
  <c r="I31" i="5" s="1"/>
  <c r="T32" i="5"/>
  <c r="I32" i="5" s="1"/>
  <c r="T33" i="5"/>
  <c r="T34" i="5"/>
  <c r="I34" i="5" s="1"/>
  <c r="T35" i="5"/>
  <c r="I35" i="5" s="1"/>
  <c r="T36" i="5"/>
  <c r="T37" i="5"/>
  <c r="I37" i="5" s="1"/>
  <c r="T38" i="5"/>
  <c r="I38" i="5" s="1"/>
  <c r="T39" i="5"/>
  <c r="T40" i="5"/>
  <c r="I40" i="5" s="1"/>
  <c r="T41" i="5"/>
  <c r="T42" i="5"/>
  <c r="I42" i="5" s="1"/>
  <c r="T43" i="5"/>
  <c r="I43" i="5" s="1"/>
  <c r="T44" i="5"/>
  <c r="T45" i="5"/>
  <c r="I45" i="5" s="1"/>
  <c r="T46" i="5"/>
  <c r="I46" i="5" s="1"/>
  <c r="T47" i="5"/>
  <c r="I47" i="5" s="1"/>
  <c r="T48" i="5"/>
  <c r="I48" i="5" s="1"/>
  <c r="T49" i="5"/>
  <c r="T50" i="5"/>
  <c r="I50" i="5" s="1"/>
  <c r="I28" i="5"/>
  <c r="I33" i="5"/>
  <c r="I36" i="5"/>
  <c r="I39" i="5"/>
  <c r="I41" i="5"/>
  <c r="I44" i="5"/>
  <c r="I49" i="5"/>
  <c r="K24" i="5"/>
  <c r="I24" i="5"/>
  <c r="E24" i="5"/>
  <c r="C13" i="5"/>
  <c r="D10" i="5"/>
  <c r="B9" i="4" s="1"/>
  <c r="J6" i="5"/>
  <c r="AG17" i="16" s="1"/>
  <c r="AG18" i="16" s="1"/>
  <c r="J7" i="5"/>
  <c r="G6" i="5"/>
  <c r="G7" i="5"/>
  <c r="AD16" i="17" s="1"/>
  <c r="D6" i="5"/>
  <c r="M11" i="7" s="1"/>
  <c r="D7" i="5"/>
  <c r="B10" i="4" s="1"/>
  <c r="Q6" i="5"/>
  <c r="F1" i="5"/>
  <c r="C1" i="5"/>
  <c r="D1" i="5" s="1"/>
  <c r="AI91" i="4" l="1"/>
  <c r="AF91" i="4"/>
  <c r="AI62" i="16"/>
  <c r="AF62" i="16"/>
  <c r="AI87" i="4"/>
  <c r="AF87" i="4"/>
  <c r="AI75" i="4"/>
  <c r="AF75" i="4"/>
  <c r="AI71" i="4"/>
  <c r="AB71" i="4"/>
  <c r="AF71" i="4"/>
  <c r="AI95" i="4"/>
  <c r="AF95" i="4"/>
  <c r="AI45" i="16"/>
  <c r="AF45" i="16"/>
  <c r="AJ66" i="4"/>
  <c r="AI66" i="4"/>
  <c r="AJ47" i="4"/>
  <c r="AI47" i="4"/>
  <c r="AI76" i="4"/>
  <c r="AF76" i="4"/>
  <c r="AJ39" i="4"/>
  <c r="AI39" i="4"/>
  <c r="AB82" i="16"/>
  <c r="AH99" i="37"/>
  <c r="AF17" i="37"/>
  <c r="AF18" i="37" s="1"/>
  <c r="AA104" i="37"/>
  <c r="AA19" i="4"/>
  <c r="AB59" i="4" s="1"/>
  <c r="AA41" i="4"/>
  <c r="AJ41" i="4" s="1"/>
  <c r="K66" i="4"/>
  <c r="AJ58" i="4"/>
  <c r="AH58" i="4"/>
  <c r="AH93" i="4"/>
  <c r="AM86" i="4"/>
  <c r="AH79" i="4"/>
  <c r="AH73" i="4"/>
  <c r="AE34" i="37"/>
  <c r="AE40" i="37"/>
  <c r="V44" i="37"/>
  <c r="W61" i="37"/>
  <c r="O61" i="37"/>
  <c r="AA46" i="37"/>
  <c r="AE63" i="37"/>
  <c r="AA79" i="37"/>
  <c r="AI79" i="37" s="1"/>
  <c r="AD77" i="37"/>
  <c r="AH105" i="37"/>
  <c r="AH100" i="37"/>
  <c r="AG17" i="4"/>
  <c r="AG18" i="4" s="1"/>
  <c r="K47" i="4"/>
  <c r="AE35" i="4"/>
  <c r="AM47" i="4"/>
  <c r="AH43" i="4"/>
  <c r="AH39" i="4"/>
  <c r="K60" i="4"/>
  <c r="AF55" i="4"/>
  <c r="AA65" i="4"/>
  <c r="AI65" i="4" s="1"/>
  <c r="AE68" i="4"/>
  <c r="AM68" i="4"/>
  <c r="AM62" i="4"/>
  <c r="K80" i="4"/>
  <c r="K76" i="4"/>
  <c r="AA79" i="4"/>
  <c r="AM92" i="4"/>
  <c r="AH85" i="4"/>
  <c r="AM78" i="4"/>
  <c r="AH71" i="4"/>
  <c r="AE47" i="6"/>
  <c r="AF34" i="6"/>
  <c r="AI50" i="6"/>
  <c r="AH41" i="6"/>
  <c r="AA128" i="6"/>
  <c r="AB60" i="6"/>
  <c r="AB112" i="6"/>
  <c r="AB100" i="6"/>
  <c r="AF98" i="6"/>
  <c r="AF81" i="6"/>
  <c r="AF72" i="6"/>
  <c r="AI109" i="6"/>
  <c r="AI101" i="6"/>
  <c r="AI95" i="6"/>
  <c r="AI86" i="6"/>
  <c r="AI77" i="6"/>
  <c r="AF122" i="6"/>
  <c r="AA130" i="6"/>
  <c r="K42" i="7"/>
  <c r="AK41" i="7"/>
  <c r="AK36" i="7"/>
  <c r="Z16" i="16"/>
  <c r="K39" i="16"/>
  <c r="AL47" i="16"/>
  <c r="AE44" i="16"/>
  <c r="AH43" i="16"/>
  <c r="AA36" i="16"/>
  <c r="AI36" i="16" s="1"/>
  <c r="AL56" i="16"/>
  <c r="AN68" i="16"/>
  <c r="AL62" i="16"/>
  <c r="AA68" i="16"/>
  <c r="AH70" i="16"/>
  <c r="K78" i="16"/>
  <c r="AA87" i="16"/>
  <c r="AF87" i="16" s="1"/>
  <c r="AE84" i="16"/>
  <c r="AE75" i="16"/>
  <c r="AL81" i="16"/>
  <c r="K108" i="16"/>
  <c r="K99" i="16"/>
  <c r="AA99" i="16"/>
  <c r="AE112" i="16"/>
  <c r="AE101" i="16"/>
  <c r="AE127" i="17"/>
  <c r="AE135" i="17"/>
  <c r="AE66" i="17"/>
  <c r="AE48" i="17"/>
  <c r="AE130" i="17"/>
  <c r="AE118" i="17"/>
  <c r="AE139" i="17"/>
  <c r="AE121" i="17"/>
  <c r="AE95" i="17"/>
  <c r="AE54" i="17"/>
  <c r="AH36" i="17"/>
  <c r="AH47" i="17"/>
  <c r="AH65" i="17"/>
  <c r="AF84" i="17"/>
  <c r="AF71" i="17"/>
  <c r="AB71" i="17"/>
  <c r="AA59" i="17"/>
  <c r="AF59" i="17" s="1"/>
  <c r="AI57" i="17"/>
  <c r="AE117" i="17"/>
  <c r="AE134" i="17"/>
  <c r="AH142" i="17"/>
  <c r="AA171" i="17"/>
  <c r="AF171" i="17" s="1"/>
  <c r="AE84" i="9"/>
  <c r="AE100" i="9"/>
  <c r="AA47" i="9"/>
  <c r="AI47" i="9" s="1"/>
  <c r="K47" i="9"/>
  <c r="AK57" i="9"/>
  <c r="AK41" i="9"/>
  <c r="K84" i="9"/>
  <c r="AA84" i="9"/>
  <c r="AI84" i="9" s="1"/>
  <c r="AA43" i="51"/>
  <c r="K43" i="51"/>
  <c r="AA37" i="51"/>
  <c r="AI37" i="51" s="1"/>
  <c r="AI70" i="52"/>
  <c r="AF70" i="52"/>
  <c r="AM66" i="52"/>
  <c r="AN66" i="52"/>
  <c r="AF105" i="6"/>
  <c r="AH41" i="7"/>
  <c r="AF48" i="7"/>
  <c r="AK51" i="7"/>
  <c r="AE35" i="16"/>
  <c r="AE43" i="16"/>
  <c r="AB42" i="16"/>
  <c r="AM42" i="16" s="1"/>
  <c r="AM55" i="16"/>
  <c r="AL68" i="16"/>
  <c r="AA70" i="16"/>
  <c r="AA83" i="16"/>
  <c r="AF83" i="16" s="1"/>
  <c r="AE83" i="16"/>
  <c r="AL89" i="16"/>
  <c r="AH81" i="16"/>
  <c r="AE111" i="16"/>
  <c r="AE100" i="16"/>
  <c r="AL116" i="16"/>
  <c r="AL108" i="16"/>
  <c r="AL100" i="16"/>
  <c r="AL92" i="16"/>
  <c r="AB40" i="17"/>
  <c r="AH44" i="17"/>
  <c r="AE57" i="17"/>
  <c r="AH62" i="17"/>
  <c r="AI99" i="17"/>
  <c r="AF108" i="17"/>
  <c r="AE142" i="17"/>
  <c r="AL121" i="9"/>
  <c r="AL107" i="9"/>
  <c r="AL77" i="9"/>
  <c r="AL99" i="9"/>
  <c r="AL85" i="9"/>
  <c r="AL42" i="9"/>
  <c r="AL47" i="9"/>
  <c r="AL109" i="9"/>
  <c r="AL117" i="9"/>
  <c r="AL69" i="9"/>
  <c r="AL37" i="9"/>
  <c r="AL101" i="9"/>
  <c r="AL79" i="9"/>
  <c r="AL87" i="9"/>
  <c r="AL93" i="9"/>
  <c r="AL45" i="9"/>
  <c r="AL50" i="9"/>
  <c r="K45" i="9"/>
  <c r="AK49" i="9"/>
  <c r="B62" i="9"/>
  <c r="AK65" i="9"/>
  <c r="AK62" i="9"/>
  <c r="AA78" i="9"/>
  <c r="K78" i="9"/>
  <c r="AA98" i="9"/>
  <c r="AJ98" i="9" s="1"/>
  <c r="K98" i="9"/>
  <c r="AF111" i="39"/>
  <c r="AI111" i="39"/>
  <c r="AA46" i="51"/>
  <c r="K46" i="51"/>
  <c r="AI78" i="55"/>
  <c r="AF78" i="55"/>
  <c r="AB78" i="55"/>
  <c r="AI67" i="55"/>
  <c r="AB67" i="55"/>
  <c r="AF67" i="55"/>
  <c r="AB56" i="55"/>
  <c r="AI56" i="55"/>
  <c r="AK80" i="52"/>
  <c r="AK85" i="52"/>
  <c r="AK64" i="52"/>
  <c r="AK69" i="52"/>
  <c r="AK37" i="52"/>
  <c r="AK44" i="52"/>
  <c r="AK48" i="52"/>
  <c r="AK78" i="52"/>
  <c r="AK45" i="52"/>
  <c r="AK52" i="52"/>
  <c r="AK83" i="52"/>
  <c r="AK79" i="52"/>
  <c r="AK65" i="52"/>
  <c r="AK42" i="52"/>
  <c r="AK49" i="52"/>
  <c r="AK56" i="52"/>
  <c r="AK76" i="52"/>
  <c r="AK68" i="52"/>
  <c r="AK39" i="52"/>
  <c r="AK53" i="52"/>
  <c r="AK88" i="52"/>
  <c r="AK84" i="52"/>
  <c r="AK66" i="52"/>
  <c r="AK36" i="52"/>
  <c r="AK63" i="52"/>
  <c r="AK41" i="52"/>
  <c r="AK47" i="52"/>
  <c r="AK57" i="52"/>
  <c r="AK58" i="52"/>
  <c r="Z43" i="37"/>
  <c r="AA55" i="37" s="1"/>
  <c r="AI55" i="37" s="1"/>
  <c r="AH79" i="37"/>
  <c r="AA35" i="4"/>
  <c r="AF35" i="4" s="1"/>
  <c r="AM41" i="4"/>
  <c r="K89" i="4"/>
  <c r="AI93" i="6"/>
  <c r="AA19" i="7"/>
  <c r="AB48" i="7" s="1"/>
  <c r="AK35" i="7"/>
  <c r="AL45" i="16"/>
  <c r="AL50" i="16"/>
  <c r="AM61" i="16"/>
  <c r="AA60" i="16"/>
  <c r="AH89" i="16"/>
  <c r="AH80" i="16"/>
  <c r="AA111" i="16"/>
  <c r="AE109" i="16"/>
  <c r="AE99" i="16"/>
  <c r="AH108" i="16"/>
  <c r="AH100" i="16"/>
  <c r="AH92" i="16"/>
  <c r="AH126" i="17"/>
  <c r="AH134" i="17"/>
  <c r="AH117" i="17"/>
  <c r="AH53" i="17"/>
  <c r="AH121" i="17"/>
  <c r="AF39" i="17"/>
  <c r="AI120" i="17"/>
  <c r="AI128" i="17"/>
  <c r="AI133" i="17"/>
  <c r="AF133" i="17"/>
  <c r="AI137" i="17"/>
  <c r="U148" i="17"/>
  <c r="AH141" i="17"/>
  <c r="AF165" i="17"/>
  <c r="AI165" i="17"/>
  <c r="AA52" i="9"/>
  <c r="AI52" i="9" s="1"/>
  <c r="AL115" i="9"/>
  <c r="AA94" i="57"/>
  <c r="AI94" i="57" s="1"/>
  <c r="AF92" i="57"/>
  <c r="AK84" i="61"/>
  <c r="AK78" i="61"/>
  <c r="AK50" i="61"/>
  <c r="AK88" i="61"/>
  <c r="AK85" i="61"/>
  <c r="AK44" i="61"/>
  <c r="AK48" i="61"/>
  <c r="AK56" i="61"/>
  <c r="AK76" i="61"/>
  <c r="AK64" i="61"/>
  <c r="AK68" i="61"/>
  <c r="AK40" i="61"/>
  <c r="AK52" i="61"/>
  <c r="AK83" i="61"/>
  <c r="AK69" i="61"/>
  <c r="AK53" i="61"/>
  <c r="AK66" i="61"/>
  <c r="AK37" i="61"/>
  <c r="AK42" i="61"/>
  <c r="AK58" i="61"/>
  <c r="AK36" i="61"/>
  <c r="AK45" i="61"/>
  <c r="AG42" i="37"/>
  <c r="AA63" i="4"/>
  <c r="AI63" i="4" s="1"/>
  <c r="K72" i="4"/>
  <c r="AA92" i="4"/>
  <c r="AM76" i="4"/>
  <c r="AI34" i="37"/>
  <c r="AH41" i="37"/>
  <c r="AG58" i="37"/>
  <c r="AC60" i="37"/>
  <c r="AD60" i="37" s="1"/>
  <c r="AG63" i="37"/>
  <c r="AI67" i="37"/>
  <c r="M91" i="37"/>
  <c r="AA97" i="37"/>
  <c r="AH103" i="37"/>
  <c r="AH98" i="37"/>
  <c r="AA49" i="4"/>
  <c r="AB49" i="4" s="1"/>
  <c r="AH50" i="4"/>
  <c r="AH47" i="4"/>
  <c r="AK41" i="4"/>
  <c r="AM35" i="4"/>
  <c r="AH55" i="4"/>
  <c r="AA62" i="4"/>
  <c r="AM60" i="4"/>
  <c r="K85" i="4"/>
  <c r="AF84" i="4"/>
  <c r="AK90" i="4"/>
  <c r="AI83" i="4"/>
  <c r="AK76" i="4"/>
  <c r="AF68" i="6"/>
  <c r="AF64" i="6"/>
  <c r="AF60" i="6"/>
  <c r="AF56" i="6"/>
  <c r="AE51" i="6"/>
  <c r="AE45" i="6"/>
  <c r="AF38" i="6"/>
  <c r="AI64" i="6"/>
  <c r="AI60" i="6"/>
  <c r="AI55" i="6"/>
  <c r="AH47" i="6"/>
  <c r="AI38" i="6"/>
  <c r="AA133" i="6"/>
  <c r="AF133" i="6" s="1"/>
  <c r="AA125" i="6"/>
  <c r="AF125" i="6" s="1"/>
  <c r="AA143" i="6"/>
  <c r="AF96" i="6"/>
  <c r="AF88" i="6"/>
  <c r="AF78" i="6"/>
  <c r="AI113" i="6"/>
  <c r="AI99" i="6"/>
  <c r="AI73" i="6"/>
  <c r="AA144" i="6"/>
  <c r="AI144" i="6" s="1"/>
  <c r="K40" i="7"/>
  <c r="AK44" i="7"/>
  <c r="AK39" i="7"/>
  <c r="AH38" i="16"/>
  <c r="AL41" i="16"/>
  <c r="AE41" i="16"/>
  <c r="AE54" i="16"/>
  <c r="AH50" i="16"/>
  <c r="K82" i="16"/>
  <c r="AA79" i="16"/>
  <c r="AF79" i="16" s="1"/>
  <c r="AE80" i="16"/>
  <c r="AH88" i="16"/>
  <c r="AH78" i="16"/>
  <c r="K96" i="16"/>
  <c r="AA109" i="16"/>
  <c r="AI109" i="16" s="1"/>
  <c r="AA93" i="16"/>
  <c r="AI93" i="16" s="1"/>
  <c r="AE108" i="16"/>
  <c r="AH115" i="16"/>
  <c r="AH107" i="16"/>
  <c r="AH99" i="16"/>
  <c r="AE120" i="16"/>
  <c r="AE39" i="17"/>
  <c r="AF44" i="17"/>
  <c r="AA87" i="17"/>
  <c r="AF138" i="17"/>
  <c r="AH147" i="17"/>
  <c r="AH144" i="17"/>
  <c r="AL53" i="9"/>
  <c r="AK46" i="9"/>
  <c r="AK64" i="9"/>
  <c r="AA107" i="9"/>
  <c r="K107" i="9"/>
  <c r="AE45" i="55"/>
  <c r="AE99" i="55"/>
  <c r="AE49" i="55"/>
  <c r="AE107" i="55"/>
  <c r="AE103" i="55"/>
  <c r="AE111" i="55"/>
  <c r="AE85" i="55"/>
  <c r="AA103" i="37"/>
  <c r="AA93" i="4"/>
  <c r="AI93" i="4" s="1"/>
  <c r="AG43" i="37"/>
  <c r="AH63" i="37"/>
  <c r="T51" i="37"/>
  <c r="T52" i="37" s="1"/>
  <c r="AF44" i="37"/>
  <c r="AG44" i="37" s="1"/>
  <c r="Z37" i="37"/>
  <c r="AE37" i="37" s="1"/>
  <c r="AG40" i="37"/>
  <c r="S61" i="37"/>
  <c r="AA48" i="37"/>
  <c r="AI48" i="37" s="1"/>
  <c r="W51" i="37"/>
  <c r="W52" i="37" s="1"/>
  <c r="O51" i="37"/>
  <c r="O52" i="37" s="1"/>
  <c r="AE58" i="37"/>
  <c r="AC61" i="37"/>
  <c r="AD61" i="37" s="1"/>
  <c r="AD70" i="37"/>
  <c r="AG78" i="37"/>
  <c r="AA101" i="37"/>
  <c r="AD100" i="37"/>
  <c r="AG103" i="37"/>
  <c r="AE50" i="4"/>
  <c r="AE40" i="4"/>
  <c r="AM49" i="4"/>
  <c r="AH46" i="4"/>
  <c r="AH35" i="4"/>
  <c r="K68" i="4"/>
  <c r="AM56" i="4"/>
  <c r="AA61" i="4"/>
  <c r="AE62" i="4"/>
  <c r="AH66" i="4"/>
  <c r="AK60" i="4"/>
  <c r="K81" i="4"/>
  <c r="AH90" i="4"/>
  <c r="AK82" i="4"/>
  <c r="AE68" i="6"/>
  <c r="AE64" i="6"/>
  <c r="AE56" i="6"/>
  <c r="AF50" i="6"/>
  <c r="AE44" i="6"/>
  <c r="AF37" i="6"/>
  <c r="AH68" i="6"/>
  <c r="AH64" i="6"/>
  <c r="AI46" i="6"/>
  <c r="AA154" i="6"/>
  <c r="AA142" i="6"/>
  <c r="AI105" i="6"/>
  <c r="AI131" i="6"/>
  <c r="AA140" i="6"/>
  <c r="AI140" i="6" s="1"/>
  <c r="AA16" i="7"/>
  <c r="K34" i="7"/>
  <c r="AK47" i="7"/>
  <c r="K58" i="7"/>
  <c r="AA16" i="16"/>
  <c r="AE39" i="16"/>
  <c r="AE47" i="16"/>
  <c r="AH47" i="16"/>
  <c r="AE53" i="16"/>
  <c r="AL54" i="16"/>
  <c r="AH49" i="16"/>
  <c r="K61" i="16"/>
  <c r="AN60" i="16"/>
  <c r="AM62" i="16"/>
  <c r="AA75" i="16"/>
  <c r="AF75" i="16" s="1"/>
  <c r="AE79" i="16"/>
  <c r="AH86" i="16"/>
  <c r="AL77" i="16"/>
  <c r="K115" i="16"/>
  <c r="K92" i="16"/>
  <c r="AA107" i="16"/>
  <c r="AE117" i="16"/>
  <c r="AE107" i="16"/>
  <c r="AE96" i="16"/>
  <c r="AH113" i="16"/>
  <c r="AL120" i="16"/>
  <c r="AE38" i="17"/>
  <c r="AE46" i="17"/>
  <c r="AH57" i="17"/>
  <c r="AE64" i="17"/>
  <c r="AF62" i="17"/>
  <c r="AI84" i="17"/>
  <c r="AA86" i="17"/>
  <c r="AF86" i="17" s="1"/>
  <c r="AA41" i="17"/>
  <c r="AA43" i="17" s="1"/>
  <c r="AF128" i="17"/>
  <c r="AH133" i="17"/>
  <c r="AA147" i="17"/>
  <c r="K55" i="9"/>
  <c r="AK53" i="9"/>
  <c r="AK38" i="9"/>
  <c r="AL72" i="9"/>
  <c r="AA78" i="51"/>
  <c r="K78" i="51"/>
  <c r="AA19" i="56"/>
  <c r="Z19" i="37"/>
  <c r="U61" i="37"/>
  <c r="R51" i="37"/>
  <c r="R52" i="37" s="1"/>
  <c r="B10" i="37"/>
  <c r="Z35" i="37"/>
  <c r="AE35" i="37" s="1"/>
  <c r="AI39" i="37"/>
  <c r="N44" i="37"/>
  <c r="R61" i="37"/>
  <c r="AK42" i="37"/>
  <c r="V51" i="37"/>
  <c r="V52" i="37" s="1"/>
  <c r="Z49" i="37"/>
  <c r="AA105" i="37"/>
  <c r="AM39" i="4"/>
  <c r="AH65" i="4"/>
  <c r="K75" i="4"/>
  <c r="K71" i="4"/>
  <c r="AH95" i="4"/>
  <c r="AH89" i="4"/>
  <c r="AH82" i="4"/>
  <c r="AF67" i="6"/>
  <c r="AF59" i="6"/>
  <c r="AH35" i="6"/>
  <c r="AB108" i="6"/>
  <c r="AF108" i="6"/>
  <c r="AF85" i="6"/>
  <c r="AI111" i="6"/>
  <c r="AF124" i="6"/>
  <c r="K44" i="7"/>
  <c r="AK43" i="7"/>
  <c r="AK38" i="7"/>
  <c r="AK48" i="7"/>
  <c r="AL60" i="16"/>
  <c r="K74" i="16"/>
  <c r="AE88" i="16"/>
  <c r="AL85" i="16"/>
  <c r="AH77" i="16"/>
  <c r="K105" i="16"/>
  <c r="AE105" i="16"/>
  <c r="AE95" i="16"/>
  <c r="AL112" i="16"/>
  <c r="AL104" i="16"/>
  <c r="AL96" i="16"/>
  <c r="AH119" i="16"/>
  <c r="AB137" i="17"/>
  <c r="AA49" i="9"/>
  <c r="K49" i="9"/>
  <c r="AA37" i="9"/>
  <c r="K37" i="9"/>
  <c r="AK45" i="9"/>
  <c r="AK36" i="9"/>
  <c r="K89" i="9"/>
  <c r="AA89" i="9"/>
  <c r="AI89" i="9" s="1"/>
  <c r="AA99" i="9"/>
  <c r="K99" i="9"/>
  <c r="AE86" i="51"/>
  <c r="AE40" i="51"/>
  <c r="AE94" i="51"/>
  <c r="AE36" i="51"/>
  <c r="AE79" i="51"/>
  <c r="AE83" i="51"/>
  <c r="AA64" i="51"/>
  <c r="AI64" i="51" s="1"/>
  <c r="K64" i="51"/>
  <c r="AF56" i="55"/>
  <c r="AF100" i="55"/>
  <c r="AB100" i="55"/>
  <c r="AI100" i="55"/>
  <c r="AA146" i="55"/>
  <c r="AF130" i="55"/>
  <c r="AF134" i="55"/>
  <c r="AI134" i="55"/>
  <c r="AI138" i="55"/>
  <c r="AF138" i="55"/>
  <c r="AK50" i="52"/>
  <c r="Z94" i="37"/>
  <c r="AI64" i="4"/>
  <c r="AM94" i="4"/>
  <c r="AA19" i="6"/>
  <c r="AG17" i="6"/>
  <c r="AG18" i="6" s="1"/>
  <c r="AF42" i="6"/>
  <c r="AI34" i="6"/>
  <c r="AA147" i="6"/>
  <c r="AF100" i="6"/>
  <c r="AI89" i="6"/>
  <c r="AI79" i="6"/>
  <c r="AI152" i="6"/>
  <c r="AH38" i="7"/>
  <c r="AH48" i="7"/>
  <c r="AA55" i="7"/>
  <c r="AF48" i="17"/>
  <c r="AA51" i="17"/>
  <c r="K40" i="9"/>
  <c r="AA40" i="9"/>
  <c r="AJ40" i="9" s="1"/>
  <c r="AK76" i="9"/>
  <c r="AF35" i="39"/>
  <c r="AI35" i="39"/>
  <c r="AE47" i="55"/>
  <c r="AA55" i="52"/>
  <c r="AI55" i="52" s="1"/>
  <c r="K55" i="52"/>
  <c r="AB118" i="56"/>
  <c r="AI118" i="56"/>
  <c r="AF118" i="56"/>
  <c r="AA100" i="37"/>
  <c r="AB67" i="4"/>
  <c r="Z80" i="37"/>
  <c r="AM43" i="4"/>
  <c r="AH63" i="4"/>
  <c r="AF62" i="6"/>
  <c r="AI62" i="6"/>
  <c r="AI42" i="6"/>
  <c r="AA121" i="6"/>
  <c r="AF121" i="6" s="1"/>
  <c r="AA139" i="6"/>
  <c r="AF139" i="6" s="1"/>
  <c r="AF112" i="6"/>
  <c r="AF92" i="6"/>
  <c r="AA45" i="7"/>
  <c r="AI45" i="7" s="1"/>
  <c r="K56" i="7"/>
  <c r="AL37" i="16"/>
  <c r="AL66" i="16"/>
  <c r="AN67" i="16"/>
  <c r="AL70" i="16"/>
  <c r="K103" i="16"/>
  <c r="K101" i="16"/>
  <c r="AA101" i="16"/>
  <c r="AI101" i="16" s="1"/>
  <c r="AE113" i="16"/>
  <c r="AE103" i="16"/>
  <c r="AE92" i="16"/>
  <c r="AH110" i="16"/>
  <c r="AH102" i="16"/>
  <c r="AH94" i="16"/>
  <c r="AI39" i="17"/>
  <c r="AF72" i="17"/>
  <c r="AB72" i="17"/>
  <c r="AI58" i="17"/>
  <c r="AF58" i="17"/>
  <c r="AA142" i="17"/>
  <c r="AA141" i="17"/>
  <c r="AK120" i="9"/>
  <c r="AK98" i="9"/>
  <c r="AK116" i="9"/>
  <c r="AK84" i="9"/>
  <c r="AK108" i="9"/>
  <c r="AK69" i="9"/>
  <c r="AK37" i="9"/>
  <c r="AK56" i="9"/>
  <c r="AK100" i="9"/>
  <c r="AK78" i="9"/>
  <c r="AK86" i="9"/>
  <c r="AK48" i="9"/>
  <c r="AK52" i="9"/>
  <c r="AK121" i="9"/>
  <c r="AK81" i="9"/>
  <c r="AK89" i="9"/>
  <c r="AK114" i="9"/>
  <c r="AK68" i="9"/>
  <c r="AK40" i="9"/>
  <c r="AK54" i="9"/>
  <c r="AA68" i="9"/>
  <c r="AI68" i="9" s="1"/>
  <c r="K68" i="9"/>
  <c r="AK70" i="9"/>
  <c r="AI87" i="39"/>
  <c r="AF87" i="39"/>
  <c r="AF76" i="39"/>
  <c r="AB76" i="39"/>
  <c r="AB65" i="39"/>
  <c r="AF65" i="39"/>
  <c r="AI65" i="39"/>
  <c r="AM63" i="51"/>
  <c r="AN63" i="51"/>
  <c r="AF36" i="55"/>
  <c r="AI36" i="55"/>
  <c r="Y126" i="55"/>
  <c r="Y127" i="55" s="1"/>
  <c r="AK55" i="52"/>
  <c r="AI76" i="52"/>
  <c r="AB76" i="52"/>
  <c r="AF76" i="52"/>
  <c r="AF104" i="17"/>
  <c r="AE141" i="17"/>
  <c r="AI152" i="17"/>
  <c r="AH35" i="9"/>
  <c r="AN70" i="9"/>
  <c r="AN62" i="9"/>
  <c r="AH72" i="9"/>
  <c r="AH83" i="9"/>
  <c r="K103" i="9"/>
  <c r="K96" i="9"/>
  <c r="AH97" i="9"/>
  <c r="AA16" i="39"/>
  <c r="AF50" i="39"/>
  <c r="AH57" i="39"/>
  <c r="AI70" i="39"/>
  <c r="AE85" i="39"/>
  <c r="AB61" i="39"/>
  <c r="AA42" i="39"/>
  <c r="AB110" i="39"/>
  <c r="AF110" i="39"/>
  <c r="AI108" i="39"/>
  <c r="AH114" i="39"/>
  <c r="S126" i="39"/>
  <c r="S127" i="39" s="1"/>
  <c r="AA19" i="51"/>
  <c r="K38" i="51"/>
  <c r="K35" i="51"/>
  <c r="AA48" i="51"/>
  <c r="AI48" i="51" s="1"/>
  <c r="AA36" i="51"/>
  <c r="AL56" i="51"/>
  <c r="AL44" i="51"/>
  <c r="K67" i="51"/>
  <c r="AM67" i="51"/>
  <c r="AL64" i="51"/>
  <c r="AL62" i="51"/>
  <c r="AH94" i="51"/>
  <c r="AA16" i="55"/>
  <c r="AB41" i="55"/>
  <c r="AI80" i="55"/>
  <c r="AI103" i="55"/>
  <c r="AI110" i="55"/>
  <c r="AB114" i="55"/>
  <c r="AI118" i="55"/>
  <c r="AA80" i="52"/>
  <c r="K80" i="52"/>
  <c r="AI88" i="52"/>
  <c r="AB88" i="52"/>
  <c r="K110" i="9"/>
  <c r="AI40" i="39"/>
  <c r="AB49" i="39"/>
  <c r="AF49" i="39"/>
  <c r="T126" i="39"/>
  <c r="T127" i="39" s="1"/>
  <c r="AI138" i="39"/>
  <c r="AA16" i="51"/>
  <c r="AF50" i="51"/>
  <c r="AH40" i="51"/>
  <c r="AH72" i="51"/>
  <c r="AK93" i="51"/>
  <c r="AH48" i="55"/>
  <c r="AA53" i="55"/>
  <c r="AA122" i="55"/>
  <c r="AL63" i="52"/>
  <c r="AL51" i="52"/>
  <c r="AL85" i="52"/>
  <c r="AL45" i="52"/>
  <c r="AL83" i="52"/>
  <c r="AL79" i="52"/>
  <c r="AL42" i="52"/>
  <c r="AL56" i="52"/>
  <c r="K56" i="52"/>
  <c r="AA56" i="52"/>
  <c r="AF56" i="52" s="1"/>
  <c r="AL43" i="52"/>
  <c r="AL64" i="52"/>
  <c r="AF58" i="56"/>
  <c r="AI58" i="56"/>
  <c r="AB58" i="56"/>
  <c r="AF130" i="56"/>
  <c r="AI130" i="56"/>
  <c r="AF138" i="56"/>
  <c r="AI138" i="56"/>
  <c r="AI77" i="57"/>
  <c r="AB77" i="57"/>
  <c r="AN65" i="61"/>
  <c r="AA52" i="55"/>
  <c r="AB110" i="55"/>
  <c r="AB118" i="55"/>
  <c r="AI117" i="55"/>
  <c r="Z16" i="52"/>
  <c r="AL53" i="52"/>
  <c r="AL48" i="52"/>
  <c r="AL76" i="52"/>
  <c r="AI85" i="52"/>
  <c r="AA90" i="52"/>
  <c r="AI87" i="52"/>
  <c r="AF87" i="52"/>
  <c r="AF130" i="39"/>
  <c r="AA57" i="51"/>
  <c r="AF35" i="51"/>
  <c r="AH36" i="51"/>
  <c r="AH83" i="51"/>
  <c r="AG100" i="51"/>
  <c r="AB67" i="56"/>
  <c r="AF77" i="56"/>
  <c r="AB77" i="56"/>
  <c r="AF56" i="56"/>
  <c r="AI56" i="56"/>
  <c r="AB56" i="56"/>
  <c r="AI45" i="56"/>
  <c r="AB45" i="56"/>
  <c r="AF45" i="56"/>
  <c r="AI43" i="53"/>
  <c r="AB43" i="53"/>
  <c r="K80" i="53"/>
  <c r="AA80" i="53"/>
  <c r="AA42" i="57"/>
  <c r="AF39" i="57"/>
  <c r="AI39" i="57"/>
  <c r="AA55" i="61"/>
  <c r="AF55" i="61" s="1"/>
  <c r="K55" i="61"/>
  <c r="K52" i="61"/>
  <c r="AA52" i="61"/>
  <c r="AA76" i="61"/>
  <c r="AI76" i="61" s="1"/>
  <c r="K76" i="61"/>
  <c r="V148" i="17"/>
  <c r="AH57" i="9"/>
  <c r="AH43" i="9"/>
  <c r="K87" i="9"/>
  <c r="K113" i="9"/>
  <c r="K102" i="9"/>
  <c r="AA20" i="39"/>
  <c r="AB87" i="39" s="1"/>
  <c r="AE38" i="39"/>
  <c r="AE59" i="39"/>
  <c r="AI59" i="39"/>
  <c r="AF78" i="39"/>
  <c r="AI98" i="39"/>
  <c r="AB107" i="39"/>
  <c r="AI118" i="39"/>
  <c r="K55" i="51"/>
  <c r="AA40" i="51"/>
  <c r="AK50" i="51"/>
  <c r="AA65" i="51"/>
  <c r="AI65" i="51" s="1"/>
  <c r="AM66" i="51"/>
  <c r="AH82" i="51"/>
  <c r="AB65" i="55"/>
  <c r="AE122" i="55"/>
  <c r="AA40" i="52"/>
  <c r="AF40" i="52" s="1"/>
  <c r="AF37" i="52"/>
  <c r="AF62" i="52"/>
  <c r="AG126" i="56"/>
  <c r="AG127" i="56" s="1"/>
  <c r="AA88" i="57"/>
  <c r="AA141" i="57"/>
  <c r="AI85" i="57"/>
  <c r="AF85" i="57"/>
  <c r="AA53" i="57"/>
  <c r="AA52" i="57"/>
  <c r="AI49" i="57"/>
  <c r="AB49" i="57"/>
  <c r="AA110" i="17"/>
  <c r="AF117" i="17"/>
  <c r="AF129" i="17"/>
  <c r="AG148" i="17"/>
  <c r="AH148" i="17" s="1"/>
  <c r="AI156" i="17"/>
  <c r="K111" i="9"/>
  <c r="AE35" i="39"/>
  <c r="AE58" i="39"/>
  <c r="AF59" i="39"/>
  <c r="AI58" i="39"/>
  <c r="AI80" i="39"/>
  <c r="V126" i="39"/>
  <c r="V127" i="39" s="1"/>
  <c r="AK58" i="51"/>
  <c r="AK35" i="51"/>
  <c r="AK66" i="51"/>
  <c r="AH115" i="55"/>
  <c r="AL66" i="52"/>
  <c r="AI86" i="56"/>
  <c r="AF86" i="56"/>
  <c r="AF75" i="56"/>
  <c r="AB75" i="56"/>
  <c r="Y126" i="56"/>
  <c r="Y127" i="56" s="1"/>
  <c r="Q126" i="56"/>
  <c r="Q127" i="56" s="1"/>
  <c r="AF55" i="53"/>
  <c r="AB55" i="53"/>
  <c r="AN55" i="53" s="1"/>
  <c r="AA63" i="57"/>
  <c r="AA62" i="57"/>
  <c r="AI59" i="57"/>
  <c r="AF59" i="57"/>
  <c r="AB59" i="57"/>
  <c r="X126" i="57"/>
  <c r="X127" i="57" s="1"/>
  <c r="P126" i="57"/>
  <c r="P127" i="57" s="1"/>
  <c r="AE124" i="57"/>
  <c r="AD126" i="57"/>
  <c r="AI132" i="57"/>
  <c r="AF132" i="57"/>
  <c r="AE57" i="39"/>
  <c r="AI103" i="39"/>
  <c r="AE119" i="39"/>
  <c r="AA20" i="51"/>
  <c r="AJ70" i="51" s="1"/>
  <c r="AA52" i="51"/>
  <c r="AB38" i="51"/>
  <c r="AF38" i="51"/>
  <c r="AH58" i="51"/>
  <c r="AH49" i="51"/>
  <c r="AK45" i="51"/>
  <c r="AH87" i="51"/>
  <c r="AH90" i="51"/>
  <c r="AH97" i="51"/>
  <c r="AB76" i="55"/>
  <c r="AI114" i="55"/>
  <c r="AI136" i="55"/>
  <c r="K52" i="52"/>
  <c r="AA52" i="52"/>
  <c r="AI52" i="52" s="1"/>
  <c r="K35" i="52"/>
  <c r="AL50" i="52"/>
  <c r="AL40" i="52"/>
  <c r="AA78" i="52"/>
  <c r="AI78" i="52" s="1"/>
  <c r="AI77" i="56"/>
  <c r="AA47" i="53"/>
  <c r="K47" i="53"/>
  <c r="AB85" i="57"/>
  <c r="AA72" i="57"/>
  <c r="AA73" i="57"/>
  <c r="AB69" i="57"/>
  <c r="AI69" i="57"/>
  <c r="AF69" i="57"/>
  <c r="AA40" i="53"/>
  <c r="AF87" i="57"/>
  <c r="AI117" i="62"/>
  <c r="AB117" i="62"/>
  <c r="AF117" i="62"/>
  <c r="AL87" i="63"/>
  <c r="AL51" i="63"/>
  <c r="AB41" i="64"/>
  <c r="AA43" i="64"/>
  <c r="AI40" i="11"/>
  <c r="AB40" i="11"/>
  <c r="AF40" i="11"/>
  <c r="AF51" i="57"/>
  <c r="AN66" i="61"/>
  <c r="AI45" i="62"/>
  <c r="AA144" i="62"/>
  <c r="K42" i="63"/>
  <c r="AA42" i="63"/>
  <c r="AI68" i="11"/>
  <c r="AF68" i="11"/>
  <c r="AI36" i="62"/>
  <c r="AB45" i="62"/>
  <c r="AI57" i="62"/>
  <c r="AF67" i="62"/>
  <c r="AA43" i="62"/>
  <c r="AB101" i="62"/>
  <c r="AB108" i="62"/>
  <c r="AB115" i="62"/>
  <c r="R126" i="62"/>
  <c r="R127" i="62" s="1"/>
  <c r="AF140" i="62"/>
  <c r="AA141" i="62"/>
  <c r="AN64" i="63"/>
  <c r="AF85" i="64"/>
  <c r="AA88" i="64"/>
  <c r="AI85" i="64"/>
  <c r="AB85" i="64"/>
  <c r="AB61" i="64"/>
  <c r="AI61" i="64"/>
  <c r="AF61" i="64"/>
  <c r="AA42" i="64"/>
  <c r="AB102" i="64"/>
  <c r="AI102" i="64"/>
  <c r="AF102" i="64"/>
  <c r="K52" i="54"/>
  <c r="AA52" i="54"/>
  <c r="AB66" i="56"/>
  <c r="AI69" i="56"/>
  <c r="T126" i="56"/>
  <c r="T127" i="56" s="1"/>
  <c r="AA49" i="53"/>
  <c r="AL51" i="53"/>
  <c r="AL42" i="53"/>
  <c r="AL67" i="53"/>
  <c r="AL64" i="53"/>
  <c r="AA83" i="53"/>
  <c r="AI83" i="53" s="1"/>
  <c r="AF60" i="57"/>
  <c r="U126" i="57"/>
  <c r="U127" i="57" s="1"/>
  <c r="AA144" i="57"/>
  <c r="AA62" i="61"/>
  <c r="AI62" i="61" s="1"/>
  <c r="AF57" i="62"/>
  <c r="AI56" i="62"/>
  <c r="AF65" i="62"/>
  <c r="AB75" i="62"/>
  <c r="AB83" i="62"/>
  <c r="AA42" i="62"/>
  <c r="AF109" i="62"/>
  <c r="AA121" i="62"/>
  <c r="AI121" i="62" s="1"/>
  <c r="AA54" i="63"/>
  <c r="AI54" i="63" s="1"/>
  <c r="K54" i="63"/>
  <c r="AL57" i="63"/>
  <c r="AL84" i="63"/>
  <c r="AI136" i="64"/>
  <c r="AF136" i="64"/>
  <c r="AF80" i="54"/>
  <c r="AI80" i="54"/>
  <c r="AK72" i="52"/>
  <c r="AI38" i="56"/>
  <c r="AB46" i="56"/>
  <c r="AB85" i="56"/>
  <c r="AA62" i="56"/>
  <c r="AB108" i="56"/>
  <c r="AA124" i="56"/>
  <c r="AF140" i="56"/>
  <c r="B29" i="53"/>
  <c r="K55" i="53"/>
  <c r="AA48" i="53"/>
  <c r="AK55" i="53"/>
  <c r="AK46" i="53"/>
  <c r="K69" i="53"/>
  <c r="AN67" i="53"/>
  <c r="AN70" i="53"/>
  <c r="AN62" i="53"/>
  <c r="AL72" i="53"/>
  <c r="K84" i="53"/>
  <c r="AB71" i="57"/>
  <c r="AI79" i="57"/>
  <c r="AB103" i="57"/>
  <c r="AB99" i="57"/>
  <c r="AB110" i="57"/>
  <c r="AB106" i="57"/>
  <c r="AB117" i="57"/>
  <c r="K50" i="61"/>
  <c r="K37" i="61"/>
  <c r="AL35" i="61"/>
  <c r="AM69" i="61"/>
  <c r="AF56" i="62"/>
  <c r="AI55" i="62"/>
  <c r="AI71" i="62"/>
  <c r="AF83" i="62"/>
  <c r="AA88" i="62"/>
  <c r="AI88" i="62" s="1"/>
  <c r="AA143" i="62"/>
  <c r="AI115" i="62"/>
  <c r="AA57" i="63"/>
  <c r="K57" i="63"/>
  <c r="AB109" i="64"/>
  <c r="AI109" i="64"/>
  <c r="AM68" i="54"/>
  <c r="AF68" i="54"/>
  <c r="AI68" i="54"/>
  <c r="AN70" i="52"/>
  <c r="AN62" i="52"/>
  <c r="AN67" i="52"/>
  <c r="AF59" i="56"/>
  <c r="AB78" i="56"/>
  <c r="AB119" i="56"/>
  <c r="AB114" i="56"/>
  <c r="Z126" i="56"/>
  <c r="Z127" i="56" s="1"/>
  <c r="R126" i="56"/>
  <c r="R127" i="56" s="1"/>
  <c r="AL50" i="53"/>
  <c r="AL41" i="53"/>
  <c r="AK37" i="53"/>
  <c r="AM66" i="53"/>
  <c r="AH72" i="53"/>
  <c r="AF58" i="57"/>
  <c r="AI58" i="57"/>
  <c r="AA82" i="57"/>
  <c r="AF91" i="57"/>
  <c r="V126" i="57"/>
  <c r="V127" i="57" s="1"/>
  <c r="AF134" i="57"/>
  <c r="AA16" i="61"/>
  <c r="AA19" i="61"/>
  <c r="K57" i="61"/>
  <c r="K47" i="61"/>
  <c r="AA48" i="61"/>
  <c r="AI48" i="61" s="1"/>
  <c r="AL51" i="61"/>
  <c r="AN70" i="61"/>
  <c r="AN62" i="61"/>
  <c r="AL72" i="61"/>
  <c r="AL79" i="61"/>
  <c r="AA20" i="62"/>
  <c r="AB71" i="62"/>
  <c r="AI108" i="62"/>
  <c r="X126" i="62"/>
  <c r="X127" i="62" s="1"/>
  <c r="P126" i="62"/>
  <c r="P127" i="62" s="1"/>
  <c r="AA123" i="62"/>
  <c r="AF123" i="62" s="1"/>
  <c r="V126" i="62"/>
  <c r="V127" i="62" s="1"/>
  <c r="K58" i="63"/>
  <c r="K49" i="63"/>
  <c r="AA49" i="63"/>
  <c r="AA20" i="54"/>
  <c r="AJ71" i="54" s="1"/>
  <c r="X126" i="56"/>
  <c r="X127" i="56" s="1"/>
  <c r="K43" i="53"/>
  <c r="AL69" i="53"/>
  <c r="AL62" i="53"/>
  <c r="AB51" i="57"/>
  <c r="AA81" i="57"/>
  <c r="AB102" i="57"/>
  <c r="AB98" i="57"/>
  <c r="AB109" i="57"/>
  <c r="AB116" i="57"/>
  <c r="K51" i="61"/>
  <c r="AA38" i="61"/>
  <c r="AI38" i="61" s="1"/>
  <c r="AM67" i="61"/>
  <c r="AB37" i="62"/>
  <c r="AI86" i="62"/>
  <c r="K50" i="63"/>
  <c r="AA125" i="64"/>
  <c r="AF125" i="64" s="1"/>
  <c r="AA40" i="54"/>
  <c r="K40" i="54"/>
  <c r="AI48" i="11"/>
  <c r="AF48" i="11"/>
  <c r="AB48" i="11"/>
  <c r="AF42" i="11"/>
  <c r="AI42" i="11"/>
  <c r="AF59" i="11"/>
  <c r="AI59" i="11"/>
  <c r="Z16" i="56"/>
  <c r="AF91" i="56"/>
  <c r="AA141" i="56"/>
  <c r="AI141" i="56" s="1"/>
  <c r="K37" i="53"/>
  <c r="AA54" i="53"/>
  <c r="AM55" i="53"/>
  <c r="K63" i="53"/>
  <c r="AM64" i="53"/>
  <c r="AI69" i="53"/>
  <c r="AA19" i="57"/>
  <c r="Y126" i="57"/>
  <c r="Y127" i="57" s="1"/>
  <c r="K35" i="61"/>
  <c r="K65" i="61"/>
  <c r="AL84" i="61"/>
  <c r="AI75" i="62"/>
  <c r="AI85" i="62"/>
  <c r="AF106" i="62"/>
  <c r="AJ70" i="54"/>
  <c r="AA83" i="54"/>
  <c r="K83" i="54"/>
  <c r="AF103" i="58"/>
  <c r="AF79" i="59"/>
  <c r="AA81" i="59"/>
  <c r="AB79" i="59"/>
  <c r="AA82" i="59"/>
  <c r="AI79" i="59"/>
  <c r="AF68" i="59"/>
  <c r="AI68" i="59"/>
  <c r="AB68" i="59"/>
  <c r="AA19" i="63"/>
  <c r="AA62" i="63"/>
  <c r="AI62" i="63" s="1"/>
  <c r="AM65" i="63"/>
  <c r="K83" i="63"/>
  <c r="AI56" i="64"/>
  <c r="AF67" i="64"/>
  <c r="AB77" i="64"/>
  <c r="AI87" i="64"/>
  <c r="AB114" i="64"/>
  <c r="AF114" i="64"/>
  <c r="K56" i="54"/>
  <c r="K47" i="54"/>
  <c r="AA35" i="54"/>
  <c r="AB35" i="54" s="1"/>
  <c r="AL55" i="54"/>
  <c r="AL51" i="54"/>
  <c r="AL35" i="54"/>
  <c r="AK71" i="54"/>
  <c r="AL64" i="54"/>
  <c r="AA67" i="54"/>
  <c r="K87" i="54"/>
  <c r="AB76" i="54"/>
  <c r="AN76" i="54" s="1"/>
  <c r="AL89" i="54"/>
  <c r="AK82" i="54"/>
  <c r="K97" i="54"/>
  <c r="K93" i="54"/>
  <c r="AH98" i="54"/>
  <c r="AH48" i="58"/>
  <c r="AI49" i="58"/>
  <c r="AF56" i="58"/>
  <c r="AH67" i="58"/>
  <c r="AB79" i="58"/>
  <c r="AF76" i="58"/>
  <c r="AE103" i="58"/>
  <c r="AF109" i="58"/>
  <c r="AF116" i="58"/>
  <c r="AH115" i="58"/>
  <c r="V126" i="58"/>
  <c r="V127" i="58" s="1"/>
  <c r="AE124" i="58"/>
  <c r="AI140" i="58"/>
  <c r="K42" i="11"/>
  <c r="K35" i="11"/>
  <c r="AN44" i="11"/>
  <c r="K59" i="11"/>
  <c r="AN55" i="11"/>
  <c r="AA63" i="11"/>
  <c r="AA82" i="11" s="1"/>
  <c r="K68" i="11"/>
  <c r="AM67" i="11"/>
  <c r="AL75" i="11"/>
  <c r="AI39" i="59"/>
  <c r="AI47" i="59"/>
  <c r="AK83" i="63"/>
  <c r="AA93" i="64"/>
  <c r="AI93" i="64" s="1"/>
  <c r="AN68" i="54"/>
  <c r="AM66" i="54"/>
  <c r="AL81" i="54"/>
  <c r="AE96" i="54"/>
  <c r="AL96" i="54"/>
  <c r="AB39" i="58"/>
  <c r="AH38" i="58"/>
  <c r="AF39" i="58"/>
  <c r="AH46" i="58"/>
  <c r="AH66" i="58"/>
  <c r="AB76" i="58"/>
  <c r="AE109" i="58"/>
  <c r="AB116" i="58"/>
  <c r="AH114" i="58"/>
  <c r="T126" i="58"/>
  <c r="T127" i="58" s="1"/>
  <c r="K39" i="11"/>
  <c r="AL51" i="11"/>
  <c r="AM59" i="11"/>
  <c r="AF67" i="11"/>
  <c r="K74" i="11"/>
  <c r="AL79" i="11"/>
  <c r="AI46" i="59"/>
  <c r="AB116" i="62"/>
  <c r="AK58" i="63"/>
  <c r="AK48" i="63"/>
  <c r="AM69" i="63"/>
  <c r="AK70" i="63"/>
  <c r="AA20" i="64"/>
  <c r="AF76" i="64"/>
  <c r="S126" i="64"/>
  <c r="S127" i="64" s="1"/>
  <c r="W126" i="64"/>
  <c r="W127" i="64" s="1"/>
  <c r="K48" i="54"/>
  <c r="AL54" i="54"/>
  <c r="AL50" i="54"/>
  <c r="AL44" i="54"/>
  <c r="AL67" i="54"/>
  <c r="AA65" i="54"/>
  <c r="AJ87" i="54"/>
  <c r="K79" i="54"/>
  <c r="AJ81" i="54"/>
  <c r="K104" i="54"/>
  <c r="AA94" i="54"/>
  <c r="AE92" i="54"/>
  <c r="AL94" i="54"/>
  <c r="AL108" i="54"/>
  <c r="AI60" i="58"/>
  <c r="AH101" i="58"/>
  <c r="AH107" i="58"/>
  <c r="AA20" i="59"/>
  <c r="Z126" i="62"/>
  <c r="Z127" i="62" s="1"/>
  <c r="AK42" i="63"/>
  <c r="AK66" i="63"/>
  <c r="AK62" i="63"/>
  <c r="AH72" i="63"/>
  <c r="K84" i="63"/>
  <c r="AI36" i="64"/>
  <c r="AF45" i="64"/>
  <c r="AI70" i="64"/>
  <c r="AF92" i="64"/>
  <c r="AB99" i="64"/>
  <c r="AI100" i="64"/>
  <c r="AB106" i="64"/>
  <c r="AF107" i="64"/>
  <c r="AB117" i="64"/>
  <c r="AI118" i="64"/>
  <c r="AA122" i="64"/>
  <c r="AA19" i="54"/>
  <c r="AB87" i="54" s="1"/>
  <c r="AL53" i="54"/>
  <c r="AL38" i="54"/>
  <c r="AL70" i="54"/>
  <c r="AL63" i="54"/>
  <c r="AH87" i="54"/>
  <c r="K96" i="54"/>
  <c r="AL104" i="54"/>
  <c r="AH92" i="54"/>
  <c r="AK107" i="54"/>
  <c r="AB71" i="58"/>
  <c r="AI71" i="58"/>
  <c r="AE85" i="58"/>
  <c r="AA16" i="11"/>
  <c r="K47" i="11"/>
  <c r="K40" i="11"/>
  <c r="AI50" i="11"/>
  <c r="AN61" i="11"/>
  <c r="AB46" i="59"/>
  <c r="X126" i="59"/>
  <c r="X127" i="59" s="1"/>
  <c r="AK76" i="63"/>
  <c r="AJ45" i="54"/>
  <c r="AH49" i="54"/>
  <c r="AK38" i="54"/>
  <c r="AN63" i="54"/>
  <c r="AA88" i="54"/>
  <c r="AH79" i="54"/>
  <c r="AL102" i="54"/>
  <c r="Z16" i="58"/>
  <c r="AF35" i="58"/>
  <c r="AE69" i="58"/>
  <c r="AA43" i="58"/>
  <c r="AI92" i="58"/>
  <c r="AF99" i="58"/>
  <c r="AF106" i="58"/>
  <c r="AH119" i="58"/>
  <c r="AM44" i="11"/>
  <c r="AM56" i="11"/>
  <c r="AE63" i="11"/>
  <c r="AB39" i="59"/>
  <c r="AK46" i="63"/>
  <c r="AM66" i="63"/>
  <c r="AK85" i="63"/>
  <c r="AI99" i="64"/>
  <c r="AI117" i="64"/>
  <c r="AH58" i="54"/>
  <c r="AH43" i="54"/>
  <c r="AM70" i="54"/>
  <c r="AM62" i="54"/>
  <c r="AH85" i="54"/>
  <c r="AK101" i="54"/>
  <c r="AB49" i="58"/>
  <c r="AE68" i="58"/>
  <c r="AI87" i="58"/>
  <c r="Y126" i="58"/>
  <c r="Y127" i="58" s="1"/>
  <c r="Q126" i="58"/>
  <c r="Q127" i="58" s="1"/>
  <c r="AH121" i="58"/>
  <c r="AH124" i="58"/>
  <c r="K48" i="11"/>
  <c r="AK80" i="63"/>
  <c r="AF36" i="64"/>
  <c r="AB66" i="64"/>
  <c r="AI77" i="64"/>
  <c r="U126" i="64"/>
  <c r="U127" i="64" s="1"/>
  <c r="AH57" i="54"/>
  <c r="AK52" i="54"/>
  <c r="AL46" i="54"/>
  <c r="AL42" i="54"/>
  <c r="AM71" i="54"/>
  <c r="AA84" i="54"/>
  <c r="AI84" i="54" s="1"/>
  <c r="AL83" i="54"/>
  <c r="AH100" i="54"/>
  <c r="AI56" i="58"/>
  <c r="AE66" i="58"/>
  <c r="AH83" i="58"/>
  <c r="AA94" i="58"/>
  <c r="AF110" i="58"/>
  <c r="AH111" i="58"/>
  <c r="AF117" i="58"/>
  <c r="AA121" i="58"/>
  <c r="AB36" i="11"/>
  <c r="AF36" i="11"/>
  <c r="AL43" i="11"/>
  <c r="K63" i="11"/>
  <c r="K67" i="11"/>
  <c r="AF79" i="11"/>
  <c r="AI80" i="59"/>
  <c r="AF80" i="59"/>
  <c r="AB80" i="59"/>
  <c r="AA73" i="59"/>
  <c r="AI69" i="59"/>
  <c r="AF69" i="59"/>
  <c r="AF58" i="59"/>
  <c r="AB58" i="59"/>
  <c r="AI97" i="65"/>
  <c r="AF97" i="65"/>
  <c r="AF92" i="59"/>
  <c r="AF138" i="59"/>
  <c r="AI132" i="59"/>
  <c r="B29" i="65"/>
  <c r="AB47" i="65"/>
  <c r="AK49" i="65"/>
  <c r="AL45" i="65"/>
  <c r="AH37" i="65"/>
  <c r="AL69" i="65"/>
  <c r="AL66" i="65"/>
  <c r="AM63" i="65"/>
  <c r="AA68" i="65"/>
  <c r="AA84" i="65"/>
  <c r="AL97" i="65"/>
  <c r="AA140" i="66"/>
  <c r="AE107" i="66"/>
  <c r="AH119" i="66"/>
  <c r="AH50" i="67"/>
  <c r="AB95" i="68"/>
  <c r="AF95" i="68"/>
  <c r="AI39" i="69"/>
  <c r="AI102" i="70"/>
  <c r="AF102" i="70"/>
  <c r="AF34" i="22"/>
  <c r="AB34" i="22"/>
  <c r="AN34" i="22" s="1"/>
  <c r="AJ56" i="65"/>
  <c r="AH36" i="65"/>
  <c r="AK63" i="65"/>
  <c r="AA81" i="65"/>
  <c r="AI81" i="65" s="1"/>
  <c r="AE82" i="65"/>
  <c r="AL80" i="65"/>
  <c r="AL74" i="65"/>
  <c r="AK96" i="65"/>
  <c r="AE99" i="65"/>
  <c r="Z16" i="66"/>
  <c r="W122" i="66"/>
  <c r="W123" i="66" s="1"/>
  <c r="O122" i="66"/>
  <c r="AA142" i="66"/>
  <c r="AH43" i="67"/>
  <c r="AF76" i="68"/>
  <c r="AE92" i="68"/>
  <c r="AE109" i="68"/>
  <c r="B29" i="69"/>
  <c r="AE56" i="70"/>
  <c r="AE97" i="70"/>
  <c r="AI98" i="70"/>
  <c r="AB98" i="70"/>
  <c r="AA46" i="24"/>
  <c r="AE46" i="24"/>
  <c r="AH46" i="24"/>
  <c r="AI46" i="18"/>
  <c r="AF46" i="18"/>
  <c r="AB64" i="22"/>
  <c r="AF64" i="22"/>
  <c r="AI65" i="59"/>
  <c r="AI130" i="59"/>
  <c r="Z16" i="65"/>
  <c r="K54" i="65"/>
  <c r="K38" i="65"/>
  <c r="AA43" i="65"/>
  <c r="AE37" i="65"/>
  <c r="AH53" i="65"/>
  <c r="AL48" i="65"/>
  <c r="AH44" i="65"/>
  <c r="AK39" i="65"/>
  <c r="AM65" i="65"/>
  <c r="AL65" i="65"/>
  <c r="AA60" i="65"/>
  <c r="K82" i="65"/>
  <c r="K79" i="65"/>
  <c r="AA80" i="65"/>
  <c r="AH86" i="65"/>
  <c r="AH80" i="65"/>
  <c r="AL95" i="65"/>
  <c r="AK100" i="65"/>
  <c r="AH49" i="66"/>
  <c r="AA52" i="66"/>
  <c r="AA139" i="66"/>
  <c r="AI77" i="66"/>
  <c r="AA92" i="66"/>
  <c r="AF92" i="66" s="1"/>
  <c r="AF105" i="66"/>
  <c r="AF114" i="66"/>
  <c r="AF132" i="66"/>
  <c r="AA37" i="67"/>
  <c r="AL53" i="67"/>
  <c r="AL47" i="67"/>
  <c r="AL42" i="67"/>
  <c r="AK37" i="67"/>
  <c r="AF75" i="68"/>
  <c r="AF82" i="68"/>
  <c r="AH89" i="68"/>
  <c r="AL56" i="69"/>
  <c r="AL50" i="69"/>
  <c r="AL41" i="69"/>
  <c r="Z16" i="70"/>
  <c r="AI49" i="70"/>
  <c r="AB58" i="70"/>
  <c r="AB68" i="70"/>
  <c r="AB111" i="70"/>
  <c r="Z112" i="70"/>
  <c r="Z113" i="70" s="1"/>
  <c r="R112" i="70"/>
  <c r="R113" i="70" s="1"/>
  <c r="AN48" i="15"/>
  <c r="AA65" i="15"/>
  <c r="K65" i="15"/>
  <c r="AE60" i="15"/>
  <c r="AB87" i="59"/>
  <c r="O126" i="59"/>
  <c r="V126" i="59"/>
  <c r="V127" i="59" s="1"/>
  <c r="AD126" i="59"/>
  <c r="K48" i="65"/>
  <c r="AA39" i="65"/>
  <c r="AH52" i="65"/>
  <c r="AK47" i="65"/>
  <c r="K67" i="65"/>
  <c r="AN68" i="65"/>
  <c r="AK65" i="65"/>
  <c r="AL62" i="65"/>
  <c r="AL70" i="65"/>
  <c r="AA76" i="65"/>
  <c r="AE80" i="65"/>
  <c r="AL84" i="65"/>
  <c r="AF94" i="65"/>
  <c r="AK94" i="65"/>
  <c r="AL99" i="65"/>
  <c r="AE35" i="66"/>
  <c r="AF61" i="66"/>
  <c r="AI76" i="66"/>
  <c r="AI80" i="66"/>
  <c r="AI102" i="66"/>
  <c r="AF113" i="66"/>
  <c r="AI134" i="66"/>
  <c r="AA36" i="67"/>
  <c r="AF36" i="67" s="1"/>
  <c r="AK52" i="67"/>
  <c r="S115" i="68"/>
  <c r="AF69" i="68"/>
  <c r="AI88" i="68"/>
  <c r="Q112" i="68"/>
  <c r="Q113" i="68" s="1"/>
  <c r="Z16" i="69"/>
  <c r="AA35" i="69"/>
  <c r="AK56" i="69"/>
  <c r="AK41" i="69"/>
  <c r="AH37" i="69"/>
  <c r="AB57" i="70"/>
  <c r="AF61" i="70"/>
  <c r="AB67" i="70"/>
  <c r="AB74" i="70"/>
  <c r="AA62" i="70"/>
  <c r="AI90" i="70"/>
  <c r="AI99" i="70"/>
  <c r="AB105" i="70"/>
  <c r="AH41" i="15"/>
  <c r="AI70" i="15"/>
  <c r="AE44" i="24"/>
  <c r="AH44" i="24"/>
  <c r="B58" i="18"/>
  <c r="B29" i="18"/>
  <c r="AI42" i="21"/>
  <c r="AF42" i="21"/>
  <c r="AA35" i="65"/>
  <c r="AI47" i="65"/>
  <c r="K83" i="65"/>
  <c r="AE87" i="65"/>
  <c r="AH84" i="65"/>
  <c r="AE59" i="66"/>
  <c r="AA78" i="66"/>
  <c r="AA79" i="66" s="1"/>
  <c r="G79" i="66" s="1"/>
  <c r="AI109" i="66"/>
  <c r="AE119" i="66"/>
  <c r="AL46" i="67"/>
  <c r="AH35" i="67"/>
  <c r="AH35" i="68"/>
  <c r="AB70" i="68"/>
  <c r="AA72" i="68"/>
  <c r="AA118" i="68"/>
  <c r="AF88" i="68"/>
  <c r="AF97" i="68"/>
  <c r="AI98" i="68"/>
  <c r="AH109" i="68"/>
  <c r="K46" i="69"/>
  <c r="AA47" i="69"/>
  <c r="AL55" i="69"/>
  <c r="AL49" i="69"/>
  <c r="AH36" i="69"/>
  <c r="AF49" i="70"/>
  <c r="AE59" i="70"/>
  <c r="AA53" i="70"/>
  <c r="AA54" i="70" s="1"/>
  <c r="G54" i="70" s="1"/>
  <c r="AI76" i="70"/>
  <c r="X112" i="70"/>
  <c r="X113" i="70" s="1"/>
  <c r="AA20" i="15"/>
  <c r="AJ49" i="15" s="1"/>
  <c r="AE58" i="15"/>
  <c r="AE63" i="15"/>
  <c r="AE73" i="15"/>
  <c r="AE65" i="15"/>
  <c r="AE59" i="15"/>
  <c r="AA36" i="15"/>
  <c r="K36" i="15"/>
  <c r="AE41" i="15"/>
  <c r="K34" i="24"/>
  <c r="Z34" i="24"/>
  <c r="AH34" i="24" s="1"/>
  <c r="W58" i="24"/>
  <c r="O58" i="24"/>
  <c r="N62" i="24"/>
  <c r="Z60" i="24"/>
  <c r="AF130" i="59"/>
  <c r="AF56" i="65"/>
  <c r="AK55" i="65"/>
  <c r="AA70" i="65"/>
  <c r="AJ70" i="65" s="1"/>
  <c r="AK83" i="65"/>
  <c r="AL76" i="65"/>
  <c r="K94" i="65"/>
  <c r="K90" i="65"/>
  <c r="AL93" i="65"/>
  <c r="AA20" i="66"/>
  <c r="AB84" i="66" s="1"/>
  <c r="AH59" i="66"/>
  <c r="AH82" i="66"/>
  <c r="AF91" i="66"/>
  <c r="AA93" i="66"/>
  <c r="AI100" i="66"/>
  <c r="AF112" i="66"/>
  <c r="AA119" i="66"/>
  <c r="AE120" i="66"/>
  <c r="K48" i="67"/>
  <c r="AH51" i="67"/>
  <c r="AH46" i="67"/>
  <c r="AL39" i="67"/>
  <c r="Y115" i="68"/>
  <c r="Q115" i="68"/>
  <c r="AE39" i="68"/>
  <c r="AE55" i="68"/>
  <c r="AE97" i="68"/>
  <c r="V112" i="68"/>
  <c r="V113" i="68" s="1"/>
  <c r="AB43" i="69"/>
  <c r="AK55" i="69"/>
  <c r="AK49" i="69"/>
  <c r="AL40" i="69"/>
  <c r="AE58" i="70"/>
  <c r="AI58" i="70"/>
  <c r="AA42" i="70"/>
  <c r="AI74" i="70"/>
  <c r="AE110" i="70"/>
  <c r="K37" i="15"/>
  <c r="AD76" i="15"/>
  <c r="AK51" i="15"/>
  <c r="K37" i="24"/>
  <c r="Z37" i="24"/>
  <c r="AK52" i="24"/>
  <c r="AF58" i="24"/>
  <c r="AK58" i="24" s="1"/>
  <c r="AA54" i="18"/>
  <c r="AF54" i="18" s="1"/>
  <c r="K54" i="18"/>
  <c r="AI43" i="21"/>
  <c r="AF43" i="21"/>
  <c r="AB43" i="21"/>
  <c r="AB60" i="22"/>
  <c r="AN60" i="22" s="1"/>
  <c r="AI60" i="22"/>
  <c r="AF60" i="22"/>
  <c r="AJ71" i="23"/>
  <c r="AI71" i="23"/>
  <c r="AF87" i="59"/>
  <c r="AI134" i="59"/>
  <c r="AI55" i="65"/>
  <c r="AH50" i="65"/>
  <c r="AL46" i="65"/>
  <c r="AL41" i="65"/>
  <c r="AM66" i="65"/>
  <c r="AL82" i="65"/>
  <c r="AA72" i="66"/>
  <c r="AA63" i="66"/>
  <c r="AF84" i="66"/>
  <c r="AF90" i="66"/>
  <c r="AF101" i="66"/>
  <c r="AB112" i="66"/>
  <c r="AA52" i="67"/>
  <c r="AL55" i="67"/>
  <c r="AL50" i="67"/>
  <c r="AL45" i="67"/>
  <c r="AF96" i="68"/>
  <c r="U112" i="68"/>
  <c r="U113" i="68" s="1"/>
  <c r="K38" i="69"/>
  <c r="AI55" i="69"/>
  <c r="AK40" i="69"/>
  <c r="AI103" i="70"/>
  <c r="AB103" i="70"/>
  <c r="AH36" i="15"/>
  <c r="AH73" i="15"/>
  <c r="AH38" i="15"/>
  <c r="AH39" i="15"/>
  <c r="AH35" i="15"/>
  <c r="K58" i="15"/>
  <c r="AA58" i="15"/>
  <c r="AB58" i="15" s="1"/>
  <c r="AA69" i="15"/>
  <c r="AF62" i="24"/>
  <c r="AM37" i="20"/>
  <c r="AN37" i="20"/>
  <c r="AI49" i="22"/>
  <c r="AF49" i="22"/>
  <c r="AF39" i="23"/>
  <c r="AI39" i="23"/>
  <c r="AI57" i="23"/>
  <c r="AF57" i="23"/>
  <c r="AA42" i="59"/>
  <c r="AI87" i="59"/>
  <c r="AA93" i="59"/>
  <c r="AI93" i="59" s="1"/>
  <c r="AI91" i="59"/>
  <c r="AA122" i="59"/>
  <c r="K56" i="65"/>
  <c r="K40" i="65"/>
  <c r="AA51" i="65"/>
  <c r="AI51" i="65" s="1"/>
  <c r="AL54" i="65"/>
  <c r="AL49" i="65"/>
  <c r="AH46" i="65"/>
  <c r="AK41" i="65"/>
  <c r="AL37" i="65"/>
  <c r="AN66" i="65"/>
  <c r="AN60" i="65"/>
  <c r="AN65" i="65"/>
  <c r="K87" i="65"/>
  <c r="AK81" i="65"/>
  <c r="AK75" i="65"/>
  <c r="AH91" i="65"/>
  <c r="AA62" i="66"/>
  <c r="AA53" i="66"/>
  <c r="AA42" i="66"/>
  <c r="AI83" i="66"/>
  <c r="AF89" i="66"/>
  <c r="AA118" i="66"/>
  <c r="AH120" i="66"/>
  <c r="AA137" i="66"/>
  <c r="Z16" i="67"/>
  <c r="K49" i="67"/>
  <c r="AL54" i="67"/>
  <c r="AL38" i="67"/>
  <c r="AH59" i="68"/>
  <c r="AH92" i="68"/>
  <c r="AE106" i="68"/>
  <c r="AA119" i="68"/>
  <c r="K50" i="69"/>
  <c r="AE49" i="70"/>
  <c r="AE82" i="70"/>
  <c r="T112" i="70"/>
  <c r="T113" i="70" s="1"/>
  <c r="AM48" i="15"/>
  <c r="AI68" i="15"/>
  <c r="AF68" i="15"/>
  <c r="Z19" i="24"/>
  <c r="AG55" i="24"/>
  <c r="AK55" i="24"/>
  <c r="AA37" i="18"/>
  <c r="K37" i="18"/>
  <c r="AF51" i="23"/>
  <c r="AI51" i="23"/>
  <c r="AL57" i="23"/>
  <c r="AL95" i="23"/>
  <c r="AL68" i="23"/>
  <c r="AI47" i="23"/>
  <c r="AA73" i="23"/>
  <c r="AH79" i="23"/>
  <c r="AL79" i="23"/>
  <c r="AL83" i="23"/>
  <c r="AI42" i="25"/>
  <c r="AB42" i="25"/>
  <c r="AA58" i="28"/>
  <c r="K58" i="28"/>
  <c r="AA19" i="29"/>
  <c r="AF40" i="29"/>
  <c r="AI40" i="29"/>
  <c r="AI47" i="30"/>
  <c r="AF47" i="30"/>
  <c r="AI36" i="30"/>
  <c r="AF36" i="30"/>
  <c r="AA34" i="19"/>
  <c r="AK62" i="19"/>
  <c r="AA19" i="21"/>
  <c r="AL62" i="22"/>
  <c r="AI72" i="22"/>
  <c r="AL50" i="23"/>
  <c r="AL66" i="23"/>
  <c r="AL91" i="23"/>
  <c r="AH91" i="23"/>
  <c r="AL85" i="23"/>
  <c r="AL98" i="23"/>
  <c r="AH38" i="25"/>
  <c r="AH34" i="25"/>
  <c r="AH35" i="25"/>
  <c r="AH45" i="25"/>
  <c r="AH36" i="25"/>
  <c r="K44" i="25"/>
  <c r="AA44" i="25"/>
  <c r="AH50" i="25"/>
  <c r="AI39" i="26"/>
  <c r="AI44" i="29"/>
  <c r="AF44" i="29"/>
  <c r="AA69" i="29"/>
  <c r="AA64" i="30"/>
  <c r="K64" i="30"/>
  <c r="AL34" i="32"/>
  <c r="AL35" i="32"/>
  <c r="AA21" i="33"/>
  <c r="AL50" i="35"/>
  <c r="AI60" i="36"/>
  <c r="AF60" i="36"/>
  <c r="K64" i="15"/>
  <c r="K57" i="15"/>
  <c r="AK58" i="15"/>
  <c r="AJ46" i="24"/>
  <c r="AJ49" i="24"/>
  <c r="Z54" i="24"/>
  <c r="AE54" i="24" s="1"/>
  <c r="AK54" i="24"/>
  <c r="AJ52" i="24"/>
  <c r="AK60" i="24"/>
  <c r="K35" i="18"/>
  <c r="AA36" i="18"/>
  <c r="K56" i="18"/>
  <c r="K60" i="18"/>
  <c r="AA59" i="18"/>
  <c r="AB59" i="18" s="1"/>
  <c r="AG67" i="18"/>
  <c r="K43" i="19"/>
  <c r="AL42" i="19"/>
  <c r="AA50" i="19"/>
  <c r="AF50" i="19" s="1"/>
  <c r="AA34" i="20"/>
  <c r="AK43" i="20"/>
  <c r="AL44" i="20"/>
  <c r="AB50" i="20"/>
  <c r="AM50" i="20" s="1"/>
  <c r="AK52" i="20"/>
  <c r="AK60" i="20"/>
  <c r="AL40" i="21"/>
  <c r="AM47" i="21"/>
  <c r="AK62" i="21"/>
  <c r="AF71" i="21"/>
  <c r="AI70" i="21"/>
  <c r="AA38" i="22"/>
  <c r="AL51" i="22"/>
  <c r="AM50" i="22"/>
  <c r="AB41" i="23"/>
  <c r="AK50" i="23"/>
  <c r="AL46" i="23"/>
  <c r="AL42" i="23"/>
  <c r="AL34" i="23"/>
  <c r="AM65" i="23"/>
  <c r="AN65" i="23"/>
  <c r="AL59" i="23"/>
  <c r="AL84" i="23"/>
  <c r="AH84" i="23"/>
  <c r="AL77" i="23"/>
  <c r="AI50" i="25"/>
  <c r="AF50" i="25"/>
  <c r="AI38" i="25"/>
  <c r="AF38" i="25"/>
  <c r="AA61" i="28"/>
  <c r="AA55" i="29"/>
  <c r="AF55" i="29" s="1"/>
  <c r="K55" i="29"/>
  <c r="AI71" i="30"/>
  <c r="AB71" i="30"/>
  <c r="AB36" i="34"/>
  <c r="AM36" i="34" s="1"/>
  <c r="AF36" i="34"/>
  <c r="AF36" i="36"/>
  <c r="AI64" i="36"/>
  <c r="AB64" i="36"/>
  <c r="AK39" i="24"/>
  <c r="W62" i="24"/>
  <c r="O62" i="24"/>
  <c r="AK48" i="24"/>
  <c r="T58" i="24"/>
  <c r="AJ54" i="24"/>
  <c r="S62" i="24"/>
  <c r="AA62" i="19"/>
  <c r="AF38" i="20"/>
  <c r="AL34" i="20"/>
  <c r="AL48" i="20"/>
  <c r="AF39" i="21"/>
  <c r="AF34" i="21"/>
  <c r="AK40" i="21"/>
  <c r="AM48" i="21"/>
  <c r="AK42" i="22"/>
  <c r="AM54" i="22"/>
  <c r="AN49" i="22"/>
  <c r="AM68" i="22"/>
  <c r="AB72" i="22"/>
  <c r="AF41" i="23"/>
  <c r="AK53" i="23"/>
  <c r="AH46" i="23"/>
  <c r="AK42" i="23"/>
  <c r="AL38" i="23"/>
  <c r="AK34" i="23"/>
  <c r="AK65" i="23"/>
  <c r="AK59" i="23"/>
  <c r="Z96" i="23"/>
  <c r="Z100" i="23" s="1"/>
  <c r="AL89" i="23"/>
  <c r="AF42" i="25"/>
  <c r="AA54" i="26"/>
  <c r="K54" i="26"/>
  <c r="AF40" i="15"/>
  <c r="AK61" i="15"/>
  <c r="AK57" i="15"/>
  <c r="K38" i="24"/>
  <c r="AJ39" i="24"/>
  <c r="AJ36" i="24"/>
  <c r="AJ48" i="24"/>
  <c r="Z53" i="24"/>
  <c r="S58" i="24"/>
  <c r="R62" i="24"/>
  <c r="AF42" i="19"/>
  <c r="AK41" i="19"/>
  <c r="AA49" i="19"/>
  <c r="K63" i="19"/>
  <c r="AL37" i="20"/>
  <c r="AK34" i="20"/>
  <c r="AM41" i="20"/>
  <c r="AK44" i="20"/>
  <c r="AL51" i="20"/>
  <c r="AL59" i="20"/>
  <c r="K43" i="21"/>
  <c r="K50" i="21"/>
  <c r="AM50" i="21"/>
  <c r="AL55" i="21"/>
  <c r="AK48" i="21"/>
  <c r="AF70" i="21"/>
  <c r="AK73" i="21"/>
  <c r="K37" i="22"/>
  <c r="K34" i="22"/>
  <c r="K53" i="22"/>
  <c r="AM53" i="22"/>
  <c r="AK50" i="22"/>
  <c r="AA51" i="22"/>
  <c r="AH53" i="23"/>
  <c r="AL49" i="23"/>
  <c r="AK45" i="23"/>
  <c r="AH38" i="23"/>
  <c r="AH34" i="23"/>
  <c r="K69" i="23"/>
  <c r="AM70" i="23"/>
  <c r="AN64" i="23"/>
  <c r="AA77" i="23"/>
  <c r="U96" i="23"/>
  <c r="U100" i="23" s="1"/>
  <c r="K34" i="25"/>
  <c r="AB34" i="25"/>
  <c r="AA19" i="27"/>
  <c r="AK63" i="28"/>
  <c r="AK57" i="28"/>
  <c r="AK48" i="28"/>
  <c r="AK60" i="28"/>
  <c r="AK50" i="28"/>
  <c r="AK42" i="28"/>
  <c r="AK35" i="28"/>
  <c r="AK36" i="28"/>
  <c r="K37" i="29"/>
  <c r="AA37" i="29"/>
  <c r="AI37" i="29" s="1"/>
  <c r="AF43" i="30"/>
  <c r="AI43" i="30"/>
  <c r="AA35" i="35"/>
  <c r="AF35" i="35" s="1"/>
  <c r="K35" i="35"/>
  <c r="AI56" i="36"/>
  <c r="AF56" i="36"/>
  <c r="K45" i="15"/>
  <c r="AK49" i="15"/>
  <c r="AK45" i="15"/>
  <c r="AK38" i="24"/>
  <c r="AJ45" i="24"/>
  <c r="AE48" i="18"/>
  <c r="K37" i="19"/>
  <c r="AN50" i="19"/>
  <c r="AI48" i="19"/>
  <c r="AI37" i="20"/>
  <c r="AK57" i="20"/>
  <c r="Z16" i="21"/>
  <c r="AF38" i="21"/>
  <c r="AK39" i="21"/>
  <c r="K53" i="21"/>
  <c r="AM49" i="21"/>
  <c r="AA47" i="21"/>
  <c r="AA58" i="21"/>
  <c r="AA66" i="21"/>
  <c r="AL41" i="22"/>
  <c r="K46" i="22"/>
  <c r="AA63" i="22"/>
  <c r="AF63" i="22" s="1"/>
  <c r="B29" i="23"/>
  <c r="K41" i="23"/>
  <c r="AA35" i="23"/>
  <c r="AL41" i="23"/>
  <c r="AM57" i="23"/>
  <c r="AN57" i="23"/>
  <c r="AL71" i="23"/>
  <c r="AM64" i="23"/>
  <c r="AL58" i="23"/>
  <c r="AL88" i="23"/>
  <c r="AL94" i="23"/>
  <c r="AE53" i="26"/>
  <c r="AE70" i="26"/>
  <c r="AE54" i="26"/>
  <c r="AE56" i="26"/>
  <c r="AE60" i="26"/>
  <c r="AE35" i="26"/>
  <c r="AE38" i="26"/>
  <c r="AE61" i="26"/>
  <c r="AE39" i="26"/>
  <c r="AE50" i="26"/>
  <c r="AE66" i="26"/>
  <c r="AE47" i="26"/>
  <c r="AA41" i="28"/>
  <c r="AJ41" i="28" s="1"/>
  <c r="K41" i="28"/>
  <c r="K62" i="29"/>
  <c r="AA62" i="29"/>
  <c r="AI52" i="36"/>
  <c r="AF52" i="36"/>
  <c r="Z20" i="24"/>
  <c r="AI44" i="24" s="1"/>
  <c r="T62" i="24"/>
  <c r="AK47" i="24"/>
  <c r="Z56" i="24"/>
  <c r="Z52" i="24"/>
  <c r="K41" i="19"/>
  <c r="AA38" i="19"/>
  <c r="K56" i="19"/>
  <c r="K38" i="20"/>
  <c r="AL50" i="20"/>
  <c r="K41" i="22"/>
  <c r="AL35" i="22"/>
  <c r="AL53" i="22"/>
  <c r="AN46" i="22"/>
  <c r="Z16" i="23"/>
  <c r="AK77" i="23"/>
  <c r="AK62" i="23"/>
  <c r="K51" i="23"/>
  <c r="AL51" i="23"/>
  <c r="AK48" i="23"/>
  <c r="K57" i="23"/>
  <c r="AL74" i="23"/>
  <c r="AL67" i="23"/>
  <c r="AK82" i="23"/>
  <c r="AE82" i="23"/>
  <c r="AL93" i="23"/>
  <c r="AL87" i="23"/>
  <c r="AA50" i="28"/>
  <c r="K50" i="28"/>
  <c r="AA43" i="29"/>
  <c r="K43" i="29"/>
  <c r="K34" i="32"/>
  <c r="AA34" i="32"/>
  <c r="AL38" i="34"/>
  <c r="AL35" i="34"/>
  <c r="AL39" i="34"/>
  <c r="AL57" i="35"/>
  <c r="AL55" i="35"/>
  <c r="AL34" i="35"/>
  <c r="AL41" i="35"/>
  <c r="K37" i="36"/>
  <c r="AA37" i="36"/>
  <c r="AN49" i="15"/>
  <c r="AN50" i="15"/>
  <c r="AK59" i="15"/>
  <c r="AK56" i="15"/>
  <c r="Y16" i="24"/>
  <c r="AK34" i="24"/>
  <c r="AJ47" i="24"/>
  <c r="AJ53" i="24"/>
  <c r="Z16" i="20"/>
  <c r="AL41" i="20"/>
  <c r="K48" i="20"/>
  <c r="AL56" i="20"/>
  <c r="K37" i="21"/>
  <c r="AI38" i="21"/>
  <c r="K51" i="21"/>
  <c r="AN50" i="21"/>
  <c r="AL71" i="21"/>
  <c r="AB42" i="22"/>
  <c r="AN42" i="22" s="1"/>
  <c r="AK40" i="22"/>
  <c r="K54" i="22"/>
  <c r="B58" i="22"/>
  <c r="K60" i="22"/>
  <c r="K45" i="23"/>
  <c r="AL43" i="23"/>
  <c r="AK40" i="23"/>
  <c r="AL35" i="23"/>
  <c r="K67" i="23"/>
  <c r="AK67" i="23"/>
  <c r="AL63" i="23"/>
  <c r="AL60" i="23"/>
  <c r="AK57" i="23"/>
  <c r="AK94" i="23"/>
  <c r="AE94" i="23"/>
  <c r="AL80" i="23"/>
  <c r="AH80" i="23"/>
  <c r="AL86" i="23"/>
  <c r="AA16" i="25"/>
  <c r="AE35" i="25"/>
  <c r="AE34" i="25"/>
  <c r="AE37" i="25"/>
  <c r="AE50" i="25"/>
  <c r="AE38" i="25"/>
  <c r="AE45" i="25"/>
  <c r="AF46" i="25"/>
  <c r="AI46" i="25"/>
  <c r="AE52" i="25"/>
  <c r="AF54" i="29"/>
  <c r="AI54" i="29"/>
  <c r="AA55" i="30"/>
  <c r="K55" i="30"/>
  <c r="AK45" i="33"/>
  <c r="AK47" i="33"/>
  <c r="AK55" i="33"/>
  <c r="AK61" i="33"/>
  <c r="AK37" i="33"/>
  <c r="K47" i="36"/>
  <c r="AA47" i="36"/>
  <c r="AB47" i="36" s="1"/>
  <c r="AN72" i="23"/>
  <c r="AM68" i="23"/>
  <c r="AL82" i="23"/>
  <c r="K45" i="25"/>
  <c r="AL48" i="25"/>
  <c r="AK46" i="25"/>
  <c r="AL39" i="25"/>
  <c r="AK52" i="25"/>
  <c r="AD54" i="25"/>
  <c r="AK37" i="26"/>
  <c r="AK43" i="26"/>
  <c r="K64" i="26"/>
  <c r="K55" i="26"/>
  <c r="AI64" i="26"/>
  <c r="AK58" i="26"/>
  <c r="AK50" i="26"/>
  <c r="AK70" i="26"/>
  <c r="AA40" i="27"/>
  <c r="AE35" i="27"/>
  <c r="AL36" i="27"/>
  <c r="U66" i="28"/>
  <c r="AH47" i="29"/>
  <c r="K70" i="29"/>
  <c r="K63" i="29"/>
  <c r="K56" i="29"/>
  <c r="AK70" i="29"/>
  <c r="AH60" i="29"/>
  <c r="AK73" i="29"/>
  <c r="K38" i="30"/>
  <c r="K35" i="30"/>
  <c r="AL47" i="30"/>
  <c r="AH42" i="30"/>
  <c r="AI38" i="30"/>
  <c r="K65" i="30"/>
  <c r="K56" i="30"/>
  <c r="AL73" i="30"/>
  <c r="AK66" i="30"/>
  <c r="AK56" i="30"/>
  <c r="AL76" i="30"/>
  <c r="AE36" i="31"/>
  <c r="AK36" i="32"/>
  <c r="AA45" i="33"/>
  <c r="AE53" i="33"/>
  <c r="AL62" i="33"/>
  <c r="AL58" i="33"/>
  <c r="AL37" i="33"/>
  <c r="AK44" i="34"/>
  <c r="AL38" i="36"/>
  <c r="K60" i="36"/>
  <c r="AL55" i="36"/>
  <c r="AM60" i="23"/>
  <c r="S96" i="23"/>
  <c r="S100" i="23" s="1"/>
  <c r="W96" i="23"/>
  <c r="W100" i="23" s="1"/>
  <c r="O96" i="23"/>
  <c r="AK90" i="23"/>
  <c r="AL92" i="23"/>
  <c r="AL81" i="23"/>
  <c r="AK80" i="23"/>
  <c r="AK48" i="25"/>
  <c r="AK39" i="25"/>
  <c r="AL36" i="25"/>
  <c r="AA20" i="26"/>
  <c r="AJ55" i="26" s="1"/>
  <c r="AK36" i="26"/>
  <c r="AF43" i="26"/>
  <c r="K60" i="26"/>
  <c r="AA62" i="26"/>
  <c r="AL67" i="26"/>
  <c r="AL61" i="26"/>
  <c r="AK57" i="26"/>
  <c r="K42" i="27"/>
  <c r="K39" i="27"/>
  <c r="AA37" i="27"/>
  <c r="AB37" i="27" s="1"/>
  <c r="AE34" i="27"/>
  <c r="AH36" i="27"/>
  <c r="AE40" i="28"/>
  <c r="AA48" i="28"/>
  <c r="AL46" i="29"/>
  <c r="AH39" i="29"/>
  <c r="AA64" i="29"/>
  <c r="AH70" i="29"/>
  <c r="AL59" i="29"/>
  <c r="AK54" i="29"/>
  <c r="AE46" i="30"/>
  <c r="AL41" i="30"/>
  <c r="AH38" i="30"/>
  <c r="AK72" i="30"/>
  <c r="AK64" i="30"/>
  <c r="AH56" i="30"/>
  <c r="AH75" i="30"/>
  <c r="AE35" i="31"/>
  <c r="K60" i="33"/>
  <c r="K53" i="33"/>
  <c r="K46" i="33"/>
  <c r="K41" i="33"/>
  <c r="K36" i="33"/>
  <c r="AL50" i="33"/>
  <c r="AL45" i="33"/>
  <c r="S52" i="35"/>
  <c r="S59" i="35" s="1"/>
  <c r="K35" i="36"/>
  <c r="AL37" i="36"/>
  <c r="AK54" i="36"/>
  <c r="R96" i="23"/>
  <c r="R100" i="23" s="1"/>
  <c r="AL45" i="25"/>
  <c r="AK35" i="26"/>
  <c r="AK41" i="26"/>
  <c r="AK67" i="26"/>
  <c r="AK61" i="26"/>
  <c r="AK56" i="26"/>
  <c r="AA36" i="27"/>
  <c r="AH42" i="27"/>
  <c r="AH34" i="27"/>
  <c r="AH44" i="27"/>
  <c r="AA43" i="28"/>
  <c r="AE53" i="28"/>
  <c r="AF63" i="30"/>
  <c r="K65" i="33"/>
  <c r="AL61" i="33"/>
  <c r="AB38" i="35"/>
  <c r="AK57" i="35"/>
  <c r="AK48" i="36"/>
  <c r="K51" i="36"/>
  <c r="AL60" i="36"/>
  <c r="AL52" i="36"/>
  <c r="AF60" i="26"/>
  <c r="AI42" i="28"/>
  <c r="AA16" i="29"/>
  <c r="K39" i="29"/>
  <c r="AH45" i="29"/>
  <c r="K57" i="29"/>
  <c r="AK67" i="29"/>
  <c r="AH63" i="29"/>
  <c r="AK53" i="29"/>
  <c r="AK45" i="30"/>
  <c r="AH41" i="30"/>
  <c r="AK37" i="30"/>
  <c r="AK35" i="31"/>
  <c r="AL56" i="33"/>
  <c r="AA19" i="34"/>
  <c r="K39" i="36"/>
  <c r="K36" i="36"/>
  <c r="K43" i="36"/>
  <c r="AL46" i="36"/>
  <c r="AA82" i="23"/>
  <c r="AK47" i="25"/>
  <c r="AK38" i="25"/>
  <c r="AL47" i="26"/>
  <c r="AK66" i="26"/>
  <c r="AL60" i="26"/>
  <c r="AL54" i="26"/>
  <c r="K34" i="27"/>
  <c r="AE42" i="27"/>
  <c r="AA44" i="27"/>
  <c r="AF44" i="27" s="1"/>
  <c r="AA16" i="28"/>
  <c r="K36" i="28"/>
  <c r="AA45" i="29"/>
  <c r="AI45" i="29" s="1"/>
  <c r="AL43" i="29"/>
  <c r="AK37" i="29"/>
  <c r="AH67" i="29"/>
  <c r="AL62" i="29"/>
  <c r="AL57" i="29"/>
  <c r="K46" i="30"/>
  <c r="K43" i="30"/>
  <c r="AH45" i="30"/>
  <c r="AL40" i="30"/>
  <c r="K71" i="30"/>
  <c r="AA58" i="30"/>
  <c r="AL70" i="30"/>
  <c r="AK61" i="30"/>
  <c r="AH53" i="30"/>
  <c r="AH35" i="31"/>
  <c r="AA37" i="31"/>
  <c r="AL48" i="33"/>
  <c r="AL40" i="33"/>
  <c r="Y53" i="34"/>
  <c r="Y60" i="34" s="1"/>
  <c r="K45" i="35"/>
  <c r="AG48" i="35"/>
  <c r="AG52" i="35" s="1"/>
  <c r="AA50" i="35"/>
  <c r="AI50" i="35" s="1"/>
  <c r="AA66" i="36"/>
  <c r="AE58" i="36"/>
  <c r="AK59" i="36"/>
  <c r="AK51" i="36"/>
  <c r="AL39" i="27"/>
  <c r="AA35" i="28"/>
  <c r="AF42" i="28"/>
  <c r="AF36" i="29"/>
  <c r="AK42" i="29"/>
  <c r="AL66" i="29"/>
  <c r="AK61" i="29"/>
  <c r="AL56" i="29"/>
  <c r="AK51" i="29"/>
  <c r="AA16" i="30"/>
  <c r="AK44" i="30"/>
  <c r="AK40" i="30"/>
  <c r="AK36" i="30"/>
  <c r="AL60" i="30"/>
  <c r="AK51" i="30"/>
  <c r="AH37" i="31"/>
  <c r="AA52" i="33"/>
  <c r="AF52" i="33" s="1"/>
  <c r="AL64" i="33"/>
  <c r="AA37" i="34"/>
  <c r="AH44" i="34"/>
  <c r="AA44" i="35"/>
  <c r="AH45" i="36"/>
  <c r="AL49" i="25"/>
  <c r="AK40" i="25"/>
  <c r="AL37" i="25"/>
  <c r="AA16" i="26"/>
  <c r="AA40" i="26"/>
  <c r="AA53" i="26"/>
  <c r="AK52" i="26"/>
  <c r="AE39" i="27"/>
  <c r="AL38" i="27"/>
  <c r="AE64" i="28"/>
  <c r="AA41" i="29"/>
  <c r="AF41" i="29" s="1"/>
  <c r="AL41" i="29"/>
  <c r="K65" i="29"/>
  <c r="AA52" i="29"/>
  <c r="AE51" i="29"/>
  <c r="AH66" i="29"/>
  <c r="AK39" i="30"/>
  <c r="AE51" i="30"/>
  <c r="AH69" i="30"/>
  <c r="AL59" i="30"/>
  <c r="AK50" i="30"/>
  <c r="Z16" i="31"/>
  <c r="AK37" i="31"/>
  <c r="K59" i="33"/>
  <c r="K40" i="33"/>
  <c r="K35" i="33"/>
  <c r="AL54" i="33"/>
  <c r="AL38" i="33"/>
  <c r="AA20" i="34"/>
  <c r="AJ39" i="34" s="1"/>
  <c r="Z16" i="36"/>
  <c r="AK64" i="36"/>
  <c r="AI128" i="6"/>
  <c r="AF128" i="6"/>
  <c r="V64" i="37"/>
  <c r="V74" i="37" s="1"/>
  <c r="V62" i="37"/>
  <c r="AA57" i="37"/>
  <c r="AA56" i="37"/>
  <c r="AA43" i="37"/>
  <c r="AH43" i="37"/>
  <c r="AA54" i="37"/>
  <c r="AA58" i="37"/>
  <c r="AI43" i="37"/>
  <c r="AK43" i="37"/>
  <c r="AA78" i="37"/>
  <c r="AE43" i="37"/>
  <c r="Z44" i="37"/>
  <c r="AA44" i="37" s="1"/>
  <c r="AC72" i="37"/>
  <c r="AD72" i="37" s="1"/>
  <c r="AD71" i="37"/>
  <c r="AI44" i="4"/>
  <c r="AJ44" i="4"/>
  <c r="AF44" i="4"/>
  <c r="AB44" i="4"/>
  <c r="AB37" i="4"/>
  <c r="AB78" i="4"/>
  <c r="AI78" i="4"/>
  <c r="AJ78" i="4"/>
  <c r="AF78" i="4"/>
  <c r="W64" i="37"/>
  <c r="W74" i="37" s="1"/>
  <c r="W62" i="37"/>
  <c r="AI46" i="37"/>
  <c r="AK46" i="37"/>
  <c r="AL39" i="4"/>
  <c r="AN39" i="4"/>
  <c r="AJ82" i="4"/>
  <c r="AB82" i="4"/>
  <c r="AF82" i="4"/>
  <c r="AI82" i="4"/>
  <c r="AJ74" i="4"/>
  <c r="AB74" i="4"/>
  <c r="AI74" i="4"/>
  <c r="AF74" i="4"/>
  <c r="O64" i="37"/>
  <c r="O74" i="37" s="1"/>
  <c r="O62" i="37"/>
  <c r="AB56" i="4"/>
  <c r="AI56" i="4"/>
  <c r="AJ56" i="4"/>
  <c r="AF56" i="4"/>
  <c r="U62" i="37"/>
  <c r="U64" i="37"/>
  <c r="U74" i="37" s="1"/>
  <c r="AA77" i="37"/>
  <c r="AI36" i="4"/>
  <c r="AJ36" i="4"/>
  <c r="AF36" i="4"/>
  <c r="AB36" i="4"/>
  <c r="AB62" i="4"/>
  <c r="AB98" i="4"/>
  <c r="AJ98" i="4"/>
  <c r="AI98" i="4"/>
  <c r="AF98" i="4"/>
  <c r="S64" i="37"/>
  <c r="S74" i="37" s="1"/>
  <c r="S62" i="37"/>
  <c r="AA87" i="37"/>
  <c r="AF48" i="4"/>
  <c r="AJ48" i="4"/>
  <c r="AI48" i="4"/>
  <c r="AB48" i="4"/>
  <c r="AF42" i="4"/>
  <c r="AB42" i="4"/>
  <c r="AI42" i="4"/>
  <c r="AJ42" i="4"/>
  <c r="AL47" i="4"/>
  <c r="AN47" i="4"/>
  <c r="AB61" i="4"/>
  <c r="AA41" i="37"/>
  <c r="AA42" i="37"/>
  <c r="AA40" i="37"/>
  <c r="R64" i="37"/>
  <c r="R74" i="37" s="1"/>
  <c r="R62" i="37"/>
  <c r="AE49" i="37"/>
  <c r="Z50" i="37"/>
  <c r="AA50" i="37" s="1"/>
  <c r="AH49" i="37"/>
  <c r="AA49" i="37"/>
  <c r="AK83" i="37"/>
  <c r="AI83" i="37"/>
  <c r="AB94" i="4"/>
  <c r="AI94" i="4"/>
  <c r="AJ94" i="4"/>
  <c r="AF94" i="4"/>
  <c r="AJ97" i="4"/>
  <c r="AB97" i="4"/>
  <c r="AF97" i="4"/>
  <c r="AI97" i="4"/>
  <c r="AH94" i="37"/>
  <c r="AE94" i="37"/>
  <c r="AF40" i="4"/>
  <c r="AJ40" i="4"/>
  <c r="AI40" i="4"/>
  <c r="AB40" i="4"/>
  <c r="AJ90" i="4"/>
  <c r="AB90" i="4"/>
  <c r="AF90" i="4"/>
  <c r="AI90" i="4"/>
  <c r="AB40" i="6"/>
  <c r="AB48" i="6"/>
  <c r="AB34" i="6"/>
  <c r="AB42" i="6"/>
  <c r="AB50" i="6"/>
  <c r="AB55" i="6"/>
  <c r="AB59" i="6"/>
  <c r="AB67" i="6"/>
  <c r="AB37" i="6"/>
  <c r="AB45" i="6"/>
  <c r="AB54" i="6"/>
  <c r="AB64" i="6"/>
  <c r="AB35" i="6"/>
  <c r="AB39" i="6"/>
  <c r="AB58" i="6"/>
  <c r="AB56" i="6"/>
  <c r="AB68" i="6"/>
  <c r="AB51" i="6"/>
  <c r="Q64" i="37"/>
  <c r="Q74" i="37" s="1"/>
  <c r="Q62" i="37"/>
  <c r="AH80" i="37"/>
  <c r="AA80" i="37"/>
  <c r="AE80" i="37"/>
  <c r="AF72" i="37"/>
  <c r="AG72" i="37" s="1"/>
  <c r="AG71" i="37"/>
  <c r="AB75" i="4"/>
  <c r="AB79" i="4"/>
  <c r="AB83" i="4"/>
  <c r="AB87" i="4"/>
  <c r="AB91" i="4"/>
  <c r="AB95" i="4"/>
  <c r="AB77" i="4"/>
  <c r="AB85" i="4"/>
  <c r="AB60" i="4"/>
  <c r="AB64" i="4"/>
  <c r="AB68" i="4"/>
  <c r="AB93" i="4"/>
  <c r="AB55" i="4"/>
  <c r="AI46" i="4"/>
  <c r="AF46" i="4"/>
  <c r="AJ46" i="4"/>
  <c r="AB46" i="4"/>
  <c r="AL66" i="4"/>
  <c r="AL58" i="4"/>
  <c r="AN58" i="4"/>
  <c r="AB86" i="4"/>
  <c r="AI86" i="4"/>
  <c r="AJ86" i="4"/>
  <c r="AF86" i="4"/>
  <c r="AF60" i="37"/>
  <c r="AG60" i="37" s="1"/>
  <c r="AC64" i="37"/>
  <c r="AJ55" i="4"/>
  <c r="AJ67" i="4"/>
  <c r="AJ59" i="4"/>
  <c r="AJ91" i="4"/>
  <c r="AJ83" i="4"/>
  <c r="AJ75" i="4"/>
  <c r="B9" i="37"/>
  <c r="AD40" i="37"/>
  <c r="AD43" i="37"/>
  <c r="X61" i="37"/>
  <c r="P61" i="37"/>
  <c r="AH83" i="37"/>
  <c r="AE83" i="37"/>
  <c r="AF45" i="4"/>
  <c r="AF37" i="4"/>
  <c r="AK50" i="4"/>
  <c r="AM44" i="4"/>
  <c r="AK42" i="4"/>
  <c r="AM36" i="4"/>
  <c r="AF67" i="4"/>
  <c r="AF63" i="4"/>
  <c r="AF59" i="4"/>
  <c r="AJ68" i="4"/>
  <c r="AI67" i="4"/>
  <c r="AM63" i="4"/>
  <c r="AK61" i="4"/>
  <c r="AJ60" i="4"/>
  <c r="AI59" i="4"/>
  <c r="AA89" i="4"/>
  <c r="AA81" i="4"/>
  <c r="AA73" i="4"/>
  <c r="AE94" i="4"/>
  <c r="AE90" i="4"/>
  <c r="AE86" i="4"/>
  <c r="AE82" i="4"/>
  <c r="AE78" i="4"/>
  <c r="AE74" i="4"/>
  <c r="AM95" i="4"/>
  <c r="AK93" i="4"/>
  <c r="AJ92" i="4"/>
  <c r="AM87" i="4"/>
  <c r="AK85" i="4"/>
  <c r="AJ84" i="4"/>
  <c r="AM79" i="4"/>
  <c r="AK77" i="4"/>
  <c r="AJ76" i="4"/>
  <c r="AM71" i="4"/>
  <c r="AE98" i="4"/>
  <c r="AH97" i="4"/>
  <c r="AA20" i="6"/>
  <c r="AB94" i="6" s="1"/>
  <c r="AB78" i="6"/>
  <c r="AF140" i="6"/>
  <c r="AI141" i="6"/>
  <c r="AI125" i="6"/>
  <c r="AA41" i="7"/>
  <c r="K61" i="7"/>
  <c r="AA61" i="7"/>
  <c r="AA74" i="7" s="1"/>
  <c r="AI59" i="7"/>
  <c r="AF59" i="7"/>
  <c r="AB59" i="7"/>
  <c r="AB47" i="16"/>
  <c r="AB44" i="16"/>
  <c r="AB45" i="16"/>
  <c r="AK119" i="16"/>
  <c r="AK94" i="16"/>
  <c r="AK102" i="16"/>
  <c r="AK110" i="16"/>
  <c r="AK75" i="16"/>
  <c r="AK83" i="16"/>
  <c r="AK64" i="16"/>
  <c r="AK52" i="16"/>
  <c r="AK35" i="16"/>
  <c r="AK43" i="16"/>
  <c r="AK93" i="16"/>
  <c r="AK101" i="16"/>
  <c r="AK109" i="16"/>
  <c r="AK117" i="16"/>
  <c r="AK74" i="16"/>
  <c r="AK82" i="16"/>
  <c r="AK63" i="16"/>
  <c r="AK51" i="16"/>
  <c r="AK40" i="16"/>
  <c r="AK48" i="16"/>
  <c r="AK92" i="16"/>
  <c r="AK100" i="16"/>
  <c r="AK108" i="16"/>
  <c r="AK116" i="16"/>
  <c r="AK81" i="16"/>
  <c r="AK89" i="16"/>
  <c r="AK62" i="16"/>
  <c r="AK50" i="16"/>
  <c r="AK37" i="16"/>
  <c r="AK45" i="16"/>
  <c r="AK99" i="16"/>
  <c r="AK107" i="16"/>
  <c r="AK115" i="16"/>
  <c r="AK80" i="16"/>
  <c r="AK88" i="16"/>
  <c r="AK61" i="16"/>
  <c r="AK49" i="16"/>
  <c r="AK42" i="16"/>
  <c r="AK98" i="16"/>
  <c r="AK106" i="16"/>
  <c r="AK114" i="16"/>
  <c r="AK79" i="16"/>
  <c r="AK87" i="16"/>
  <c r="AK60" i="16"/>
  <c r="AK68" i="16"/>
  <c r="AK56" i="16"/>
  <c r="AK39" i="16"/>
  <c r="AK47" i="16"/>
  <c r="AK97" i="16"/>
  <c r="AK105" i="16"/>
  <c r="AK113" i="16"/>
  <c r="AK78" i="16"/>
  <c r="AK86" i="16"/>
  <c r="AK67" i="16"/>
  <c r="AK55" i="16"/>
  <c r="AK36" i="16"/>
  <c r="AK44" i="16"/>
  <c r="AK120" i="16"/>
  <c r="AK96" i="16"/>
  <c r="AK104" i="16"/>
  <c r="AK112" i="16"/>
  <c r="AK77" i="16"/>
  <c r="AK85" i="16"/>
  <c r="AK66" i="16"/>
  <c r="AK54" i="16"/>
  <c r="AK41" i="16"/>
  <c r="AB38" i="16"/>
  <c r="AI38" i="16"/>
  <c r="AF38" i="16"/>
  <c r="AF52" i="16"/>
  <c r="AF64" i="16"/>
  <c r="AI64" i="16"/>
  <c r="AF76" i="16"/>
  <c r="AB76" i="16"/>
  <c r="AI76" i="16"/>
  <c r="AB96" i="16"/>
  <c r="AI96" i="16"/>
  <c r="AF96" i="16"/>
  <c r="K94" i="16"/>
  <c r="AA94" i="16"/>
  <c r="AK103" i="16"/>
  <c r="AB120" i="16"/>
  <c r="AI120" i="16"/>
  <c r="AF120" i="16"/>
  <c r="AF37" i="9"/>
  <c r="AI37" i="9"/>
  <c r="AF82" i="9"/>
  <c r="AI82" i="9"/>
  <c r="AI103" i="9"/>
  <c r="AF103" i="9"/>
  <c r="AI52" i="51"/>
  <c r="AB52" i="51"/>
  <c r="AF52" i="51"/>
  <c r="Y61" i="37"/>
  <c r="AE87" i="37"/>
  <c r="AB107" i="16"/>
  <c r="AI107" i="16"/>
  <c r="AF107" i="16"/>
  <c r="AN87" i="54"/>
  <c r="AG41" i="37"/>
  <c r="AH69" i="37"/>
  <c r="B10" i="36"/>
  <c r="B10" i="35"/>
  <c r="B10" i="34"/>
  <c r="B10" i="31"/>
  <c r="B10" i="33"/>
  <c r="B10" i="32"/>
  <c r="B10" i="30"/>
  <c r="B10" i="28"/>
  <c r="B10" i="27"/>
  <c r="B10" i="29"/>
  <c r="B10" i="25"/>
  <c r="B10" i="26"/>
  <c r="B10" i="20"/>
  <c r="B10" i="23"/>
  <c r="B10" i="21"/>
  <c r="B10" i="22"/>
  <c r="B10" i="24"/>
  <c r="B10" i="15"/>
  <c r="B10" i="18"/>
  <c r="B10" i="67"/>
  <c r="B10" i="19"/>
  <c r="B10" i="69"/>
  <c r="B10" i="68"/>
  <c r="B10" i="70"/>
  <c r="B10" i="65"/>
  <c r="B10" i="66"/>
  <c r="B10" i="58"/>
  <c r="B10" i="11"/>
  <c r="B10" i="54"/>
  <c r="B10" i="59"/>
  <c r="B10" i="61"/>
  <c r="B10" i="51"/>
  <c r="B10" i="63"/>
  <c r="B10" i="62"/>
  <c r="B10" i="57"/>
  <c r="B10" i="53"/>
  <c r="B10" i="56"/>
  <c r="B10" i="64"/>
  <c r="B10" i="52"/>
  <c r="B10" i="55"/>
  <c r="B10" i="39"/>
  <c r="B10" i="9"/>
  <c r="B10" i="17"/>
  <c r="B10" i="16"/>
  <c r="B10" i="7"/>
  <c r="B10" i="6"/>
  <c r="AI35" i="37"/>
  <c r="AK35" i="37"/>
  <c r="AA39" i="37"/>
  <c r="AE39" i="37"/>
  <c r="AI40" i="37"/>
  <c r="Y44" i="37"/>
  <c r="Q44" i="37"/>
  <c r="AK48" i="37"/>
  <c r="Q51" i="37"/>
  <c r="Q52" i="37" s="1"/>
  <c r="W50" i="37"/>
  <c r="O50" i="37"/>
  <c r="AE56" i="37"/>
  <c r="AG69" i="37"/>
  <c r="AK79" i="37"/>
  <c r="AA102" i="37"/>
  <c r="AA98" i="37"/>
  <c r="K48" i="4"/>
  <c r="K44" i="4"/>
  <c r="K40" i="4"/>
  <c r="K36" i="4"/>
  <c r="AE49" i="4"/>
  <c r="AE45" i="4"/>
  <c r="AE37" i="4"/>
  <c r="AK51" i="4"/>
  <c r="AM45" i="4"/>
  <c r="AK43" i="4"/>
  <c r="AH40" i="4"/>
  <c r="AM37" i="4"/>
  <c r="AK35" i="4"/>
  <c r="AK56" i="4"/>
  <c r="AE67" i="4"/>
  <c r="AE63" i="4"/>
  <c r="AE59" i="4"/>
  <c r="AI68" i="4"/>
  <c r="AH67" i="4"/>
  <c r="AM64" i="4"/>
  <c r="AK62" i="4"/>
  <c r="AJ61" i="4"/>
  <c r="AI60" i="4"/>
  <c r="AH59" i="4"/>
  <c r="K90" i="4"/>
  <c r="K82" i="4"/>
  <c r="K74" i="4"/>
  <c r="AB92" i="4"/>
  <c r="AB84" i="4"/>
  <c r="AB76" i="4"/>
  <c r="AF93" i="4"/>
  <c r="AF85" i="4"/>
  <c r="AF77" i="4"/>
  <c r="AK94" i="4"/>
  <c r="AJ93" i="4"/>
  <c r="AH91" i="4"/>
  <c r="AM88" i="4"/>
  <c r="AK86" i="4"/>
  <c r="AJ85" i="4"/>
  <c r="AH83" i="4"/>
  <c r="AM80" i="4"/>
  <c r="AK78" i="4"/>
  <c r="AJ77" i="4"/>
  <c r="AH75" i="4"/>
  <c r="AM72" i="4"/>
  <c r="AH98" i="4"/>
  <c r="AA100" i="4"/>
  <c r="AF150" i="6"/>
  <c r="AI135" i="6"/>
  <c r="AI119" i="6"/>
  <c r="AI42" i="7"/>
  <c r="AF42" i="7"/>
  <c r="AB42" i="7"/>
  <c r="AA39" i="7"/>
  <c r="AA47" i="7"/>
  <c r="AF51" i="7"/>
  <c r="AI51" i="7"/>
  <c r="AI58" i="7"/>
  <c r="AF58" i="7"/>
  <c r="AI55" i="7"/>
  <c r="AF55" i="7"/>
  <c r="AB46" i="16"/>
  <c r="AI88" i="16"/>
  <c r="AF88" i="16"/>
  <c r="AB88" i="16"/>
  <c r="AB78" i="16"/>
  <c r="AF82" i="16"/>
  <c r="AF74" i="16"/>
  <c r="AI92" i="16"/>
  <c r="AB92" i="16"/>
  <c r="AF92" i="16"/>
  <c r="AB103" i="16"/>
  <c r="AF103" i="16"/>
  <c r="AI103" i="16"/>
  <c r="AA93" i="17"/>
  <c r="AA77" i="17"/>
  <c r="AA78" i="17"/>
  <c r="AB75" i="17"/>
  <c r="AF75" i="17"/>
  <c r="AI75" i="17"/>
  <c r="B9" i="35"/>
  <c r="B9" i="34"/>
  <c r="B9" i="33"/>
  <c r="B9" i="36"/>
  <c r="B9" i="31"/>
  <c r="B9" i="30"/>
  <c r="B9" i="32"/>
  <c r="B9" i="29"/>
  <c r="B9" i="27"/>
  <c r="B9" i="28"/>
  <c r="B9" i="25"/>
  <c r="B9" i="26"/>
  <c r="B9" i="22"/>
  <c r="B9" i="20"/>
  <c r="B9" i="23"/>
  <c r="B9" i="19"/>
  <c r="B9" i="21"/>
  <c r="B9" i="24"/>
  <c r="B9" i="70"/>
  <c r="B9" i="18"/>
  <c r="B9" i="67"/>
  <c r="B9" i="69"/>
  <c r="B9" i="66"/>
  <c r="B9" i="68"/>
  <c r="B9" i="15"/>
  <c r="B9" i="59"/>
  <c r="B9" i="58"/>
  <c r="B9" i="64"/>
  <c r="B9" i="65"/>
  <c r="B9" i="63"/>
  <c r="B9" i="62"/>
  <c r="B9" i="61"/>
  <c r="B9" i="57"/>
  <c r="B9" i="54"/>
  <c r="B9" i="52"/>
  <c r="B9" i="55"/>
  <c r="B9" i="11"/>
  <c r="B9" i="17"/>
  <c r="B9" i="39"/>
  <c r="B9" i="53"/>
  <c r="B9" i="9"/>
  <c r="B9" i="56"/>
  <c r="B9" i="51"/>
  <c r="B9" i="6"/>
  <c r="B9" i="16"/>
  <c r="AI54" i="7"/>
  <c r="AF54" i="7"/>
  <c r="AB54" i="7"/>
  <c r="K37" i="16"/>
  <c r="AA37" i="16"/>
  <c r="AM82" i="16"/>
  <c r="AI100" i="16"/>
  <c r="AB100" i="16"/>
  <c r="AF100" i="16"/>
  <c r="AI98" i="16"/>
  <c r="AF98" i="16"/>
  <c r="AB98" i="16"/>
  <c r="AI81" i="9"/>
  <c r="AF81" i="9"/>
  <c r="AJ81" i="9"/>
  <c r="AI49" i="63"/>
  <c r="AF49" i="63"/>
  <c r="AB49" i="63"/>
  <c r="M11" i="36"/>
  <c r="B4" i="36"/>
  <c r="M11" i="35"/>
  <c r="B4" i="35"/>
  <c r="M11" i="34"/>
  <c r="B4" i="34"/>
  <c r="M11" i="33"/>
  <c r="M11" i="32"/>
  <c r="B4" i="31"/>
  <c r="B4" i="33"/>
  <c r="B4" i="32"/>
  <c r="M11" i="31"/>
  <c r="B4" i="30"/>
  <c r="M11" i="30"/>
  <c r="B4" i="29"/>
  <c r="M11" i="29"/>
  <c r="M11" i="28"/>
  <c r="B4" i="28"/>
  <c r="M11" i="25"/>
  <c r="B4" i="23"/>
  <c r="M11" i="26"/>
  <c r="B4" i="25"/>
  <c r="M11" i="27"/>
  <c r="B4" i="27"/>
  <c r="B4" i="26"/>
  <c r="B4" i="20"/>
  <c r="M11" i="23"/>
  <c r="M11" i="21"/>
  <c r="B4" i="21"/>
  <c r="B4" i="24"/>
  <c r="M11" i="15"/>
  <c r="M11" i="18"/>
  <c r="M11" i="22"/>
  <c r="B4" i="22"/>
  <c r="M11" i="20"/>
  <c r="M11" i="19"/>
  <c r="B4" i="18"/>
  <c r="B4" i="70"/>
  <c r="M11" i="67"/>
  <c r="L11" i="24"/>
  <c r="B4" i="19"/>
  <c r="B4" i="15"/>
  <c r="M11" i="69"/>
  <c r="M11" i="68"/>
  <c r="M11" i="70"/>
  <c r="B4" i="68"/>
  <c r="B4" i="67"/>
  <c r="M11" i="65"/>
  <c r="B4" i="69"/>
  <c r="M11" i="66"/>
  <c r="B4" i="66"/>
  <c r="M11" i="11"/>
  <c r="B4" i="58"/>
  <c r="M11" i="54"/>
  <c r="B4" i="65"/>
  <c r="B4" i="11"/>
  <c r="M11" i="59"/>
  <c r="B4" i="54"/>
  <c r="B4" i="59"/>
  <c r="B4" i="63"/>
  <c r="B4" i="62"/>
  <c r="M11" i="61"/>
  <c r="M11" i="57"/>
  <c r="B4" i="61"/>
  <c r="B4" i="57"/>
  <c r="M11" i="64"/>
  <c r="B4" i="64"/>
  <c r="M11" i="63"/>
  <c r="M11" i="62"/>
  <c r="M11" i="51"/>
  <c r="M11" i="53"/>
  <c r="M11" i="56"/>
  <c r="M11" i="58"/>
  <c r="B4" i="39"/>
  <c r="M11" i="9"/>
  <c r="B4" i="53"/>
  <c r="B4" i="9"/>
  <c r="M11" i="17"/>
  <c r="B4" i="56"/>
  <c r="B4" i="51"/>
  <c r="M11" i="52"/>
  <c r="B4" i="52"/>
  <c r="B4" i="17"/>
  <c r="M11" i="39"/>
  <c r="M11" i="16"/>
  <c r="M11" i="55"/>
  <c r="B4" i="55"/>
  <c r="B4" i="16"/>
  <c r="B4" i="7"/>
  <c r="I21" i="7" s="1"/>
  <c r="B4" i="37"/>
  <c r="AH35" i="37"/>
  <c r="AK34" i="37"/>
  <c r="AD39" i="37"/>
  <c r="X44" i="37"/>
  <c r="P44" i="37"/>
  <c r="V50" i="37"/>
  <c r="N50" i="37"/>
  <c r="L50" i="37" s="1"/>
  <c r="M50" i="37" s="1"/>
  <c r="Z59" i="37"/>
  <c r="N61" i="37"/>
  <c r="AC62" i="37"/>
  <c r="AD62" i="37" s="1"/>
  <c r="AA70" i="37"/>
  <c r="AE70" i="37"/>
  <c r="N95" i="37"/>
  <c r="AD103" i="37"/>
  <c r="AD99" i="37"/>
  <c r="AG104" i="37"/>
  <c r="AG100" i="37"/>
  <c r="B4" i="4"/>
  <c r="AB51" i="4"/>
  <c r="AB47" i="4"/>
  <c r="AB43" i="4"/>
  <c r="AB39" i="4"/>
  <c r="AB35" i="4"/>
  <c r="AJ51" i="4"/>
  <c r="AM46" i="4"/>
  <c r="AK44" i="4"/>
  <c r="AJ43" i="4"/>
  <c r="AM38" i="4"/>
  <c r="AK36" i="4"/>
  <c r="AJ35" i="4"/>
  <c r="AM57" i="4"/>
  <c r="AN57" i="4" s="1"/>
  <c r="AB63" i="4"/>
  <c r="AF66" i="4"/>
  <c r="AF62" i="4"/>
  <c r="AF58" i="4"/>
  <c r="AH68" i="4"/>
  <c r="AM65" i="4"/>
  <c r="AK63" i="4"/>
  <c r="AJ62" i="4"/>
  <c r="AI61" i="4"/>
  <c r="AH60" i="4"/>
  <c r="AA88" i="4"/>
  <c r="AA80" i="4"/>
  <c r="AA72" i="4"/>
  <c r="AE93" i="4"/>
  <c r="AE89" i="4"/>
  <c r="AE85" i="4"/>
  <c r="AE81" i="4"/>
  <c r="AE77" i="4"/>
  <c r="AE73" i="4"/>
  <c r="AK95" i="4"/>
  <c r="AH92" i="4"/>
  <c r="AM89" i="4"/>
  <c r="AK87" i="4"/>
  <c r="AH84" i="4"/>
  <c r="AM81" i="4"/>
  <c r="AK79" i="4"/>
  <c r="AH76" i="4"/>
  <c r="AM73" i="4"/>
  <c r="AK71" i="4"/>
  <c r="AE97" i="4"/>
  <c r="B4" i="6"/>
  <c r="M11" i="6"/>
  <c r="AE75" i="6"/>
  <c r="AE79" i="6"/>
  <c r="AE83" i="6"/>
  <c r="AE87" i="6"/>
  <c r="AE95" i="6"/>
  <c r="AE99" i="6"/>
  <c r="AE103" i="6"/>
  <c r="AE107" i="6"/>
  <c r="AE72" i="6"/>
  <c r="AE76" i="6"/>
  <c r="AE80" i="6"/>
  <c r="AE84" i="6"/>
  <c r="AE88" i="6"/>
  <c r="AE92" i="6"/>
  <c r="AE116" i="6"/>
  <c r="AE73" i="6"/>
  <c r="AE77" i="6"/>
  <c r="AE85" i="6"/>
  <c r="AE89" i="6"/>
  <c r="AE93" i="6"/>
  <c r="AE97" i="6"/>
  <c r="AE101" i="6"/>
  <c r="AE105" i="6"/>
  <c r="AE109" i="6"/>
  <c r="AE74" i="6"/>
  <c r="AE78" i="6"/>
  <c r="AE82" i="6"/>
  <c r="AE86" i="6"/>
  <c r="AE90" i="6"/>
  <c r="AE94" i="6"/>
  <c r="AE102" i="6"/>
  <c r="AH57" i="6"/>
  <c r="AH52" i="6"/>
  <c r="AH45" i="6"/>
  <c r="AI47" i="6"/>
  <c r="AF47" i="6"/>
  <c r="AI39" i="6"/>
  <c r="AF39" i="6"/>
  <c r="AB47" i="6"/>
  <c r="AB82" i="6"/>
  <c r="AF144" i="6"/>
  <c r="AI145" i="6"/>
  <c r="AI129" i="6"/>
  <c r="AA22" i="7"/>
  <c r="AJ48" i="7" s="1"/>
  <c r="AI36" i="7"/>
  <c r="AF36" i="7"/>
  <c r="AB36" i="7"/>
  <c r="AA37" i="7"/>
  <c r="AB35" i="16"/>
  <c r="AF51" i="16"/>
  <c r="AB51" i="16"/>
  <c r="AB52" i="16"/>
  <c r="AK84" i="16"/>
  <c r="AE144" i="17"/>
  <c r="AD148" i="17"/>
  <c r="AE148" i="17" s="1"/>
  <c r="K90" i="9"/>
  <c r="AA90" i="9"/>
  <c r="AF83" i="9"/>
  <c r="AI83" i="9"/>
  <c r="K115" i="9"/>
  <c r="AA115" i="9"/>
  <c r="AF97" i="9"/>
  <c r="AI97" i="9"/>
  <c r="K93" i="9"/>
  <c r="AA93" i="9"/>
  <c r="AF51" i="37"/>
  <c r="AH87" i="37"/>
  <c r="AI51" i="4"/>
  <c r="AK45" i="4"/>
  <c r="AI43" i="4"/>
  <c r="AK37" i="4"/>
  <c r="AI35" i="4"/>
  <c r="AM66" i="4"/>
  <c r="AN66" i="4" s="1"/>
  <c r="AK64" i="4"/>
  <c r="AJ63" i="4"/>
  <c r="AI62" i="4"/>
  <c r="AM58" i="4"/>
  <c r="AJ95" i="4"/>
  <c r="AM90" i="4"/>
  <c r="AK88" i="4"/>
  <c r="AJ87" i="4"/>
  <c r="AM82" i="4"/>
  <c r="AK80" i="4"/>
  <c r="AJ79" i="4"/>
  <c r="AM74" i="4"/>
  <c r="AK72" i="4"/>
  <c r="AJ71" i="4"/>
  <c r="AM97" i="4"/>
  <c r="AA101" i="4"/>
  <c r="AB102" i="6"/>
  <c r="AI139" i="6"/>
  <c r="AI123" i="6"/>
  <c r="AA20" i="7"/>
  <c r="AB58" i="7" s="1"/>
  <c r="AE48" i="7"/>
  <c r="AE41" i="7"/>
  <c r="AE45" i="7"/>
  <c r="AE47" i="7"/>
  <c r="AE38" i="7"/>
  <c r="AA35" i="7"/>
  <c r="AA73" i="7"/>
  <c r="AF50" i="7"/>
  <c r="AF39" i="16"/>
  <c r="AB39" i="16"/>
  <c r="AI39" i="16"/>
  <c r="AF41" i="16"/>
  <c r="AB41" i="16"/>
  <c r="AI41" i="16"/>
  <c r="AK53" i="16"/>
  <c r="AF65" i="16"/>
  <c r="AI65" i="16"/>
  <c r="AK65" i="16"/>
  <c r="AI80" i="16"/>
  <c r="AF80" i="16"/>
  <c r="AB80" i="16"/>
  <c r="AB74" i="16"/>
  <c r="AI116" i="16"/>
  <c r="AB116" i="16"/>
  <c r="AF116" i="16"/>
  <c r="AI114" i="16"/>
  <c r="AF114" i="16"/>
  <c r="AB114" i="16"/>
  <c r="AB115" i="16"/>
  <c r="AI115" i="16"/>
  <c r="AF115" i="16"/>
  <c r="AB99" i="16"/>
  <c r="AI99" i="16"/>
  <c r="AF99" i="16"/>
  <c r="AI55" i="9"/>
  <c r="AF55" i="9"/>
  <c r="K82" i="51"/>
  <c r="AA82" i="51"/>
  <c r="AI76" i="51"/>
  <c r="AF76" i="51"/>
  <c r="AB76" i="51"/>
  <c r="AA94" i="55"/>
  <c r="AB51" i="55"/>
  <c r="AF87" i="55"/>
  <c r="AA93" i="55"/>
  <c r="AI87" i="55"/>
  <c r="AI122" i="55"/>
  <c r="AF122" i="55"/>
  <c r="AB53" i="52"/>
  <c r="AF53" i="52"/>
  <c r="AI53" i="52"/>
  <c r="AF47" i="52"/>
  <c r="AB47" i="52"/>
  <c r="AI47" i="52"/>
  <c r="AA68" i="7"/>
  <c r="AI38" i="7"/>
  <c r="AF38" i="7"/>
  <c r="AB38" i="7"/>
  <c r="AF43" i="7"/>
  <c r="AB43" i="7"/>
  <c r="AI43" i="7"/>
  <c r="AD16" i="35"/>
  <c r="AD16" i="36"/>
  <c r="AD16" i="34"/>
  <c r="AD16" i="33"/>
  <c r="AD16" i="31"/>
  <c r="AD16" i="30"/>
  <c r="AD16" i="32"/>
  <c r="AD16" i="29"/>
  <c r="AD16" i="27"/>
  <c r="AD16" i="28"/>
  <c r="AD16" i="25"/>
  <c r="AD16" i="22"/>
  <c r="AD16" i="26"/>
  <c r="AD16" i="23"/>
  <c r="AD16" i="20"/>
  <c r="AD16" i="21"/>
  <c r="AD16" i="19"/>
  <c r="AC16" i="24"/>
  <c r="AD16" i="18"/>
  <c r="AD16" i="15"/>
  <c r="AD16" i="68"/>
  <c r="AD16" i="70"/>
  <c r="AD16" i="67"/>
  <c r="AD16" i="66"/>
  <c r="AD16" i="58"/>
  <c r="AD16" i="65"/>
  <c r="AD16" i="11"/>
  <c r="AD16" i="54"/>
  <c r="AD16" i="69"/>
  <c r="AD16" i="59"/>
  <c r="AD16" i="63"/>
  <c r="AD16" i="61"/>
  <c r="AD16" i="57"/>
  <c r="AD16" i="62"/>
  <c r="AD16" i="64"/>
  <c r="AD16" i="56"/>
  <c r="AD16" i="55"/>
  <c r="AD16" i="52"/>
  <c r="AD16" i="39"/>
  <c r="AD16" i="53"/>
  <c r="AD16" i="51"/>
  <c r="AD16" i="9"/>
  <c r="AD16" i="7"/>
  <c r="AD16" i="16"/>
  <c r="AD17" i="36"/>
  <c r="AD18" i="36" s="1"/>
  <c r="AD17" i="34"/>
  <c r="AD18" i="34" s="1"/>
  <c r="AD17" i="35"/>
  <c r="AD18" i="35" s="1"/>
  <c r="AD17" i="33"/>
  <c r="AD18" i="33" s="1"/>
  <c r="AD17" i="32"/>
  <c r="AD18" i="32" s="1"/>
  <c r="AD17" i="31"/>
  <c r="AD18" i="31" s="1"/>
  <c r="AD17" i="30"/>
  <c r="AD18" i="30" s="1"/>
  <c r="AD17" i="28"/>
  <c r="AD18" i="28" s="1"/>
  <c r="AD17" i="29"/>
  <c r="AD18" i="29" s="1"/>
  <c r="AD17" i="27"/>
  <c r="AD18" i="27" s="1"/>
  <c r="AD17" i="26"/>
  <c r="AD18" i="26" s="1"/>
  <c r="AD17" i="23"/>
  <c r="AD18" i="23" s="1"/>
  <c r="AD17" i="25"/>
  <c r="AD18" i="25" s="1"/>
  <c r="AD17" i="22"/>
  <c r="AD18" i="22" s="1"/>
  <c r="AD17" i="20"/>
  <c r="AD18" i="20" s="1"/>
  <c r="AD17" i="19"/>
  <c r="AD18" i="19" s="1"/>
  <c r="AD17" i="21"/>
  <c r="AD18" i="21" s="1"/>
  <c r="AC17" i="24"/>
  <c r="AC18" i="24" s="1"/>
  <c r="AD17" i="15"/>
  <c r="AD18" i="15" s="1"/>
  <c r="AD17" i="70"/>
  <c r="AD18" i="70" s="1"/>
  <c r="AD17" i="67"/>
  <c r="AD18" i="67" s="1"/>
  <c r="AD17" i="69"/>
  <c r="AD18" i="69" s="1"/>
  <c r="AD17" i="68"/>
  <c r="AD18" i="68" s="1"/>
  <c r="AD17" i="18"/>
  <c r="AD18" i="18" s="1"/>
  <c r="AD17" i="65"/>
  <c r="AD18" i="65" s="1"/>
  <c r="AD17" i="58"/>
  <c r="AD18" i="58" s="1"/>
  <c r="AD17" i="66"/>
  <c r="AD18" i="66" s="1"/>
  <c r="AD17" i="11"/>
  <c r="AD18" i="11" s="1"/>
  <c r="AD17" i="59"/>
  <c r="AD18" i="59" s="1"/>
  <c r="AD17" i="54"/>
  <c r="AD18" i="54" s="1"/>
  <c r="AD17" i="62"/>
  <c r="AD18" i="62" s="1"/>
  <c r="AD17" i="63"/>
  <c r="AD18" i="63" s="1"/>
  <c r="AD17" i="57"/>
  <c r="AD18" i="57" s="1"/>
  <c r="AD17" i="61"/>
  <c r="AD18" i="61" s="1"/>
  <c r="AD17" i="64"/>
  <c r="AD18" i="64" s="1"/>
  <c r="AD17" i="52"/>
  <c r="AD18" i="52" s="1"/>
  <c r="AD17" i="51"/>
  <c r="AD18" i="51" s="1"/>
  <c r="AD17" i="53"/>
  <c r="AD18" i="53" s="1"/>
  <c r="AD17" i="39"/>
  <c r="AD18" i="39" s="1"/>
  <c r="AD17" i="17"/>
  <c r="AD18" i="17" s="1"/>
  <c r="AD17" i="56"/>
  <c r="AD18" i="56" s="1"/>
  <c r="AD17" i="6"/>
  <c r="AD18" i="6" s="1"/>
  <c r="AD17" i="7"/>
  <c r="AD18" i="7" s="1"/>
  <c r="AD17" i="55"/>
  <c r="AD18" i="55" s="1"/>
  <c r="AD17" i="16"/>
  <c r="AD18" i="16" s="1"/>
  <c r="AD17" i="9"/>
  <c r="AD18" i="9" s="1"/>
  <c r="AD42" i="37"/>
  <c r="N51" i="37"/>
  <c r="AG49" i="37"/>
  <c r="T61" i="37"/>
  <c r="AF61" i="37"/>
  <c r="AA69" i="37"/>
  <c r="AH68" i="37"/>
  <c r="M11" i="4"/>
  <c r="AF47" i="4"/>
  <c r="AF39" i="4"/>
  <c r="AM48" i="4"/>
  <c r="AK46" i="4"/>
  <c r="AJ45" i="4"/>
  <c r="AM40" i="4"/>
  <c r="AK38" i="4"/>
  <c r="AJ37" i="4"/>
  <c r="AE55" i="4"/>
  <c r="AK57" i="4"/>
  <c r="AL57" i="4" s="1"/>
  <c r="AM55" i="4"/>
  <c r="AB66" i="4"/>
  <c r="AB58" i="4"/>
  <c r="AF65" i="4"/>
  <c r="AF61" i="4"/>
  <c r="AM67" i="4"/>
  <c r="AK65" i="4"/>
  <c r="AJ64" i="4"/>
  <c r="AM59" i="4"/>
  <c r="AE92" i="4"/>
  <c r="AE88" i="4"/>
  <c r="AE84" i="4"/>
  <c r="AE76" i="4"/>
  <c r="AE72" i="4"/>
  <c r="AH94" i="4"/>
  <c r="AM91" i="4"/>
  <c r="AK89" i="4"/>
  <c r="AH86" i="4"/>
  <c r="AM83" i="4"/>
  <c r="AK81" i="4"/>
  <c r="AH78" i="4"/>
  <c r="AM75" i="4"/>
  <c r="AK73" i="4"/>
  <c r="AM98" i="4"/>
  <c r="AD16" i="6"/>
  <c r="AB106" i="6"/>
  <c r="AB86" i="6"/>
  <c r="AF148" i="6"/>
  <c r="AF132" i="6"/>
  <c r="AI149" i="6"/>
  <c r="AI133" i="6"/>
  <c r="B9" i="7"/>
  <c r="AA21" i="7"/>
  <c r="AA63" i="7" s="1"/>
  <c r="AM40" i="7"/>
  <c r="AM51" i="7"/>
  <c r="AM39" i="7"/>
  <c r="AM48" i="7"/>
  <c r="AM38" i="7"/>
  <c r="AM50" i="7"/>
  <c r="AM37" i="7"/>
  <c r="AM45" i="7"/>
  <c r="AM36" i="7"/>
  <c r="AM44" i="7"/>
  <c r="AM35" i="7"/>
  <c r="AM43" i="7"/>
  <c r="AM34" i="7"/>
  <c r="AM42" i="7"/>
  <c r="AA70" i="7"/>
  <c r="AF40" i="7"/>
  <c r="AB40" i="7"/>
  <c r="AI40" i="7"/>
  <c r="AM41" i="7"/>
  <c r="AM47" i="7"/>
  <c r="AH47" i="7"/>
  <c r="AI56" i="7"/>
  <c r="AF56" i="7"/>
  <c r="AB56" i="7"/>
  <c r="AA20" i="16"/>
  <c r="AJ82" i="16" s="1"/>
  <c r="AK38" i="16"/>
  <c r="AF46" i="16"/>
  <c r="AI46" i="16"/>
  <c r="AF54" i="16"/>
  <c r="AB54" i="16"/>
  <c r="AI54" i="16"/>
  <c r="AJ54" i="16"/>
  <c r="AI50" i="16"/>
  <c r="AF50" i="16"/>
  <c r="AB50" i="16"/>
  <c r="AA67" i="16"/>
  <c r="AI86" i="16"/>
  <c r="AJ86" i="16"/>
  <c r="AB112" i="16"/>
  <c r="AI112" i="16"/>
  <c r="AF112" i="16"/>
  <c r="K110" i="16"/>
  <c r="AA110" i="16"/>
  <c r="AK111" i="16"/>
  <c r="AK95" i="16"/>
  <c r="AE94" i="9"/>
  <c r="AE102" i="9"/>
  <c r="AE106" i="9"/>
  <c r="AE110" i="9"/>
  <c r="AE118" i="9"/>
  <c r="AE82" i="9"/>
  <c r="AE86" i="9"/>
  <c r="AE90" i="9"/>
  <c r="AE37" i="9"/>
  <c r="AE49" i="9"/>
  <c r="AE57" i="9"/>
  <c r="AE72" i="9"/>
  <c r="AE120" i="9"/>
  <c r="AE95" i="9"/>
  <c r="AE99" i="9"/>
  <c r="AE103" i="9"/>
  <c r="AE107" i="9"/>
  <c r="AE111" i="9"/>
  <c r="AE115" i="9"/>
  <c r="AE79" i="9"/>
  <c r="AE87" i="9"/>
  <c r="AE42" i="9"/>
  <c r="AE54" i="9"/>
  <c r="AE58" i="9"/>
  <c r="AE121" i="9"/>
  <c r="AE101" i="9"/>
  <c r="AE116" i="9"/>
  <c r="AE85" i="9"/>
  <c r="AE104" i="9"/>
  <c r="AE76" i="9"/>
  <c r="AE88" i="9"/>
  <c r="AE40" i="9"/>
  <c r="AE105" i="9"/>
  <c r="AE77" i="9"/>
  <c r="AE89" i="9"/>
  <c r="AE93" i="9"/>
  <c r="AE108" i="9"/>
  <c r="AE96" i="9"/>
  <c r="AE109" i="9"/>
  <c r="AE80" i="9"/>
  <c r="AE44" i="9"/>
  <c r="AE97" i="9"/>
  <c r="AE112" i="9"/>
  <c r="AE81" i="9"/>
  <c r="AE35" i="9"/>
  <c r="AE113" i="9"/>
  <c r="AK47" i="37"/>
  <c r="AA50" i="4"/>
  <c r="AA38" i="4"/>
  <c r="AI45" i="4"/>
  <c r="K94" i="4"/>
  <c r="K86" i="4"/>
  <c r="K78" i="4"/>
  <c r="AI127" i="6"/>
  <c r="Z16" i="7"/>
  <c r="AI34" i="7"/>
  <c r="AJ34" i="7"/>
  <c r="AF34" i="7"/>
  <c r="AB34" i="7"/>
  <c r="AA65" i="7"/>
  <c r="AB43" i="16"/>
  <c r="AF43" i="16"/>
  <c r="AI43" i="16"/>
  <c r="AJ48" i="16"/>
  <c r="AJ45" i="16"/>
  <c r="AB70" i="16"/>
  <c r="AF70" i="16"/>
  <c r="AA123" i="16"/>
  <c r="AI70" i="16"/>
  <c r="AB86" i="16"/>
  <c r="AI82" i="16"/>
  <c r="AI108" i="16"/>
  <c r="AJ108" i="16"/>
  <c r="AB108" i="16"/>
  <c r="AF108" i="16"/>
  <c r="AI106" i="16"/>
  <c r="AF106" i="16"/>
  <c r="AB106" i="16"/>
  <c r="AB111" i="16"/>
  <c r="AF111" i="16"/>
  <c r="AI111" i="16"/>
  <c r="AB95" i="16"/>
  <c r="AF95" i="16"/>
  <c r="AI95" i="16"/>
  <c r="AJ95" i="16"/>
  <c r="AI141" i="17"/>
  <c r="AF141" i="17"/>
  <c r="AI39" i="9"/>
  <c r="AF39" i="9"/>
  <c r="AB39" i="9"/>
  <c r="AI35" i="9"/>
  <c r="AF35" i="9"/>
  <c r="AI107" i="9"/>
  <c r="AF107" i="9"/>
  <c r="AI81" i="39"/>
  <c r="AF81" i="39"/>
  <c r="AA72" i="39"/>
  <c r="AA73" i="39"/>
  <c r="AB69" i="39"/>
  <c r="AI69" i="39"/>
  <c r="AF69" i="39"/>
  <c r="K46" i="4"/>
  <c r="K42" i="4"/>
  <c r="AI37" i="4"/>
  <c r="AJ65" i="4"/>
  <c r="AG17" i="36"/>
  <c r="AG18" i="36" s="1"/>
  <c r="AG17" i="35"/>
  <c r="AG18" i="35" s="1"/>
  <c r="AG17" i="34"/>
  <c r="AG18" i="34" s="1"/>
  <c r="AG17" i="31"/>
  <c r="AG18" i="31" s="1"/>
  <c r="AG17" i="33"/>
  <c r="AG18" i="33" s="1"/>
  <c r="AG17" i="32"/>
  <c r="AG18" i="32" s="1"/>
  <c r="AG17" i="30"/>
  <c r="AG18" i="30" s="1"/>
  <c r="AG17" i="29"/>
  <c r="AG18" i="29" s="1"/>
  <c r="AG17" i="28"/>
  <c r="AG18" i="28" s="1"/>
  <c r="AG17" i="25"/>
  <c r="AG18" i="25" s="1"/>
  <c r="AG17" i="27"/>
  <c r="AG18" i="27" s="1"/>
  <c r="AG17" i="26"/>
  <c r="AG18" i="26" s="1"/>
  <c r="AG17" i="23"/>
  <c r="AG18" i="23" s="1"/>
  <c r="AG17" i="21"/>
  <c r="AG18" i="21" s="1"/>
  <c r="AG17" i="22"/>
  <c r="AG18" i="22" s="1"/>
  <c r="AG17" i="20"/>
  <c r="AG18" i="20" s="1"/>
  <c r="AF17" i="24"/>
  <c r="AF18" i="24" s="1"/>
  <c r="AG17" i="15"/>
  <c r="AG18" i="15" s="1"/>
  <c r="AG17" i="18"/>
  <c r="AG18" i="18" s="1"/>
  <c r="AG17" i="19"/>
  <c r="AG18" i="19" s="1"/>
  <c r="AG17" i="68"/>
  <c r="AG18" i="68" s="1"/>
  <c r="AG17" i="69"/>
  <c r="AG18" i="69" s="1"/>
  <c r="AG17" i="70"/>
  <c r="AG18" i="70" s="1"/>
  <c r="AG17" i="67"/>
  <c r="AG18" i="67" s="1"/>
  <c r="AG17" i="65"/>
  <c r="AG18" i="65" s="1"/>
  <c r="AG17" i="66"/>
  <c r="AG18" i="66" s="1"/>
  <c r="AG17" i="59"/>
  <c r="AG18" i="59" s="1"/>
  <c r="AG17" i="58"/>
  <c r="AG18" i="58" s="1"/>
  <c r="AG17" i="11"/>
  <c r="AG18" i="11" s="1"/>
  <c r="AG17" i="53"/>
  <c r="AG18" i="53" s="1"/>
  <c r="AG17" i="64"/>
  <c r="AG18" i="64" s="1"/>
  <c r="AG17" i="62"/>
  <c r="AG18" i="62" s="1"/>
  <c r="AG17" i="63"/>
  <c r="AG18" i="63" s="1"/>
  <c r="AG17" i="61"/>
  <c r="AG18" i="61" s="1"/>
  <c r="AG17" i="56"/>
  <c r="AG18" i="56" s="1"/>
  <c r="AG17" i="54"/>
  <c r="AG18" i="54" s="1"/>
  <c r="AG17" i="55"/>
  <c r="AG18" i="55" s="1"/>
  <c r="AG17" i="52"/>
  <c r="AG18" i="52" s="1"/>
  <c r="AG17" i="9"/>
  <c r="AG18" i="9" s="1"/>
  <c r="AG17" i="17"/>
  <c r="AG18" i="17" s="1"/>
  <c r="AG17" i="39"/>
  <c r="AG18" i="39" s="1"/>
  <c r="AG17" i="57"/>
  <c r="AG18" i="57" s="1"/>
  <c r="AG17" i="51"/>
  <c r="AG18" i="51" s="1"/>
  <c r="AG17" i="7"/>
  <c r="AG18" i="7" s="1"/>
  <c r="AC17" i="37"/>
  <c r="AC18" i="37" s="1"/>
  <c r="Z36" i="37"/>
  <c r="T44" i="37"/>
  <c r="AC51" i="37"/>
  <c r="AD58" i="37"/>
  <c r="AD54" i="37"/>
  <c r="AG57" i="37"/>
  <c r="AG55" i="37"/>
  <c r="AA68" i="37"/>
  <c r="AD78" i="37"/>
  <c r="AD105" i="37"/>
  <c r="AD101" i="37"/>
  <c r="AG102" i="37"/>
  <c r="AD17" i="4"/>
  <c r="AD18" i="4" s="1"/>
  <c r="AM50" i="4"/>
  <c r="AK48" i="4"/>
  <c r="AM42" i="4"/>
  <c r="AK40" i="4"/>
  <c r="AH37" i="4"/>
  <c r="AK55" i="4"/>
  <c r="AB65" i="4"/>
  <c r="AK67" i="4"/>
  <c r="AH64" i="4"/>
  <c r="AM61" i="4"/>
  <c r="AK59" i="4"/>
  <c r="AE95" i="4"/>
  <c r="AE87" i="4"/>
  <c r="AM93" i="4"/>
  <c r="AK91" i="4"/>
  <c r="AH88" i="4"/>
  <c r="AM85" i="4"/>
  <c r="AK83" i="4"/>
  <c r="AH80" i="4"/>
  <c r="AK75" i="4"/>
  <c r="AH34" i="6"/>
  <c r="AH38" i="6"/>
  <c r="AH42" i="6"/>
  <c r="AH46" i="6"/>
  <c r="AH50" i="6"/>
  <c r="AH54" i="6"/>
  <c r="AH58" i="6"/>
  <c r="AH36" i="6"/>
  <c r="AH40" i="6"/>
  <c r="AH44" i="6"/>
  <c r="AH48" i="6"/>
  <c r="AH55" i="6"/>
  <c r="AI51" i="6"/>
  <c r="AF51" i="6"/>
  <c r="AI43" i="6"/>
  <c r="AF43" i="6"/>
  <c r="AI35" i="6"/>
  <c r="AF35" i="6"/>
  <c r="AB114" i="6"/>
  <c r="AB90" i="6"/>
  <c r="AB74" i="6"/>
  <c r="AF136" i="6"/>
  <c r="AF120" i="6"/>
  <c r="AI137" i="6"/>
  <c r="AI121" i="6"/>
  <c r="AI44" i="7"/>
  <c r="AJ44" i="7"/>
  <c r="AF44" i="7"/>
  <c r="AB44" i="7"/>
  <c r="AF45" i="7"/>
  <c r="AB45" i="7"/>
  <c r="AI60" i="7"/>
  <c r="AF60" i="7"/>
  <c r="AB60" i="7"/>
  <c r="K57" i="7"/>
  <c r="AA57" i="7"/>
  <c r="AJ43" i="16"/>
  <c r="AF53" i="16"/>
  <c r="AB53" i="16"/>
  <c r="AI53" i="16"/>
  <c r="AJ53" i="16"/>
  <c r="AI49" i="16"/>
  <c r="AF49" i="16"/>
  <c r="AB49" i="16"/>
  <c r="AJ49" i="16"/>
  <c r="AI56" i="16"/>
  <c r="AI61" i="16"/>
  <c r="AJ61" i="16"/>
  <c r="AF61" i="16"/>
  <c r="AM64" i="16"/>
  <c r="AN64" i="16"/>
  <c r="AD123" i="16"/>
  <c r="AE70" i="16"/>
  <c r="AK70" i="16"/>
  <c r="AF84" i="16"/>
  <c r="AB84" i="16"/>
  <c r="AI84" i="16"/>
  <c r="AJ84" i="16"/>
  <c r="AI78" i="16"/>
  <c r="AJ78" i="16"/>
  <c r="AK76" i="16"/>
  <c r="AB104" i="16"/>
  <c r="AI104" i="16"/>
  <c r="AJ104" i="16"/>
  <c r="AF104" i="16"/>
  <c r="K102" i="16"/>
  <c r="AA102" i="16"/>
  <c r="AJ109" i="16"/>
  <c r="AF96" i="17"/>
  <c r="AI96" i="17"/>
  <c r="AA16" i="9"/>
  <c r="Z16" i="9"/>
  <c r="AJ53" i="9"/>
  <c r="AA51" i="9"/>
  <c r="AF52" i="6"/>
  <c r="AF44" i="6"/>
  <c r="AF36" i="6"/>
  <c r="AI52" i="6"/>
  <c r="AI44" i="6"/>
  <c r="AI36" i="6"/>
  <c r="AB46" i="6"/>
  <c r="AB38" i="6"/>
  <c r="AH115" i="6"/>
  <c r="AH111" i="6"/>
  <c r="AH107" i="6"/>
  <c r="AH103" i="6"/>
  <c r="AH95" i="6"/>
  <c r="AH87" i="6"/>
  <c r="AH83" i="6"/>
  <c r="AH79" i="6"/>
  <c r="AH75" i="6"/>
  <c r="AK40" i="7"/>
  <c r="AI48" i="7"/>
  <c r="AI35" i="16"/>
  <c r="AL44" i="16"/>
  <c r="AN42" i="16"/>
  <c r="AL36" i="16"/>
  <c r="AF44" i="16"/>
  <c r="AI47" i="16"/>
  <c r="K48" i="16"/>
  <c r="AE56" i="16"/>
  <c r="AM56" i="16" s="1"/>
  <c r="AE52" i="16"/>
  <c r="AL55" i="16"/>
  <c r="AL67" i="16"/>
  <c r="AA66" i="16"/>
  <c r="AE86" i="16"/>
  <c r="AE78" i="16"/>
  <c r="AE74" i="16"/>
  <c r="AL86" i="16"/>
  <c r="AI83" i="16"/>
  <c r="AH82" i="16"/>
  <c r="AN82" i="16" s="1"/>
  <c r="AL78" i="16"/>
  <c r="AI75" i="16"/>
  <c r="AH74" i="16"/>
  <c r="AH117" i="16"/>
  <c r="AL113" i="16"/>
  <c r="AH109" i="16"/>
  <c r="AL105" i="16"/>
  <c r="AH101" i="16"/>
  <c r="AL97" i="16"/>
  <c r="AH93" i="16"/>
  <c r="AB119" i="16"/>
  <c r="AI119" i="16"/>
  <c r="AA19" i="17"/>
  <c r="AF35" i="17"/>
  <c r="AI35" i="17"/>
  <c r="AB119" i="17"/>
  <c r="AF119" i="17"/>
  <c r="AI119" i="17"/>
  <c r="AA146" i="17"/>
  <c r="AI41" i="9"/>
  <c r="AF41" i="9"/>
  <c r="AF48" i="9"/>
  <c r="AI48" i="9"/>
  <c r="AI87" i="9"/>
  <c r="AJ87" i="9"/>
  <c r="AF87" i="9"/>
  <c r="K104" i="9"/>
  <c r="AI100" i="9"/>
  <c r="AF100" i="9"/>
  <c r="AI118" i="9"/>
  <c r="AJ118" i="9"/>
  <c r="AF118" i="9"/>
  <c r="AI102" i="9"/>
  <c r="AF102" i="9"/>
  <c r="AB35" i="51"/>
  <c r="AB54" i="51"/>
  <c r="AB36" i="51"/>
  <c r="AB97" i="51"/>
  <c r="AB50" i="51"/>
  <c r="AE72" i="51"/>
  <c r="AD100" i="51"/>
  <c r="AK72" i="51"/>
  <c r="AF81" i="56"/>
  <c r="AI81" i="56"/>
  <c r="AD126" i="56"/>
  <c r="AE121" i="56"/>
  <c r="AM43" i="53"/>
  <c r="AN43" i="53"/>
  <c r="AF37" i="54"/>
  <c r="AB37" i="54"/>
  <c r="AI37" i="54"/>
  <c r="AJ37" i="54"/>
  <c r="AA146" i="6"/>
  <c r="K43" i="16"/>
  <c r="K63" i="16"/>
  <c r="AL87" i="16"/>
  <c r="AL79" i="16"/>
  <c r="K114" i="16"/>
  <c r="K106" i="16"/>
  <c r="K98" i="16"/>
  <c r="AL114" i="16"/>
  <c r="AL106" i="16"/>
  <c r="AL98" i="16"/>
  <c r="AB73" i="17"/>
  <c r="AF73" i="17"/>
  <c r="AF110" i="17"/>
  <c r="AI110" i="17"/>
  <c r="AF111" i="17"/>
  <c r="AF118" i="17"/>
  <c r="AI118" i="17"/>
  <c r="AB118" i="17"/>
  <c r="AF139" i="17"/>
  <c r="AI139" i="17"/>
  <c r="AB139" i="17"/>
  <c r="AF147" i="17"/>
  <c r="AB147" i="17"/>
  <c r="AI147" i="17"/>
  <c r="AA19" i="9"/>
  <c r="AB102" i="9" s="1"/>
  <c r="AF45" i="9"/>
  <c r="AB45" i="9"/>
  <c r="AI45" i="9"/>
  <c r="K38" i="9"/>
  <c r="AA38" i="9"/>
  <c r="AF47" i="9"/>
  <c r="K64" i="9"/>
  <c r="AA64" i="9"/>
  <c r="AF78" i="9"/>
  <c r="AI78" i="9"/>
  <c r="AF113" i="9"/>
  <c r="AI113" i="9"/>
  <c r="K109" i="9"/>
  <c r="AA109" i="9"/>
  <c r="AI99" i="9"/>
  <c r="AF99" i="9"/>
  <c r="AJ99" i="9"/>
  <c r="AI121" i="9"/>
  <c r="AJ121" i="9"/>
  <c r="AF121" i="9"/>
  <c r="AI37" i="39"/>
  <c r="AF37" i="39"/>
  <c r="AI63" i="51"/>
  <c r="AF63" i="51"/>
  <c r="AB90" i="51"/>
  <c r="AI90" i="51"/>
  <c r="AF90" i="51"/>
  <c r="AB52" i="6"/>
  <c r="AB44" i="6"/>
  <c r="AB36" i="6"/>
  <c r="AH114" i="6"/>
  <c r="AH106" i="6"/>
  <c r="AH102" i="6"/>
  <c r="AH94" i="6"/>
  <c r="AH90" i="6"/>
  <c r="AH86" i="6"/>
  <c r="AH82" i="6"/>
  <c r="AH78" i="6"/>
  <c r="AH74" i="6"/>
  <c r="AK42" i="7"/>
  <c r="AK34" i="7"/>
  <c r="AJ44" i="16"/>
  <c r="AL42" i="16"/>
  <c r="AI42" i="16"/>
  <c r="AL49" i="16"/>
  <c r="AL61" i="16"/>
  <c r="K88" i="16"/>
  <c r="K84" i="16"/>
  <c r="K80" i="16"/>
  <c r="K76" i="16"/>
  <c r="AA89" i="16"/>
  <c r="AA85" i="16"/>
  <c r="AA81" i="16"/>
  <c r="AA77" i="16"/>
  <c r="AE89" i="16"/>
  <c r="AE85" i="16"/>
  <c r="AE81" i="16"/>
  <c r="AL88" i="16"/>
  <c r="AH84" i="16"/>
  <c r="AL80" i="16"/>
  <c r="AB117" i="16"/>
  <c r="AB113" i="16"/>
  <c r="AB109" i="16"/>
  <c r="AB105" i="16"/>
  <c r="AB101" i="16"/>
  <c r="AB97" i="16"/>
  <c r="AB93" i="16"/>
  <c r="AL115" i="16"/>
  <c r="AJ113" i="16"/>
  <c r="AH111" i="16"/>
  <c r="AL107" i="16"/>
  <c r="AJ105" i="16"/>
  <c r="AH103" i="16"/>
  <c r="AL99" i="16"/>
  <c r="AH95" i="16"/>
  <c r="AB35" i="17"/>
  <c r="G42" i="17"/>
  <c r="AB83" i="17"/>
  <c r="AI83" i="17"/>
  <c r="AI49" i="17"/>
  <c r="AB49" i="17"/>
  <c r="AA50" i="17"/>
  <c r="AF41" i="17"/>
  <c r="AI41" i="17"/>
  <c r="AB99" i="17"/>
  <c r="AB125" i="17"/>
  <c r="O148" i="17"/>
  <c r="T148" i="17"/>
  <c r="AF159" i="17"/>
  <c r="AI171" i="17"/>
  <c r="AA20" i="9"/>
  <c r="AJ83" i="9" s="1"/>
  <c r="AI49" i="9"/>
  <c r="AJ49" i="9"/>
  <c r="AF49" i="9"/>
  <c r="K42" i="9"/>
  <c r="AA42" i="9"/>
  <c r="K39" i="9"/>
  <c r="AF44" i="9"/>
  <c r="AJ44" i="9"/>
  <c r="AF69" i="9"/>
  <c r="AI69" i="9"/>
  <c r="AF62" i="9"/>
  <c r="AI62" i="9"/>
  <c r="AJ62" i="9"/>
  <c r="AM64" i="9"/>
  <c r="AM68" i="9"/>
  <c r="AA77" i="9"/>
  <c r="AB116" i="9"/>
  <c r="AI116" i="9"/>
  <c r="AJ116" i="9"/>
  <c r="AF116" i="9"/>
  <c r="AF114" i="9"/>
  <c r="AJ114" i="9"/>
  <c r="AI98" i="9"/>
  <c r="AB77" i="39"/>
  <c r="AF77" i="39"/>
  <c r="AI77" i="39"/>
  <c r="AI45" i="39"/>
  <c r="AF45" i="39"/>
  <c r="AF106" i="39"/>
  <c r="AI106" i="39"/>
  <c r="AA123" i="39"/>
  <c r="AF45" i="51"/>
  <c r="AB45" i="51"/>
  <c r="AI45" i="51"/>
  <c r="AJ65" i="51"/>
  <c r="AI86" i="51"/>
  <c r="AF86" i="51"/>
  <c r="AB86" i="51"/>
  <c r="AI102" i="55"/>
  <c r="AB102" i="55"/>
  <c r="AF102" i="55"/>
  <c r="AI109" i="55"/>
  <c r="AB109" i="55"/>
  <c r="AF109" i="55"/>
  <c r="AF79" i="52"/>
  <c r="AI79" i="52"/>
  <c r="AB79" i="52"/>
  <c r="AM88" i="52"/>
  <c r="AN88" i="52"/>
  <c r="AI106" i="56"/>
  <c r="AB106" i="56"/>
  <c r="AF106" i="56"/>
  <c r="Q126" i="57"/>
  <c r="Q127" i="57" s="1"/>
  <c r="AA121" i="57"/>
  <c r="Z16" i="64"/>
  <c r="AA16" i="64"/>
  <c r="AI113" i="16"/>
  <c r="AI105" i="16"/>
  <c r="AI97" i="16"/>
  <c r="AI91" i="17"/>
  <c r="AB91" i="17"/>
  <c r="AB82" i="17"/>
  <c r="AA174" i="17"/>
  <c r="AB124" i="17"/>
  <c r="AB144" i="17"/>
  <c r="AF144" i="17"/>
  <c r="AI144" i="17"/>
  <c r="AI142" i="17"/>
  <c r="AB142" i="17"/>
  <c r="S148" i="17"/>
  <c r="AF53" i="9"/>
  <c r="AB53" i="9"/>
  <c r="AI53" i="9"/>
  <c r="K46" i="9"/>
  <c r="AA46" i="9"/>
  <c r="AI43" i="9"/>
  <c r="AF43" i="9"/>
  <c r="AB43" i="9"/>
  <c r="AN67" i="9"/>
  <c r="AF86" i="9"/>
  <c r="AI86" i="9"/>
  <c r="AJ86" i="9"/>
  <c r="AI111" i="9"/>
  <c r="AJ111" i="9"/>
  <c r="AF111" i="9"/>
  <c r="AI95" i="9"/>
  <c r="AJ95" i="9"/>
  <c r="AF95" i="9"/>
  <c r="AI100" i="39"/>
  <c r="AF100" i="39"/>
  <c r="AA124" i="39"/>
  <c r="AB58" i="51"/>
  <c r="AB57" i="56"/>
  <c r="AI57" i="56"/>
  <c r="AF57" i="56"/>
  <c r="AH113" i="6"/>
  <c r="AH109" i="6"/>
  <c r="AH105" i="6"/>
  <c r="AH97" i="6"/>
  <c r="AH93" i="6"/>
  <c r="AH89" i="6"/>
  <c r="AH85" i="6"/>
  <c r="AH77" i="6"/>
  <c r="AH73" i="6"/>
  <c r="AL48" i="16"/>
  <c r="AJ42" i="16"/>
  <c r="AL40" i="16"/>
  <c r="AL51" i="16"/>
  <c r="AL63" i="16"/>
  <c r="AI87" i="16"/>
  <c r="AL82" i="16"/>
  <c r="AI79" i="16"/>
  <c r="AL74" i="16"/>
  <c r="AL117" i="16"/>
  <c r="AL109" i="16"/>
  <c r="AL101" i="16"/>
  <c r="AL93" i="16"/>
  <c r="AE119" i="16"/>
  <c r="Z16" i="17"/>
  <c r="AA16" i="17"/>
  <c r="AB81" i="17"/>
  <c r="AF81" i="17"/>
  <c r="AI81" i="17"/>
  <c r="AI67" i="17"/>
  <c r="AB67" i="17"/>
  <c r="AA60" i="17"/>
  <c r="AB57" i="17"/>
  <c r="AF57" i="17"/>
  <c r="AA173" i="17"/>
  <c r="AB115" i="17"/>
  <c r="AF115" i="17"/>
  <c r="AI115" i="17"/>
  <c r="AB129" i="17"/>
  <c r="Z148" i="17"/>
  <c r="R148" i="17"/>
  <c r="AA143" i="17"/>
  <c r="AI167" i="17"/>
  <c r="AA168" i="17"/>
  <c r="AF167" i="17"/>
  <c r="AI57" i="9"/>
  <c r="AJ57" i="9"/>
  <c r="AF57" i="9"/>
  <c r="K50" i="9"/>
  <c r="AA50" i="9"/>
  <c r="AF56" i="9"/>
  <c r="AB56" i="9"/>
  <c r="AI56" i="9"/>
  <c r="AJ56" i="9"/>
  <c r="AI40" i="9"/>
  <c r="AA85" i="9"/>
  <c r="AF105" i="9"/>
  <c r="AI105" i="9"/>
  <c r="K101" i="9"/>
  <c r="AA101" i="9"/>
  <c r="AI110" i="9"/>
  <c r="AJ110" i="9"/>
  <c r="AF110" i="9"/>
  <c r="AI94" i="9"/>
  <c r="AJ94" i="9"/>
  <c r="AF94" i="9"/>
  <c r="AF120" i="9"/>
  <c r="AI120" i="9"/>
  <c r="AA19" i="39"/>
  <c r="AB100" i="39" s="1"/>
  <c r="AA125" i="39"/>
  <c r="AI78" i="51"/>
  <c r="AF78" i="51"/>
  <c r="AB78" i="51"/>
  <c r="AA63" i="52"/>
  <c r="AA20" i="53"/>
  <c r="AA123" i="57"/>
  <c r="AE54" i="6"/>
  <c r="AE50" i="6"/>
  <c r="AE46" i="6"/>
  <c r="AE42" i="6"/>
  <c r="AE38" i="6"/>
  <c r="AB49" i="6"/>
  <c r="AB41" i="6"/>
  <c r="AB69" i="6"/>
  <c r="AB65" i="6"/>
  <c r="AB57" i="6"/>
  <c r="AA134" i="6"/>
  <c r="AA126" i="6"/>
  <c r="AK45" i="7"/>
  <c r="AK37" i="7"/>
  <c r="AH37" i="16"/>
  <c r="AL43" i="16"/>
  <c r="AL35" i="16"/>
  <c r="AH45" i="16"/>
  <c r="AH41" i="16"/>
  <c r="AH56" i="16"/>
  <c r="AN56" i="16" s="1"/>
  <c r="AL52" i="16"/>
  <c r="AL64" i="16"/>
  <c r="AJ62" i="16"/>
  <c r="AB87" i="16"/>
  <c r="AB83" i="16"/>
  <c r="AB79" i="16"/>
  <c r="AB75" i="16"/>
  <c r="AH87" i="16"/>
  <c r="AL83" i="16"/>
  <c r="AH79" i="16"/>
  <c r="AL75" i="16"/>
  <c r="AE114" i="16"/>
  <c r="AE110" i="16"/>
  <c r="AE106" i="16"/>
  <c r="AE102" i="16"/>
  <c r="AE98" i="16"/>
  <c r="AH114" i="16"/>
  <c r="AL110" i="16"/>
  <c r="AH106" i="16"/>
  <c r="AL102" i="16"/>
  <c r="AH98" i="16"/>
  <c r="AL94" i="16"/>
  <c r="AL119" i="16"/>
  <c r="AF49" i="17"/>
  <c r="AB89" i="17"/>
  <c r="AF89" i="17"/>
  <c r="AA68" i="17"/>
  <c r="AB46" i="17"/>
  <c r="AB38" i="17"/>
  <c r="AB136" i="17"/>
  <c r="AF136" i="17"/>
  <c r="AI136" i="17"/>
  <c r="Y148" i="17"/>
  <c r="Q148" i="17"/>
  <c r="AF142" i="17"/>
  <c r="K54" i="9"/>
  <c r="AA54" i="9"/>
  <c r="AF70" i="9"/>
  <c r="AI70" i="9"/>
  <c r="AJ70" i="9"/>
  <c r="AI65" i="9"/>
  <c r="AF65" i="9"/>
  <c r="AJ65" i="9"/>
  <c r="AI63" i="9"/>
  <c r="AJ63" i="9"/>
  <c r="AF63" i="9"/>
  <c r="AJ66" i="9"/>
  <c r="AF66" i="9"/>
  <c r="AI108" i="9"/>
  <c r="AJ108" i="9"/>
  <c r="AF108" i="9"/>
  <c r="AI114" i="9"/>
  <c r="AF61" i="39"/>
  <c r="AF85" i="39"/>
  <c r="AA88" i="39"/>
  <c r="AA141" i="39"/>
  <c r="AI85" i="39"/>
  <c r="AD126" i="39"/>
  <c r="AE121" i="39"/>
  <c r="AB40" i="51"/>
  <c r="AJ44" i="51"/>
  <c r="AF49" i="6"/>
  <c r="AF41" i="6"/>
  <c r="AH116" i="6"/>
  <c r="AH96" i="6"/>
  <c r="AH92" i="6"/>
  <c r="AH88" i="6"/>
  <c r="AH84" i="6"/>
  <c r="AH80" i="6"/>
  <c r="AH76" i="6"/>
  <c r="AL46" i="16"/>
  <c r="AL38" i="16"/>
  <c r="AL53" i="16"/>
  <c r="AL65" i="16"/>
  <c r="AL84" i="16"/>
  <c r="AL76" i="16"/>
  <c r="AF117" i="16"/>
  <c r="AF109" i="16"/>
  <c r="AF101" i="16"/>
  <c r="AF93" i="16"/>
  <c r="AL111" i="16"/>
  <c r="AL103" i="16"/>
  <c r="AB65" i="17"/>
  <c r="AI65" i="17"/>
  <c r="AB55" i="17"/>
  <c r="AB97" i="17"/>
  <c r="AF97" i="17"/>
  <c r="AI97" i="17"/>
  <c r="AI111" i="17"/>
  <c r="AF135" i="17"/>
  <c r="AI135" i="17"/>
  <c r="AB135" i="17"/>
  <c r="AA145" i="17"/>
  <c r="X148" i="17"/>
  <c r="P148" i="17"/>
  <c r="AF163" i="17"/>
  <c r="AI163" i="17"/>
  <c r="K58" i="9"/>
  <c r="AA58" i="9"/>
  <c r="AF52" i="9"/>
  <c r="AB52" i="9"/>
  <c r="AJ52" i="9"/>
  <c r="AF36" i="9"/>
  <c r="AB36" i="9"/>
  <c r="AJ36" i="9"/>
  <c r="AJ45" i="9"/>
  <c r="AI79" i="9"/>
  <c r="AJ79" i="9"/>
  <c r="AF79" i="9"/>
  <c r="K117" i="9"/>
  <c r="AA117" i="9"/>
  <c r="AF106" i="9"/>
  <c r="AI106" i="9"/>
  <c r="AJ106" i="9"/>
  <c r="AB106" i="9"/>
  <c r="AJ120" i="9"/>
  <c r="AI62" i="39"/>
  <c r="AF62" i="39"/>
  <c r="AA121" i="39"/>
  <c r="AJ38" i="51"/>
  <c r="AM39" i="51"/>
  <c r="AN39" i="51"/>
  <c r="AB55" i="55"/>
  <c r="AF55" i="55"/>
  <c r="AI55" i="55"/>
  <c r="U126" i="55"/>
  <c r="U127" i="55" s="1"/>
  <c r="AM37" i="52"/>
  <c r="AN37" i="52"/>
  <c r="AI124" i="56"/>
  <c r="AF124" i="56"/>
  <c r="AB124" i="56"/>
  <c r="AF42" i="61"/>
  <c r="AB42" i="61"/>
  <c r="AI42" i="61"/>
  <c r="AI52" i="61"/>
  <c r="AF52" i="61"/>
  <c r="AB52" i="61"/>
  <c r="AH125" i="17"/>
  <c r="AH58" i="9"/>
  <c r="AL54" i="9"/>
  <c r="AL46" i="9"/>
  <c r="AH42" i="9"/>
  <c r="AL38" i="9"/>
  <c r="AL70" i="9"/>
  <c r="AL62" i="9"/>
  <c r="AA67" i="9"/>
  <c r="AF88" i="9"/>
  <c r="AF84" i="9"/>
  <c r="AF80" i="9"/>
  <c r="AF76" i="9"/>
  <c r="AH90" i="9"/>
  <c r="AL86" i="9"/>
  <c r="AK85" i="9"/>
  <c r="AJ84" i="9"/>
  <c r="AH82" i="9"/>
  <c r="AL78" i="9"/>
  <c r="AK77" i="9"/>
  <c r="AJ76" i="9"/>
  <c r="AL116" i="9"/>
  <c r="AK115" i="9"/>
  <c r="AH112" i="9"/>
  <c r="AL108" i="9"/>
  <c r="AK107" i="9"/>
  <c r="AH104" i="9"/>
  <c r="AL100" i="9"/>
  <c r="AK99" i="9"/>
  <c r="AH96" i="9"/>
  <c r="AH115" i="39"/>
  <c r="AH119" i="39"/>
  <c r="AH108" i="39"/>
  <c r="AH39" i="39"/>
  <c r="AH47" i="39"/>
  <c r="AH56" i="39"/>
  <c r="AH65" i="39"/>
  <c r="AB75" i="39"/>
  <c r="AA52" i="39"/>
  <c r="AB99" i="39"/>
  <c r="AH103" i="39"/>
  <c r="AH99" i="39"/>
  <c r="AH122" i="39"/>
  <c r="AA143" i="39"/>
  <c r="AI55" i="51"/>
  <c r="AI39" i="51"/>
  <c r="AF57" i="51"/>
  <c r="AB57" i="51"/>
  <c r="AM51" i="51"/>
  <c r="AN51" i="51"/>
  <c r="AB44" i="51"/>
  <c r="AI42" i="51"/>
  <c r="AF62" i="51"/>
  <c r="AI62" i="51"/>
  <c r="AN65" i="51"/>
  <c r="AF87" i="51"/>
  <c r="AB87" i="51"/>
  <c r="AI87" i="51"/>
  <c r="AA19" i="55"/>
  <c r="AB115" i="55" s="1"/>
  <c r="AI45" i="55"/>
  <c r="AF45" i="55"/>
  <c r="AF101" i="55"/>
  <c r="AI101" i="55"/>
  <c r="AB101" i="55"/>
  <c r="AF108" i="55"/>
  <c r="AI108" i="55"/>
  <c r="AB108" i="55"/>
  <c r="T126" i="55"/>
  <c r="T127" i="55" s="1"/>
  <c r="AA19" i="52"/>
  <c r="AF83" i="52"/>
  <c r="AI83" i="52"/>
  <c r="AI65" i="56"/>
  <c r="AF65" i="56"/>
  <c r="AI117" i="56"/>
  <c r="AB117" i="56"/>
  <c r="AF117" i="56"/>
  <c r="AJ50" i="53"/>
  <c r="AF37" i="53"/>
  <c r="AB37" i="53"/>
  <c r="AI37" i="53"/>
  <c r="AJ37" i="53"/>
  <c r="AB54" i="53"/>
  <c r="AJ54" i="53"/>
  <c r="AF54" i="53"/>
  <c r="AJ78" i="53"/>
  <c r="AF78" i="53"/>
  <c r="AI78" i="53"/>
  <c r="AJ85" i="53"/>
  <c r="AB85" i="53"/>
  <c r="AA90" i="53"/>
  <c r="AF85" i="53"/>
  <c r="AI85" i="53"/>
  <c r="AB87" i="53"/>
  <c r="AF87" i="53"/>
  <c r="AI87" i="53"/>
  <c r="AJ87" i="53"/>
  <c r="AI46" i="57"/>
  <c r="AF46" i="57"/>
  <c r="AB46" i="57"/>
  <c r="AF49" i="61"/>
  <c r="AB49" i="61"/>
  <c r="AI49" i="61"/>
  <c r="G63" i="62"/>
  <c r="AI48" i="62"/>
  <c r="AF48" i="62"/>
  <c r="AB48" i="62"/>
  <c r="AI40" i="62"/>
  <c r="AF40" i="62"/>
  <c r="K55" i="54"/>
  <c r="AA55" i="54"/>
  <c r="AI77" i="54"/>
  <c r="AJ77" i="54"/>
  <c r="AB77" i="54"/>
  <c r="AF77" i="54"/>
  <c r="AJ70" i="11"/>
  <c r="AF70" i="11"/>
  <c r="AB70" i="11"/>
  <c r="AI70" i="11"/>
  <c r="AF63" i="65"/>
  <c r="AJ63" i="65"/>
  <c r="AI63" i="65"/>
  <c r="AI118" i="66"/>
  <c r="AF118" i="66"/>
  <c r="AB118" i="66"/>
  <c r="AA93" i="39"/>
  <c r="AI109" i="39"/>
  <c r="AB109" i="39"/>
  <c r="AH111" i="39"/>
  <c r="AH106" i="39"/>
  <c r="AI116" i="39"/>
  <c r="AJ37" i="51"/>
  <c r="K66" i="51"/>
  <c r="AA66" i="51"/>
  <c r="AM64" i="51"/>
  <c r="AN64" i="51"/>
  <c r="AA88" i="55"/>
  <c r="AA145" i="55" s="1"/>
  <c r="AI85" i="55"/>
  <c r="AA141" i="55"/>
  <c r="AB85" i="55"/>
  <c r="AB71" i="55"/>
  <c r="AI71" i="55"/>
  <c r="AF71" i="55"/>
  <c r="AB61" i="55"/>
  <c r="AA62" i="55"/>
  <c r="AI116" i="55"/>
  <c r="AB116" i="55"/>
  <c r="AF116" i="55"/>
  <c r="AF124" i="55"/>
  <c r="AB124" i="55"/>
  <c r="AI124" i="55"/>
  <c r="S126" i="55"/>
  <c r="S127" i="55" s="1"/>
  <c r="AF39" i="52"/>
  <c r="AB39" i="52"/>
  <c r="AB45" i="52"/>
  <c r="AI45" i="52"/>
  <c r="AI77" i="52"/>
  <c r="AB77" i="52"/>
  <c r="AI41" i="56"/>
  <c r="AF41" i="56"/>
  <c r="AA144" i="56"/>
  <c r="AI110" i="56"/>
  <c r="AB110" i="56"/>
  <c r="AF110" i="56"/>
  <c r="AF116" i="56"/>
  <c r="AI116" i="56"/>
  <c r="AB116" i="56"/>
  <c r="AI47" i="53"/>
  <c r="AJ47" i="53"/>
  <c r="AF47" i="53"/>
  <c r="AB47" i="53"/>
  <c r="AJ53" i="53"/>
  <c r="AF53" i="53"/>
  <c r="AB53" i="53"/>
  <c r="AF40" i="53"/>
  <c r="AB40" i="53"/>
  <c r="AI40" i="53"/>
  <c r="AI53" i="53"/>
  <c r="AN68" i="53"/>
  <c r="AM68" i="53"/>
  <c r="AF53" i="61"/>
  <c r="AB53" i="61"/>
  <c r="AI53" i="61"/>
  <c r="AF46" i="61"/>
  <c r="AB46" i="61"/>
  <c r="AI46" i="61"/>
  <c r="AA37" i="63"/>
  <c r="K37" i="63"/>
  <c r="AF93" i="64"/>
  <c r="AH38" i="17"/>
  <c r="AE47" i="17"/>
  <c r="AH46" i="17"/>
  <c r="AF46" i="17"/>
  <c r="AB58" i="17"/>
  <c r="AE56" i="17"/>
  <c r="AH55" i="17"/>
  <c r="AF55" i="17"/>
  <c r="AI54" i="17"/>
  <c r="AE65" i="17"/>
  <c r="AH64" i="17"/>
  <c r="AI63" i="17"/>
  <c r="AF82" i="17"/>
  <c r="AA88" i="17"/>
  <c r="G87" i="17" s="1"/>
  <c r="AF90" i="17"/>
  <c r="AB95" i="17"/>
  <c r="AH99" i="17"/>
  <c r="AE102" i="17"/>
  <c r="AF102" i="17"/>
  <c r="AB121" i="17"/>
  <c r="AB117" i="17"/>
  <c r="AE125" i="17"/>
  <c r="AH124" i="17"/>
  <c r="AB138" i="17"/>
  <c r="AB134" i="17"/>
  <c r="AL56" i="9"/>
  <c r="AK55" i="9"/>
  <c r="AL48" i="9"/>
  <c r="AK47" i="9"/>
  <c r="AH44" i="9"/>
  <c r="AL40" i="9"/>
  <c r="AK39" i="9"/>
  <c r="AH36" i="9"/>
  <c r="K63" i="9"/>
  <c r="AL64" i="9"/>
  <c r="AK63" i="9"/>
  <c r="AB80" i="9"/>
  <c r="AL88" i="9"/>
  <c r="AK87" i="9"/>
  <c r="AH84" i="9"/>
  <c r="AL80" i="9"/>
  <c r="AK79" i="9"/>
  <c r="AH76" i="9"/>
  <c r="K116" i="9"/>
  <c r="K108" i="9"/>
  <c r="K100" i="9"/>
  <c r="AL118" i="9"/>
  <c r="AK117" i="9"/>
  <c r="AL110" i="9"/>
  <c r="AK109" i="9"/>
  <c r="AL102" i="9"/>
  <c r="AK101" i="9"/>
  <c r="AL94" i="9"/>
  <c r="AK93" i="9"/>
  <c r="AH121" i="9"/>
  <c r="AG124" i="9"/>
  <c r="AH37" i="39"/>
  <c r="AH45" i="39"/>
  <c r="AF67" i="39"/>
  <c r="AI67" i="39"/>
  <c r="AF83" i="39"/>
  <c r="AH85" i="39"/>
  <c r="AA82" i="39"/>
  <c r="AA84" i="39" s="1"/>
  <c r="G82" i="39" s="1"/>
  <c r="AF92" i="39"/>
  <c r="AH98" i="39"/>
  <c r="AF116" i="39"/>
  <c r="AI117" i="39"/>
  <c r="AK76" i="51"/>
  <c r="AK84" i="51"/>
  <c r="AK65" i="51"/>
  <c r="AK41" i="51"/>
  <c r="AK49" i="51"/>
  <c r="AK57" i="51"/>
  <c r="AK94" i="51"/>
  <c r="AK83" i="51"/>
  <c r="AK64" i="51"/>
  <c r="AK40" i="51"/>
  <c r="AK48" i="51"/>
  <c r="AK56" i="51"/>
  <c r="AK96" i="51"/>
  <c r="AK92" i="51"/>
  <c r="AK81" i="51"/>
  <c r="AK62" i="51"/>
  <c r="AK70" i="51"/>
  <c r="AK38" i="51"/>
  <c r="AK46" i="51"/>
  <c r="AK54" i="51"/>
  <c r="AK91" i="51"/>
  <c r="AK80" i="51"/>
  <c r="AK69" i="51"/>
  <c r="AK78" i="51"/>
  <c r="AK86" i="51"/>
  <c r="K50" i="51"/>
  <c r="AA49" i="51"/>
  <c r="AB43" i="51"/>
  <c r="AF44" i="51"/>
  <c r="AF39" i="51"/>
  <c r="AI57" i="51"/>
  <c r="AK55" i="51"/>
  <c r="AK43" i="51"/>
  <c r="AF64" i="51"/>
  <c r="K77" i="51"/>
  <c r="AA77" i="51"/>
  <c r="AN84" i="51"/>
  <c r="AI80" i="51"/>
  <c r="AA99" i="51"/>
  <c r="AF115" i="55"/>
  <c r="AI115" i="55"/>
  <c r="Z126" i="55"/>
  <c r="Z127" i="55" s="1"/>
  <c r="R126" i="55"/>
  <c r="R127" i="55" s="1"/>
  <c r="AI57" i="52"/>
  <c r="AI51" i="52"/>
  <c r="AF51" i="52"/>
  <c r="AB51" i="52"/>
  <c r="AJ51" i="52"/>
  <c r="AI66" i="52"/>
  <c r="AF77" i="52"/>
  <c r="AB83" i="52"/>
  <c r="AB71" i="56"/>
  <c r="AI71" i="56"/>
  <c r="AF71" i="56"/>
  <c r="AA72" i="56"/>
  <c r="AF109" i="56"/>
  <c r="AI109" i="56"/>
  <c r="AB109" i="56"/>
  <c r="AA121" i="56"/>
  <c r="P126" i="56"/>
  <c r="P127" i="56" s="1"/>
  <c r="AI57" i="53"/>
  <c r="AJ57" i="53"/>
  <c r="AF57" i="53"/>
  <c r="AI41" i="53"/>
  <c r="AI38" i="53"/>
  <c r="AJ38" i="53"/>
  <c r="AF38" i="53"/>
  <c r="AB38" i="53"/>
  <c r="AJ39" i="53"/>
  <c r="AF39" i="53"/>
  <c r="AB39" i="53"/>
  <c r="AI50" i="53"/>
  <c r="AJ41" i="53"/>
  <c r="AF68" i="53"/>
  <c r="AJ68" i="53"/>
  <c r="AI68" i="53"/>
  <c r="AI52" i="57"/>
  <c r="AF52" i="57"/>
  <c r="AA54" i="57"/>
  <c r="AA41" i="61"/>
  <c r="AF67" i="61"/>
  <c r="AI67" i="61"/>
  <c r="K83" i="61"/>
  <c r="AA83" i="61"/>
  <c r="AF47" i="63"/>
  <c r="AB47" i="63"/>
  <c r="AI47" i="63"/>
  <c r="AI91" i="64"/>
  <c r="AF91" i="64"/>
  <c r="AH37" i="17"/>
  <c r="AH45" i="17"/>
  <c r="AH54" i="17"/>
  <c r="AF54" i="17"/>
  <c r="AB66" i="17"/>
  <c r="AH63" i="17"/>
  <c r="AH97" i="17"/>
  <c r="AH102" i="17"/>
  <c r="AA105" i="17"/>
  <c r="AE116" i="17"/>
  <c r="AH115" i="17"/>
  <c r="AI127" i="17"/>
  <c r="AE133" i="17"/>
  <c r="AH136" i="17"/>
  <c r="AL57" i="9"/>
  <c r="AL49" i="9"/>
  <c r="AH45" i="9"/>
  <c r="AL41" i="9"/>
  <c r="AH37" i="9"/>
  <c r="AL65" i="9"/>
  <c r="AL89" i="9"/>
  <c r="AK88" i="9"/>
  <c r="AH85" i="9"/>
  <c r="AL81" i="9"/>
  <c r="AK80" i="9"/>
  <c r="AH77" i="9"/>
  <c r="AK118" i="9"/>
  <c r="AH115" i="9"/>
  <c r="AL111" i="9"/>
  <c r="AK110" i="9"/>
  <c r="AH107" i="9"/>
  <c r="AL103" i="9"/>
  <c r="AK102" i="9"/>
  <c r="AH99" i="9"/>
  <c r="AL95" i="9"/>
  <c r="AK94" i="9"/>
  <c r="AE106" i="39"/>
  <c r="AE103" i="39"/>
  <c r="AE39" i="39"/>
  <c r="AH36" i="39"/>
  <c r="AF48" i="39"/>
  <c r="AE55" i="39"/>
  <c r="AF66" i="39"/>
  <c r="AB80" i="39"/>
  <c r="AI76" i="39"/>
  <c r="AA144" i="39"/>
  <c r="AF91" i="39"/>
  <c r="AF109" i="39"/>
  <c r="AE116" i="39"/>
  <c r="AH117" i="39"/>
  <c r="Z126" i="39"/>
  <c r="Z127" i="39" s="1"/>
  <c r="R126" i="39"/>
  <c r="R127" i="39" s="1"/>
  <c r="AH126" i="39"/>
  <c r="AE97" i="51"/>
  <c r="AE92" i="51"/>
  <c r="AE80" i="51"/>
  <c r="AE84" i="51"/>
  <c r="AM84" i="51" s="1"/>
  <c r="AE54" i="51"/>
  <c r="AE58" i="51"/>
  <c r="AE81" i="51"/>
  <c r="AE85" i="51"/>
  <c r="AE43" i="51"/>
  <c r="AE47" i="51"/>
  <c r="AE96" i="51"/>
  <c r="AB55" i="51"/>
  <c r="AB48" i="51"/>
  <c r="AB42" i="51"/>
  <c r="AF54" i="51"/>
  <c r="AE49" i="51"/>
  <c r="AK53" i="51"/>
  <c r="AK36" i="51"/>
  <c r="AJ83" i="51"/>
  <c r="AF83" i="51"/>
  <c r="AB83" i="51"/>
  <c r="AF84" i="51"/>
  <c r="AK85" i="51"/>
  <c r="AI92" i="51"/>
  <c r="AB92" i="51"/>
  <c r="K90" i="51"/>
  <c r="AK90" i="51"/>
  <c r="AI96" i="51"/>
  <c r="AB96" i="51"/>
  <c r="AA72" i="55"/>
  <c r="AA73" i="55"/>
  <c r="AB69" i="55"/>
  <c r="AI69" i="55"/>
  <c r="AF69" i="55"/>
  <c r="AA143" i="55"/>
  <c r="AI39" i="55"/>
  <c r="AF39" i="55"/>
  <c r="AA42" i="55"/>
  <c r="AA43" i="55"/>
  <c r="AA121" i="55"/>
  <c r="AA20" i="52"/>
  <c r="AJ53" i="52" s="1"/>
  <c r="AJ37" i="52"/>
  <c r="AF57" i="52"/>
  <c r="AI37" i="52"/>
  <c r="AM69" i="52"/>
  <c r="AN69" i="52"/>
  <c r="AB65" i="56"/>
  <c r="AA42" i="56"/>
  <c r="AA43" i="56"/>
  <c r="AB39" i="56"/>
  <c r="AI99" i="56"/>
  <c r="AB99" i="56"/>
  <c r="AF99" i="56"/>
  <c r="AA123" i="56"/>
  <c r="W126" i="56"/>
  <c r="W127" i="56" s="1"/>
  <c r="O126" i="56"/>
  <c r="AM35" i="53"/>
  <c r="AN35" i="53"/>
  <c r="AF57" i="61"/>
  <c r="AB57" i="61"/>
  <c r="AI57" i="61"/>
  <c r="AA53" i="63"/>
  <c r="K53" i="63"/>
  <c r="AB90" i="17"/>
  <c r="AI104" i="17"/>
  <c r="AE124" i="17"/>
  <c r="AH127" i="17"/>
  <c r="AE147" i="17"/>
  <c r="AE143" i="17"/>
  <c r="AH54" i="9"/>
  <c r="AH38" i="9"/>
  <c r="AL66" i="9"/>
  <c r="AL90" i="9"/>
  <c r="AH86" i="9"/>
  <c r="AL82" i="9"/>
  <c r="AH116" i="9"/>
  <c r="AL112" i="9"/>
  <c r="AK111" i="9"/>
  <c r="AH108" i="9"/>
  <c r="AL104" i="9"/>
  <c r="AK103" i="9"/>
  <c r="AH100" i="9"/>
  <c r="AL96" i="9"/>
  <c r="AK95" i="9"/>
  <c r="AH35" i="39"/>
  <c r="AH69" i="39"/>
  <c r="AI75" i="39"/>
  <c r="AH83" i="39"/>
  <c r="AA94" i="39"/>
  <c r="AH116" i="39"/>
  <c r="AI47" i="51"/>
  <c r="AF41" i="51"/>
  <c r="AB41" i="51"/>
  <c r="AF48" i="51"/>
  <c r="AN56" i="51"/>
  <c r="AI41" i="51"/>
  <c r="AM65" i="51"/>
  <c r="AF70" i="51"/>
  <c r="AI70" i="51"/>
  <c r="K81" i="51"/>
  <c r="AA81" i="51"/>
  <c r="AK82" i="51"/>
  <c r="AK77" i="51"/>
  <c r="AB94" i="51"/>
  <c r="AF94" i="51"/>
  <c r="AA20" i="55"/>
  <c r="AB87" i="55" s="1"/>
  <c r="AI61" i="55"/>
  <c r="AB79" i="55"/>
  <c r="AA81" i="55"/>
  <c r="AA82" i="55"/>
  <c r="AF79" i="55"/>
  <c r="AI79" i="55"/>
  <c r="AI98" i="55"/>
  <c r="AB98" i="55"/>
  <c r="AF98" i="55"/>
  <c r="AF119" i="55"/>
  <c r="AI119" i="55"/>
  <c r="AB119" i="55"/>
  <c r="X126" i="55"/>
  <c r="X127" i="55" s="1"/>
  <c r="P126" i="55"/>
  <c r="P127" i="55" s="1"/>
  <c r="AH126" i="55"/>
  <c r="AI49" i="52"/>
  <c r="AI43" i="52"/>
  <c r="AF43" i="52"/>
  <c r="AB43" i="52"/>
  <c r="AJ43" i="52"/>
  <c r="AH72" i="52"/>
  <c r="AL72" i="52"/>
  <c r="AB84" i="52"/>
  <c r="AI84" i="52"/>
  <c r="AF84" i="52"/>
  <c r="AJ84" i="52"/>
  <c r="AA20" i="56"/>
  <c r="AF55" i="56"/>
  <c r="AI55" i="56"/>
  <c r="AA82" i="56"/>
  <c r="AA84" i="56" s="1"/>
  <c r="G82" i="56" s="1"/>
  <c r="AF79" i="56"/>
  <c r="AI79" i="56"/>
  <c r="AB79" i="56"/>
  <c r="AI49" i="56"/>
  <c r="AF49" i="56"/>
  <c r="AA52" i="56"/>
  <c r="AA53" i="56"/>
  <c r="AF98" i="56"/>
  <c r="AI98" i="56"/>
  <c r="AB98" i="56"/>
  <c r="AA122" i="56"/>
  <c r="V126" i="56"/>
  <c r="V127" i="56" s="1"/>
  <c r="AA143" i="56"/>
  <c r="AJ42" i="53"/>
  <c r="AF42" i="53"/>
  <c r="AI42" i="53"/>
  <c r="AB42" i="53"/>
  <c r="AJ35" i="53"/>
  <c r="AJ40" i="53"/>
  <c r="K62" i="53"/>
  <c r="AA62" i="53"/>
  <c r="AJ66" i="53"/>
  <c r="AI66" i="53"/>
  <c r="AF80" i="53"/>
  <c r="AJ80" i="53"/>
  <c r="AB80" i="53"/>
  <c r="AI80" i="53"/>
  <c r="AI41" i="63"/>
  <c r="AF41" i="63"/>
  <c r="AB41" i="63"/>
  <c r="AI88" i="64"/>
  <c r="AF88" i="64"/>
  <c r="AA145" i="64"/>
  <c r="AF35" i="11"/>
  <c r="AI35" i="11"/>
  <c r="AJ35" i="11"/>
  <c r="AB35" i="11"/>
  <c r="AE37" i="17"/>
  <c r="AH35" i="17"/>
  <c r="AE44" i="17"/>
  <c r="AE53" i="17"/>
  <c r="AE62" i="17"/>
  <c r="AI86" i="17"/>
  <c r="AA69" i="17"/>
  <c r="AE97" i="17"/>
  <c r="AH96" i="17"/>
  <c r="AE115" i="17"/>
  <c r="AH118" i="17"/>
  <c r="AE136" i="17"/>
  <c r="AH139" i="17"/>
  <c r="AH135" i="17"/>
  <c r="AK58" i="9"/>
  <c r="AH55" i="9"/>
  <c r="AL51" i="9"/>
  <c r="AK50" i="9"/>
  <c r="AH47" i="9"/>
  <c r="AL43" i="9"/>
  <c r="AK42" i="9"/>
  <c r="AL35" i="9"/>
  <c r="AL67" i="9"/>
  <c r="AK66" i="9"/>
  <c r="AA72" i="9"/>
  <c r="AK90" i="9"/>
  <c r="AH87" i="9"/>
  <c r="AL83" i="9"/>
  <c r="AK82" i="9"/>
  <c r="AH79" i="9"/>
  <c r="AA112" i="9"/>
  <c r="AA104" i="9"/>
  <c r="AA96" i="9"/>
  <c r="AL113" i="9"/>
  <c r="AK112" i="9"/>
  <c r="AH109" i="9"/>
  <c r="AL105" i="9"/>
  <c r="AK104" i="9"/>
  <c r="AH101" i="9"/>
  <c r="AL97" i="9"/>
  <c r="AK96" i="9"/>
  <c r="AH93" i="9"/>
  <c r="AL120" i="9"/>
  <c r="AE37" i="39"/>
  <c r="AB41" i="39"/>
  <c r="AF46" i="39"/>
  <c r="AH59" i="39"/>
  <c r="AH68" i="39"/>
  <c r="AA63" i="39"/>
  <c r="AA64" i="39" s="1"/>
  <c r="G63" i="39" s="1"/>
  <c r="AB111" i="39"/>
  <c r="AB118" i="39"/>
  <c r="X126" i="39"/>
  <c r="X127" i="39" s="1"/>
  <c r="P126" i="39"/>
  <c r="P127" i="39" s="1"/>
  <c r="AH124" i="39"/>
  <c r="AE123" i="39"/>
  <c r="AH121" i="39"/>
  <c r="AI136" i="39"/>
  <c r="B29" i="51"/>
  <c r="AA53" i="51"/>
  <c r="AB47" i="51"/>
  <c r="AF58" i="51"/>
  <c r="AJ58" i="51"/>
  <c r="AK63" i="51"/>
  <c r="AA69" i="51"/>
  <c r="AN68" i="51"/>
  <c r="AB80" i="51"/>
  <c r="AE82" i="51"/>
  <c r="AI93" i="51"/>
  <c r="AF93" i="51"/>
  <c r="AB93" i="51"/>
  <c r="AF61" i="55"/>
  <c r="AA125" i="55"/>
  <c r="AA123" i="55"/>
  <c r="AF55" i="52"/>
  <c r="AB55" i="52"/>
  <c r="AJ55" i="52"/>
  <c r="AF45" i="52"/>
  <c r="AI39" i="52"/>
  <c r="AF66" i="52"/>
  <c r="AI103" i="56"/>
  <c r="AB103" i="56"/>
  <c r="AF103" i="56"/>
  <c r="AA125" i="56"/>
  <c r="U126" i="56"/>
  <c r="U127" i="56" s="1"/>
  <c r="AF36" i="53"/>
  <c r="AB36" i="53"/>
  <c r="AJ36" i="53"/>
  <c r="AB57" i="53"/>
  <c r="AF48" i="53"/>
  <c r="AB48" i="53"/>
  <c r="AI48" i="53"/>
  <c r="AJ48" i="53"/>
  <c r="AJ64" i="53"/>
  <c r="AI64" i="53"/>
  <c r="AF64" i="53"/>
  <c r="G53" i="57"/>
  <c r="S126" i="57"/>
  <c r="S127" i="57" s="1"/>
  <c r="AA20" i="63"/>
  <c r="AJ57" i="63" s="1"/>
  <c r="AF67" i="63"/>
  <c r="AI67" i="63"/>
  <c r="AF100" i="58"/>
  <c r="AI100" i="58"/>
  <c r="AB100" i="58"/>
  <c r="AI108" i="58"/>
  <c r="AB108" i="58"/>
  <c r="AF108" i="58"/>
  <c r="AI115" i="58"/>
  <c r="AB115" i="58"/>
  <c r="AF115" i="58"/>
  <c r="AE36" i="17"/>
  <c r="AA92" i="17"/>
  <c r="AH130" i="17"/>
  <c r="AL52" i="9"/>
  <c r="AK51" i="9"/>
  <c r="AH48" i="9"/>
  <c r="AL44" i="9"/>
  <c r="AK43" i="9"/>
  <c r="AH40" i="9"/>
  <c r="AL36" i="9"/>
  <c r="AK35" i="9"/>
  <c r="AL68" i="9"/>
  <c r="AK67" i="9"/>
  <c r="AK72" i="9"/>
  <c r="AH88" i="9"/>
  <c r="AL84" i="9"/>
  <c r="AK83" i="9"/>
  <c r="AH80" i="9"/>
  <c r="AL76" i="9"/>
  <c r="AH118" i="9"/>
  <c r="AL114" i="9"/>
  <c r="AK113" i="9"/>
  <c r="AH110" i="9"/>
  <c r="AL106" i="9"/>
  <c r="AK105" i="9"/>
  <c r="AH102" i="9"/>
  <c r="AL98" i="9"/>
  <c r="AK97" i="9"/>
  <c r="AE36" i="39"/>
  <c r="AF36" i="39"/>
  <c r="AH49" i="39"/>
  <c r="AH58" i="39"/>
  <c r="AE98" i="39"/>
  <c r="AH100" i="39"/>
  <c r="AE108" i="39"/>
  <c r="AE114" i="39"/>
  <c r="AA122" i="39"/>
  <c r="W126" i="39"/>
  <c r="W127" i="39" s="1"/>
  <c r="O126" i="39"/>
  <c r="K58" i="51"/>
  <c r="K42" i="51"/>
  <c r="AB46" i="51"/>
  <c r="AJ40" i="51"/>
  <c r="AE57" i="51"/>
  <c r="AF47" i="51"/>
  <c r="AI56" i="51"/>
  <c r="AK44" i="51"/>
  <c r="AK42" i="51"/>
  <c r="AK37" i="51"/>
  <c r="AI68" i="51"/>
  <c r="AJ68" i="51"/>
  <c r="AF68" i="51"/>
  <c r="AA72" i="51"/>
  <c r="K85" i="51"/>
  <c r="AA85" i="51"/>
  <c r="AF79" i="51"/>
  <c r="AB79" i="51"/>
  <c r="AI79" i="51"/>
  <c r="AJ79" i="51"/>
  <c r="AF80" i="51"/>
  <c r="AK87" i="51"/>
  <c r="AK79" i="51"/>
  <c r="AI94" i="51"/>
  <c r="AK97" i="51"/>
  <c r="AF77" i="55"/>
  <c r="AI77" i="55"/>
  <c r="AB77" i="55"/>
  <c r="AI47" i="55"/>
  <c r="AF47" i="55"/>
  <c r="AB36" i="55"/>
  <c r="O127" i="55"/>
  <c r="AI41" i="52"/>
  <c r="AJ41" i="52"/>
  <c r="AI35" i="52"/>
  <c r="AF35" i="52"/>
  <c r="AB35" i="52"/>
  <c r="AJ35" i="52"/>
  <c r="AB49" i="52"/>
  <c r="AF69" i="52"/>
  <c r="AI67" i="52"/>
  <c r="AA65" i="52"/>
  <c r="AA93" i="56"/>
  <c r="AI87" i="56"/>
  <c r="AA94" i="56"/>
  <c r="AA88" i="56"/>
  <c r="AA145" i="56" s="1"/>
  <c r="AI47" i="56"/>
  <c r="AF47" i="56"/>
  <c r="AF102" i="56"/>
  <c r="AI102" i="56"/>
  <c r="AB102" i="56"/>
  <c r="AA19" i="53"/>
  <c r="AB50" i="53" s="1"/>
  <c r="AF46" i="53"/>
  <c r="AB46" i="53"/>
  <c r="AI46" i="53"/>
  <c r="AJ46" i="53"/>
  <c r="AB45" i="53"/>
  <c r="AJ45" i="53"/>
  <c r="AF45" i="53"/>
  <c r="AF50" i="53"/>
  <c r="AI54" i="53"/>
  <c r="AB88" i="53"/>
  <c r="AJ88" i="53"/>
  <c r="AF88" i="53"/>
  <c r="AI88" i="53"/>
  <c r="AI57" i="63"/>
  <c r="AF57" i="63"/>
  <c r="AB57" i="63"/>
  <c r="AF44" i="54"/>
  <c r="AB44" i="54"/>
  <c r="AJ44" i="54"/>
  <c r="AI44" i="54"/>
  <c r="AM79" i="54"/>
  <c r="AN79" i="54"/>
  <c r="AH49" i="55"/>
  <c r="AD126" i="55"/>
  <c r="AA144" i="55"/>
  <c r="K57" i="52"/>
  <c r="K53" i="52"/>
  <c r="K49" i="52"/>
  <c r="K45" i="52"/>
  <c r="K41" i="52"/>
  <c r="K37" i="52"/>
  <c r="AA58" i="52"/>
  <c r="AA54" i="52"/>
  <c r="AA50" i="52"/>
  <c r="AA46" i="52"/>
  <c r="AA42" i="52"/>
  <c r="AA38" i="52"/>
  <c r="AL57" i="52"/>
  <c r="AL49" i="52"/>
  <c r="AL41" i="52"/>
  <c r="K66" i="52"/>
  <c r="AL65" i="52"/>
  <c r="AA64" i="52"/>
  <c r="K83" i="52"/>
  <c r="AL84" i="52"/>
  <c r="AF76" i="56"/>
  <c r="AA146" i="56"/>
  <c r="AA58" i="53"/>
  <c r="AA44" i="53"/>
  <c r="AL55" i="53"/>
  <c r="AL46" i="53"/>
  <c r="AL37" i="53"/>
  <c r="AK62" i="53"/>
  <c r="AA65" i="53"/>
  <c r="AA72" i="53"/>
  <c r="AL79" i="53"/>
  <c r="Z126" i="57"/>
  <c r="Z127" i="57" s="1"/>
  <c r="R126" i="57"/>
  <c r="R127" i="57" s="1"/>
  <c r="AD127" i="57"/>
  <c r="AE126" i="57"/>
  <c r="AF50" i="61"/>
  <c r="AB50" i="61"/>
  <c r="AA40" i="61"/>
  <c r="AA90" i="61"/>
  <c r="AF85" i="61"/>
  <c r="AB85" i="61"/>
  <c r="AA124" i="62"/>
  <c r="AA122" i="62"/>
  <c r="W126" i="62"/>
  <c r="W127" i="62" s="1"/>
  <c r="O126" i="62"/>
  <c r="K44" i="63"/>
  <c r="AA44" i="63"/>
  <c r="AF46" i="63"/>
  <c r="AB46" i="63"/>
  <c r="AL65" i="63"/>
  <c r="AM70" i="63"/>
  <c r="AM62" i="63"/>
  <c r="AJ80" i="63"/>
  <c r="AB80" i="63"/>
  <c r="AF80" i="63"/>
  <c r="AL77" i="63"/>
  <c r="AB37" i="64"/>
  <c r="AI37" i="64"/>
  <c r="AF37" i="64"/>
  <c r="AA43" i="54"/>
  <c r="AF93" i="54"/>
  <c r="AJ93" i="54"/>
  <c r="AB93" i="54"/>
  <c r="AB74" i="11"/>
  <c r="AF74" i="11"/>
  <c r="AJ74" i="11"/>
  <c r="AI35" i="61"/>
  <c r="AF35" i="61"/>
  <c r="AB35" i="61"/>
  <c r="AI65" i="61"/>
  <c r="AF65" i="61"/>
  <c r="AA16" i="62"/>
  <c r="AI72" i="62"/>
  <c r="AF72" i="62"/>
  <c r="AA74" i="62"/>
  <c r="AI46" i="62"/>
  <c r="AF46" i="62"/>
  <c r="AI92" i="62"/>
  <c r="AG126" i="62"/>
  <c r="AI51" i="63"/>
  <c r="AF51" i="63"/>
  <c r="AB51" i="63"/>
  <c r="AI35" i="63"/>
  <c r="AF35" i="63"/>
  <c r="AB35" i="63"/>
  <c r="AJ35" i="63"/>
  <c r="AI45" i="63"/>
  <c r="AF45" i="63"/>
  <c r="AB45" i="63"/>
  <c r="AI65" i="63"/>
  <c r="AF65" i="63"/>
  <c r="AJ65" i="63"/>
  <c r="AI79" i="63"/>
  <c r="AJ79" i="63"/>
  <c r="AF79" i="63"/>
  <c r="AB79" i="63"/>
  <c r="AM84" i="63"/>
  <c r="AN84" i="63"/>
  <c r="AF53" i="54"/>
  <c r="AB53" i="54"/>
  <c r="AI53" i="54"/>
  <c r="AJ53" i="54"/>
  <c r="K64" i="54"/>
  <c r="AA64" i="54"/>
  <c r="K98" i="54"/>
  <c r="AA98" i="54"/>
  <c r="AA144" i="58"/>
  <c r="AB51" i="58"/>
  <c r="AA52" i="58"/>
  <c r="AI51" i="58"/>
  <c r="AF51" i="58"/>
  <c r="AA53" i="58"/>
  <c r="AF43" i="11"/>
  <c r="AI43" i="11"/>
  <c r="AB43" i="11"/>
  <c r="AF57" i="59"/>
  <c r="AI57" i="59"/>
  <c r="AB57" i="59"/>
  <c r="AI100" i="59"/>
  <c r="AB100" i="59"/>
  <c r="AF100" i="59"/>
  <c r="AH85" i="51"/>
  <c r="AL81" i="51"/>
  <c r="AL92" i="51"/>
  <c r="AL96" i="51"/>
  <c r="AH47" i="55"/>
  <c r="AF132" i="55"/>
  <c r="AI56" i="52"/>
  <c r="AI48" i="52"/>
  <c r="AI40" i="52"/>
  <c r="AL35" i="52"/>
  <c r="AL67" i="52"/>
  <c r="AA72" i="52"/>
  <c r="K79" i="52"/>
  <c r="AL77" i="52"/>
  <c r="AL87" i="52"/>
  <c r="AF36" i="56"/>
  <c r="AI36" i="56"/>
  <c r="AI92" i="56"/>
  <c r="AF134" i="56"/>
  <c r="AL88" i="53"/>
  <c r="AL78" i="53"/>
  <c r="AL68" i="53"/>
  <c r="AL36" i="53"/>
  <c r="AL44" i="53"/>
  <c r="AL52" i="53"/>
  <c r="AL85" i="53"/>
  <c r="AL76" i="53"/>
  <c r="AL66" i="53"/>
  <c r="AL83" i="53"/>
  <c r="AL80" i="53"/>
  <c r="K50" i="53"/>
  <c r="K46" i="53"/>
  <c r="K42" i="53"/>
  <c r="K38" i="53"/>
  <c r="AA52" i="53"/>
  <c r="AK56" i="53"/>
  <c r="AJ51" i="53"/>
  <c r="AL47" i="53"/>
  <c r="AK42" i="53"/>
  <c r="AL38" i="53"/>
  <c r="AF70" i="53"/>
  <c r="AK69" i="53"/>
  <c r="AK66" i="53"/>
  <c r="AL63" i="53"/>
  <c r="K78" i="53"/>
  <c r="AF79" i="53"/>
  <c r="AB79" i="53"/>
  <c r="AI79" i="53"/>
  <c r="AK85" i="53"/>
  <c r="AK83" i="53"/>
  <c r="AA20" i="57"/>
  <c r="AB78" i="57"/>
  <c r="AI78" i="57"/>
  <c r="AI70" i="57"/>
  <c r="AF70" i="57"/>
  <c r="AH121" i="57"/>
  <c r="AG126" i="57"/>
  <c r="AI136" i="57"/>
  <c r="AF136" i="57"/>
  <c r="AA20" i="61"/>
  <c r="AI39" i="61"/>
  <c r="AF39" i="61"/>
  <c r="AB39" i="61"/>
  <c r="AA58" i="61"/>
  <c r="AF48" i="61"/>
  <c r="AB48" i="61"/>
  <c r="AF37" i="61"/>
  <c r="AB37" i="61"/>
  <c r="AI37" i="61"/>
  <c r="K66" i="61"/>
  <c r="AM66" i="61"/>
  <c r="AF70" i="61"/>
  <c r="AA72" i="61"/>
  <c r="AF80" i="61"/>
  <c r="AB80" i="61"/>
  <c r="AB84" i="61"/>
  <c r="AI84" i="61"/>
  <c r="AF84" i="61"/>
  <c r="AI38" i="62"/>
  <c r="AA81" i="62"/>
  <c r="AB80" i="62"/>
  <c r="AA82" i="62"/>
  <c r="AI80" i="62"/>
  <c r="U126" i="62"/>
  <c r="U127" i="62" s="1"/>
  <c r="Z16" i="63"/>
  <c r="K48" i="63"/>
  <c r="AA48" i="63"/>
  <c r="AF58" i="63"/>
  <c r="AB58" i="63"/>
  <c r="AI58" i="63"/>
  <c r="AJ58" i="63"/>
  <c r="AF42" i="63"/>
  <c r="AB42" i="63"/>
  <c r="AI42" i="63"/>
  <c r="K68" i="63"/>
  <c r="AA68" i="63"/>
  <c r="K66" i="63"/>
  <c r="AL67" i="63"/>
  <c r="AL72" i="63"/>
  <c r="AA77" i="63"/>
  <c r="K77" i="63"/>
  <c r="AB76" i="63"/>
  <c r="AI76" i="63"/>
  <c r="AF76" i="63"/>
  <c r="AA83" i="63"/>
  <c r="AA74" i="64"/>
  <c r="G73" i="64" s="1"/>
  <c r="AI72" i="64"/>
  <c r="AF72" i="64"/>
  <c r="AB35" i="64"/>
  <c r="AI35" i="64"/>
  <c r="AF35" i="64"/>
  <c r="AI111" i="64"/>
  <c r="AF111" i="64"/>
  <c r="AB111" i="64"/>
  <c r="Z16" i="54"/>
  <c r="AA16" i="54"/>
  <c r="AB80" i="54"/>
  <c r="AI47" i="54"/>
  <c r="AJ47" i="54"/>
  <c r="AB47" i="54"/>
  <c r="AB108" i="54"/>
  <c r="AF75" i="58"/>
  <c r="AI75" i="58"/>
  <c r="AB75" i="58"/>
  <c r="AB61" i="58"/>
  <c r="AF61" i="58"/>
  <c r="AI61" i="58"/>
  <c r="AI121" i="58"/>
  <c r="AF121" i="58"/>
  <c r="AB121" i="58"/>
  <c r="AN67" i="11"/>
  <c r="AB75" i="11"/>
  <c r="AI75" i="11"/>
  <c r="AF75" i="11"/>
  <c r="AJ75" i="11"/>
  <c r="AL55" i="51"/>
  <c r="AL47" i="51"/>
  <c r="AH43" i="51"/>
  <c r="AL39" i="51"/>
  <c r="AL63" i="51"/>
  <c r="K84" i="51"/>
  <c r="K80" i="51"/>
  <c r="K76" i="51"/>
  <c r="AH86" i="51"/>
  <c r="AL82" i="51"/>
  <c r="AL93" i="51"/>
  <c r="AL97" i="51"/>
  <c r="AF41" i="55"/>
  <c r="AE48" i="55"/>
  <c r="AH46" i="55"/>
  <c r="AF50" i="55"/>
  <c r="AF68" i="55"/>
  <c r="AH111" i="55"/>
  <c r="AH107" i="55"/>
  <c r="AB56" i="52"/>
  <c r="AB52" i="52"/>
  <c r="AB48" i="52"/>
  <c r="AB44" i="52"/>
  <c r="AB40" i="52"/>
  <c r="AB36" i="52"/>
  <c r="AF52" i="52"/>
  <c r="AF44" i="52"/>
  <c r="AF36" i="52"/>
  <c r="AL52" i="52"/>
  <c r="AK51" i="52"/>
  <c r="AL44" i="52"/>
  <c r="AK43" i="52"/>
  <c r="AL36" i="52"/>
  <c r="AK35" i="52"/>
  <c r="K67" i="52"/>
  <c r="AL68" i="52"/>
  <c r="AK67" i="52"/>
  <c r="AL78" i="52"/>
  <c r="AK77" i="52"/>
  <c r="K84" i="52"/>
  <c r="AB85" i="52"/>
  <c r="AJ85" i="52"/>
  <c r="AB87" i="52"/>
  <c r="AL88" i="52"/>
  <c r="AK87" i="52"/>
  <c r="AF35" i="56"/>
  <c r="AI35" i="56"/>
  <c r="AF70" i="56"/>
  <c r="AF141" i="56"/>
  <c r="AA56" i="53"/>
  <c r="AB51" i="53"/>
  <c r="AF43" i="53"/>
  <c r="AL57" i="53"/>
  <c r="AI55" i="53"/>
  <c r="AK52" i="53"/>
  <c r="AI51" i="53"/>
  <c r="AL48" i="53"/>
  <c r="AK47" i="53"/>
  <c r="AL43" i="53"/>
  <c r="AK38" i="53"/>
  <c r="AL70" i="53"/>
  <c r="AJ69" i="53"/>
  <c r="AK63" i="53"/>
  <c r="AL87" i="53"/>
  <c r="AA16" i="57"/>
  <c r="AI50" i="57"/>
  <c r="AF50" i="57"/>
  <c r="AA124" i="57"/>
  <c r="AA122" i="57"/>
  <c r="W126" i="57"/>
  <c r="W127" i="57" s="1"/>
  <c r="O126" i="57"/>
  <c r="AI43" i="61"/>
  <c r="AF43" i="61"/>
  <c r="AB43" i="61"/>
  <c r="AA36" i="61"/>
  <c r="AI63" i="61"/>
  <c r="AF63" i="61"/>
  <c r="AM68" i="61"/>
  <c r="AA68" i="61"/>
  <c r="AA77" i="61"/>
  <c r="K77" i="61"/>
  <c r="AA79" i="61"/>
  <c r="G73" i="62"/>
  <c r="AI70" i="62"/>
  <c r="AF70" i="62"/>
  <c r="AI52" i="62"/>
  <c r="AF52" i="62"/>
  <c r="AA94" i="62"/>
  <c r="T126" i="62"/>
  <c r="T127" i="62" s="1"/>
  <c r="AL83" i="63"/>
  <c r="AL64" i="63"/>
  <c r="AL40" i="63"/>
  <c r="AL48" i="63"/>
  <c r="AL56" i="63"/>
  <c r="AL63" i="63"/>
  <c r="AL39" i="63"/>
  <c r="AL47" i="63"/>
  <c r="AL55" i="63"/>
  <c r="AL80" i="63"/>
  <c r="AL62" i="63"/>
  <c r="AL70" i="63"/>
  <c r="AL38" i="63"/>
  <c r="AL46" i="63"/>
  <c r="AL54" i="63"/>
  <c r="AL79" i="63"/>
  <c r="AL69" i="63"/>
  <c r="AL37" i="63"/>
  <c r="AL45" i="63"/>
  <c r="AL53" i="63"/>
  <c r="AL88" i="63"/>
  <c r="AL78" i="63"/>
  <c r="AL68" i="63"/>
  <c r="AL36" i="63"/>
  <c r="AL44" i="63"/>
  <c r="AL52" i="63"/>
  <c r="AL85" i="63"/>
  <c r="AL76" i="63"/>
  <c r="AL66" i="63"/>
  <c r="AL42" i="63"/>
  <c r="AL50" i="63"/>
  <c r="AL58" i="63"/>
  <c r="AF55" i="63"/>
  <c r="AB55" i="63"/>
  <c r="AI55" i="63"/>
  <c r="AF39" i="63"/>
  <c r="AB39" i="63"/>
  <c r="AI39" i="63"/>
  <c r="AL41" i="63"/>
  <c r="AL35" i="63"/>
  <c r="AJ70" i="63"/>
  <c r="AF70" i="63"/>
  <c r="AA72" i="63"/>
  <c r="K78" i="63"/>
  <c r="AI85" i="63"/>
  <c r="AB85" i="63"/>
  <c r="AA90" i="63"/>
  <c r="AF85" i="63"/>
  <c r="AF87" i="63"/>
  <c r="AI87" i="63"/>
  <c r="AB87" i="63"/>
  <c r="AA19" i="64"/>
  <c r="AI45" i="64"/>
  <c r="AI51" i="64"/>
  <c r="AF51" i="64"/>
  <c r="AI125" i="64"/>
  <c r="AB125" i="64"/>
  <c r="X126" i="64"/>
  <c r="X127" i="64" s="1"/>
  <c r="P126" i="64"/>
  <c r="AF35" i="54"/>
  <c r="AF69" i="54"/>
  <c r="AJ69" i="54"/>
  <c r="AI105" i="54"/>
  <c r="AJ105" i="54"/>
  <c r="AF105" i="54"/>
  <c r="AB105" i="54"/>
  <c r="AI93" i="54"/>
  <c r="AA143" i="58"/>
  <c r="AM51" i="11"/>
  <c r="AN51" i="11"/>
  <c r="AI74" i="68"/>
  <c r="AB74" i="68"/>
  <c r="AF74" i="68"/>
  <c r="AJ87" i="52"/>
  <c r="AK72" i="53"/>
  <c r="AE72" i="53"/>
  <c r="AD91" i="53"/>
  <c r="AF77" i="53"/>
  <c r="AI77" i="53"/>
  <c r="AB77" i="53"/>
  <c r="AK80" i="53"/>
  <c r="AK78" i="53"/>
  <c r="AI84" i="53"/>
  <c r="AF84" i="53"/>
  <c r="AB84" i="53"/>
  <c r="AB76" i="57"/>
  <c r="AF76" i="57"/>
  <c r="AI76" i="57"/>
  <c r="AI68" i="57"/>
  <c r="AF68" i="57"/>
  <c r="AA125" i="57"/>
  <c r="Z16" i="61"/>
  <c r="AI47" i="61"/>
  <c r="AF47" i="61"/>
  <c r="AB47" i="61"/>
  <c r="AA56" i="61"/>
  <c r="AA45" i="61"/>
  <c r="AF66" i="61"/>
  <c r="AI66" i="61"/>
  <c r="AF64" i="61"/>
  <c r="AM65" i="61"/>
  <c r="AI78" i="61"/>
  <c r="AF78" i="61"/>
  <c r="AB78" i="61"/>
  <c r="AB88" i="61"/>
  <c r="AI88" i="61"/>
  <c r="AF88" i="61"/>
  <c r="AF88" i="62"/>
  <c r="AA145" i="62"/>
  <c r="AB78" i="62"/>
  <c r="AF78" i="62"/>
  <c r="AI78" i="62"/>
  <c r="AB125" i="62"/>
  <c r="AF125" i="62"/>
  <c r="AB123" i="62"/>
  <c r="AI123" i="62"/>
  <c r="AF121" i="62"/>
  <c r="AB121" i="62"/>
  <c r="S126" i="62"/>
  <c r="S127" i="62" s="1"/>
  <c r="AI125" i="62"/>
  <c r="AF134" i="62"/>
  <c r="K52" i="63"/>
  <c r="AA52" i="63"/>
  <c r="K36" i="63"/>
  <c r="AA36" i="63"/>
  <c r="AF38" i="63"/>
  <c r="AB38" i="63"/>
  <c r="AI38" i="63"/>
  <c r="AI66" i="63"/>
  <c r="AF66" i="63"/>
  <c r="AF64" i="63"/>
  <c r="AI88" i="63"/>
  <c r="AJ88" i="63"/>
  <c r="AF88" i="63"/>
  <c r="AB88" i="63"/>
  <c r="AA81" i="64"/>
  <c r="AB80" i="64"/>
  <c r="AA82" i="64"/>
  <c r="AF80" i="64"/>
  <c r="AI80" i="64"/>
  <c r="AI60" i="64"/>
  <c r="AF60" i="64"/>
  <c r="AF103" i="64"/>
  <c r="AB103" i="64"/>
  <c r="AI103" i="64"/>
  <c r="AI51" i="54"/>
  <c r="AF51" i="54"/>
  <c r="AJ51" i="54"/>
  <c r="AB51" i="54"/>
  <c r="AB107" i="54"/>
  <c r="AI83" i="58"/>
  <c r="AF83" i="58"/>
  <c r="AA62" i="58"/>
  <c r="AA63" i="58"/>
  <c r="AB59" i="58"/>
  <c r="AF59" i="58"/>
  <c r="AJ40" i="11"/>
  <c r="AJ48" i="11"/>
  <c r="AJ68" i="11"/>
  <c r="AJ62" i="11"/>
  <c r="AJ59" i="11"/>
  <c r="AJ79" i="11"/>
  <c r="AJ49" i="11"/>
  <c r="AM39" i="11"/>
  <c r="AN39" i="11"/>
  <c r="AK71" i="11"/>
  <c r="AK58" i="11"/>
  <c r="AK41" i="11"/>
  <c r="AK49" i="11"/>
  <c r="AK70" i="11"/>
  <c r="AK57" i="11"/>
  <c r="AK40" i="11"/>
  <c r="AK48" i="11"/>
  <c r="AK69" i="11"/>
  <c r="AK56" i="11"/>
  <c r="AK39" i="11"/>
  <c r="AK47" i="11"/>
  <c r="AK68" i="11"/>
  <c r="AK63" i="11"/>
  <c r="AK55" i="11"/>
  <c r="AK38" i="11"/>
  <c r="AK46" i="11"/>
  <c r="AK67" i="11"/>
  <c r="AK62" i="11"/>
  <c r="AK37" i="11"/>
  <c r="AK45" i="11"/>
  <c r="AK79" i="11"/>
  <c r="AK75" i="11"/>
  <c r="AK60" i="11"/>
  <c r="AK35" i="11"/>
  <c r="AK43" i="11"/>
  <c r="AK51" i="11"/>
  <c r="AK59" i="11"/>
  <c r="AK50" i="11"/>
  <c r="AK76" i="11"/>
  <c r="AK44" i="11"/>
  <c r="AK78" i="11"/>
  <c r="AK74" i="11"/>
  <c r="AK36" i="11"/>
  <c r="AJ43" i="11"/>
  <c r="AJ71" i="11"/>
  <c r="AF134" i="39"/>
  <c r="AL57" i="51"/>
  <c r="AL49" i="51"/>
  <c r="AL41" i="51"/>
  <c r="AL65" i="51"/>
  <c r="AL84" i="51"/>
  <c r="AL76" i="51"/>
  <c r="AA91" i="51"/>
  <c r="AF97" i="51"/>
  <c r="AJ97" i="51"/>
  <c r="AE46" i="55"/>
  <c r="AF66" i="55"/>
  <c r="AI66" i="55"/>
  <c r="AI76" i="55"/>
  <c r="AH103" i="55"/>
  <c r="AE119" i="55"/>
  <c r="AE115" i="55"/>
  <c r="AI130" i="55"/>
  <c r="AL54" i="52"/>
  <c r="AJ52" i="52"/>
  <c r="AL46" i="52"/>
  <c r="AJ44" i="52"/>
  <c r="AL38" i="52"/>
  <c r="AJ36" i="52"/>
  <c r="AF68" i="52"/>
  <c r="AL70" i="52"/>
  <c r="AJ68" i="52"/>
  <c r="AN64" i="52"/>
  <c r="AL62" i="52"/>
  <c r="AF78" i="52"/>
  <c r="AL80" i="52"/>
  <c r="AJ78" i="52"/>
  <c r="AF88" i="52"/>
  <c r="AJ88" i="52"/>
  <c r="AF68" i="56"/>
  <c r="AI68" i="56"/>
  <c r="AI78" i="56"/>
  <c r="AK87" i="53"/>
  <c r="AK77" i="53"/>
  <c r="AK67" i="53"/>
  <c r="AK35" i="53"/>
  <c r="AK43" i="53"/>
  <c r="AK51" i="53"/>
  <c r="AK84" i="53"/>
  <c r="AK65" i="53"/>
  <c r="AK79" i="53"/>
  <c r="AL58" i="53"/>
  <c r="AK53" i="53"/>
  <c r="AL49" i="53"/>
  <c r="AK44" i="53"/>
  <c r="AL40" i="53"/>
  <c r="AK39" i="53"/>
  <c r="AL35" i="53"/>
  <c r="AJ70" i="53"/>
  <c r="AK64" i="53"/>
  <c r="AA76" i="53"/>
  <c r="AJ83" i="53"/>
  <c r="AB83" i="53"/>
  <c r="AF83" i="53"/>
  <c r="AI51" i="61"/>
  <c r="AF51" i="61"/>
  <c r="AB51" i="61"/>
  <c r="AF54" i="61"/>
  <c r="AB54" i="61"/>
  <c r="AA44" i="61"/>
  <c r="AF62" i="61"/>
  <c r="AM64" i="61"/>
  <c r="AN64" i="61"/>
  <c r="AF76" i="61"/>
  <c r="AB76" i="61"/>
  <c r="AF87" i="61"/>
  <c r="AI87" i="61"/>
  <c r="AB87" i="61"/>
  <c r="AF38" i="62"/>
  <c r="AB68" i="62"/>
  <c r="AI68" i="62"/>
  <c r="AF68" i="62"/>
  <c r="AA146" i="62"/>
  <c r="AI130" i="62"/>
  <c r="AF130" i="62"/>
  <c r="AI138" i="62"/>
  <c r="AF138" i="62"/>
  <c r="AI43" i="63"/>
  <c r="AF43" i="63"/>
  <c r="AB43" i="63"/>
  <c r="AF62" i="63"/>
  <c r="AI78" i="63"/>
  <c r="AJ78" i="63"/>
  <c r="AF78" i="63"/>
  <c r="AB78" i="63"/>
  <c r="AF122" i="64"/>
  <c r="AB122" i="64"/>
  <c r="AI122" i="64"/>
  <c r="K39" i="54"/>
  <c r="AA39" i="54"/>
  <c r="AF52" i="54"/>
  <c r="AB52" i="54"/>
  <c r="AJ52" i="54"/>
  <c r="AI52" i="54"/>
  <c r="AI85" i="54"/>
  <c r="AJ85" i="54"/>
  <c r="AB85" i="54"/>
  <c r="AF85" i="54"/>
  <c r="AF79" i="54"/>
  <c r="AI79" i="54"/>
  <c r="AJ79" i="54"/>
  <c r="AB88" i="54"/>
  <c r="AD126" i="58"/>
  <c r="AE123" i="58"/>
  <c r="AA56" i="11"/>
  <c r="K56" i="11"/>
  <c r="AL58" i="51"/>
  <c r="AH54" i="51"/>
  <c r="AL50" i="51"/>
  <c r="AL42" i="51"/>
  <c r="AL66" i="51"/>
  <c r="AL85" i="51"/>
  <c r="AH81" i="51"/>
  <c r="AH92" i="51"/>
  <c r="AF38" i="55"/>
  <c r="AF65" i="55"/>
  <c r="AL55" i="52"/>
  <c r="AK54" i="52"/>
  <c r="AL47" i="52"/>
  <c r="AK46" i="52"/>
  <c r="AL39" i="52"/>
  <c r="AK38" i="52"/>
  <c r="AK70" i="52"/>
  <c r="AK62" i="52"/>
  <c r="K77" i="52"/>
  <c r="AF40" i="56"/>
  <c r="AF67" i="56"/>
  <c r="K36" i="53"/>
  <c r="AK58" i="53"/>
  <c r="AL54" i="53"/>
  <c r="AK49" i="53"/>
  <c r="AL45" i="53"/>
  <c r="AK40" i="53"/>
  <c r="AF63" i="53"/>
  <c r="AM62" i="53"/>
  <c r="AA67" i="53"/>
  <c r="AM69" i="53"/>
  <c r="AL84" i="53"/>
  <c r="AB66" i="57"/>
  <c r="AI66" i="57"/>
  <c r="AF66" i="57"/>
  <c r="AB38" i="57"/>
  <c r="AI38" i="57"/>
  <c r="AF38" i="57"/>
  <c r="AI86" i="57"/>
  <c r="AF94" i="57"/>
  <c r="AI92" i="57"/>
  <c r="AA146" i="57"/>
  <c r="AI130" i="57"/>
  <c r="AL85" i="61"/>
  <c r="AL76" i="61"/>
  <c r="AL66" i="61"/>
  <c r="AL42" i="61"/>
  <c r="AL50" i="61"/>
  <c r="AL58" i="61"/>
  <c r="AL83" i="61"/>
  <c r="AL64" i="61"/>
  <c r="AL40" i="61"/>
  <c r="AL48" i="61"/>
  <c r="AL56" i="61"/>
  <c r="AL63" i="61"/>
  <c r="AL39" i="61"/>
  <c r="AL47" i="61"/>
  <c r="AL55" i="61"/>
  <c r="AL80" i="61"/>
  <c r="AL62" i="61"/>
  <c r="AL70" i="61"/>
  <c r="AL38" i="61"/>
  <c r="AL46" i="61"/>
  <c r="AL54" i="61"/>
  <c r="AL88" i="61"/>
  <c r="AL78" i="61"/>
  <c r="AL68" i="61"/>
  <c r="AL36" i="61"/>
  <c r="AL44" i="61"/>
  <c r="AL52" i="61"/>
  <c r="AI55" i="61"/>
  <c r="AL41" i="61"/>
  <c r="AL65" i="61"/>
  <c r="AE72" i="61"/>
  <c r="AD91" i="61"/>
  <c r="AK72" i="61"/>
  <c r="AA19" i="62"/>
  <c r="AF36" i="62"/>
  <c r="AB46" i="62"/>
  <c r="AF62" i="62"/>
  <c r="AI76" i="62"/>
  <c r="AB76" i="62"/>
  <c r="Y126" i="62"/>
  <c r="Y127" i="62" s="1"/>
  <c r="Q126" i="62"/>
  <c r="Q127" i="62" s="1"/>
  <c r="AD126" i="62"/>
  <c r="K56" i="63"/>
  <c r="AA56" i="63"/>
  <c r="K40" i="63"/>
  <c r="AA40" i="63"/>
  <c r="AF50" i="63"/>
  <c r="AB50" i="63"/>
  <c r="AI50" i="63"/>
  <c r="AJ50" i="63"/>
  <c r="AL49" i="63"/>
  <c r="AL43" i="63"/>
  <c r="AI69" i="63"/>
  <c r="AJ69" i="63"/>
  <c r="AF69" i="63"/>
  <c r="AD91" i="63"/>
  <c r="AK72" i="63"/>
  <c r="AE72" i="63"/>
  <c r="AI115" i="64"/>
  <c r="AB115" i="64"/>
  <c r="AF115" i="64"/>
  <c r="AI49" i="54"/>
  <c r="AJ49" i="54"/>
  <c r="AF49" i="54"/>
  <c r="AB49" i="54"/>
  <c r="AI69" i="54"/>
  <c r="AK42" i="11"/>
  <c r="AM62" i="11"/>
  <c r="AN62" i="11"/>
  <c r="AI74" i="11"/>
  <c r="AA19" i="59"/>
  <c r="AF41" i="57"/>
  <c r="AI41" i="57"/>
  <c r="AA43" i="57"/>
  <c r="AA44" i="57" s="1"/>
  <c r="G43" i="57" s="1"/>
  <c r="AA93" i="57"/>
  <c r="AI140" i="57"/>
  <c r="AA145" i="57"/>
  <c r="AK51" i="61"/>
  <c r="AK43" i="61"/>
  <c r="AK35" i="61"/>
  <c r="K67" i="61"/>
  <c r="AK67" i="61"/>
  <c r="AA69" i="61"/>
  <c r="AK77" i="61"/>
  <c r="K84" i="61"/>
  <c r="AK87" i="61"/>
  <c r="AF35" i="62"/>
  <c r="AA53" i="62"/>
  <c r="AA54" i="62" s="1"/>
  <c r="G53" i="62" s="1"/>
  <c r="AI91" i="62"/>
  <c r="AH121" i="62"/>
  <c r="AK57" i="63"/>
  <c r="AK49" i="63"/>
  <c r="AK41" i="63"/>
  <c r="B62" i="63"/>
  <c r="K69" i="63"/>
  <c r="AK65" i="63"/>
  <c r="AA63" i="63"/>
  <c r="AK84" i="63"/>
  <c r="AA52" i="64"/>
  <c r="Y126" i="64"/>
  <c r="Y127" i="64" s="1"/>
  <c r="Q126" i="64"/>
  <c r="Q127" i="64" s="1"/>
  <c r="AG126" i="64"/>
  <c r="AA141" i="64"/>
  <c r="AF140" i="64"/>
  <c r="K46" i="54"/>
  <c r="AA46" i="54"/>
  <c r="AF62" i="54"/>
  <c r="AI62" i="54"/>
  <c r="AJ67" i="54"/>
  <c r="AF67" i="54"/>
  <c r="AK88" i="54"/>
  <c r="AK80" i="54"/>
  <c r="AM76" i="54"/>
  <c r="AF96" i="54"/>
  <c r="AI96" i="54"/>
  <c r="AJ96" i="54"/>
  <c r="AB96" i="54"/>
  <c r="K92" i="54"/>
  <c r="AA92" i="54"/>
  <c r="AF85" i="58"/>
  <c r="AA88" i="58"/>
  <c r="AI85" i="58"/>
  <c r="AI101" i="58"/>
  <c r="AF101" i="58"/>
  <c r="AA125" i="58"/>
  <c r="AA124" i="58"/>
  <c r="AI39" i="11"/>
  <c r="AJ39" i="11"/>
  <c r="AF39" i="11"/>
  <c r="AI45" i="59"/>
  <c r="AF45" i="59"/>
  <c r="AB45" i="59"/>
  <c r="AM38" i="65"/>
  <c r="AN38" i="65"/>
  <c r="AI68" i="65"/>
  <c r="AJ68" i="65"/>
  <c r="AF68" i="65"/>
  <c r="AM64" i="65"/>
  <c r="AN64" i="65"/>
  <c r="AB74" i="65"/>
  <c r="AI74" i="65"/>
  <c r="AF74" i="65"/>
  <c r="AJ74" i="65"/>
  <c r="AI43" i="18"/>
  <c r="AF43" i="18"/>
  <c r="AB77" i="59"/>
  <c r="AI77" i="59"/>
  <c r="AF66" i="59"/>
  <c r="AI66" i="59"/>
  <c r="AF42" i="59"/>
  <c r="AI42" i="59"/>
  <c r="AF110" i="59"/>
  <c r="AI110" i="59"/>
  <c r="AB110" i="59"/>
  <c r="AI114" i="59"/>
  <c r="AB114" i="59"/>
  <c r="AF114" i="59"/>
  <c r="AI48" i="65"/>
  <c r="K66" i="65"/>
  <c r="AA66" i="65"/>
  <c r="AJ87" i="65"/>
  <c r="AF87" i="65"/>
  <c r="AA102" i="65"/>
  <c r="AI87" i="65"/>
  <c r="AJ92" i="65"/>
  <c r="AF92" i="65"/>
  <c r="AI92" i="65"/>
  <c r="AA54" i="66"/>
  <c r="AI52" i="66"/>
  <c r="AF52" i="66"/>
  <c r="AA143" i="57"/>
  <c r="AK79" i="61"/>
  <c r="AA93" i="62"/>
  <c r="AI140" i="62"/>
  <c r="AK51" i="63"/>
  <c r="AK43" i="63"/>
  <c r="AK35" i="63"/>
  <c r="AN70" i="63"/>
  <c r="AK67" i="63"/>
  <c r="AN62" i="63"/>
  <c r="AK77" i="63"/>
  <c r="AF84" i="63"/>
  <c r="AI84" i="63"/>
  <c r="AK87" i="63"/>
  <c r="AA62" i="64"/>
  <c r="AA63" i="64"/>
  <c r="AI101" i="64"/>
  <c r="AB101" i="64"/>
  <c r="AI119" i="64"/>
  <c r="AB119" i="64"/>
  <c r="AA123" i="64"/>
  <c r="AA121" i="64"/>
  <c r="AD126" i="64"/>
  <c r="AA143" i="64"/>
  <c r="K50" i="54"/>
  <c r="AA50" i="54"/>
  <c r="AF40" i="54"/>
  <c r="AB40" i="54"/>
  <c r="AI40" i="54"/>
  <c r="AJ40" i="54"/>
  <c r="AK54" i="54"/>
  <c r="AK36" i="54"/>
  <c r="AJ68" i="54"/>
  <c r="AF65" i="54"/>
  <c r="AI65" i="54"/>
  <c r="AJ65" i="54"/>
  <c r="AA110" i="54"/>
  <c r="AB89" i="54"/>
  <c r="AI89" i="54"/>
  <c r="AF83" i="54"/>
  <c r="AI83" i="54"/>
  <c r="AJ83" i="54"/>
  <c r="AF89" i="54"/>
  <c r="K103" i="54"/>
  <c r="AJ99" i="54"/>
  <c r="AB99" i="54"/>
  <c r="AF99" i="54"/>
  <c r="AB102" i="54"/>
  <c r="AI102" i="54"/>
  <c r="AF102" i="54"/>
  <c r="AA19" i="58"/>
  <c r="AB101" i="58" s="1"/>
  <c r="AA72" i="58"/>
  <c r="AA73" i="58"/>
  <c r="AI69" i="58"/>
  <c r="AF69" i="58"/>
  <c r="AI91" i="58"/>
  <c r="AF107" i="58"/>
  <c r="AI107" i="58"/>
  <c r="AB107" i="58"/>
  <c r="AF114" i="58"/>
  <c r="AI114" i="58"/>
  <c r="AB114" i="58"/>
  <c r="O126" i="58"/>
  <c r="AI47" i="11"/>
  <c r="AJ47" i="11"/>
  <c r="AF47" i="11"/>
  <c r="AM48" i="11"/>
  <c r="AN48" i="11"/>
  <c r="AM40" i="11"/>
  <c r="AN40" i="11"/>
  <c r="AJ57" i="11"/>
  <c r="AF48" i="65"/>
  <c r="AI60" i="65"/>
  <c r="AJ60" i="65"/>
  <c r="AF60" i="65"/>
  <c r="AF65" i="57"/>
  <c r="AI65" i="57"/>
  <c r="AK54" i="61"/>
  <c r="AK46" i="61"/>
  <c r="AK38" i="61"/>
  <c r="AK70" i="61"/>
  <c r="AK62" i="61"/>
  <c r="AK80" i="61"/>
  <c r="K55" i="63"/>
  <c r="K51" i="63"/>
  <c r="K47" i="63"/>
  <c r="K43" i="63"/>
  <c r="K39" i="63"/>
  <c r="K35" i="63"/>
  <c r="AK52" i="63"/>
  <c r="AK44" i="63"/>
  <c r="AK36" i="63"/>
  <c r="AK68" i="63"/>
  <c r="AK78" i="63"/>
  <c r="AK88" i="63"/>
  <c r="AA144" i="64"/>
  <c r="AA124" i="64"/>
  <c r="AK92" i="54"/>
  <c r="AK100" i="54"/>
  <c r="AK79" i="54"/>
  <c r="AK87" i="54"/>
  <c r="AK68" i="54"/>
  <c r="AK35" i="54"/>
  <c r="AK43" i="54"/>
  <c r="AK51" i="54"/>
  <c r="AK99" i="54"/>
  <c r="AK78" i="54"/>
  <c r="AK86" i="54"/>
  <c r="AK67" i="54"/>
  <c r="AK42" i="54"/>
  <c r="AK50" i="54"/>
  <c r="AK58" i="54"/>
  <c r="AK98" i="54"/>
  <c r="AK77" i="54"/>
  <c r="AK85" i="54"/>
  <c r="AK66" i="54"/>
  <c r="AK41" i="54"/>
  <c r="AK49" i="54"/>
  <c r="AK57" i="54"/>
  <c r="AK97" i="54"/>
  <c r="AK105" i="54"/>
  <c r="AK76" i="54"/>
  <c r="AK84" i="54"/>
  <c r="AK65" i="54"/>
  <c r="AK40" i="54"/>
  <c r="AK48" i="54"/>
  <c r="AK56" i="54"/>
  <c r="AK108" i="54"/>
  <c r="AK96" i="54"/>
  <c r="AK104" i="54"/>
  <c r="AK83" i="54"/>
  <c r="AK64" i="54"/>
  <c r="AK39" i="54"/>
  <c r="AK47" i="54"/>
  <c r="AK55" i="54"/>
  <c r="AK94" i="54"/>
  <c r="AK102" i="54"/>
  <c r="AK81" i="54"/>
  <c r="AK89" i="54"/>
  <c r="AK62" i="54"/>
  <c r="AK70" i="54"/>
  <c r="AK37" i="54"/>
  <c r="AK45" i="54"/>
  <c r="AK53" i="54"/>
  <c r="AI57" i="54"/>
  <c r="AJ57" i="54"/>
  <c r="AF57" i="54"/>
  <c r="AB57" i="54"/>
  <c r="K51" i="54"/>
  <c r="AI41" i="54"/>
  <c r="AJ41" i="54"/>
  <c r="AF41" i="54"/>
  <c r="AB41" i="54"/>
  <c r="K70" i="54"/>
  <c r="AI63" i="54"/>
  <c r="AJ63" i="54"/>
  <c r="AF63" i="54"/>
  <c r="AF101" i="54"/>
  <c r="AJ101" i="54"/>
  <c r="AB101" i="54"/>
  <c r="AI99" i="54"/>
  <c r="AK95" i="54"/>
  <c r="AI81" i="58"/>
  <c r="AA84" i="58"/>
  <c r="G82" i="58" s="1"/>
  <c r="AI37" i="58"/>
  <c r="AF37" i="58"/>
  <c r="AB37" i="58"/>
  <c r="AA122" i="58"/>
  <c r="S126" i="58"/>
  <c r="S127" i="58" s="1"/>
  <c r="AF51" i="11"/>
  <c r="AI51" i="11"/>
  <c r="AB37" i="11"/>
  <c r="AI37" i="11"/>
  <c r="AJ37" i="11"/>
  <c r="AJ51" i="11"/>
  <c r="AN58" i="11"/>
  <c r="AI67" i="11"/>
  <c r="AJ67" i="11"/>
  <c r="AA81" i="11"/>
  <c r="AI76" i="11"/>
  <c r="AJ76" i="11"/>
  <c r="AB76" i="11"/>
  <c r="AF76" i="11"/>
  <c r="AF78" i="11"/>
  <c r="AJ78" i="11"/>
  <c r="Z16" i="59"/>
  <c r="AA16" i="59"/>
  <c r="AB66" i="59"/>
  <c r="AB83" i="59"/>
  <c r="AA143" i="59"/>
  <c r="AI83" i="59"/>
  <c r="AF75" i="59"/>
  <c r="AI75" i="59"/>
  <c r="AA121" i="59"/>
  <c r="P126" i="59"/>
  <c r="P127" i="59" s="1"/>
  <c r="AI52" i="65"/>
  <c r="AJ52" i="65"/>
  <c r="AF52" i="65"/>
  <c r="AI36" i="65"/>
  <c r="AJ36" i="65"/>
  <c r="AM54" i="65"/>
  <c r="AN54" i="65"/>
  <c r="AF36" i="65"/>
  <c r="AI106" i="66"/>
  <c r="AF106" i="66"/>
  <c r="AI38" i="67"/>
  <c r="AF38" i="67"/>
  <c r="AB38" i="67"/>
  <c r="AF72" i="57"/>
  <c r="B29" i="61"/>
  <c r="AK55" i="61"/>
  <c r="AK47" i="61"/>
  <c r="AK39" i="61"/>
  <c r="AK63" i="61"/>
  <c r="AF66" i="62"/>
  <c r="AA16" i="63"/>
  <c r="AK53" i="63"/>
  <c r="AK45" i="63"/>
  <c r="AK37" i="63"/>
  <c r="AK69" i="63"/>
  <c r="AK79" i="63"/>
  <c r="AF41" i="64"/>
  <c r="AI41" i="64"/>
  <c r="AF50" i="64"/>
  <c r="AF59" i="64"/>
  <c r="AI59" i="64"/>
  <c r="AB69" i="64"/>
  <c r="AF68" i="64"/>
  <c r="AF101" i="64"/>
  <c r="AF119" i="64"/>
  <c r="AH121" i="64"/>
  <c r="AA146" i="64"/>
  <c r="AE107" i="54"/>
  <c r="AE87" i="54"/>
  <c r="AM87" i="54" s="1"/>
  <c r="AE93" i="54"/>
  <c r="AE97" i="54"/>
  <c r="AE101" i="54"/>
  <c r="AE105" i="54"/>
  <c r="AE45" i="54"/>
  <c r="AE49" i="54"/>
  <c r="AE57" i="54"/>
  <c r="AE108" i="54"/>
  <c r="AE80" i="54"/>
  <c r="AE84" i="54"/>
  <c r="AE88" i="54"/>
  <c r="AE94" i="54"/>
  <c r="AE98" i="54"/>
  <c r="AE38" i="54"/>
  <c r="AE54" i="54"/>
  <c r="AE58" i="54"/>
  <c r="AE81" i="54"/>
  <c r="AE85" i="54"/>
  <c r="AE89" i="54"/>
  <c r="AE82" i="54"/>
  <c r="AE86" i="54"/>
  <c r="K54" i="54"/>
  <c r="AA54" i="54"/>
  <c r="K38" i="54"/>
  <c r="AA38" i="54"/>
  <c r="AF48" i="54"/>
  <c r="AB48" i="54"/>
  <c r="AI48" i="54"/>
  <c r="AJ48" i="54"/>
  <c r="AK44" i="54"/>
  <c r="K72" i="54"/>
  <c r="AA72" i="54"/>
  <c r="AB81" i="54"/>
  <c r="AI81" i="54"/>
  <c r="AB83" i="54"/>
  <c r="K95" i="54"/>
  <c r="AK103" i="54"/>
  <c r="AA20" i="58"/>
  <c r="AB87" i="58" s="1"/>
  <c r="AF81" i="58"/>
  <c r="AB67" i="58"/>
  <c r="AI67" i="58"/>
  <c r="AF67" i="58"/>
  <c r="AI119" i="58"/>
  <c r="AF119" i="58"/>
  <c r="Z126" i="58"/>
  <c r="Z127" i="58" s="1"/>
  <c r="R126" i="58"/>
  <c r="R127" i="58" s="1"/>
  <c r="AB41" i="11"/>
  <c r="AI41" i="11"/>
  <c r="AN47" i="11"/>
  <c r="AJ41" i="11"/>
  <c r="AI61" i="11"/>
  <c r="AJ61" i="11"/>
  <c r="AB71" i="11"/>
  <c r="AM79" i="11"/>
  <c r="AI78" i="11"/>
  <c r="G82" i="59"/>
  <c r="AI76" i="65"/>
  <c r="AF76" i="65"/>
  <c r="AJ76" i="65"/>
  <c r="AJ38" i="69"/>
  <c r="AJ46" i="69"/>
  <c r="AJ40" i="69"/>
  <c r="AI97" i="70"/>
  <c r="AF97" i="70"/>
  <c r="AB97" i="70"/>
  <c r="AF45" i="54"/>
  <c r="AB45" i="54"/>
  <c r="AI45" i="54"/>
  <c r="AF36" i="54"/>
  <c r="AB36" i="54"/>
  <c r="AJ36" i="54"/>
  <c r="AF70" i="54"/>
  <c r="AI70" i="54"/>
  <c r="AJ62" i="54"/>
  <c r="AG111" i="54"/>
  <c r="AH72" i="54"/>
  <c r="AL72" i="54"/>
  <c r="AF87" i="54"/>
  <c r="AI87" i="54"/>
  <c r="AI97" i="54"/>
  <c r="AJ97" i="54"/>
  <c r="AF97" i="54"/>
  <c r="AB97" i="54"/>
  <c r="AJ94" i="54"/>
  <c r="AB77" i="58"/>
  <c r="AF77" i="58"/>
  <c r="AI77" i="58"/>
  <c r="AI45" i="58"/>
  <c r="AF45" i="58"/>
  <c r="AF118" i="58"/>
  <c r="AI118" i="58"/>
  <c r="AB118" i="58"/>
  <c r="AG126" i="58"/>
  <c r="AH122" i="58"/>
  <c r="B29" i="11"/>
  <c r="B62" i="11"/>
  <c r="AB45" i="11"/>
  <c r="AI45" i="11"/>
  <c r="AJ45" i="11"/>
  <c r="AM78" i="11"/>
  <c r="AN78" i="11"/>
  <c r="O127" i="59"/>
  <c r="AB100" i="65"/>
  <c r="AI100" i="65"/>
  <c r="AJ100" i="65"/>
  <c r="AF100" i="65"/>
  <c r="AD123" i="66"/>
  <c r="AE122" i="66"/>
  <c r="AI66" i="68"/>
  <c r="AF66" i="68"/>
  <c r="AI56" i="68"/>
  <c r="AF56" i="68"/>
  <c r="AF35" i="57"/>
  <c r="AK57" i="61"/>
  <c r="AK49" i="61"/>
  <c r="AK41" i="61"/>
  <c r="AK65" i="61"/>
  <c r="AF37" i="62"/>
  <c r="AK55" i="63"/>
  <c r="AK47" i="63"/>
  <c r="AK39" i="63"/>
  <c r="AF48" i="64"/>
  <c r="AF57" i="64"/>
  <c r="AF66" i="64"/>
  <c r="AI108" i="64"/>
  <c r="AB108" i="64"/>
  <c r="AI106" i="64"/>
  <c r="B62" i="54"/>
  <c r="B29" i="54"/>
  <c r="K58" i="54"/>
  <c r="AA58" i="54"/>
  <c r="K42" i="54"/>
  <c r="AA42" i="54"/>
  <c r="AF56" i="54"/>
  <c r="AB56" i="54"/>
  <c r="AI56" i="54"/>
  <c r="AJ56" i="54"/>
  <c r="K62" i="54"/>
  <c r="AK69" i="54"/>
  <c r="AI67" i="54"/>
  <c r="AM69" i="54"/>
  <c r="AN69" i="54"/>
  <c r="AE72" i="54"/>
  <c r="AF104" i="54"/>
  <c r="AI104" i="54"/>
  <c r="AJ104" i="54"/>
  <c r="AB104" i="54"/>
  <c r="K100" i="54"/>
  <c r="AA100" i="54"/>
  <c r="AB94" i="54"/>
  <c r="AI94" i="54"/>
  <c r="AF94" i="54"/>
  <c r="AE95" i="54"/>
  <c r="AJ102" i="54"/>
  <c r="AK93" i="54"/>
  <c r="AF107" i="54"/>
  <c r="AI107" i="54"/>
  <c r="AJ107" i="54"/>
  <c r="AI35" i="58"/>
  <c r="AA93" i="58"/>
  <c r="AF111" i="58"/>
  <c r="AI111" i="58"/>
  <c r="X126" i="58"/>
  <c r="X127" i="58" s="1"/>
  <c r="AA123" i="58"/>
  <c r="P126" i="58"/>
  <c r="P127" i="58" s="1"/>
  <c r="AB49" i="11"/>
  <c r="AI49" i="11"/>
  <c r="K58" i="11"/>
  <c r="AA58" i="11"/>
  <c r="AF57" i="11"/>
  <c r="AN56" i="11"/>
  <c r="AI55" i="11"/>
  <c r="AF55" i="11"/>
  <c r="AJ55" i="11"/>
  <c r="AH63" i="11"/>
  <c r="AG82" i="11"/>
  <c r="AL63" i="11"/>
  <c r="AA125" i="59"/>
  <c r="AA124" i="59"/>
  <c r="AD127" i="59"/>
  <c r="AE126" i="59"/>
  <c r="AJ48" i="65"/>
  <c r="AA86" i="65"/>
  <c r="K86" i="65"/>
  <c r="AF83" i="65"/>
  <c r="AI83" i="65"/>
  <c r="AJ83" i="65"/>
  <c r="K74" i="65"/>
  <c r="AM42" i="67"/>
  <c r="AN42" i="67"/>
  <c r="AF110" i="68"/>
  <c r="AI110" i="68"/>
  <c r="AI108" i="68"/>
  <c r="AB108" i="68"/>
  <c r="AF108" i="68"/>
  <c r="S112" i="68"/>
  <c r="S113" i="68" s="1"/>
  <c r="AJ88" i="54"/>
  <c r="AJ80" i="54"/>
  <c r="AL103" i="54"/>
  <c r="AL95" i="54"/>
  <c r="AL107" i="54"/>
  <c r="AA16" i="58"/>
  <c r="AH39" i="58"/>
  <c r="AH47" i="58"/>
  <c r="AE67" i="58"/>
  <c r="AH65" i="58"/>
  <c r="AF80" i="58"/>
  <c r="AA141" i="58"/>
  <c r="AJ50" i="11"/>
  <c r="AL44" i="11"/>
  <c r="AJ42" i="11"/>
  <c r="AL36" i="11"/>
  <c r="AL61" i="11"/>
  <c r="AL76" i="11"/>
  <c r="AF85" i="59"/>
  <c r="AA88" i="59"/>
  <c r="AI37" i="59"/>
  <c r="AF37" i="59"/>
  <c r="AF99" i="59"/>
  <c r="AI99" i="59"/>
  <c r="AB99" i="59"/>
  <c r="AI111" i="59"/>
  <c r="AB111" i="59"/>
  <c r="AF111" i="59"/>
  <c r="AI115" i="59"/>
  <c r="AB115" i="59"/>
  <c r="AF115" i="59"/>
  <c r="AA123" i="59"/>
  <c r="AF42" i="65"/>
  <c r="AI42" i="65"/>
  <c r="AJ42" i="65"/>
  <c r="AJ64" i="65"/>
  <c r="AJ62" i="65"/>
  <c r="AF62" i="65"/>
  <c r="AI62" i="65"/>
  <c r="AI90" i="65"/>
  <c r="AF90" i="65"/>
  <c r="AB90" i="65"/>
  <c r="AJ90" i="65"/>
  <c r="AF99" i="65"/>
  <c r="AI99" i="65"/>
  <c r="AI40" i="66"/>
  <c r="AF40" i="66"/>
  <c r="O123" i="66"/>
  <c r="AI48" i="69"/>
  <c r="AF48" i="69"/>
  <c r="AJ48" i="69"/>
  <c r="AF42" i="69"/>
  <c r="AI42" i="69"/>
  <c r="AJ42" i="69"/>
  <c r="AE60" i="24"/>
  <c r="AH60" i="24"/>
  <c r="AI60" i="24"/>
  <c r="AA60" i="24"/>
  <c r="AJ60" i="24"/>
  <c r="AC62" i="24"/>
  <c r="AD60" i="24"/>
  <c r="AL56" i="54"/>
  <c r="AL48" i="54"/>
  <c r="AL40" i="54"/>
  <c r="AH36" i="54"/>
  <c r="K63" i="54"/>
  <c r="AL65" i="54"/>
  <c r="AH88" i="54"/>
  <c r="AL84" i="54"/>
  <c r="AH80" i="54"/>
  <c r="AL76" i="54"/>
  <c r="K99" i="54"/>
  <c r="AL105" i="54"/>
  <c r="AH101" i="54"/>
  <c r="AL97" i="54"/>
  <c r="AH93" i="54"/>
  <c r="AF40" i="58"/>
  <c r="AH45" i="58"/>
  <c r="AE65" i="58"/>
  <c r="AF78" i="58"/>
  <c r="AH85" i="58"/>
  <c r="AA82" i="58"/>
  <c r="AA42" i="58"/>
  <c r="AB103" i="58"/>
  <c r="AB99" i="58"/>
  <c r="AB110" i="58"/>
  <c r="AB106" i="58"/>
  <c r="AB117" i="58"/>
  <c r="AF138" i="58"/>
  <c r="AF130" i="58"/>
  <c r="K49" i="11"/>
  <c r="K45" i="11"/>
  <c r="K41" i="11"/>
  <c r="K37" i="11"/>
  <c r="AL46" i="11"/>
  <c r="AJ44" i="11"/>
  <c r="AL38" i="11"/>
  <c r="AJ36" i="11"/>
  <c r="K57" i="11"/>
  <c r="AN57" i="11"/>
  <c r="AL55" i="11"/>
  <c r="AA60" i="11"/>
  <c r="K70" i="11"/>
  <c r="AL68" i="11"/>
  <c r="K75" i="11"/>
  <c r="AH74" i="11"/>
  <c r="AI79" i="11"/>
  <c r="AH78" i="11"/>
  <c r="AI58" i="59"/>
  <c r="AB85" i="59"/>
  <c r="AA43" i="59"/>
  <c r="AA44" i="59" s="1"/>
  <c r="G43" i="59" s="1"/>
  <c r="AF46" i="65"/>
  <c r="AI46" i="65"/>
  <c r="AB42" i="65"/>
  <c r="AJ38" i="65"/>
  <c r="AI64" i="65"/>
  <c r="AF64" i="65"/>
  <c r="AM69" i="65"/>
  <c r="AM61" i="65"/>
  <c r="AA85" i="65"/>
  <c r="K91" i="65"/>
  <c r="AI48" i="66"/>
  <c r="AF48" i="66"/>
  <c r="AI38" i="66"/>
  <c r="AF38" i="66"/>
  <c r="AI94" i="66"/>
  <c r="U122" i="66"/>
  <c r="U123" i="66" s="1"/>
  <c r="B62" i="67"/>
  <c r="B29" i="67"/>
  <c r="AA19" i="67"/>
  <c r="AB37" i="67" s="1"/>
  <c r="AE36" i="67"/>
  <c r="AE40" i="67"/>
  <c r="AE44" i="67"/>
  <c r="AE48" i="67"/>
  <c r="AE52" i="67"/>
  <c r="AE56" i="67"/>
  <c r="AE37" i="67"/>
  <c r="AE53" i="67"/>
  <c r="AE43" i="67"/>
  <c r="AE50" i="67"/>
  <c r="AE51" i="67"/>
  <c r="AE46" i="67"/>
  <c r="AE55" i="67"/>
  <c r="AA44" i="67"/>
  <c r="K44" i="67"/>
  <c r="AI106" i="68"/>
  <c r="AF106" i="68"/>
  <c r="AF88" i="70"/>
  <c r="AB88" i="70"/>
  <c r="AI88" i="70"/>
  <c r="AH48" i="24"/>
  <c r="AI48" i="24"/>
  <c r="AE48" i="24"/>
  <c r="AA48" i="24"/>
  <c r="K57" i="54"/>
  <c r="K53" i="54"/>
  <c r="K49" i="54"/>
  <c r="K45" i="54"/>
  <c r="K41" i="54"/>
  <c r="K37" i="54"/>
  <c r="AL57" i="54"/>
  <c r="AL49" i="54"/>
  <c r="AH45" i="54"/>
  <c r="AL41" i="54"/>
  <c r="AL66" i="54"/>
  <c r="AK72" i="54"/>
  <c r="AF76" i="54"/>
  <c r="AH89" i="54"/>
  <c r="AL85" i="54"/>
  <c r="AH81" i="54"/>
  <c r="AL77" i="54"/>
  <c r="AH102" i="54"/>
  <c r="AL98" i="54"/>
  <c r="AH94" i="54"/>
  <c r="AF108" i="54"/>
  <c r="AJ108" i="54"/>
  <c r="AF48" i="58"/>
  <c r="AE101" i="58"/>
  <c r="AH103" i="58"/>
  <c r="AH99" i="58"/>
  <c r="AE119" i="58"/>
  <c r="AH117" i="58"/>
  <c r="AB50" i="11"/>
  <c r="AB46" i="11"/>
  <c r="AB42" i="11"/>
  <c r="AB38" i="11"/>
  <c r="AL47" i="11"/>
  <c r="AL39" i="11"/>
  <c r="AL56" i="11"/>
  <c r="AB69" i="11"/>
  <c r="AL69" i="11"/>
  <c r="AH79" i="11"/>
  <c r="AN79" i="11" s="1"/>
  <c r="AB37" i="59"/>
  <c r="AA84" i="59"/>
  <c r="AF81" i="59"/>
  <c r="AI81" i="59"/>
  <c r="AI61" i="59"/>
  <c r="AF61" i="59"/>
  <c r="AF94" i="59"/>
  <c r="AI108" i="59"/>
  <c r="AB108" i="59"/>
  <c r="AF108" i="59"/>
  <c r="AA141" i="59"/>
  <c r="AI56" i="65"/>
  <c r="AI40" i="65"/>
  <c r="AJ51" i="65"/>
  <c r="AM68" i="65"/>
  <c r="AM60" i="65"/>
  <c r="AI78" i="65"/>
  <c r="AJ78" i="65"/>
  <c r="AF78" i="65"/>
  <c r="AF75" i="65"/>
  <c r="AI75" i="65"/>
  <c r="AJ75" i="65"/>
  <c r="AB75" i="65"/>
  <c r="AI84" i="65"/>
  <c r="AF84" i="65"/>
  <c r="AJ84" i="65"/>
  <c r="AF95" i="65"/>
  <c r="AB95" i="65"/>
  <c r="AI95" i="65"/>
  <c r="K93" i="65"/>
  <c r="AA93" i="65"/>
  <c r="G54" i="66"/>
  <c r="AI56" i="66"/>
  <c r="AF56" i="66"/>
  <c r="T122" i="66"/>
  <c r="T123" i="66" s="1"/>
  <c r="AI54" i="67"/>
  <c r="AB54" i="67"/>
  <c r="AE35" i="67"/>
  <c r="AI90" i="68"/>
  <c r="AF90" i="68"/>
  <c r="AD112" i="68"/>
  <c r="AE108" i="68"/>
  <c r="AN43" i="69"/>
  <c r="AM43" i="69"/>
  <c r="AA20" i="70"/>
  <c r="AB83" i="70" s="1"/>
  <c r="AH54" i="54"/>
  <c r="AH38" i="54"/>
  <c r="K69" i="54"/>
  <c r="AF66" i="54"/>
  <c r="K89" i="54"/>
  <c r="K85" i="54"/>
  <c r="K81" i="54"/>
  <c r="K77" i="54"/>
  <c r="AA86" i="54"/>
  <c r="AA82" i="54"/>
  <c r="AA78" i="54"/>
  <c r="AL86" i="54"/>
  <c r="AH82" i="54"/>
  <c r="AL78" i="54"/>
  <c r="AJ76" i="54"/>
  <c r="AH103" i="54"/>
  <c r="AL99" i="54"/>
  <c r="AH95" i="54"/>
  <c r="AH107" i="54"/>
  <c r="AA146" i="58"/>
  <c r="AL48" i="11"/>
  <c r="AJ46" i="11"/>
  <c r="AL40" i="11"/>
  <c r="AJ38" i="11"/>
  <c r="AL57" i="11"/>
  <c r="AL70" i="11"/>
  <c r="AI50" i="59"/>
  <c r="AF50" i="59"/>
  <c r="AI41" i="59"/>
  <c r="AF41" i="59"/>
  <c r="AA144" i="59"/>
  <c r="AB41" i="59"/>
  <c r="AF103" i="59"/>
  <c r="AI103" i="59"/>
  <c r="AB103" i="59"/>
  <c r="AI107" i="59"/>
  <c r="AB107" i="59"/>
  <c r="AF107" i="59"/>
  <c r="AI119" i="59"/>
  <c r="AB119" i="59"/>
  <c r="AF119" i="59"/>
  <c r="AF122" i="59"/>
  <c r="AB122" i="59"/>
  <c r="AI122" i="59"/>
  <c r="AG126" i="59"/>
  <c r="AJ69" i="65"/>
  <c r="AJ94" i="65"/>
  <c r="AF50" i="65"/>
  <c r="AI50" i="65"/>
  <c r="AJ50" i="65"/>
  <c r="AJ46" i="65"/>
  <c r="AA103" i="65"/>
  <c r="AF70" i="65"/>
  <c r="AI70" i="65"/>
  <c r="AF81" i="65"/>
  <c r="AJ81" i="65"/>
  <c r="AI91" i="65"/>
  <c r="AJ91" i="65"/>
  <c r="AF91" i="65"/>
  <c r="AB91" i="65"/>
  <c r="AI121" i="66"/>
  <c r="AF121" i="66"/>
  <c r="AI119" i="66"/>
  <c r="AF119" i="66"/>
  <c r="S122" i="66"/>
  <c r="S123" i="66" s="1"/>
  <c r="AI137" i="66"/>
  <c r="AF137" i="66"/>
  <c r="AI42" i="67"/>
  <c r="AH47" i="54"/>
  <c r="AN70" i="54"/>
  <c r="AJ66" i="54"/>
  <c r="AN62" i="54"/>
  <c r="AL87" i="54"/>
  <c r="AH83" i="54"/>
  <c r="AL79" i="54"/>
  <c r="AA103" i="54"/>
  <c r="AA95" i="54"/>
  <c r="AH104" i="54"/>
  <c r="AL100" i="54"/>
  <c r="AH96" i="54"/>
  <c r="AL92" i="54"/>
  <c r="AH108" i="54"/>
  <c r="AF46" i="58"/>
  <c r="AH68" i="58"/>
  <c r="AF46" i="11"/>
  <c r="AF38" i="11"/>
  <c r="AL49" i="11"/>
  <c r="AL41" i="11"/>
  <c r="AL58" i="11"/>
  <c r="AB68" i="11"/>
  <c r="AF69" i="11"/>
  <c r="AL71" i="11"/>
  <c r="AJ69" i="11"/>
  <c r="AI59" i="59"/>
  <c r="AF59" i="59"/>
  <c r="AA62" i="59"/>
  <c r="AA63" i="59"/>
  <c r="AA52" i="59"/>
  <c r="AF106" i="59"/>
  <c r="AI106" i="59"/>
  <c r="AB106" i="59"/>
  <c r="AI118" i="59"/>
  <c r="AB118" i="59"/>
  <c r="AF118" i="59"/>
  <c r="Z126" i="59"/>
  <c r="Z127" i="59" s="1"/>
  <c r="R126" i="59"/>
  <c r="R127" i="59" s="1"/>
  <c r="AB70" i="65"/>
  <c r="AA19" i="65"/>
  <c r="AB82" i="65" s="1"/>
  <c r="AI44" i="65"/>
  <c r="AJ44" i="65"/>
  <c r="AB44" i="65"/>
  <c r="AM47" i="65"/>
  <c r="AN47" i="65"/>
  <c r="AF44" i="65"/>
  <c r="AJ40" i="65"/>
  <c r="AI67" i="65"/>
  <c r="AJ67" i="65"/>
  <c r="AF67" i="65"/>
  <c r="AF65" i="65"/>
  <c r="AI65" i="65"/>
  <c r="AJ65" i="65"/>
  <c r="AE70" i="65"/>
  <c r="AD103" i="65"/>
  <c r="AK70" i="65"/>
  <c r="AI82" i="65"/>
  <c r="AF82" i="65"/>
  <c r="AJ79" i="65"/>
  <c r="AF79" i="65"/>
  <c r="AB79" i="65"/>
  <c r="AF80" i="65"/>
  <c r="AI80" i="65"/>
  <c r="AJ80" i="65"/>
  <c r="AJ99" i="65"/>
  <c r="AB70" i="66"/>
  <c r="AF70" i="66"/>
  <c r="AI70" i="66"/>
  <c r="AA71" i="66"/>
  <c r="AI62" i="66"/>
  <c r="AF62" i="66"/>
  <c r="AA120" i="66"/>
  <c r="AI48" i="67"/>
  <c r="AF48" i="67"/>
  <c r="AB42" i="69"/>
  <c r="AH48" i="54"/>
  <c r="AH40" i="54"/>
  <c r="AL88" i="54"/>
  <c r="AH84" i="54"/>
  <c r="AL80" i="54"/>
  <c r="AH105" i="54"/>
  <c r="AL101" i="54"/>
  <c r="AL50" i="11"/>
  <c r="AL42" i="11"/>
  <c r="AL59" i="11"/>
  <c r="AL74" i="11"/>
  <c r="AB69" i="59"/>
  <c r="AA72" i="59"/>
  <c r="AI85" i="59"/>
  <c r="AI101" i="59"/>
  <c r="AB101" i="59"/>
  <c r="AF101" i="59"/>
  <c r="AF117" i="59"/>
  <c r="AI117" i="59"/>
  <c r="AB117" i="59"/>
  <c r="Y126" i="59"/>
  <c r="Y127" i="59" s="1"/>
  <c r="Q126" i="59"/>
  <c r="AF54" i="65"/>
  <c r="AI54" i="65"/>
  <c r="AF38" i="65"/>
  <c r="AI38" i="65"/>
  <c r="AJ54" i="65"/>
  <c r="AA77" i="65"/>
  <c r="AJ95" i="65"/>
  <c r="AA19" i="66"/>
  <c r="AI107" i="66"/>
  <c r="AF107" i="66"/>
  <c r="AF42" i="67"/>
  <c r="AI56" i="69"/>
  <c r="AJ56" i="69"/>
  <c r="AF50" i="69"/>
  <c r="AI50" i="69"/>
  <c r="AJ50" i="69"/>
  <c r="AB50" i="69"/>
  <c r="AA51" i="15"/>
  <c r="K51" i="15"/>
  <c r="AM46" i="15"/>
  <c r="AN46" i="15"/>
  <c r="AA20" i="19"/>
  <c r="AK56" i="65"/>
  <c r="AJ55" i="65"/>
  <c r="AK48" i="65"/>
  <c r="AJ47" i="65"/>
  <c r="AK40" i="65"/>
  <c r="AJ39" i="65"/>
  <c r="AK64" i="65"/>
  <c r="AA61" i="65"/>
  <c r="AH87" i="65"/>
  <c r="AL83" i="65"/>
  <c r="AK82" i="65"/>
  <c r="AH79" i="65"/>
  <c r="AL75" i="65"/>
  <c r="AK74" i="65"/>
  <c r="AE97" i="65"/>
  <c r="AL96" i="65"/>
  <c r="AK95" i="65"/>
  <c r="AH92" i="65"/>
  <c r="AL100" i="65"/>
  <c r="AK99" i="65"/>
  <c r="AF74" i="66"/>
  <c r="AE82" i="66"/>
  <c r="AF94" i="66"/>
  <c r="AE102" i="66"/>
  <c r="AH99" i="66"/>
  <c r="AI108" i="66"/>
  <c r="AK35" i="67"/>
  <c r="AK43" i="67"/>
  <c r="AK51" i="67"/>
  <c r="AK42" i="67"/>
  <c r="AK50" i="67"/>
  <c r="AK41" i="67"/>
  <c r="AK49" i="67"/>
  <c r="AK40" i="67"/>
  <c r="AK48" i="67"/>
  <c r="AK56" i="67"/>
  <c r="AK39" i="67"/>
  <c r="AK47" i="67"/>
  <c r="AK55" i="67"/>
  <c r="K51" i="67"/>
  <c r="AA51" i="67"/>
  <c r="K35" i="67"/>
  <c r="AA35" i="67"/>
  <c r="AI49" i="67"/>
  <c r="AB49" i="67"/>
  <c r="AF49" i="67"/>
  <c r="AI41" i="67"/>
  <c r="AF41" i="67"/>
  <c r="G73" i="68"/>
  <c r="AA44" i="68"/>
  <c r="AI42" i="68"/>
  <c r="AF42" i="68"/>
  <c r="AI105" i="68"/>
  <c r="AF105" i="68"/>
  <c r="Z112" i="68"/>
  <c r="Z113" i="68" s="1"/>
  <c r="R112" i="68"/>
  <c r="R113" i="68" s="1"/>
  <c r="AA109" i="68"/>
  <c r="AH112" i="68"/>
  <c r="AG113" i="68"/>
  <c r="AI36" i="69"/>
  <c r="AJ36" i="69"/>
  <c r="AM54" i="69"/>
  <c r="AN54" i="69"/>
  <c r="AA19" i="15"/>
  <c r="AB68" i="15" s="1"/>
  <c r="AJ69" i="15"/>
  <c r="AB69" i="15"/>
  <c r="AI69" i="15"/>
  <c r="AF69" i="15"/>
  <c r="Z57" i="24"/>
  <c r="AH53" i="24"/>
  <c r="AA53" i="24"/>
  <c r="AI53" i="24"/>
  <c r="AE53" i="24"/>
  <c r="AN43" i="19"/>
  <c r="AF47" i="21"/>
  <c r="AI47" i="21"/>
  <c r="AI58" i="21"/>
  <c r="AA77" i="21"/>
  <c r="AB58" i="21"/>
  <c r="AF58" i="21"/>
  <c r="AB78" i="59"/>
  <c r="AF86" i="59"/>
  <c r="AB102" i="59"/>
  <c r="AB98" i="59"/>
  <c r="AI102" i="59"/>
  <c r="AI98" i="59"/>
  <c r="AB109" i="59"/>
  <c r="AI109" i="59"/>
  <c r="AB116" i="59"/>
  <c r="AI116" i="59"/>
  <c r="AF136" i="59"/>
  <c r="AE56" i="65"/>
  <c r="AE52" i="65"/>
  <c r="AE48" i="65"/>
  <c r="AE44" i="65"/>
  <c r="AE40" i="65"/>
  <c r="AE36" i="65"/>
  <c r="AH55" i="65"/>
  <c r="AL51" i="65"/>
  <c r="AK50" i="65"/>
  <c r="AL43" i="65"/>
  <c r="AK42" i="65"/>
  <c r="AL35" i="65"/>
  <c r="K65" i="65"/>
  <c r="AN69" i="65"/>
  <c r="AL67" i="65"/>
  <c r="AK66" i="65"/>
  <c r="AN61" i="65"/>
  <c r="AL85" i="65"/>
  <c r="AK84" i="65"/>
  <c r="AL77" i="65"/>
  <c r="AK76" i="65"/>
  <c r="K92" i="65"/>
  <c r="AA96" i="65"/>
  <c r="AE96" i="65"/>
  <c r="AK97" i="65"/>
  <c r="AH94" i="65"/>
  <c r="AL90" i="65"/>
  <c r="AA16" i="66"/>
  <c r="AH39" i="66"/>
  <c r="AF42" i="66"/>
  <c r="AI42" i="66"/>
  <c r="AE49" i="66"/>
  <c r="AE58" i="66"/>
  <c r="AH56" i="66"/>
  <c r="AA86" i="66"/>
  <c r="AI92" i="66"/>
  <c r="AH102" i="66"/>
  <c r="AE116" i="66"/>
  <c r="AG122" i="66"/>
  <c r="AF130" i="66"/>
  <c r="K55" i="67"/>
  <c r="AA55" i="67"/>
  <c r="K39" i="67"/>
  <c r="AA39" i="67"/>
  <c r="AA56" i="67"/>
  <c r="AA40" i="67"/>
  <c r="AI50" i="68"/>
  <c r="AF50" i="68"/>
  <c r="AI40" i="68"/>
  <c r="AF40" i="68"/>
  <c r="AA111" i="68"/>
  <c r="P112" i="68"/>
  <c r="P113" i="68" s="1"/>
  <c r="AA19" i="69"/>
  <c r="AB56" i="69" s="1"/>
  <c r="AF54" i="69"/>
  <c r="AI54" i="69"/>
  <c r="AM39" i="69"/>
  <c r="AN39" i="69"/>
  <c r="AJ40" i="24"/>
  <c r="AD49" i="24"/>
  <c r="AD40" i="24"/>
  <c r="AA45" i="24"/>
  <c r="AH45" i="24"/>
  <c r="AE45" i="24"/>
  <c r="AI45" i="24"/>
  <c r="AH56" i="24"/>
  <c r="AI56" i="24"/>
  <c r="AA56" i="24"/>
  <c r="AE56" i="24"/>
  <c r="AE52" i="24"/>
  <c r="AA52" i="24"/>
  <c r="AI52" i="24"/>
  <c r="AF35" i="18"/>
  <c r="AI35" i="18"/>
  <c r="AB35" i="18"/>
  <c r="AF51" i="65"/>
  <c r="AF43" i="65"/>
  <c r="AF35" i="65"/>
  <c r="AH56" i="65"/>
  <c r="AL52" i="65"/>
  <c r="AK51" i="65"/>
  <c r="AH48" i="65"/>
  <c r="AL44" i="65"/>
  <c r="AK43" i="65"/>
  <c r="AH40" i="65"/>
  <c r="AL36" i="65"/>
  <c r="AK35" i="65"/>
  <c r="AL68" i="65"/>
  <c r="AK67" i="65"/>
  <c r="AL60" i="65"/>
  <c r="AH70" i="65"/>
  <c r="AL86" i="65"/>
  <c r="AK85" i="65"/>
  <c r="AH82" i="65"/>
  <c r="AL78" i="65"/>
  <c r="AK77" i="65"/>
  <c r="K95" i="65"/>
  <c r="AJ97" i="65"/>
  <c r="AH95" i="65"/>
  <c r="AL91" i="65"/>
  <c r="AK90" i="65"/>
  <c r="AE100" i="65"/>
  <c r="AH99" i="65"/>
  <c r="AH46" i="66"/>
  <c r="AF50" i="66"/>
  <c r="AE57" i="66"/>
  <c r="AH55" i="66"/>
  <c r="AF59" i="66"/>
  <c r="AI69" i="66"/>
  <c r="AA85" i="66"/>
  <c r="AE118" i="66"/>
  <c r="AI46" i="67"/>
  <c r="AB46" i="67"/>
  <c r="AK46" i="67"/>
  <c r="AI36" i="67"/>
  <c r="AB102" i="68"/>
  <c r="AI102" i="68"/>
  <c r="AF102" i="68"/>
  <c r="AI40" i="69"/>
  <c r="AI37" i="70"/>
  <c r="AF37" i="70"/>
  <c r="AI111" i="70"/>
  <c r="AD112" i="70"/>
  <c r="AE109" i="70"/>
  <c r="AA35" i="15"/>
  <c r="K35" i="15"/>
  <c r="AJ46" i="15"/>
  <c r="AF46" i="15"/>
  <c r="AI46" i="15"/>
  <c r="AH39" i="24"/>
  <c r="AI39" i="24"/>
  <c r="AE39" i="24"/>
  <c r="AA39" i="24"/>
  <c r="K55" i="20"/>
  <c r="AA55" i="20"/>
  <c r="AA53" i="65"/>
  <c r="AA49" i="65"/>
  <c r="AA45" i="65"/>
  <c r="AA41" i="65"/>
  <c r="AA37" i="65"/>
  <c r="AK52" i="65"/>
  <c r="AK44" i="65"/>
  <c r="AK36" i="65"/>
  <c r="AK68" i="65"/>
  <c r="AK60" i="65"/>
  <c r="AL87" i="65"/>
  <c r="AK86" i="65"/>
  <c r="AH83" i="65"/>
  <c r="AL79" i="65"/>
  <c r="AK78" i="65"/>
  <c r="AH96" i="65"/>
  <c r="AL92" i="65"/>
  <c r="AK91" i="65"/>
  <c r="AH100" i="65"/>
  <c r="AH45" i="66"/>
  <c r="AE56" i="66"/>
  <c r="AF58" i="66"/>
  <c r="AA43" i="66"/>
  <c r="AA44" i="66" s="1"/>
  <c r="G44" i="66" s="1"/>
  <c r="AE100" i="66"/>
  <c r="AF128" i="66"/>
  <c r="K43" i="67"/>
  <c r="AA43" i="67"/>
  <c r="AB53" i="67"/>
  <c r="AI53" i="67"/>
  <c r="AF53" i="67"/>
  <c r="AB45" i="67"/>
  <c r="AI45" i="67"/>
  <c r="AF45" i="67"/>
  <c r="AI37" i="67"/>
  <c r="AF37" i="67"/>
  <c r="AK53" i="67"/>
  <c r="AK38" i="67"/>
  <c r="AD20" i="68"/>
  <c r="AE83" i="68" s="1"/>
  <c r="AF71" i="68"/>
  <c r="AI71" i="68"/>
  <c r="AA73" i="68"/>
  <c r="AI62" i="68"/>
  <c r="AF62" i="68"/>
  <c r="AI52" i="69"/>
  <c r="AJ52" i="69"/>
  <c r="AB52" i="69"/>
  <c r="AF46" i="69"/>
  <c r="AI46" i="69"/>
  <c r="AM38" i="69"/>
  <c r="AN38" i="69"/>
  <c r="AF36" i="69"/>
  <c r="AJ54" i="69"/>
  <c r="AA19" i="70"/>
  <c r="AB82" i="70" s="1"/>
  <c r="AH59" i="70"/>
  <c r="AH45" i="70"/>
  <c r="AH55" i="70"/>
  <c r="AH82" i="70"/>
  <c r="AH49" i="70"/>
  <c r="AI46" i="70"/>
  <c r="AF46" i="70"/>
  <c r="AF41" i="15"/>
  <c r="AI41" i="15"/>
  <c r="AJ41" i="15"/>
  <c r="AJ50" i="15"/>
  <c r="AA59" i="15"/>
  <c r="K59" i="15"/>
  <c r="K56" i="15"/>
  <c r="AJ65" i="15"/>
  <c r="AB65" i="15"/>
  <c r="AF65" i="15"/>
  <c r="AI65" i="15"/>
  <c r="AA75" i="15"/>
  <c r="Z36" i="24"/>
  <c r="K36" i="24"/>
  <c r="AH52" i="24"/>
  <c r="AI64" i="18"/>
  <c r="AB64" i="18"/>
  <c r="AF64" i="18"/>
  <c r="AK53" i="65"/>
  <c r="AK45" i="65"/>
  <c r="AK37" i="65"/>
  <c r="AK69" i="65"/>
  <c r="AK61" i="65"/>
  <c r="AK87" i="65"/>
  <c r="AK79" i="65"/>
  <c r="AH97" i="65"/>
  <c r="AK92" i="65"/>
  <c r="AE39" i="66"/>
  <c r="AE46" i="66"/>
  <c r="AE55" i="66"/>
  <c r="AE109" i="66"/>
  <c r="AF50" i="67"/>
  <c r="Z16" i="68"/>
  <c r="AA16" i="68"/>
  <c r="AI58" i="68"/>
  <c r="AF58" i="68"/>
  <c r="AB35" i="70"/>
  <c r="AI35" i="70"/>
  <c r="AF35" i="70"/>
  <c r="AF48" i="15"/>
  <c r="AI48" i="15"/>
  <c r="AJ48" i="15"/>
  <c r="AJ62" i="15"/>
  <c r="AF62" i="15"/>
  <c r="AI62" i="15"/>
  <c r="AB62" i="15"/>
  <c r="V58" i="24"/>
  <c r="N58" i="24"/>
  <c r="AE50" i="65"/>
  <c r="AE46" i="65"/>
  <c r="AL55" i="65"/>
  <c r="AK54" i="65"/>
  <c r="AH51" i="65"/>
  <c r="AL47" i="65"/>
  <c r="AK46" i="65"/>
  <c r="AH43" i="65"/>
  <c r="AL39" i="65"/>
  <c r="AK38" i="65"/>
  <c r="AH35" i="65"/>
  <c r="AL63" i="65"/>
  <c r="AK62" i="65"/>
  <c r="AH85" i="65"/>
  <c r="AL81" i="65"/>
  <c r="AK80" i="65"/>
  <c r="AH77" i="65"/>
  <c r="AH35" i="66"/>
  <c r="AE45" i="66"/>
  <c r="AF47" i="66"/>
  <c r="AA141" i="66"/>
  <c r="AE99" i="66"/>
  <c r="AF126" i="66"/>
  <c r="AA20" i="67"/>
  <c r="AJ38" i="67" s="1"/>
  <c r="K47" i="67"/>
  <c r="AA47" i="67"/>
  <c r="AK45" i="67"/>
  <c r="AA20" i="68"/>
  <c r="G44" i="68"/>
  <c r="AI91" i="68"/>
  <c r="AF91" i="68"/>
  <c r="T112" i="68"/>
  <c r="AI44" i="69"/>
  <c r="AJ44" i="69"/>
  <c r="AF38" i="69"/>
  <c r="AI38" i="69"/>
  <c r="AF62" i="70"/>
  <c r="AI62" i="70"/>
  <c r="AB70" i="70"/>
  <c r="AF70" i="70"/>
  <c r="AI52" i="70"/>
  <c r="AF52" i="70"/>
  <c r="AB89" i="70"/>
  <c r="AF89" i="70"/>
  <c r="AB56" i="15"/>
  <c r="AI56" i="15"/>
  <c r="AF56" i="15"/>
  <c r="AJ56" i="15"/>
  <c r="AJ64" i="15"/>
  <c r="AA54" i="24"/>
  <c r="AI37" i="19"/>
  <c r="AB37" i="19"/>
  <c r="AF37" i="19"/>
  <c r="AM35" i="19"/>
  <c r="AN35" i="19"/>
  <c r="AH82" i="68"/>
  <c r="AH110" i="68"/>
  <c r="AJ55" i="69"/>
  <c r="AJ47" i="69"/>
  <c r="AJ39" i="69"/>
  <c r="AF96" i="70"/>
  <c r="AB96" i="70"/>
  <c r="AI109" i="70"/>
  <c r="AF109" i="70"/>
  <c r="AB109" i="70"/>
  <c r="AL56" i="15"/>
  <c r="AL64" i="15"/>
  <c r="AL48" i="15"/>
  <c r="AL41" i="15"/>
  <c r="AL70" i="15"/>
  <c r="AL55" i="15"/>
  <c r="AL63" i="15"/>
  <c r="AL47" i="15"/>
  <c r="AL40" i="15"/>
  <c r="AL73" i="15"/>
  <c r="AL69" i="15"/>
  <c r="AL62" i="15"/>
  <c r="AL46" i="15"/>
  <c r="AL39" i="15"/>
  <c r="AL72" i="15"/>
  <c r="AL68" i="15"/>
  <c r="AL61" i="15"/>
  <c r="AL45" i="15"/>
  <c r="AL38" i="15"/>
  <c r="AL59" i="15"/>
  <c r="AL36" i="15"/>
  <c r="AA39" i="15"/>
  <c r="K39" i="15"/>
  <c r="AM47" i="15"/>
  <c r="AN47" i="15"/>
  <c r="AA63" i="15"/>
  <c r="K63" i="15"/>
  <c r="AI72" i="15"/>
  <c r="AJ72" i="15"/>
  <c r="AF39" i="18"/>
  <c r="AI39" i="18"/>
  <c r="AB39" i="18"/>
  <c r="K45" i="18"/>
  <c r="AA45" i="18"/>
  <c r="AJ41" i="19"/>
  <c r="AB41" i="19"/>
  <c r="AF41" i="19"/>
  <c r="AI35" i="19"/>
  <c r="AJ35" i="19"/>
  <c r="AF35" i="19"/>
  <c r="AF59" i="19"/>
  <c r="AJ59" i="19"/>
  <c r="AB59" i="19"/>
  <c r="AF44" i="21"/>
  <c r="AI44" i="21"/>
  <c r="AB44" i="21"/>
  <c r="AA56" i="22"/>
  <c r="AB82" i="23"/>
  <c r="AI82" i="23"/>
  <c r="AF82" i="23"/>
  <c r="AJ82" i="23"/>
  <c r="K45" i="26"/>
  <c r="AA45" i="26"/>
  <c r="AA16" i="67"/>
  <c r="AL56" i="67"/>
  <c r="AH52" i="67"/>
  <c r="AL48" i="67"/>
  <c r="AH44" i="67"/>
  <c r="AL40" i="67"/>
  <c r="AH36" i="67"/>
  <c r="AH49" i="68"/>
  <c r="AF65" i="68"/>
  <c r="AB75" i="68"/>
  <c r="AA63" i="68"/>
  <c r="AA64" i="68" s="1"/>
  <c r="G64" i="68" s="1"/>
  <c r="AE56" i="69"/>
  <c r="AE52" i="69"/>
  <c r="AE48" i="69"/>
  <c r="AE44" i="69"/>
  <c r="AE40" i="69"/>
  <c r="AE36" i="69"/>
  <c r="AH55" i="69"/>
  <c r="AL51" i="69"/>
  <c r="AK50" i="69"/>
  <c r="AL43" i="69"/>
  <c r="AK42" i="69"/>
  <c r="AL35" i="69"/>
  <c r="AE57" i="70"/>
  <c r="AA71" i="70"/>
  <c r="AA72" i="70"/>
  <c r="AA63" i="70"/>
  <c r="AA64" i="70" s="1"/>
  <c r="G64" i="70" s="1"/>
  <c r="AA43" i="70"/>
  <c r="AF76" i="70"/>
  <c r="AF92" i="70"/>
  <c r="Y112" i="70"/>
  <c r="Y113" i="70" s="1"/>
  <c r="Q112" i="70"/>
  <c r="Q113" i="70" s="1"/>
  <c r="AI36" i="15"/>
  <c r="AJ36" i="15"/>
  <c r="AB40" i="15"/>
  <c r="K47" i="15"/>
  <c r="AA47" i="15"/>
  <c r="AI60" i="15"/>
  <c r="AJ60" i="15"/>
  <c r="AB60" i="15"/>
  <c r="AF60" i="15"/>
  <c r="AI61" i="15"/>
  <c r="AJ61" i="15"/>
  <c r="AB61" i="15"/>
  <c r="AF61" i="15"/>
  <c r="AL65" i="15"/>
  <c r="AL58" i="15"/>
  <c r="Y58" i="24"/>
  <c r="Q58" i="24"/>
  <c r="U58" i="24"/>
  <c r="AG58" i="24"/>
  <c r="K48" i="18"/>
  <c r="AA48" i="18"/>
  <c r="AL56" i="19"/>
  <c r="AL38" i="19"/>
  <c r="AL64" i="19"/>
  <c r="AL55" i="19"/>
  <c r="AL37" i="19"/>
  <c r="AL66" i="19"/>
  <c r="AL62" i="19"/>
  <c r="AL50" i="19"/>
  <c r="AL35" i="19"/>
  <c r="AL43" i="19"/>
  <c r="AL58" i="19"/>
  <c r="AL47" i="19"/>
  <c r="AL57" i="19"/>
  <c r="AL59" i="19"/>
  <c r="AL41" i="19"/>
  <c r="AL48" i="19"/>
  <c r="AL40" i="19"/>
  <c r="AL63" i="19"/>
  <c r="AL44" i="19"/>
  <c r="AL67" i="19"/>
  <c r="AF43" i="19"/>
  <c r="AI43" i="19"/>
  <c r="AJ43" i="19"/>
  <c r="AL39" i="19"/>
  <c r="AL51" i="19"/>
  <c r="AF56" i="19"/>
  <c r="AJ56" i="19"/>
  <c r="AI56" i="19"/>
  <c r="AB56" i="19"/>
  <c r="AI53" i="21"/>
  <c r="AF53" i="21"/>
  <c r="K54" i="67"/>
  <c r="K50" i="67"/>
  <c r="K46" i="67"/>
  <c r="K42" i="67"/>
  <c r="K38" i="67"/>
  <c r="AH53" i="67"/>
  <c r="AL49" i="67"/>
  <c r="AL41" i="67"/>
  <c r="AH37" i="67"/>
  <c r="AE35" i="68"/>
  <c r="AE59" i="68"/>
  <c r="AB80" i="68"/>
  <c r="AB83" i="68"/>
  <c r="AE90" i="68"/>
  <c r="AF51" i="69"/>
  <c r="AF43" i="69"/>
  <c r="AF35" i="69"/>
  <c r="AH56" i="69"/>
  <c r="AL52" i="69"/>
  <c r="AK51" i="69"/>
  <c r="AH48" i="69"/>
  <c r="AL44" i="69"/>
  <c r="AK43" i="69"/>
  <c r="AH40" i="69"/>
  <c r="AL36" i="69"/>
  <c r="AK35" i="69"/>
  <c r="AI38" i="15"/>
  <c r="AB38" i="15"/>
  <c r="AJ38" i="15"/>
  <c r="AF38" i="15"/>
  <c r="AB64" i="15"/>
  <c r="AI64" i="15"/>
  <c r="AF64" i="15"/>
  <c r="AL60" i="15"/>
  <c r="AF72" i="15"/>
  <c r="AA35" i="24"/>
  <c r="AI35" i="24"/>
  <c r="AL46" i="24"/>
  <c r="AM46" i="24"/>
  <c r="X58" i="24"/>
  <c r="P58" i="24"/>
  <c r="AI37" i="18"/>
  <c r="AB37" i="18"/>
  <c r="AF37" i="18"/>
  <c r="AI52" i="18"/>
  <c r="AF52" i="18"/>
  <c r="AI49" i="19"/>
  <c r="AF49" i="19"/>
  <c r="AJ49" i="19"/>
  <c r="AI52" i="20"/>
  <c r="AB52" i="20"/>
  <c r="AF52" i="20"/>
  <c r="AA19" i="68"/>
  <c r="AB66" i="68" s="1"/>
  <c r="AH39" i="68"/>
  <c r="AE49" i="68"/>
  <c r="AE58" i="68"/>
  <c r="AH56" i="68"/>
  <c r="AA77" i="68"/>
  <c r="AA53" i="68"/>
  <c r="AA78" i="68"/>
  <c r="AB82" i="68"/>
  <c r="AA84" i="68"/>
  <c r="AE99" i="68"/>
  <c r="K56" i="69"/>
  <c r="K52" i="69"/>
  <c r="K48" i="69"/>
  <c r="K44" i="69"/>
  <c r="K40" i="69"/>
  <c r="K36" i="69"/>
  <c r="AA53" i="69"/>
  <c r="AA49" i="69"/>
  <c r="AA45" i="69"/>
  <c r="AA41" i="69"/>
  <c r="AA37" i="69"/>
  <c r="AE55" i="69"/>
  <c r="AE51" i="69"/>
  <c r="AL53" i="69"/>
  <c r="AK52" i="69"/>
  <c r="AJ51" i="69"/>
  <c r="AL45" i="69"/>
  <c r="AK44" i="69"/>
  <c r="AJ43" i="69"/>
  <c r="AL37" i="69"/>
  <c r="AK36" i="69"/>
  <c r="AJ35" i="69"/>
  <c r="AE106" i="70"/>
  <c r="AE92" i="70"/>
  <c r="AE55" i="70"/>
  <c r="AA77" i="70"/>
  <c r="AA84" i="70"/>
  <c r="AE99" i="70"/>
  <c r="AA110" i="70"/>
  <c r="W112" i="70"/>
  <c r="W113" i="70" s="1"/>
  <c r="AA108" i="70"/>
  <c r="O112" i="70"/>
  <c r="AA117" i="70"/>
  <c r="AJ40" i="15"/>
  <c r="AI45" i="15"/>
  <c r="AJ45" i="15"/>
  <c r="AF45" i="15"/>
  <c r="AF58" i="15"/>
  <c r="AI58" i="15"/>
  <c r="AJ58" i="15"/>
  <c r="AH35" i="24"/>
  <c r="AL44" i="24"/>
  <c r="AM44" i="24"/>
  <c r="K34" i="18"/>
  <c r="AA34" i="18"/>
  <c r="AF44" i="18"/>
  <c r="AI44" i="18"/>
  <c r="AI54" i="18"/>
  <c r="AA36" i="19"/>
  <c r="K36" i="19"/>
  <c r="AM39" i="19"/>
  <c r="AN39" i="19"/>
  <c r="AI42" i="20"/>
  <c r="AF42" i="20"/>
  <c r="K52" i="23"/>
  <c r="AA52" i="23"/>
  <c r="K36" i="23"/>
  <c r="AA36" i="23"/>
  <c r="AM41" i="23"/>
  <c r="AN41" i="23"/>
  <c r="AH55" i="67"/>
  <c r="AL51" i="67"/>
  <c r="AL43" i="67"/>
  <c r="AL35" i="67"/>
  <c r="AF41" i="68"/>
  <c r="AI41" i="68"/>
  <c r="AH46" i="68"/>
  <c r="AE57" i="68"/>
  <c r="AH55" i="68"/>
  <c r="AA52" i="68"/>
  <c r="AE89" i="68"/>
  <c r="AH90" i="68"/>
  <c r="AE104" i="68"/>
  <c r="AD115" i="68"/>
  <c r="AL54" i="69"/>
  <c r="AK53" i="69"/>
  <c r="AL46" i="69"/>
  <c r="AK45" i="69"/>
  <c r="AL38" i="69"/>
  <c r="AK37" i="69"/>
  <c r="AF38" i="70"/>
  <c r="AE45" i="70"/>
  <c r="AA116" i="70"/>
  <c r="AB80" i="70"/>
  <c r="AE90" i="70"/>
  <c r="AF98" i="70"/>
  <c r="AF104" i="70"/>
  <c r="V112" i="70"/>
  <c r="V113" i="70" s="1"/>
  <c r="AG112" i="70"/>
  <c r="AF37" i="15"/>
  <c r="AI37" i="15"/>
  <c r="AJ37" i="15"/>
  <c r="AF36" i="15"/>
  <c r="AN37" i="15"/>
  <c r="AL35" i="15"/>
  <c r="AL49" i="15"/>
  <c r="AJ57" i="15"/>
  <c r="AB57" i="15"/>
  <c r="AE38" i="24"/>
  <c r="AH38" i="24"/>
  <c r="AI38" i="24"/>
  <c r="AA38" i="24"/>
  <c r="AI34" i="24"/>
  <c r="Z55" i="24"/>
  <c r="AG53" i="24"/>
  <c r="AK53" i="24"/>
  <c r="K38" i="18"/>
  <c r="AA38" i="18"/>
  <c r="AB36" i="18"/>
  <c r="AA42" i="18"/>
  <c r="K42" i="18"/>
  <c r="AA53" i="18"/>
  <c r="K53" i="18"/>
  <c r="AI56" i="18"/>
  <c r="AF56" i="18"/>
  <c r="AA40" i="19"/>
  <c r="K40" i="19"/>
  <c r="AF39" i="19"/>
  <c r="AI39" i="19"/>
  <c r="AJ39" i="19"/>
  <c r="AL34" i="19"/>
  <c r="AA63" i="19"/>
  <c r="AI61" i="22"/>
  <c r="AB61" i="22"/>
  <c r="AF61" i="22"/>
  <c r="AJ39" i="23"/>
  <c r="AJ61" i="23"/>
  <c r="AJ47" i="23"/>
  <c r="AJ98" i="23"/>
  <c r="AJ41" i="23"/>
  <c r="AJ64" i="23"/>
  <c r="AI77" i="23"/>
  <c r="AJ77" i="23"/>
  <c r="AF77" i="23"/>
  <c r="AH56" i="67"/>
  <c r="AL52" i="67"/>
  <c r="AH48" i="67"/>
  <c r="AL44" i="67"/>
  <c r="AH45" i="68"/>
  <c r="AF49" i="68"/>
  <c r="AE56" i="68"/>
  <c r="AE82" i="68"/>
  <c r="AE50" i="69"/>
  <c r="AK54" i="69"/>
  <c r="AL47" i="69"/>
  <c r="AK46" i="69"/>
  <c r="AB75" i="70"/>
  <c r="AF75" i="70"/>
  <c r="AA78" i="70"/>
  <c r="AE104" i="70"/>
  <c r="AI104" i="70"/>
  <c r="AL37" i="15"/>
  <c r="AL51" i="15"/>
  <c r="AA55" i="15"/>
  <c r="K55" i="15"/>
  <c r="AF57" i="15"/>
  <c r="AL57" i="15"/>
  <c r="AJ70" i="15"/>
  <c r="AJ73" i="15"/>
  <c r="AF73" i="15"/>
  <c r="AI73" i="15"/>
  <c r="AI43" i="24"/>
  <c r="Z49" i="24"/>
  <c r="AB60" i="18"/>
  <c r="AF60" i="18"/>
  <c r="AI61" i="18"/>
  <c r="AA66" i="18"/>
  <c r="AB61" i="18"/>
  <c r="AA19" i="19"/>
  <c r="AB57" i="19" s="1"/>
  <c r="AA44" i="19"/>
  <c r="K44" i="19"/>
  <c r="AM36" i="21"/>
  <c r="AN36" i="21"/>
  <c r="AN39" i="21"/>
  <c r="AM39" i="21"/>
  <c r="AI71" i="22"/>
  <c r="AF71" i="22"/>
  <c r="AB71" i="22"/>
  <c r="AJ68" i="23"/>
  <c r="AF68" i="23"/>
  <c r="AI68" i="23"/>
  <c r="AJ62" i="26"/>
  <c r="AF62" i="26"/>
  <c r="AI62" i="26"/>
  <c r="AA34" i="24"/>
  <c r="AI37" i="24"/>
  <c r="Z40" i="24"/>
  <c r="AA47" i="24"/>
  <c r="AA43" i="24"/>
  <c r="AI46" i="24"/>
  <c r="AD53" i="24"/>
  <c r="AG52" i="24"/>
  <c r="AB42" i="19"/>
  <c r="AB34" i="19"/>
  <c r="AJ42" i="19"/>
  <c r="AJ34" i="19"/>
  <c r="AM47" i="19"/>
  <c r="AA51" i="19"/>
  <c r="AI62" i="19"/>
  <c r="AJ62" i="19"/>
  <c r="AB62" i="19"/>
  <c r="AJ67" i="19"/>
  <c r="AF67" i="19"/>
  <c r="AA44" i="20"/>
  <c r="AF48" i="20"/>
  <c r="AB60" i="20"/>
  <c r="AI60" i="20"/>
  <c r="AF60" i="20"/>
  <c r="AB37" i="21"/>
  <c r="AF37" i="21"/>
  <c r="AI64" i="21"/>
  <c r="AF64" i="21"/>
  <c r="AB64" i="21"/>
  <c r="AA19" i="22"/>
  <c r="AB62" i="22" s="1"/>
  <c r="AI36" i="22"/>
  <c r="AB36" i="22"/>
  <c r="AA67" i="22"/>
  <c r="K67" i="22"/>
  <c r="K40" i="25"/>
  <c r="AA40" i="25"/>
  <c r="AB37" i="25"/>
  <c r="AI37" i="25"/>
  <c r="AF37" i="25"/>
  <c r="AJ37" i="25"/>
  <c r="AF67" i="26"/>
  <c r="AI67" i="26"/>
  <c r="AJ67" i="26"/>
  <c r="AI70" i="26"/>
  <c r="AJ70" i="26"/>
  <c r="AF70" i="26"/>
  <c r="AA74" i="26"/>
  <c r="AI47" i="24"/>
  <c r="AK64" i="19"/>
  <c r="AK55" i="19"/>
  <c r="AK37" i="19"/>
  <c r="AK67" i="19"/>
  <c r="AK63" i="19"/>
  <c r="AK36" i="19"/>
  <c r="AK49" i="19"/>
  <c r="AK34" i="19"/>
  <c r="AK42" i="19"/>
  <c r="AK57" i="19"/>
  <c r="AK43" i="19"/>
  <c r="AK47" i="19"/>
  <c r="AG70" i="19"/>
  <c r="AH51" i="19"/>
  <c r="AF59" i="20"/>
  <c r="AI59" i="20"/>
  <c r="AB59" i="20"/>
  <c r="AI41" i="21"/>
  <c r="AB41" i="21"/>
  <c r="AF41" i="21"/>
  <c r="AM38" i="21"/>
  <c r="AN38" i="21"/>
  <c r="AI48" i="21"/>
  <c r="AF48" i="21"/>
  <c r="AD77" i="21"/>
  <c r="AK58" i="21"/>
  <c r="AE58" i="21"/>
  <c r="AI53" i="22"/>
  <c r="AF48" i="22"/>
  <c r="AF72" i="23"/>
  <c r="AI72" i="23"/>
  <c r="AJ72" i="23"/>
  <c r="AF56" i="23"/>
  <c r="AI56" i="23"/>
  <c r="AJ56" i="23"/>
  <c r="AA19" i="25"/>
  <c r="AB36" i="25" s="1"/>
  <c r="AJ36" i="25"/>
  <c r="AF36" i="25"/>
  <c r="AI36" i="25"/>
  <c r="AH52" i="26"/>
  <c r="AH60" i="26"/>
  <c r="AH68" i="26"/>
  <c r="AH44" i="26"/>
  <c r="AH51" i="26"/>
  <c r="AH59" i="26"/>
  <c r="AH67" i="26"/>
  <c r="AH54" i="26"/>
  <c r="AH38" i="26"/>
  <c r="AH42" i="26"/>
  <c r="AH46" i="26"/>
  <c r="AH71" i="26"/>
  <c r="AH50" i="26"/>
  <c r="AH56" i="26"/>
  <c r="AH62" i="26"/>
  <c r="AH41" i="26"/>
  <c r="AH53" i="26"/>
  <c r="AH45" i="26"/>
  <c r="AH35" i="26"/>
  <c r="AH58" i="26"/>
  <c r="AH64" i="26"/>
  <c r="AH40" i="26"/>
  <c r="AH66" i="26"/>
  <c r="AH39" i="26"/>
  <c r="AH43" i="26"/>
  <c r="AH70" i="26"/>
  <c r="AH55" i="26"/>
  <c r="AH63" i="26"/>
  <c r="AF58" i="26"/>
  <c r="AJ58" i="26"/>
  <c r="AI58" i="26"/>
  <c r="AF59" i="30"/>
  <c r="AI59" i="30"/>
  <c r="AA57" i="30"/>
  <c r="K57" i="30"/>
  <c r="AN71" i="30"/>
  <c r="AM71" i="30"/>
  <c r="AI37" i="31"/>
  <c r="AF37" i="31"/>
  <c r="AM45" i="35"/>
  <c r="AN45" i="35"/>
  <c r="AA46" i="36"/>
  <c r="K46" i="36"/>
  <c r="AK60" i="15"/>
  <c r="AH47" i="24"/>
  <c r="AC58" i="24"/>
  <c r="AD55" i="24"/>
  <c r="K44" i="18"/>
  <c r="AF55" i="18"/>
  <c r="AA47" i="19"/>
  <c r="AK58" i="19"/>
  <c r="AK56" i="19"/>
  <c r="AF64" i="19"/>
  <c r="AA69" i="19"/>
  <c r="AI64" i="19"/>
  <c r="AI66" i="19"/>
  <c r="AJ66" i="19"/>
  <c r="AF66" i="19"/>
  <c r="AB38" i="20"/>
  <c r="AB56" i="20"/>
  <c r="AI56" i="20"/>
  <c r="AF56" i="20"/>
  <c r="AA20" i="21"/>
  <c r="AJ47" i="21" s="1"/>
  <c r="AN51" i="21"/>
  <c r="AL63" i="21"/>
  <c r="AB69" i="21"/>
  <c r="AF69" i="21"/>
  <c r="AI69" i="21"/>
  <c r="AB40" i="22"/>
  <c r="AM34" i="22"/>
  <c r="AI46" i="22"/>
  <c r="AD75" i="22"/>
  <c r="AK56" i="22"/>
  <c r="AE56" i="22"/>
  <c r="AF62" i="22"/>
  <c r="AJ34" i="25"/>
  <c r="AJ42" i="25"/>
  <c r="AJ50" i="25"/>
  <c r="AJ38" i="25"/>
  <c r="AJ46" i="25"/>
  <c r="AJ39" i="25"/>
  <c r="AH47" i="26"/>
  <c r="AH57" i="26"/>
  <c r="AG40" i="24"/>
  <c r="AG60" i="24"/>
  <c r="AK44" i="19"/>
  <c r="AK35" i="19"/>
  <c r="AK50" i="19"/>
  <c r="AD70" i="19"/>
  <c r="AK51" i="19"/>
  <c r="AE51" i="19"/>
  <c r="AB67" i="19"/>
  <c r="AI35" i="20"/>
  <c r="AB35" i="20"/>
  <c r="AF35" i="20"/>
  <c r="AM43" i="21"/>
  <c r="AN43" i="21"/>
  <c r="AM35" i="21"/>
  <c r="AN35" i="21"/>
  <c r="AF55" i="21"/>
  <c r="AI55" i="21"/>
  <c r="AB66" i="21"/>
  <c r="AF66" i="21"/>
  <c r="AI66" i="21"/>
  <c r="AM71" i="21"/>
  <c r="AN71" i="21"/>
  <c r="AB74" i="21"/>
  <c r="AI74" i="21"/>
  <c r="AI37" i="22"/>
  <c r="AB37" i="22"/>
  <c r="AJ72" i="22"/>
  <c r="AA94" i="23"/>
  <c r="AA90" i="23"/>
  <c r="AA86" i="23"/>
  <c r="X96" i="23"/>
  <c r="X100" i="23" s="1"/>
  <c r="AA78" i="23"/>
  <c r="P96" i="23"/>
  <c r="P100" i="23" s="1"/>
  <c r="T96" i="23"/>
  <c r="T100" i="23" s="1"/>
  <c r="AE88" i="23"/>
  <c r="AK88" i="23"/>
  <c r="AH90" i="23"/>
  <c r="AL90" i="23"/>
  <c r="AI45" i="25"/>
  <c r="AF45" i="25"/>
  <c r="AJ45" i="25"/>
  <c r="AF56" i="26"/>
  <c r="AI56" i="26"/>
  <c r="AJ56" i="26"/>
  <c r="AB54" i="29"/>
  <c r="AB35" i="29"/>
  <c r="AB56" i="29"/>
  <c r="AB69" i="29"/>
  <c r="AB47" i="29"/>
  <c r="AB57" i="29"/>
  <c r="AB39" i="29"/>
  <c r="AE38" i="15"/>
  <c r="AK39" i="15"/>
  <c r="AK46" i="15"/>
  <c r="AE51" i="15"/>
  <c r="AK62" i="15"/>
  <c r="AK69" i="15"/>
  <c r="AJ68" i="15"/>
  <c r="AK73" i="15"/>
  <c r="Z16" i="24"/>
  <c r="AE34" i="24"/>
  <c r="AK35" i="24"/>
  <c r="AJ34" i="24"/>
  <c r="AE43" i="24"/>
  <c r="AK44" i="24"/>
  <c r="AJ43" i="24"/>
  <c r="AA16" i="19"/>
  <c r="AK40" i="19"/>
  <c r="AI50" i="19"/>
  <c r="AJ50" i="19"/>
  <c r="AF55" i="19"/>
  <c r="AB55" i="19"/>
  <c r="AI55" i="19"/>
  <c r="AF62" i="19"/>
  <c r="AB66" i="19"/>
  <c r="AA20" i="20"/>
  <c r="AJ60" i="20" s="1"/>
  <c r="AF37" i="20"/>
  <c r="AI51" i="20"/>
  <c r="AF51" i="20"/>
  <c r="AL73" i="21"/>
  <c r="AL70" i="21"/>
  <c r="AL54" i="21"/>
  <c r="AL37" i="21"/>
  <c r="AL69" i="21"/>
  <c r="AL53" i="21"/>
  <c r="AL36" i="21"/>
  <c r="AL44" i="21"/>
  <c r="AL66" i="21"/>
  <c r="AL52" i="21"/>
  <c r="AL35" i="21"/>
  <c r="AL43" i="21"/>
  <c r="AL65" i="21"/>
  <c r="AL51" i="21"/>
  <c r="AL34" i="21"/>
  <c r="AL42" i="21"/>
  <c r="AL64" i="21"/>
  <c r="AL50" i="21"/>
  <c r="AL41" i="21"/>
  <c r="AL62" i="21"/>
  <c r="AL48" i="21"/>
  <c r="AL56" i="21"/>
  <c r="AL39" i="21"/>
  <c r="AI56" i="21"/>
  <c r="AF56" i="21"/>
  <c r="AI51" i="21"/>
  <c r="AF51" i="21"/>
  <c r="AI65" i="21"/>
  <c r="AF65" i="21"/>
  <c r="AB65" i="21"/>
  <c r="AA76" i="21"/>
  <c r="AA20" i="22"/>
  <c r="AJ36" i="22" s="1"/>
  <c r="AI54" i="22"/>
  <c r="AM52" i="22"/>
  <c r="AF51" i="22"/>
  <c r="AI51" i="22"/>
  <c r="AM60" i="22"/>
  <c r="AA74" i="22"/>
  <c r="AF69" i="22"/>
  <c r="AB69" i="22"/>
  <c r="AI69" i="22"/>
  <c r="AM49" i="23"/>
  <c r="AN49" i="23"/>
  <c r="AA19" i="26"/>
  <c r="AB58" i="26" s="1"/>
  <c r="K63" i="26"/>
  <c r="AA63" i="26"/>
  <c r="AK40" i="15"/>
  <c r="AK47" i="15"/>
  <c r="AE62" i="15"/>
  <c r="AK63" i="15"/>
  <c r="AK55" i="15"/>
  <c r="AK36" i="24"/>
  <c r="AJ35" i="24"/>
  <c r="AK45" i="24"/>
  <c r="AK38" i="19"/>
  <c r="AK48" i="19"/>
  <c r="AB58" i="19"/>
  <c r="AI58" i="19"/>
  <c r="AN64" i="19"/>
  <c r="AK66" i="19"/>
  <c r="AM42" i="20"/>
  <c r="AN42" i="20"/>
  <c r="AB48" i="20"/>
  <c r="AI48" i="20"/>
  <c r="AF36" i="21"/>
  <c r="AI36" i="21"/>
  <c r="AF54" i="21"/>
  <c r="AI49" i="21"/>
  <c r="AF49" i="21"/>
  <c r="AA63" i="21"/>
  <c r="K63" i="21"/>
  <c r="AB62" i="21"/>
  <c r="AI62" i="21"/>
  <c r="AF62" i="21"/>
  <c r="AM70" i="21"/>
  <c r="AN70" i="21"/>
  <c r="AF73" i="21"/>
  <c r="AL72" i="22"/>
  <c r="AL71" i="22"/>
  <c r="AL68" i="22"/>
  <c r="AL64" i="22"/>
  <c r="AL50" i="22"/>
  <c r="AL40" i="22"/>
  <c r="AL69" i="22"/>
  <c r="AL61" i="22"/>
  <c r="AL49" i="22"/>
  <c r="AL39" i="22"/>
  <c r="AL48" i="22"/>
  <c r="AL38" i="22"/>
  <c r="AL47" i="22"/>
  <c r="AL55" i="22"/>
  <c r="AL37" i="22"/>
  <c r="AL60" i="22"/>
  <c r="AL63" i="22"/>
  <c r="AL46" i="22"/>
  <c r="AL54" i="22"/>
  <c r="AL36" i="22"/>
  <c r="AL67" i="22"/>
  <c r="AL52" i="22"/>
  <c r="AL34" i="22"/>
  <c r="AL42" i="22"/>
  <c r="AB41" i="22"/>
  <c r="AI41" i="22"/>
  <c r="AF37" i="22"/>
  <c r="AI40" i="22"/>
  <c r="K47" i="22"/>
  <c r="AA47" i="22"/>
  <c r="AF54" i="22"/>
  <c r="K48" i="23"/>
  <c r="AA48" i="23"/>
  <c r="AE92" i="23"/>
  <c r="AK92" i="23"/>
  <c r="AH78" i="23"/>
  <c r="AL78" i="23"/>
  <c r="AJ52" i="26"/>
  <c r="AJ64" i="26"/>
  <c r="AF58" i="19"/>
  <c r="AK59" i="19"/>
  <c r="AJ55" i="19"/>
  <c r="AM64" i="19"/>
  <c r="AA36" i="20"/>
  <c r="K36" i="20"/>
  <c r="AJ34" i="20"/>
  <c r="AB51" i="20"/>
  <c r="AA62" i="20"/>
  <c r="AI57" i="20"/>
  <c r="AB57" i="20"/>
  <c r="AF57" i="20"/>
  <c r="AF40" i="21"/>
  <c r="AI40" i="21"/>
  <c r="AB40" i="21"/>
  <c r="AL38" i="21"/>
  <c r="AL47" i="21"/>
  <c r="AM53" i="21"/>
  <c r="AN53" i="21"/>
  <c r="AL58" i="21"/>
  <c r="K64" i="21"/>
  <c r="AB73" i="21"/>
  <c r="AI73" i="21"/>
  <c r="AM42" i="22"/>
  <c r="AI52" i="22"/>
  <c r="AF52" i="22"/>
  <c r="AL56" i="22"/>
  <c r="AM64" i="22"/>
  <c r="AN64" i="22"/>
  <c r="AM72" i="22"/>
  <c r="AN72" i="22"/>
  <c r="AA93" i="23"/>
  <c r="AA85" i="23"/>
  <c r="AA87" i="23"/>
  <c r="AA79" i="23"/>
  <c r="K51" i="20"/>
  <c r="AL49" i="20"/>
  <c r="AK48" i="20"/>
  <c r="AL57" i="20"/>
  <c r="AK56" i="20"/>
  <c r="AL60" i="20"/>
  <c r="AK59" i="20"/>
  <c r="B29" i="21"/>
  <c r="K44" i="21"/>
  <c r="K40" i="21"/>
  <c r="K36" i="21"/>
  <c r="AK38" i="21"/>
  <c r="K56" i="21"/>
  <c r="K48" i="21"/>
  <c r="AK55" i="21"/>
  <c r="AK47" i="21"/>
  <c r="AK71" i="21"/>
  <c r="AK74" i="21"/>
  <c r="K40" i="22"/>
  <c r="K36" i="22"/>
  <c r="AA43" i="22"/>
  <c r="AA39" i="22"/>
  <c r="AA35" i="22"/>
  <c r="AK41" i="22"/>
  <c r="K48" i="22"/>
  <c r="AK51" i="22"/>
  <c r="K62" i="22"/>
  <c r="AF68" i="22"/>
  <c r="AA19" i="23"/>
  <c r="AB98" i="23" s="1"/>
  <c r="AI45" i="23"/>
  <c r="AJ45" i="23"/>
  <c r="AA62" i="23"/>
  <c r="K62" i="23"/>
  <c r="AJ65" i="23"/>
  <c r="AI43" i="25"/>
  <c r="AJ43" i="25"/>
  <c r="AF43" i="25"/>
  <c r="AB43" i="25"/>
  <c r="K37" i="25"/>
  <c r="AJ44" i="25"/>
  <c r="AF44" i="25"/>
  <c r="AB44" i="25"/>
  <c r="K46" i="26"/>
  <c r="AI42" i="26"/>
  <c r="AJ42" i="26"/>
  <c r="AB36" i="26"/>
  <c r="AJ36" i="26"/>
  <c r="AF36" i="26"/>
  <c r="AI36" i="26"/>
  <c r="K61" i="26"/>
  <c r="AJ59" i="26"/>
  <c r="AI71" i="21"/>
  <c r="AK71" i="22"/>
  <c r="AK67" i="22"/>
  <c r="AK63" i="22"/>
  <c r="AK43" i="22"/>
  <c r="AJ42" i="22"/>
  <c r="AK35" i="22"/>
  <c r="AK53" i="22"/>
  <c r="AF40" i="23"/>
  <c r="AB40" i="23"/>
  <c r="AJ40" i="23"/>
  <c r="AA66" i="23"/>
  <c r="K66" i="23"/>
  <c r="AM74" i="23"/>
  <c r="AN74" i="23"/>
  <c r="AM63" i="23"/>
  <c r="AN63" i="23"/>
  <c r="AM58" i="23"/>
  <c r="AN58" i="23"/>
  <c r="AA89" i="23"/>
  <c r="AA81" i="23"/>
  <c r="Y96" i="23"/>
  <c r="Q96" i="23"/>
  <c r="Q100" i="23" s="1"/>
  <c r="AJ95" i="23"/>
  <c r="AF95" i="23"/>
  <c r="AF47" i="25"/>
  <c r="AI47" i="25"/>
  <c r="AB47" i="25"/>
  <c r="AJ46" i="26"/>
  <c r="AI46" i="26"/>
  <c r="AF46" i="26"/>
  <c r="AI61" i="26"/>
  <c r="AJ61" i="26"/>
  <c r="AF61" i="26"/>
  <c r="AB61" i="26"/>
  <c r="AI57" i="26"/>
  <c r="AJ57" i="26"/>
  <c r="AF57" i="26"/>
  <c r="AJ48" i="19"/>
  <c r="AA16" i="20"/>
  <c r="AL36" i="20"/>
  <c r="AK35" i="20"/>
  <c r="AB49" i="20"/>
  <c r="AF50" i="20"/>
  <c r="AL52" i="20"/>
  <c r="AK51" i="20"/>
  <c r="AJ50" i="20"/>
  <c r="AI49" i="20"/>
  <c r="AB42" i="21"/>
  <c r="AB34" i="21"/>
  <c r="AK41" i="21"/>
  <c r="K49" i="21"/>
  <c r="AK50" i="21"/>
  <c r="AK64" i="21"/>
  <c r="AI42" i="22"/>
  <c r="AK36" i="22"/>
  <c r="AI34" i="22"/>
  <c r="AK54" i="22"/>
  <c r="AK46" i="22"/>
  <c r="AK60" i="22"/>
  <c r="K68" i="22"/>
  <c r="AK68" i="22"/>
  <c r="AE53" i="23"/>
  <c r="AE34" i="23"/>
  <c r="AE38" i="23"/>
  <c r="AJ49" i="23"/>
  <c r="AI40" i="23"/>
  <c r="AJ60" i="23"/>
  <c r="AF60" i="23"/>
  <c r="AJ63" i="23"/>
  <c r="AF98" i="23"/>
  <c r="AI98" i="23"/>
  <c r="AB41" i="25"/>
  <c r="AI41" i="25"/>
  <c r="AJ41" i="25"/>
  <c r="AF41" i="25"/>
  <c r="AI44" i="25"/>
  <c r="K37" i="26"/>
  <c r="AA37" i="26"/>
  <c r="AJ37" i="26" s="1"/>
  <c r="AG63" i="20"/>
  <c r="AK42" i="21"/>
  <c r="AK34" i="21"/>
  <c r="AK51" i="21"/>
  <c r="AK65" i="21"/>
  <c r="AK37" i="22"/>
  <c r="AK55" i="22"/>
  <c r="AK47" i="22"/>
  <c r="AI53" i="23"/>
  <c r="AJ53" i="23"/>
  <c r="AI37" i="23"/>
  <c r="AJ37" i="23"/>
  <c r="AA70" i="23"/>
  <c r="K70" i="23"/>
  <c r="AJ73" i="23"/>
  <c r="AN67" i="23"/>
  <c r="AJ57" i="23"/>
  <c r="AF65" i="23"/>
  <c r="AM67" i="23"/>
  <c r="AA92" i="23"/>
  <c r="AA88" i="23"/>
  <c r="AA84" i="23"/>
  <c r="AA80" i="23"/>
  <c r="O100" i="23"/>
  <c r="AI35" i="25"/>
  <c r="AJ35" i="25"/>
  <c r="AF35" i="25"/>
  <c r="AB35" i="25"/>
  <c r="AA49" i="25"/>
  <c r="AF44" i="26"/>
  <c r="AB44" i="26"/>
  <c r="AJ44" i="26"/>
  <c r="AF66" i="26"/>
  <c r="AJ66" i="26"/>
  <c r="AB66" i="26"/>
  <c r="K50" i="26"/>
  <c r="AA50" i="26"/>
  <c r="AI53" i="26"/>
  <c r="AJ53" i="26"/>
  <c r="AF53" i="26"/>
  <c r="AB41" i="27"/>
  <c r="AI41" i="27"/>
  <c r="AF41" i="27"/>
  <c r="AL38" i="20"/>
  <c r="AK37" i="20"/>
  <c r="AL42" i="20"/>
  <c r="AK41" i="20"/>
  <c r="AK43" i="21"/>
  <c r="AK35" i="21"/>
  <c r="AK52" i="21"/>
  <c r="AI50" i="21"/>
  <c r="AH58" i="21"/>
  <c r="AK66" i="21"/>
  <c r="AA16" i="22"/>
  <c r="AF38" i="22"/>
  <c r="AK38" i="22"/>
  <c r="AN51" i="22"/>
  <c r="AK48" i="22"/>
  <c r="AK64" i="22"/>
  <c r="AB45" i="23"/>
  <c r="AB37" i="23"/>
  <c r="AF64" i="23"/>
  <c r="AI64" i="23"/>
  <c r="AN56" i="23"/>
  <c r="V96" i="23"/>
  <c r="V100" i="23" s="1"/>
  <c r="AA48" i="25"/>
  <c r="AA52" i="25"/>
  <c r="AH52" i="25"/>
  <c r="AG54" i="25"/>
  <c r="AL52" i="25"/>
  <c r="K41" i="26"/>
  <c r="AA41" i="26"/>
  <c r="AF42" i="26"/>
  <c r="AB51" i="26"/>
  <c r="AI51" i="26"/>
  <c r="AF51" i="26"/>
  <c r="AJ51" i="26"/>
  <c r="AI66" i="26"/>
  <c r="AI68" i="26"/>
  <c r="AJ68" i="26"/>
  <c r="AF68" i="26"/>
  <c r="AB68" i="26"/>
  <c r="AJ71" i="26"/>
  <c r="AF71" i="26"/>
  <c r="AI71" i="26"/>
  <c r="AB71" i="26"/>
  <c r="AB70" i="29"/>
  <c r="K58" i="19"/>
  <c r="K35" i="20"/>
  <c r="AK38" i="20"/>
  <c r="AL43" i="20"/>
  <c r="AK44" i="21"/>
  <c r="AK36" i="21"/>
  <c r="AK53" i="21"/>
  <c r="K69" i="21"/>
  <c r="AK39" i="22"/>
  <c r="AK49" i="22"/>
  <c r="K61" i="22"/>
  <c r="AI64" i="22"/>
  <c r="AK61" i="22"/>
  <c r="AK69" i="22"/>
  <c r="AA44" i="23"/>
  <c r="AF49" i="23"/>
  <c r="AA74" i="23"/>
  <c r="K74" i="23"/>
  <c r="AA58" i="23"/>
  <c r="K58" i="23"/>
  <c r="AM71" i="23"/>
  <c r="AN71" i="23"/>
  <c r="AM66" i="23"/>
  <c r="AN66" i="23"/>
  <c r="AF69" i="23"/>
  <c r="AJ69" i="23"/>
  <c r="AI65" i="23"/>
  <c r="AN62" i="23"/>
  <c r="AA91" i="23"/>
  <c r="AA83" i="23"/>
  <c r="AD96" i="23"/>
  <c r="AI95" i="23"/>
  <c r="AK84" i="23"/>
  <c r="AE98" i="23"/>
  <c r="AF39" i="25"/>
  <c r="AI39" i="25"/>
  <c r="AB39" i="25"/>
  <c r="K42" i="26"/>
  <c r="AJ38" i="26"/>
  <c r="AI38" i="26"/>
  <c r="AF38" i="26"/>
  <c r="AJ43" i="26"/>
  <c r="AB43" i="26"/>
  <c r="AI44" i="26"/>
  <c r="AB55" i="26"/>
  <c r="AI55" i="26"/>
  <c r="AF55" i="26"/>
  <c r="AA20" i="27"/>
  <c r="AJ36" i="27" s="1"/>
  <c r="AK36" i="27"/>
  <c r="AK35" i="27"/>
  <c r="AK43" i="27"/>
  <c r="AK44" i="27"/>
  <c r="AK34" i="27"/>
  <c r="AK42" i="27"/>
  <c r="AK41" i="27"/>
  <c r="AK40" i="27"/>
  <c r="AK38" i="27"/>
  <c r="AK39" i="27"/>
  <c r="AI37" i="27"/>
  <c r="AK37" i="27"/>
  <c r="AA50" i="23"/>
  <c r="AA46" i="23"/>
  <c r="AA42" i="23"/>
  <c r="AA38" i="23"/>
  <c r="AA34" i="23"/>
  <c r="AK49" i="23"/>
  <c r="AK41" i="23"/>
  <c r="AK74" i="23"/>
  <c r="AK66" i="23"/>
  <c r="AK58" i="23"/>
  <c r="AK78" i="23"/>
  <c r="AK98" i="23"/>
  <c r="AL56" i="26"/>
  <c r="AL64" i="26"/>
  <c r="AL40" i="26"/>
  <c r="AL55" i="26"/>
  <c r="AL63" i="26"/>
  <c r="AL35" i="26"/>
  <c r="AF47" i="26"/>
  <c r="AE43" i="26"/>
  <c r="AL45" i="26"/>
  <c r="AL41" i="26"/>
  <c r="AJ40" i="26"/>
  <c r="AL50" i="26"/>
  <c r="AB38" i="27"/>
  <c r="AI38" i="27"/>
  <c r="AF38" i="27"/>
  <c r="AF35" i="27"/>
  <c r="AB35" i="27"/>
  <c r="AI40" i="27"/>
  <c r="AF40" i="27"/>
  <c r="AB40" i="27"/>
  <c r="AH59" i="28"/>
  <c r="AN59" i="28" s="1"/>
  <c r="AH52" i="28"/>
  <c r="AH58" i="28"/>
  <c r="AH51" i="28"/>
  <c r="AH43" i="28"/>
  <c r="AH56" i="28"/>
  <c r="AH49" i="28"/>
  <c r="AH64" i="28"/>
  <c r="AH48" i="28"/>
  <c r="AH40" i="28"/>
  <c r="AH47" i="28"/>
  <c r="AH50" i="28"/>
  <c r="AH57" i="28"/>
  <c r="AH60" i="28"/>
  <c r="AF43" i="28"/>
  <c r="AJ43" i="28"/>
  <c r="AI43" i="28"/>
  <c r="AA60" i="28"/>
  <c r="K60" i="28"/>
  <c r="AB62" i="29"/>
  <c r="AF62" i="29"/>
  <c r="AI62" i="29"/>
  <c r="AL52" i="23"/>
  <c r="AK51" i="23"/>
  <c r="AL44" i="23"/>
  <c r="AK43" i="23"/>
  <c r="AL36" i="23"/>
  <c r="AK35" i="23"/>
  <c r="AL69" i="23"/>
  <c r="AK68" i="23"/>
  <c r="AJ67" i="23"/>
  <c r="AL61" i="23"/>
  <c r="AK60" i="23"/>
  <c r="AJ59" i="23"/>
  <c r="AK95" i="23"/>
  <c r="AK91" i="23"/>
  <c r="AK87" i="23"/>
  <c r="AK83" i="23"/>
  <c r="AK79" i="23"/>
  <c r="AG96" i="23"/>
  <c r="AL50" i="25"/>
  <c r="AK49" i="25"/>
  <c r="AH46" i="25"/>
  <c r="AL42" i="25"/>
  <c r="AK41" i="25"/>
  <c r="AL34" i="25"/>
  <c r="AI35" i="26"/>
  <c r="AJ35" i="26"/>
  <c r="AE42" i="26"/>
  <c r="AL46" i="26"/>
  <c r="AL42" i="26"/>
  <c r="AF59" i="26"/>
  <c r="AL68" i="26"/>
  <c r="AK65" i="26"/>
  <c r="AL62" i="26"/>
  <c r="AK59" i="26"/>
  <c r="AL71" i="26"/>
  <c r="AA73" i="26"/>
  <c r="AI42" i="27"/>
  <c r="AB42" i="27"/>
  <c r="AF42" i="27"/>
  <c r="AF39" i="27"/>
  <c r="AI39" i="27"/>
  <c r="AB39" i="27"/>
  <c r="AF36" i="27"/>
  <c r="AI36" i="27"/>
  <c r="AB36" i="27"/>
  <c r="AA20" i="28"/>
  <c r="AA19" i="28"/>
  <c r="AB49" i="28" s="1"/>
  <c r="AM36" i="28"/>
  <c r="AN36" i="28"/>
  <c r="AE44" i="28"/>
  <c r="AK44" i="28"/>
  <c r="AD66" i="28"/>
  <c r="K52" i="28"/>
  <c r="AJ48" i="28"/>
  <c r="AF48" i="28"/>
  <c r="AI48" i="28"/>
  <c r="AL53" i="23"/>
  <c r="AK52" i="23"/>
  <c r="AJ51" i="23"/>
  <c r="AL45" i="23"/>
  <c r="AK44" i="23"/>
  <c r="AJ43" i="23"/>
  <c r="AL37" i="23"/>
  <c r="AK36" i="23"/>
  <c r="AJ35" i="23"/>
  <c r="AL70" i="23"/>
  <c r="AK69" i="23"/>
  <c r="AI67" i="23"/>
  <c r="AL62" i="23"/>
  <c r="AK61" i="23"/>
  <c r="AI59" i="23"/>
  <c r="AH98" i="23"/>
  <c r="K47" i="25"/>
  <c r="K43" i="25"/>
  <c r="K39" i="25"/>
  <c r="K35" i="25"/>
  <c r="AE36" i="25"/>
  <c r="AK50" i="25"/>
  <c r="AL43" i="25"/>
  <c r="AK42" i="25"/>
  <c r="AK34" i="25"/>
  <c r="AK55" i="26"/>
  <c r="AK63" i="26"/>
  <c r="AK39" i="26"/>
  <c r="AK47" i="26"/>
  <c r="AK71" i="26"/>
  <c r="AK54" i="26"/>
  <c r="AK62" i="26"/>
  <c r="K44" i="26"/>
  <c r="K36" i="26"/>
  <c r="AL36" i="26"/>
  <c r="AE46" i="26"/>
  <c r="AK46" i="26"/>
  <c r="AK42" i="26"/>
  <c r="AL38" i="26"/>
  <c r="K52" i="26"/>
  <c r="AE64" i="26"/>
  <c r="AE58" i="26"/>
  <c r="AK68" i="26"/>
  <c r="AL57" i="26"/>
  <c r="AL51" i="26"/>
  <c r="AI35" i="28"/>
  <c r="AJ35" i="28"/>
  <c r="AF35" i="28"/>
  <c r="AE40" i="26"/>
  <c r="AE44" i="26"/>
  <c r="AE51" i="26"/>
  <c r="AE55" i="26"/>
  <c r="AE59" i="26"/>
  <c r="AE63" i="26"/>
  <c r="AE67" i="26"/>
  <c r="AE41" i="26"/>
  <c r="AF43" i="27"/>
  <c r="AB43" i="27"/>
  <c r="AI35" i="27"/>
  <c r="AA46" i="27"/>
  <c r="AI52" i="28"/>
  <c r="AF52" i="28"/>
  <c r="AJ52" i="28"/>
  <c r="AI42" i="29"/>
  <c r="AF42" i="29"/>
  <c r="AB42" i="29"/>
  <c r="AB51" i="23"/>
  <c r="AB47" i="23"/>
  <c r="AB43" i="23"/>
  <c r="AB39" i="23"/>
  <c r="AB35" i="23"/>
  <c r="AL47" i="23"/>
  <c r="AK46" i="23"/>
  <c r="AL39" i="23"/>
  <c r="AK38" i="23"/>
  <c r="AF71" i="23"/>
  <c r="AF63" i="23"/>
  <c r="AL72" i="23"/>
  <c r="AK71" i="23"/>
  <c r="AL64" i="23"/>
  <c r="AK63" i="23"/>
  <c r="AL56" i="23"/>
  <c r="AH93" i="23"/>
  <c r="AH89" i="23"/>
  <c r="AH85" i="23"/>
  <c r="AH81" i="23"/>
  <c r="AH77" i="23"/>
  <c r="AK44" i="25"/>
  <c r="AB39" i="26"/>
  <c r="AE45" i="26"/>
  <c r="AJ47" i="26"/>
  <c r="AL39" i="26"/>
  <c r="AA65" i="26"/>
  <c r="AB59" i="26"/>
  <c r="AJ54" i="26"/>
  <c r="AF54" i="26"/>
  <c r="AE68" i="26"/>
  <c r="AE62" i="26"/>
  <c r="AE57" i="26"/>
  <c r="AE52" i="26"/>
  <c r="AI54" i="26"/>
  <c r="AE71" i="26"/>
  <c r="AH61" i="28"/>
  <c r="AF65" i="29"/>
  <c r="AI65" i="29"/>
  <c r="AB65" i="29"/>
  <c r="AI60" i="29"/>
  <c r="AB60" i="29"/>
  <c r="AF60" i="29"/>
  <c r="AI58" i="29"/>
  <c r="AB58" i="29"/>
  <c r="AF58" i="29"/>
  <c r="AL48" i="23"/>
  <c r="AK47" i="23"/>
  <c r="AL40" i="23"/>
  <c r="AK39" i="23"/>
  <c r="K72" i="23"/>
  <c r="K68" i="23"/>
  <c r="K64" i="23"/>
  <c r="K60" i="23"/>
  <c r="K56" i="23"/>
  <c r="AL73" i="23"/>
  <c r="AK72" i="23"/>
  <c r="AL65" i="23"/>
  <c r="AK64" i="23"/>
  <c r="AK56" i="23"/>
  <c r="AK93" i="23"/>
  <c r="AK89" i="23"/>
  <c r="AK85" i="23"/>
  <c r="AK81" i="23"/>
  <c r="AL37" i="26"/>
  <c r="AF39" i="26"/>
  <c r="AL44" i="26"/>
  <c r="AJ60" i="26"/>
  <c r="AL58" i="26"/>
  <c r="AL52" i="26"/>
  <c r="K38" i="27"/>
  <c r="AI34" i="27"/>
  <c r="AB34" i="27"/>
  <c r="AF34" i="27"/>
  <c r="AA56" i="28"/>
  <c r="K56" i="28"/>
  <c r="AB61" i="28"/>
  <c r="AF61" i="28"/>
  <c r="AI61" i="28"/>
  <c r="AJ61" i="28"/>
  <c r="AF46" i="29"/>
  <c r="AI46" i="29"/>
  <c r="AB46" i="29"/>
  <c r="AH43" i="27"/>
  <c r="AH35" i="27"/>
  <c r="AL64" i="28"/>
  <c r="AL48" i="28"/>
  <c r="AL40" i="28"/>
  <c r="AL63" i="28"/>
  <c r="AL47" i="28"/>
  <c r="AL39" i="28"/>
  <c r="AL35" i="28"/>
  <c r="AL60" i="28"/>
  <c r="AL59" i="28"/>
  <c r="AL52" i="28"/>
  <c r="AL57" i="28"/>
  <c r="AL50" i="28"/>
  <c r="AL42" i="28"/>
  <c r="AJ36" i="28"/>
  <c r="AF36" i="28"/>
  <c r="AI36" i="28"/>
  <c r="AF40" i="28"/>
  <c r="AJ40" i="28"/>
  <c r="AI49" i="28"/>
  <c r="AF49" i="28"/>
  <c r="AJ49" i="28"/>
  <c r="AL58" i="28"/>
  <c r="AF63" i="28"/>
  <c r="AI63" i="28"/>
  <c r="AB38" i="29"/>
  <c r="AF39" i="29"/>
  <c r="AA67" i="29"/>
  <c r="K67" i="29"/>
  <c r="AB55" i="29"/>
  <c r="AI55" i="29"/>
  <c r="AF61" i="29"/>
  <c r="AB61" i="29"/>
  <c r="AE66" i="29"/>
  <c r="AI58" i="30"/>
  <c r="AF58" i="30"/>
  <c r="AL41" i="27"/>
  <c r="AH37" i="27"/>
  <c r="AE44" i="27"/>
  <c r="AB40" i="28"/>
  <c r="AL51" i="28"/>
  <c r="AJ58" i="28"/>
  <c r="AE61" i="28"/>
  <c r="AK61" i="28"/>
  <c r="AA67" i="28"/>
  <c r="AI43" i="29"/>
  <c r="K51" i="29"/>
  <c r="AA51" i="29"/>
  <c r="AA77" i="29"/>
  <c r="AF73" i="29"/>
  <c r="AB73" i="29"/>
  <c r="AI45" i="30"/>
  <c r="AF45" i="30"/>
  <c r="AA19" i="31"/>
  <c r="AB37" i="31" s="1"/>
  <c r="AE41" i="27"/>
  <c r="AE37" i="27"/>
  <c r="AL42" i="27"/>
  <c r="AL34" i="27"/>
  <c r="AL44" i="27"/>
  <c r="AL43" i="28"/>
  <c r="AA44" i="28"/>
  <c r="AE51" i="28"/>
  <c r="AA53" i="28"/>
  <c r="AF57" i="28"/>
  <c r="AI57" i="28"/>
  <c r="AJ57" i="28"/>
  <c r="AB43" i="29"/>
  <c r="AI70" i="29"/>
  <c r="AB63" i="29"/>
  <c r="AI63" i="29"/>
  <c r="AF63" i="29"/>
  <c r="AI56" i="29"/>
  <c r="AB68" i="29"/>
  <c r="AL43" i="27"/>
  <c r="AH39" i="27"/>
  <c r="AL35" i="27"/>
  <c r="AA39" i="28"/>
  <c r="S66" i="28"/>
  <c r="AL44" i="28"/>
  <c r="AI50" i="28"/>
  <c r="AJ50" i="28"/>
  <c r="AF50" i="28"/>
  <c r="AJ64" i="28"/>
  <c r="AF64" i="28"/>
  <c r="AI64" i="28"/>
  <c r="AA20" i="29"/>
  <c r="AJ56" i="29" s="1"/>
  <c r="AE74" i="29"/>
  <c r="AE57" i="29"/>
  <c r="AE71" i="29"/>
  <c r="AE41" i="29"/>
  <c r="AE45" i="29"/>
  <c r="AE53" i="29"/>
  <c r="AE58" i="29"/>
  <c r="AE67" i="29"/>
  <c r="AE54" i="29"/>
  <c r="AE63" i="29"/>
  <c r="AE38" i="29"/>
  <c r="AE42" i="29"/>
  <c r="AE46" i="29"/>
  <c r="AE50" i="29"/>
  <c r="AE68" i="29"/>
  <c r="AE55" i="29"/>
  <c r="AE64" i="29"/>
  <c r="AE35" i="29"/>
  <c r="AE39" i="29"/>
  <c r="AE43" i="29"/>
  <c r="AE47" i="29"/>
  <c r="AE56" i="29"/>
  <c r="AE65" i="29"/>
  <c r="AE70" i="29"/>
  <c r="AE40" i="29"/>
  <c r="AE44" i="29"/>
  <c r="AA76" i="29"/>
  <c r="AI47" i="29"/>
  <c r="AF47" i="29"/>
  <c r="AF53" i="29"/>
  <c r="AB53" i="29"/>
  <c r="AI53" i="29"/>
  <c r="AE60" i="29"/>
  <c r="AE73" i="29"/>
  <c r="AE39" i="28"/>
  <c r="AE43" i="28"/>
  <c r="AE48" i="28"/>
  <c r="AE52" i="28"/>
  <c r="AE63" i="28"/>
  <c r="AE49" i="28"/>
  <c r="AE56" i="28"/>
  <c r="AE60" i="28"/>
  <c r="AM42" i="28"/>
  <c r="K47" i="28"/>
  <c r="AA47" i="28"/>
  <c r="AM59" i="28"/>
  <c r="AL56" i="28"/>
  <c r="AF38" i="29"/>
  <c r="K59" i="29"/>
  <c r="AA59" i="29"/>
  <c r="AF52" i="29"/>
  <c r="AI52" i="29"/>
  <c r="AB52" i="29"/>
  <c r="AL36" i="28"/>
  <c r="K40" i="28"/>
  <c r="AI40" i="28"/>
  <c r="AG66" i="28"/>
  <c r="AH44" i="28"/>
  <c r="K51" i="28"/>
  <c r="AA51" i="28"/>
  <c r="AE47" i="28"/>
  <c r="AH53" i="28"/>
  <c r="AL53" i="28"/>
  <c r="AJ59" i="28"/>
  <c r="AJ63" i="28"/>
  <c r="AI35" i="29"/>
  <c r="AB40" i="29"/>
  <c r="AF43" i="29"/>
  <c r="AF57" i="29"/>
  <c r="AI57" i="29"/>
  <c r="AI50" i="29"/>
  <c r="AB50" i="29"/>
  <c r="AF50" i="29"/>
  <c r="AF70" i="29"/>
  <c r="AF56" i="29"/>
  <c r="AA36" i="32"/>
  <c r="AK41" i="28"/>
  <c r="AK49" i="28"/>
  <c r="K59" i="28"/>
  <c r="AK56" i="28"/>
  <c r="AH46" i="29"/>
  <c r="AL42" i="29"/>
  <c r="AK41" i="29"/>
  <c r="K60" i="29"/>
  <c r="AA66" i="29"/>
  <c r="AI71" i="29"/>
  <c r="AL68" i="29"/>
  <c r="AK64" i="29"/>
  <c r="AA20" i="30"/>
  <c r="AJ38" i="30" s="1"/>
  <c r="AE66" i="30"/>
  <c r="AK43" i="28"/>
  <c r="AJ42" i="28"/>
  <c r="AK51" i="28"/>
  <c r="AK58" i="28"/>
  <c r="K46" i="29"/>
  <c r="K42" i="29"/>
  <c r="K38" i="29"/>
  <c r="AL44" i="29"/>
  <c r="AK43" i="29"/>
  <c r="AI41" i="29"/>
  <c r="AH40" i="29"/>
  <c r="AL36" i="29"/>
  <c r="AK35" i="29"/>
  <c r="K58" i="29"/>
  <c r="K50" i="29"/>
  <c r="AF68" i="29"/>
  <c r="AK69" i="29"/>
  <c r="AI68" i="29"/>
  <c r="AK62" i="29"/>
  <c r="AH61" i="29"/>
  <c r="AK59" i="29"/>
  <c r="AK56" i="29"/>
  <c r="AB74" i="29"/>
  <c r="AI74" i="29"/>
  <c r="AK74" i="29"/>
  <c r="AA19" i="30"/>
  <c r="AB66" i="30" s="1"/>
  <c r="AA20" i="31"/>
  <c r="AJ37" i="31" s="1"/>
  <c r="AA20" i="32"/>
  <c r="AJ34" i="32" s="1"/>
  <c r="AK52" i="28"/>
  <c r="AK53" i="28"/>
  <c r="AF58" i="28"/>
  <c r="AK59" i="28"/>
  <c r="AL53" i="29"/>
  <c r="AL61" i="29"/>
  <c r="AL69" i="29"/>
  <c r="AL50" i="29"/>
  <c r="AL58" i="29"/>
  <c r="AB45" i="29"/>
  <c r="AB41" i="29"/>
  <c r="AB37" i="29"/>
  <c r="AL45" i="29"/>
  <c r="AK44" i="29"/>
  <c r="AH41" i="29"/>
  <c r="AL37" i="29"/>
  <c r="AK36" i="29"/>
  <c r="AL70" i="29"/>
  <c r="AH68" i="29"/>
  <c r="AL54" i="29"/>
  <c r="AL51" i="29"/>
  <c r="AF37" i="30"/>
  <c r="AH57" i="29"/>
  <c r="AH65" i="29"/>
  <c r="AH73" i="29"/>
  <c r="AH54" i="29"/>
  <c r="AH62" i="29"/>
  <c r="AH42" i="29"/>
  <c r="AH59" i="29"/>
  <c r="AH53" i="29"/>
  <c r="AH74" i="29"/>
  <c r="AI44" i="30"/>
  <c r="AF44" i="30"/>
  <c r="AA67" i="30"/>
  <c r="K67" i="30"/>
  <c r="AI66" i="30"/>
  <c r="AF66" i="30"/>
  <c r="AJ66" i="30"/>
  <c r="AF73" i="30"/>
  <c r="AI73" i="30"/>
  <c r="AJ36" i="33"/>
  <c r="AJ60" i="33"/>
  <c r="AJ52" i="33"/>
  <c r="AJ44" i="33"/>
  <c r="AA39" i="33"/>
  <c r="K39" i="33"/>
  <c r="K34" i="33"/>
  <c r="AA34" i="33"/>
  <c r="AJ53" i="33"/>
  <c r="AF53" i="33"/>
  <c r="AI53" i="33"/>
  <c r="AB44" i="29"/>
  <c r="AB36" i="29"/>
  <c r="AF45" i="29"/>
  <c r="AF37" i="29"/>
  <c r="AL47" i="29"/>
  <c r="AK46" i="29"/>
  <c r="AH43" i="29"/>
  <c r="AL39" i="29"/>
  <c r="AK38" i="29"/>
  <c r="AH35" i="29"/>
  <c r="AB71" i="29"/>
  <c r="AL71" i="29"/>
  <c r="AH69" i="29"/>
  <c r="AK66" i="29"/>
  <c r="AF74" i="29"/>
  <c r="AE57" i="30"/>
  <c r="AE61" i="30"/>
  <c r="AE65" i="30"/>
  <c r="AE69" i="30"/>
  <c r="AE73" i="30"/>
  <c r="AE52" i="30"/>
  <c r="AE56" i="30"/>
  <c r="AE60" i="30"/>
  <c r="AE64" i="30"/>
  <c r="AE68" i="30"/>
  <c r="AE72" i="30"/>
  <c r="AE35" i="30"/>
  <c r="AE39" i="30"/>
  <c r="AE43" i="30"/>
  <c r="AE47" i="30"/>
  <c r="AE59" i="30"/>
  <c r="AE67" i="30"/>
  <c r="AE44" i="30"/>
  <c r="AE62" i="30"/>
  <c r="AE70" i="30"/>
  <c r="AE45" i="30"/>
  <c r="AE55" i="30"/>
  <c r="AE63" i="30"/>
  <c r="AE41" i="30"/>
  <c r="AE75" i="30"/>
  <c r="AE42" i="30"/>
  <c r="AI41" i="30"/>
  <c r="AI37" i="30"/>
  <c r="AA72" i="30"/>
  <c r="K72" i="30"/>
  <c r="AA50" i="30"/>
  <c r="AK39" i="28"/>
  <c r="AK47" i="28"/>
  <c r="AK52" i="29"/>
  <c r="AK60" i="29"/>
  <c r="AK68" i="29"/>
  <c r="AK57" i="29"/>
  <c r="AK65" i="29"/>
  <c r="AK47" i="29"/>
  <c r="AH44" i="29"/>
  <c r="AL40" i="29"/>
  <c r="AK39" i="29"/>
  <c r="AK71" i="29"/>
  <c r="AL67" i="29"/>
  <c r="AL55" i="29"/>
  <c r="AL52" i="29"/>
  <c r="AL73" i="29"/>
  <c r="AF35" i="30"/>
  <c r="AI35" i="30"/>
  <c r="AF39" i="30"/>
  <c r="AI39" i="30"/>
  <c r="AJ39" i="30"/>
  <c r="AE38" i="30"/>
  <c r="AF65" i="30"/>
  <c r="V67" i="33"/>
  <c r="V68" i="33"/>
  <c r="AA47" i="33"/>
  <c r="K47" i="33"/>
  <c r="K42" i="33"/>
  <c r="AA42" i="33"/>
  <c r="AM62" i="33"/>
  <c r="AN62" i="33"/>
  <c r="K45" i="30"/>
  <c r="K41" i="30"/>
  <c r="K37" i="30"/>
  <c r="AA78" i="30"/>
  <c r="AF46" i="30"/>
  <c r="AK47" i="30"/>
  <c r="AL43" i="30"/>
  <c r="AL39" i="30"/>
  <c r="AA60" i="30"/>
  <c r="K60" i="30"/>
  <c r="AB56" i="30"/>
  <c r="AK69" i="30"/>
  <c r="AH58" i="30"/>
  <c r="AK53" i="30"/>
  <c r="W68" i="33"/>
  <c r="W67" i="33"/>
  <c r="O68" i="33"/>
  <c r="AA66" i="33"/>
  <c r="O67" i="33"/>
  <c r="AA56" i="33"/>
  <c r="K56" i="33"/>
  <c r="AJ51" i="33"/>
  <c r="AF51" i="33"/>
  <c r="AN35" i="34"/>
  <c r="AM35" i="34"/>
  <c r="AA20" i="35"/>
  <c r="AJ41" i="35" s="1"/>
  <c r="AF57" i="36"/>
  <c r="AI57" i="36"/>
  <c r="AB57" i="36"/>
  <c r="AA68" i="30"/>
  <c r="K68" i="30"/>
  <c r="AI53" i="30"/>
  <c r="AF53" i="30"/>
  <c r="AB53" i="30"/>
  <c r="AH55" i="30"/>
  <c r="AJ76" i="30"/>
  <c r="AI34" i="31"/>
  <c r="AJ34" i="31"/>
  <c r="AF34" i="31"/>
  <c r="AA39" i="31"/>
  <c r="AF62" i="33"/>
  <c r="AI62" i="33"/>
  <c r="AJ62" i="33"/>
  <c r="AM46" i="33"/>
  <c r="AN46" i="33"/>
  <c r="AL75" i="30"/>
  <c r="AL56" i="30"/>
  <c r="AL64" i="30"/>
  <c r="AL72" i="30"/>
  <c r="AL55" i="30"/>
  <c r="AL63" i="30"/>
  <c r="AL71" i="30"/>
  <c r="AL53" i="30"/>
  <c r="AL61" i="30"/>
  <c r="AL69" i="30"/>
  <c r="AL50" i="30"/>
  <c r="AL58" i="30"/>
  <c r="AL66" i="30"/>
  <c r="AL36" i="30"/>
  <c r="AL44" i="30"/>
  <c r="AB36" i="30"/>
  <c r="AH47" i="30"/>
  <c r="AL45" i="30"/>
  <c r="AH43" i="30"/>
  <c r="K59" i="30"/>
  <c r="AJ70" i="30"/>
  <c r="AF70" i="30"/>
  <c r="AJ62" i="30"/>
  <c r="AF62" i="30"/>
  <c r="AF54" i="30"/>
  <c r="AB54" i="30"/>
  <c r="AL68" i="30"/>
  <c r="AK59" i="30"/>
  <c r="AL52" i="30"/>
  <c r="AI76" i="30"/>
  <c r="AA36" i="31"/>
  <c r="AL37" i="31"/>
  <c r="Z16" i="32"/>
  <c r="AA16" i="32"/>
  <c r="AJ59" i="33"/>
  <c r="AF59" i="33"/>
  <c r="AB59" i="33"/>
  <c r="AI59" i="33"/>
  <c r="AJ45" i="33"/>
  <c r="AF45" i="33"/>
  <c r="AI49" i="34"/>
  <c r="AJ49" i="34"/>
  <c r="AB49" i="34"/>
  <c r="AF49" i="34"/>
  <c r="AA57" i="35"/>
  <c r="AH52" i="30"/>
  <c r="AH60" i="30"/>
  <c r="AH68" i="30"/>
  <c r="AH51" i="30"/>
  <c r="AH59" i="30"/>
  <c r="AH67" i="30"/>
  <c r="AH76" i="30"/>
  <c r="AH57" i="30"/>
  <c r="AH65" i="30"/>
  <c r="AH73" i="30"/>
  <c r="AH54" i="30"/>
  <c r="AH62" i="30"/>
  <c r="AH70" i="30"/>
  <c r="AH40" i="30"/>
  <c r="AH39" i="30"/>
  <c r="AH35" i="30"/>
  <c r="AA61" i="30"/>
  <c r="K61" i="30"/>
  <c r="AJ56" i="30"/>
  <c r="AH66" i="30"/>
  <c r="AH50" i="30"/>
  <c r="AA79" i="30"/>
  <c r="AF75" i="30"/>
  <c r="AI35" i="31"/>
  <c r="AF35" i="31"/>
  <c r="AJ35" i="31"/>
  <c r="AB35" i="31"/>
  <c r="S67" i="33"/>
  <c r="S68" i="33"/>
  <c r="AI64" i="33"/>
  <c r="AJ64" i="33"/>
  <c r="AF64" i="33"/>
  <c r="AB64" i="33"/>
  <c r="AI45" i="33"/>
  <c r="AI35" i="34"/>
  <c r="AF35" i="34"/>
  <c r="AA40" i="30"/>
  <c r="AL46" i="30"/>
  <c r="AH44" i="30"/>
  <c r="AL65" i="30"/>
  <c r="AJ63" i="30"/>
  <c r="AH61" i="30"/>
  <c r="AB34" i="31"/>
  <c r="AE37" i="31"/>
  <c r="AA19" i="32"/>
  <c r="AB34" i="32" s="1"/>
  <c r="AA35" i="32"/>
  <c r="K35" i="32"/>
  <c r="AA19" i="33"/>
  <c r="AB48" i="33" s="1"/>
  <c r="AI57" i="33"/>
  <c r="AJ57" i="33"/>
  <c r="AF57" i="33"/>
  <c r="AB57" i="33"/>
  <c r="AK55" i="30"/>
  <c r="AK63" i="30"/>
  <c r="AK71" i="30"/>
  <c r="AK54" i="30"/>
  <c r="AK62" i="30"/>
  <c r="AK70" i="30"/>
  <c r="AK52" i="30"/>
  <c r="AK60" i="30"/>
  <c r="AK68" i="30"/>
  <c r="AK76" i="30"/>
  <c r="AK57" i="30"/>
  <c r="AK65" i="30"/>
  <c r="AK73" i="30"/>
  <c r="AK35" i="30"/>
  <c r="AK43" i="30"/>
  <c r="K44" i="30"/>
  <c r="AK46" i="30"/>
  <c r="AL42" i="30"/>
  <c r="AL38" i="30"/>
  <c r="AI69" i="30"/>
  <c r="AF69" i="30"/>
  <c r="AB69" i="30"/>
  <c r="AA52" i="30"/>
  <c r="K52" i="30"/>
  <c r="AA51" i="30"/>
  <c r="AL67" i="30"/>
  <c r="AH63" i="30"/>
  <c r="AK58" i="30"/>
  <c r="AI56" i="30"/>
  <c r="AL51" i="30"/>
  <c r="AF76" i="30"/>
  <c r="AI75" i="30"/>
  <c r="AL36" i="31"/>
  <c r="AL35" i="31"/>
  <c r="AA38" i="32"/>
  <c r="Z16" i="33"/>
  <c r="AA16" i="33"/>
  <c r="Y67" i="33"/>
  <c r="Y68" i="33"/>
  <c r="Q66" i="33"/>
  <c r="AA20" i="33"/>
  <c r="AH41" i="33"/>
  <c r="AH40" i="33"/>
  <c r="AH48" i="33"/>
  <c r="AH55" i="33"/>
  <c r="AH54" i="33"/>
  <c r="AH45" i="33"/>
  <c r="AH53" i="33"/>
  <c r="AH43" i="33"/>
  <c r="AH51" i="33"/>
  <c r="AH44" i="33"/>
  <c r="AH52" i="33"/>
  <c r="AF46" i="33"/>
  <c r="AI46" i="33"/>
  <c r="AJ46" i="33"/>
  <c r="AF54" i="33"/>
  <c r="AI54" i="33"/>
  <c r="AJ54" i="33"/>
  <c r="AF38" i="33"/>
  <c r="AI38" i="33"/>
  <c r="AJ38" i="33"/>
  <c r="U68" i="33"/>
  <c r="U67" i="33"/>
  <c r="AF34" i="35"/>
  <c r="AB34" i="35"/>
  <c r="AI34" i="35"/>
  <c r="AK48" i="35"/>
  <c r="AE48" i="35"/>
  <c r="AD52" i="35"/>
  <c r="AH36" i="31"/>
  <c r="X67" i="33"/>
  <c r="X68" i="33"/>
  <c r="P67" i="33"/>
  <c r="P68" i="33"/>
  <c r="AL66" i="33"/>
  <c r="AG68" i="33"/>
  <c r="AH66" i="33"/>
  <c r="AG67" i="33"/>
  <c r="AI65" i="33"/>
  <c r="AJ65" i="33"/>
  <c r="AF65" i="33"/>
  <c r="AB65" i="33"/>
  <c r="AJ37" i="33"/>
  <c r="AF37" i="33"/>
  <c r="AB37" i="33"/>
  <c r="AF38" i="34"/>
  <c r="AB38" i="34"/>
  <c r="AN36" i="34"/>
  <c r="AM57" i="34"/>
  <c r="AN57" i="34"/>
  <c r="AA63" i="34"/>
  <c r="AF50" i="35"/>
  <c r="AB50" i="35"/>
  <c r="AA38" i="36"/>
  <c r="K38" i="36"/>
  <c r="AF63" i="36"/>
  <c r="AI63" i="36"/>
  <c r="K53" i="30"/>
  <c r="K34" i="31"/>
  <c r="AK34" i="31"/>
  <c r="AK34" i="32"/>
  <c r="AH36" i="32"/>
  <c r="AK36" i="33"/>
  <c r="AK44" i="33"/>
  <c r="AK52" i="33"/>
  <c r="AK60" i="33"/>
  <c r="AK35" i="33"/>
  <c r="AK43" i="33"/>
  <c r="AK51" i="33"/>
  <c r="AK59" i="33"/>
  <c r="AK34" i="33"/>
  <c r="AK42" i="33"/>
  <c r="AK50" i="33"/>
  <c r="AK58" i="33"/>
  <c r="AK41" i="33"/>
  <c r="AK49" i="33"/>
  <c r="AK57" i="33"/>
  <c r="AK65" i="33"/>
  <c r="AK40" i="33"/>
  <c r="AK48" i="33"/>
  <c r="AK56" i="33"/>
  <c r="AK64" i="33"/>
  <c r="AK38" i="33"/>
  <c r="AK46" i="33"/>
  <c r="AK54" i="33"/>
  <c r="AK62" i="33"/>
  <c r="AA55" i="33"/>
  <c r="K55" i="33"/>
  <c r="K48" i="33"/>
  <c r="AI40" i="33"/>
  <c r="AJ40" i="33"/>
  <c r="AF40" i="33"/>
  <c r="AB40" i="33"/>
  <c r="AJ35" i="33"/>
  <c r="AF35" i="33"/>
  <c r="AB35" i="33"/>
  <c r="AJ61" i="33"/>
  <c r="AF61" i="33"/>
  <c r="AB61" i="33"/>
  <c r="AK63" i="33"/>
  <c r="AK39" i="33"/>
  <c r="AF39" i="34"/>
  <c r="AI39" i="34"/>
  <c r="AB39" i="34"/>
  <c r="AF55" i="35"/>
  <c r="AB55" i="35"/>
  <c r="AI55" i="35"/>
  <c r="AE36" i="32"/>
  <c r="AE66" i="33"/>
  <c r="AD67" i="33"/>
  <c r="AD68" i="33"/>
  <c r="Z16" i="34"/>
  <c r="AI38" i="34"/>
  <c r="AH46" i="34"/>
  <c r="AG53" i="34"/>
  <c r="AL46" i="34"/>
  <c r="AA16" i="31"/>
  <c r="AE43" i="33"/>
  <c r="AE51" i="33"/>
  <c r="AE55" i="33"/>
  <c r="AE40" i="33"/>
  <c r="AE44" i="33"/>
  <c r="AE48" i="33"/>
  <c r="AE52" i="33"/>
  <c r="AA63" i="33"/>
  <c r="K63" i="33"/>
  <c r="AI48" i="33"/>
  <c r="AJ48" i="33"/>
  <c r="AF48" i="33"/>
  <c r="AJ43" i="33"/>
  <c r="AF43" i="33"/>
  <c r="AB43" i="33"/>
  <c r="AA50" i="33"/>
  <c r="AI41" i="33"/>
  <c r="AJ41" i="33"/>
  <c r="AF41" i="33"/>
  <c r="AK53" i="33"/>
  <c r="T68" i="33"/>
  <c r="AA42" i="36"/>
  <c r="K42" i="36"/>
  <c r="AI53" i="36"/>
  <c r="AF53" i="36"/>
  <c r="Z67" i="33"/>
  <c r="Z68" i="33"/>
  <c r="R67" i="33"/>
  <c r="R68" i="33"/>
  <c r="AA58" i="33"/>
  <c r="AI49" i="33"/>
  <c r="AJ49" i="33"/>
  <c r="AF49" i="33"/>
  <c r="AB49" i="33"/>
  <c r="AE54" i="33"/>
  <c r="AE41" i="33"/>
  <c r="AI35" i="33"/>
  <c r="O52" i="35"/>
  <c r="AA48" i="35"/>
  <c r="AI55" i="36"/>
  <c r="AF55" i="36"/>
  <c r="AL63" i="33"/>
  <c r="AI60" i="33"/>
  <c r="AL55" i="33"/>
  <c r="AI52" i="33"/>
  <c r="AL47" i="33"/>
  <c r="AI44" i="33"/>
  <c r="AL39" i="33"/>
  <c r="AI36" i="33"/>
  <c r="AK58" i="34"/>
  <c r="AK56" i="34"/>
  <c r="AK51" i="34"/>
  <c r="AK50" i="34"/>
  <c r="AK43" i="34"/>
  <c r="AK49" i="34"/>
  <c r="AK42" i="34"/>
  <c r="AK37" i="34"/>
  <c r="AK39" i="34"/>
  <c r="AB42" i="34"/>
  <c r="AF42" i="34"/>
  <c r="AM50" i="34"/>
  <c r="AA58" i="34"/>
  <c r="AK40" i="35"/>
  <c r="AK39" i="35"/>
  <c r="AK38" i="35"/>
  <c r="AK56" i="35"/>
  <c r="AK44" i="35"/>
  <c r="AK35" i="35"/>
  <c r="AK55" i="35"/>
  <c r="AK34" i="35"/>
  <c r="AI38" i="35"/>
  <c r="P59" i="35"/>
  <c r="AB56" i="35"/>
  <c r="AI56" i="35"/>
  <c r="AH55" i="36"/>
  <c r="AH54" i="36"/>
  <c r="AH48" i="36"/>
  <c r="AH63" i="36"/>
  <c r="AH53" i="36"/>
  <c r="AH61" i="36"/>
  <c r="AH47" i="36"/>
  <c r="AH39" i="36"/>
  <c r="AH52" i="36"/>
  <c r="AH60" i="36"/>
  <c r="AH46" i="36"/>
  <c r="AH38" i="36"/>
  <c r="AH58" i="36"/>
  <c r="AH44" i="36"/>
  <c r="AH36" i="36"/>
  <c r="AH57" i="36"/>
  <c r="AH43" i="36"/>
  <c r="AH35" i="36"/>
  <c r="AF35" i="36"/>
  <c r="AH51" i="36"/>
  <c r="AB60" i="33"/>
  <c r="AB36" i="33"/>
  <c r="AL65" i="33"/>
  <c r="AL57" i="33"/>
  <c r="AL49" i="33"/>
  <c r="AL41" i="33"/>
  <c r="AA43" i="34"/>
  <c r="K43" i="34"/>
  <c r="AI42" i="34"/>
  <c r="W60" i="34"/>
  <c r="O46" i="34"/>
  <c r="O53" i="34" s="1"/>
  <c r="AA44" i="34"/>
  <c r="AA51" i="34"/>
  <c r="AB56" i="34"/>
  <c r="AI56" i="34"/>
  <c r="AL58" i="34"/>
  <c r="AH58" i="34"/>
  <c r="AB35" i="35"/>
  <c r="AI35" i="35"/>
  <c r="AA40" i="35"/>
  <c r="AK41" i="35"/>
  <c r="AF44" i="35"/>
  <c r="AI44" i="35"/>
  <c r="AB44" i="35"/>
  <c r="AA19" i="36"/>
  <c r="AB39" i="36" s="1"/>
  <c r="AF39" i="36"/>
  <c r="AI39" i="36"/>
  <c r="AB37" i="36"/>
  <c r="AI37" i="36"/>
  <c r="AF37" i="36"/>
  <c r="AI45" i="36"/>
  <c r="K54" i="36"/>
  <c r="AA54" i="36"/>
  <c r="AL42" i="33"/>
  <c r="AL34" i="33"/>
  <c r="AI45" i="35"/>
  <c r="AF45" i="35"/>
  <c r="X59" i="35"/>
  <c r="AA20" i="36"/>
  <c r="AJ55" i="36" s="1"/>
  <c r="AI61" i="36"/>
  <c r="AF61" i="36"/>
  <c r="AL59" i="33"/>
  <c r="AL51" i="33"/>
  <c r="AL43" i="33"/>
  <c r="AL35" i="33"/>
  <c r="K38" i="34"/>
  <c r="AK36" i="34"/>
  <c r="AL51" i="34"/>
  <c r="AH51" i="34"/>
  <c r="AF56" i="34"/>
  <c r="AK46" i="35"/>
  <c r="AE50" i="35"/>
  <c r="AK50" i="35"/>
  <c r="AB44" i="36"/>
  <c r="AF44" i="36"/>
  <c r="AI44" i="36"/>
  <c r="K58" i="36"/>
  <c r="AA58" i="36"/>
  <c r="AB61" i="36"/>
  <c r="AB51" i="36"/>
  <c r="AF51" i="36"/>
  <c r="AI51" i="36"/>
  <c r="AL60" i="33"/>
  <c r="AL52" i="33"/>
  <c r="AL44" i="33"/>
  <c r="AL57" i="34"/>
  <c r="AL56" i="34"/>
  <c r="AL50" i="34"/>
  <c r="AL43" i="34"/>
  <c r="AL49" i="34"/>
  <c r="AL44" i="34"/>
  <c r="AL42" i="34"/>
  <c r="AL37" i="34"/>
  <c r="AI36" i="34"/>
  <c r="AN50" i="34"/>
  <c r="AA46" i="35"/>
  <c r="AH37" i="36"/>
  <c r="AB60" i="36"/>
  <c r="AJ61" i="36"/>
  <c r="AK57" i="34"/>
  <c r="AA19" i="35"/>
  <c r="AK45" i="35"/>
  <c r="AA62" i="35"/>
  <c r="AI48" i="36"/>
  <c r="AF48" i="36"/>
  <c r="AF45" i="36"/>
  <c r="AF59" i="36"/>
  <c r="AI59" i="36"/>
  <c r="AD46" i="34"/>
  <c r="AF57" i="34"/>
  <c r="AL35" i="35"/>
  <c r="AL44" i="35"/>
  <c r="AE46" i="35"/>
  <c r="AL56" i="35"/>
  <c r="AL39" i="36"/>
  <c r="AK38" i="36"/>
  <c r="AE45" i="36"/>
  <c r="AL47" i="36"/>
  <c r="AK46" i="36"/>
  <c r="AL61" i="36"/>
  <c r="AK60" i="36"/>
  <c r="AL53" i="36"/>
  <c r="AK52" i="36"/>
  <c r="AL63" i="36"/>
  <c r="K49" i="34"/>
  <c r="AI57" i="34"/>
  <c r="K38" i="35"/>
  <c r="AA39" i="35"/>
  <c r="AI41" i="35"/>
  <c r="AL45" i="35"/>
  <c r="AL46" i="35"/>
  <c r="AE37" i="36"/>
  <c r="AK39" i="36"/>
  <c r="AL48" i="36"/>
  <c r="AK47" i="36"/>
  <c r="AE61" i="36"/>
  <c r="AE53" i="36"/>
  <c r="AK61" i="36"/>
  <c r="AL54" i="36"/>
  <c r="AK53" i="36"/>
  <c r="AL64" i="36"/>
  <c r="AK63" i="36"/>
  <c r="AL38" i="35"/>
  <c r="AE36" i="36"/>
  <c r="AF43" i="36"/>
  <c r="AL42" i="36"/>
  <c r="K61" i="36"/>
  <c r="K57" i="36"/>
  <c r="K53" i="36"/>
  <c r="AE60" i="36"/>
  <c r="AE56" i="36"/>
  <c r="AE52" i="36"/>
  <c r="AL56" i="36"/>
  <c r="AK55" i="36"/>
  <c r="AF64" i="36"/>
  <c r="AB41" i="35"/>
  <c r="AL39" i="35"/>
  <c r="AL35" i="36"/>
  <c r="K48" i="36"/>
  <c r="K44" i="36"/>
  <c r="AE47" i="36"/>
  <c r="AL43" i="36"/>
  <c r="AK42" i="36"/>
  <c r="AL57" i="36"/>
  <c r="AK56" i="36"/>
  <c r="AL40" i="35"/>
  <c r="AE39" i="36"/>
  <c r="AE35" i="36"/>
  <c r="AL36" i="36"/>
  <c r="AK35" i="36"/>
  <c r="AL44" i="36"/>
  <c r="AK43" i="36"/>
  <c r="AE59" i="36"/>
  <c r="AE55" i="36"/>
  <c r="AL58" i="36"/>
  <c r="AK57" i="36"/>
  <c r="AE46" i="36"/>
  <c r="AL45" i="36"/>
  <c r="AK44" i="36"/>
  <c r="AL59" i="36"/>
  <c r="AI37" i="34" l="1"/>
  <c r="AF37" i="34"/>
  <c r="AF42" i="70"/>
  <c r="AI42" i="70"/>
  <c r="AJ52" i="36"/>
  <c r="AJ57" i="34"/>
  <c r="AB48" i="36"/>
  <c r="AJ43" i="36"/>
  <c r="AB75" i="30"/>
  <c r="AJ35" i="34"/>
  <c r="AB38" i="30"/>
  <c r="AJ40" i="29"/>
  <c r="AJ39" i="27"/>
  <c r="AF37" i="27"/>
  <c r="AB53" i="26"/>
  <c r="AB42" i="26"/>
  <c r="AJ57" i="20"/>
  <c r="AB70" i="26"/>
  <c r="AB67" i="26"/>
  <c r="AI59" i="18"/>
  <c r="AI54" i="24"/>
  <c r="AB87" i="65"/>
  <c r="AB85" i="58"/>
  <c r="AJ64" i="63"/>
  <c r="AJ38" i="63"/>
  <c r="AI35" i="54"/>
  <c r="AJ85" i="63"/>
  <c r="AB38" i="61"/>
  <c r="AF63" i="11"/>
  <c r="AJ48" i="51"/>
  <c r="AH126" i="56"/>
  <c r="AB88" i="9"/>
  <c r="AB37" i="51"/>
  <c r="AJ96" i="51"/>
  <c r="AB79" i="9"/>
  <c r="AJ54" i="51"/>
  <c r="AB85" i="39"/>
  <c r="AB94" i="9"/>
  <c r="AF40" i="9"/>
  <c r="AF65" i="51"/>
  <c r="AF98" i="9"/>
  <c r="AJ63" i="51"/>
  <c r="AJ47" i="9"/>
  <c r="AJ106" i="16"/>
  <c r="AJ107" i="16"/>
  <c r="AF41" i="4"/>
  <c r="AB64" i="29"/>
  <c r="AN64" i="29" s="1"/>
  <c r="AI64" i="29"/>
  <c r="AF64" i="29"/>
  <c r="AA37" i="24"/>
  <c r="AE37" i="24"/>
  <c r="AH37" i="24"/>
  <c r="AI72" i="57"/>
  <c r="AA74" i="57"/>
  <c r="G73" i="57" s="1"/>
  <c r="AJ42" i="51"/>
  <c r="AI36" i="51"/>
  <c r="AF36" i="51"/>
  <c r="AI130" i="6"/>
  <c r="AF130" i="6"/>
  <c r="AF40" i="26"/>
  <c r="AI40" i="26"/>
  <c r="AB44" i="27"/>
  <c r="AF59" i="18"/>
  <c r="AH54" i="24"/>
  <c r="AB41" i="15"/>
  <c r="AB36" i="69"/>
  <c r="AB105" i="68"/>
  <c r="AJ42" i="67"/>
  <c r="AJ84" i="54"/>
  <c r="AB111" i="58"/>
  <c r="AB119" i="58"/>
  <c r="AJ62" i="63"/>
  <c r="AB54" i="63"/>
  <c r="AJ76" i="63"/>
  <c r="AF38" i="61"/>
  <c r="AJ63" i="11"/>
  <c r="AJ47" i="51"/>
  <c r="AJ47" i="63"/>
  <c r="AB41" i="53"/>
  <c r="AJ66" i="52"/>
  <c r="AB59" i="39"/>
  <c r="AF37" i="51"/>
  <c r="AJ46" i="51"/>
  <c r="AB95" i="9"/>
  <c r="AB114" i="9"/>
  <c r="AB44" i="9"/>
  <c r="AB78" i="9"/>
  <c r="AJ56" i="16"/>
  <c r="AJ70" i="16"/>
  <c r="AJ63" i="16"/>
  <c r="AJ97" i="9"/>
  <c r="AB41" i="4"/>
  <c r="AN38" i="35"/>
  <c r="AM38" i="35"/>
  <c r="AI34" i="32"/>
  <c r="AF34" i="32"/>
  <c r="AJ39" i="26"/>
  <c r="AF47" i="69"/>
  <c r="AB47" i="69"/>
  <c r="AI47" i="69"/>
  <c r="AJ43" i="65"/>
  <c r="AI43" i="65"/>
  <c r="AI94" i="58"/>
  <c r="AF94" i="58"/>
  <c r="AI49" i="53"/>
  <c r="AF49" i="53"/>
  <c r="AB49" i="53"/>
  <c r="AJ89" i="54"/>
  <c r="AA54" i="55"/>
  <c r="G53" i="55" s="1"/>
  <c r="AF52" i="55"/>
  <c r="AI52" i="55"/>
  <c r="AI80" i="52"/>
  <c r="AB80" i="52"/>
  <c r="AF80" i="52"/>
  <c r="AF60" i="16"/>
  <c r="AI60" i="16"/>
  <c r="AJ43" i="51"/>
  <c r="AI43" i="51"/>
  <c r="AF43" i="51"/>
  <c r="AI41" i="28"/>
  <c r="AB41" i="28"/>
  <c r="AF41" i="28"/>
  <c r="AH37" i="37"/>
  <c r="AI37" i="37"/>
  <c r="AK37" i="37"/>
  <c r="AJ56" i="35"/>
  <c r="AJ42" i="34"/>
  <c r="AJ50" i="35"/>
  <c r="AB62" i="30"/>
  <c r="AJ45" i="36"/>
  <c r="AJ38" i="34"/>
  <c r="AJ34" i="35"/>
  <c r="AB40" i="26"/>
  <c r="AJ44" i="27"/>
  <c r="AJ35" i="27"/>
  <c r="AB53" i="23"/>
  <c r="AM53" i="23" s="1"/>
  <c r="AB57" i="26"/>
  <c r="AB35" i="26"/>
  <c r="AJ41" i="20"/>
  <c r="AB72" i="15"/>
  <c r="AJ43" i="63"/>
  <c r="AF54" i="63"/>
  <c r="AJ87" i="63"/>
  <c r="AB84" i="54"/>
  <c r="AJ51" i="63"/>
  <c r="AI63" i="11"/>
  <c r="AJ76" i="52"/>
  <c r="AB39" i="55"/>
  <c r="AJ62" i="51"/>
  <c r="AJ80" i="51"/>
  <c r="AB116" i="39"/>
  <c r="AJ36" i="51"/>
  <c r="AJ41" i="51"/>
  <c r="AB36" i="16"/>
  <c r="AJ97" i="16"/>
  <c r="AJ36" i="16"/>
  <c r="AJ89" i="9"/>
  <c r="AJ93" i="16"/>
  <c r="AJ107" i="9"/>
  <c r="AJ76" i="51"/>
  <c r="AI41" i="4"/>
  <c r="AF49" i="4"/>
  <c r="AI34" i="20"/>
  <c r="AB34" i="20"/>
  <c r="AF34" i="20"/>
  <c r="AF36" i="18"/>
  <c r="AI36" i="18"/>
  <c r="AI35" i="69"/>
  <c r="AB35" i="69"/>
  <c r="AI42" i="62"/>
  <c r="AF42" i="62"/>
  <c r="AA44" i="62"/>
  <c r="G43" i="62" s="1"/>
  <c r="AF40" i="51"/>
  <c r="AI40" i="51"/>
  <c r="AI42" i="57"/>
  <c r="AF42" i="57"/>
  <c r="AF42" i="39"/>
  <c r="AI42" i="39"/>
  <c r="AF147" i="6"/>
  <c r="AI147" i="6"/>
  <c r="AI142" i="6"/>
  <c r="AF142" i="6"/>
  <c r="AI38" i="22"/>
  <c r="AB38" i="22"/>
  <c r="AI47" i="36"/>
  <c r="AF47" i="36"/>
  <c r="AJ38" i="35"/>
  <c r="AJ36" i="34"/>
  <c r="AJ37" i="34"/>
  <c r="AJ55" i="35"/>
  <c r="AH48" i="35"/>
  <c r="AB39" i="30"/>
  <c r="AB41" i="30"/>
  <c r="AB73" i="30"/>
  <c r="AB45" i="30"/>
  <c r="AJ38" i="27"/>
  <c r="AJ43" i="27"/>
  <c r="AI44" i="27"/>
  <c r="AB46" i="26"/>
  <c r="AJ64" i="22"/>
  <c r="AB68" i="58"/>
  <c r="AB63" i="11"/>
  <c r="AJ66" i="63"/>
  <c r="AJ54" i="63"/>
  <c r="AJ42" i="63"/>
  <c r="AJ67" i="63"/>
  <c r="AJ94" i="51"/>
  <c r="AJ39" i="51"/>
  <c r="AJ92" i="51"/>
  <c r="AJ86" i="51"/>
  <c r="AJ45" i="51"/>
  <c r="AF89" i="9"/>
  <c r="AJ45" i="7"/>
  <c r="AK55" i="37"/>
  <c r="AJ111" i="16"/>
  <c r="AJ38" i="7"/>
  <c r="AB38" i="19"/>
  <c r="AI38" i="19"/>
  <c r="AF38" i="19"/>
  <c r="AI73" i="23"/>
  <c r="AF73" i="23"/>
  <c r="AI62" i="56"/>
  <c r="AF62" i="56"/>
  <c r="AA64" i="56"/>
  <c r="G63" i="56" s="1"/>
  <c r="AA44" i="64"/>
  <c r="G43" i="64" s="1"/>
  <c r="AF42" i="64"/>
  <c r="AI42" i="64"/>
  <c r="AI92" i="4"/>
  <c r="AF92" i="4"/>
  <c r="AI46" i="51"/>
  <c r="AF46" i="51"/>
  <c r="AF68" i="16"/>
  <c r="AI68" i="16"/>
  <c r="AI55" i="30"/>
  <c r="AF55" i="30"/>
  <c r="AJ45" i="35"/>
  <c r="AB35" i="28"/>
  <c r="AJ37" i="27"/>
  <c r="AJ41" i="27"/>
  <c r="AB62" i="26"/>
  <c r="AN50" i="20"/>
  <c r="AJ45" i="63"/>
  <c r="AJ46" i="63"/>
  <c r="AJ84" i="51"/>
  <c r="AJ64" i="51"/>
  <c r="AB103" i="39"/>
  <c r="AF68" i="9"/>
  <c r="AJ90" i="51"/>
  <c r="AB56" i="39"/>
  <c r="AJ102" i="9"/>
  <c r="AI59" i="17"/>
  <c r="AJ50" i="16"/>
  <c r="AJ117" i="16"/>
  <c r="L44" i="37"/>
  <c r="M44" i="37" s="1"/>
  <c r="AF35" i="23"/>
  <c r="AI35" i="23"/>
  <c r="AM64" i="36"/>
  <c r="AN64" i="36"/>
  <c r="AI64" i="30"/>
  <c r="AF64" i="30"/>
  <c r="AB64" i="30"/>
  <c r="AI34" i="19"/>
  <c r="AF34" i="19"/>
  <c r="AN58" i="15"/>
  <c r="AM58" i="15"/>
  <c r="AF93" i="66"/>
  <c r="AI93" i="66"/>
  <c r="AN36" i="11"/>
  <c r="AM36" i="11"/>
  <c r="AF88" i="54"/>
  <c r="AI88" i="54"/>
  <c r="AF141" i="62"/>
  <c r="AI141" i="62"/>
  <c r="AA64" i="57"/>
  <c r="G63" i="57" s="1"/>
  <c r="AI62" i="57"/>
  <c r="AF62" i="57"/>
  <c r="AF143" i="6"/>
  <c r="AI143" i="6"/>
  <c r="AA63" i="37"/>
  <c r="AI63" i="22"/>
  <c r="AB63" i="22"/>
  <c r="AL48" i="35"/>
  <c r="AJ56" i="34"/>
  <c r="AB70" i="30"/>
  <c r="AB59" i="36"/>
  <c r="AJ35" i="36"/>
  <c r="AJ50" i="34"/>
  <c r="AB76" i="30"/>
  <c r="AB65" i="30"/>
  <c r="AJ37" i="29"/>
  <c r="AB44" i="30"/>
  <c r="AB57" i="28"/>
  <c r="AB52" i="28"/>
  <c r="AJ42" i="27"/>
  <c r="AJ40" i="27"/>
  <c r="AB56" i="26"/>
  <c r="AG20" i="68"/>
  <c r="AH83" i="68" s="1"/>
  <c r="AF93" i="59"/>
  <c r="AB55" i="61"/>
  <c r="AJ35" i="54"/>
  <c r="AJ67" i="51"/>
  <c r="AJ56" i="51"/>
  <c r="AJ55" i="51"/>
  <c r="AJ35" i="51"/>
  <c r="AJ68" i="9"/>
  <c r="AA61" i="17"/>
  <c r="G60" i="17" s="1"/>
  <c r="AJ40" i="7"/>
  <c r="AI49" i="4"/>
  <c r="AJ52" i="51"/>
  <c r="AJ82" i="9"/>
  <c r="AJ49" i="4"/>
  <c r="AF69" i="29"/>
  <c r="AI69" i="29"/>
  <c r="AI58" i="28"/>
  <c r="AB58" i="28"/>
  <c r="AM58" i="28" s="1"/>
  <c r="AA64" i="66"/>
  <c r="G64" i="66" s="1"/>
  <c r="AF52" i="67"/>
  <c r="AI52" i="67"/>
  <c r="AF81" i="57"/>
  <c r="AA84" i="57"/>
  <c r="G82" i="57" s="1"/>
  <c r="AI81" i="57"/>
  <c r="AN38" i="51"/>
  <c r="AM38" i="51"/>
  <c r="AF141" i="57"/>
  <c r="AI141" i="57"/>
  <c r="AM76" i="52"/>
  <c r="AN76" i="52"/>
  <c r="AA44" i="39"/>
  <c r="G43" i="39" s="1"/>
  <c r="AB37" i="34"/>
  <c r="AB35" i="30"/>
  <c r="AJ38" i="29"/>
  <c r="AJ53" i="29"/>
  <c r="AM64" i="29"/>
  <c r="AJ34" i="27"/>
  <c r="AN58" i="28"/>
  <c r="AA44" i="70"/>
  <c r="G44" i="70" s="1"/>
  <c r="AF84" i="54"/>
  <c r="AJ93" i="51"/>
  <c r="AJ51" i="51"/>
  <c r="AJ50" i="51"/>
  <c r="AJ87" i="51"/>
  <c r="AJ57" i="51"/>
  <c r="AB108" i="9"/>
  <c r="AJ78" i="51"/>
  <c r="AF36" i="16"/>
  <c r="AB76" i="9"/>
  <c r="AB118" i="9"/>
  <c r="AN34" i="25"/>
  <c r="AM34" i="25"/>
  <c r="AN42" i="25"/>
  <c r="AM42" i="25"/>
  <c r="AJ35" i="65"/>
  <c r="AI35" i="65"/>
  <c r="AF39" i="65"/>
  <c r="AI39" i="65"/>
  <c r="AF88" i="57"/>
  <c r="AI88" i="57"/>
  <c r="AI79" i="4"/>
  <c r="AF79" i="4"/>
  <c r="AM52" i="52"/>
  <c r="AN52" i="52"/>
  <c r="AM75" i="11"/>
  <c r="AN75" i="11"/>
  <c r="AM80" i="54"/>
  <c r="AN80" i="54"/>
  <c r="AN76" i="63"/>
  <c r="AM76" i="63"/>
  <c r="AF48" i="63"/>
  <c r="AB48" i="63"/>
  <c r="AJ48" i="63"/>
  <c r="AI48" i="63"/>
  <c r="AN85" i="61"/>
  <c r="AM85" i="61"/>
  <c r="AJ69" i="51"/>
  <c r="AI69" i="51"/>
  <c r="AF69" i="51"/>
  <c r="AM106" i="9"/>
  <c r="AN106" i="9"/>
  <c r="AM79" i="9"/>
  <c r="AN79" i="9"/>
  <c r="AF101" i="9"/>
  <c r="AI101" i="9"/>
  <c r="AJ101" i="9"/>
  <c r="AB101" i="9"/>
  <c r="AM102" i="9"/>
  <c r="AN102" i="9"/>
  <c r="AM97" i="51"/>
  <c r="AN97" i="51"/>
  <c r="AM39" i="9"/>
  <c r="AN39" i="9"/>
  <c r="AM47" i="16"/>
  <c r="AN47" i="16"/>
  <c r="AL76" i="4"/>
  <c r="AN76" i="4"/>
  <c r="AI81" i="4"/>
  <c r="AJ81" i="4"/>
  <c r="AF81" i="4"/>
  <c r="AB81" i="4"/>
  <c r="X64" i="37"/>
  <c r="X74" i="37" s="1"/>
  <c r="X62" i="37"/>
  <c r="AL67" i="4"/>
  <c r="AN67" i="4"/>
  <c r="AN61" i="36"/>
  <c r="AM61" i="36"/>
  <c r="AJ47" i="36"/>
  <c r="AJ44" i="36"/>
  <c r="AJ39" i="36"/>
  <c r="AJ36" i="36"/>
  <c r="O60" i="34"/>
  <c r="AA60" i="34" s="1"/>
  <c r="AA53" i="34"/>
  <c r="AG60" i="34"/>
  <c r="AH60" i="34" s="1"/>
  <c r="AL53" i="34"/>
  <c r="AH53" i="34"/>
  <c r="AM40" i="33"/>
  <c r="AN40" i="33"/>
  <c r="AH68" i="33"/>
  <c r="AL68" i="33"/>
  <c r="AJ51" i="30"/>
  <c r="AF51" i="30"/>
  <c r="AB51" i="30"/>
  <c r="AI51" i="30"/>
  <c r="AM48" i="33"/>
  <c r="AN48" i="33"/>
  <c r="AM70" i="30"/>
  <c r="AN70" i="30"/>
  <c r="AI68" i="30"/>
  <c r="AJ68" i="30"/>
  <c r="AF68" i="30"/>
  <c r="AB68" i="30"/>
  <c r="AB51" i="33"/>
  <c r="AB36" i="32"/>
  <c r="AF36" i="32"/>
  <c r="AI36" i="32"/>
  <c r="AJ36" i="32"/>
  <c r="AJ36" i="29"/>
  <c r="AJ44" i="29"/>
  <c r="AJ39" i="29"/>
  <c r="AJ71" i="29"/>
  <c r="AJ68" i="29"/>
  <c r="AJ41" i="29"/>
  <c r="AJ52" i="29"/>
  <c r="AJ42" i="29"/>
  <c r="AJ61" i="29"/>
  <c r="AJ73" i="29"/>
  <c r="AJ63" i="29"/>
  <c r="AJ35" i="29"/>
  <c r="AJ50" i="29"/>
  <c r="AJ74" i="29"/>
  <c r="AJ60" i="29"/>
  <c r="AJ70" i="29"/>
  <c r="AJ54" i="29"/>
  <c r="AJ47" i="29"/>
  <c r="AJ57" i="29"/>
  <c r="AJ55" i="29"/>
  <c r="AJ46" i="29"/>
  <c r="AJ67" i="29"/>
  <c r="AB67" i="29"/>
  <c r="AF67" i="29"/>
  <c r="AI67" i="29"/>
  <c r="AJ62" i="29"/>
  <c r="AI48" i="25"/>
  <c r="AJ48" i="25"/>
  <c r="AF48" i="25"/>
  <c r="AB48" i="25"/>
  <c r="AI43" i="22"/>
  <c r="AJ43" i="22"/>
  <c r="AF43" i="22"/>
  <c r="AB43" i="22"/>
  <c r="AE40" i="24"/>
  <c r="AH40" i="24"/>
  <c r="AI40" i="24"/>
  <c r="AA40" i="24"/>
  <c r="Z62" i="24"/>
  <c r="AN100" i="65"/>
  <c r="AM100" i="65"/>
  <c r="AA54" i="64"/>
  <c r="G53" i="64" s="1"/>
  <c r="AI52" i="64"/>
  <c r="AF52" i="64"/>
  <c r="AI69" i="61"/>
  <c r="AJ69" i="61"/>
  <c r="AF69" i="61"/>
  <c r="AI93" i="57"/>
  <c r="AF93" i="57"/>
  <c r="AI36" i="61"/>
  <c r="AJ36" i="61"/>
  <c r="AF36" i="61"/>
  <c r="AB36" i="61"/>
  <c r="AM93" i="51"/>
  <c r="AN93" i="51"/>
  <c r="AA74" i="56"/>
  <c r="G73" i="56" s="1"/>
  <c r="AI72" i="56"/>
  <c r="AF72" i="56"/>
  <c r="AM94" i="9"/>
  <c r="AN94" i="9"/>
  <c r="AM117" i="16"/>
  <c r="AN117" i="16"/>
  <c r="AI81" i="16"/>
  <c r="AJ81" i="16"/>
  <c r="AF81" i="16"/>
  <c r="AB81" i="16"/>
  <c r="AI146" i="6"/>
  <c r="AF146" i="6"/>
  <c r="AE126" i="56"/>
  <c r="AD127" i="56"/>
  <c r="AF54" i="36"/>
  <c r="AI54" i="36"/>
  <c r="AJ54" i="36"/>
  <c r="AB54" i="36"/>
  <c r="AN47" i="36"/>
  <c r="AM47" i="36"/>
  <c r="AK52" i="35"/>
  <c r="AD59" i="35"/>
  <c r="AE59" i="35" s="1"/>
  <c r="AE52" i="35"/>
  <c r="AM47" i="29"/>
  <c r="AN47" i="29"/>
  <c r="AM42" i="69"/>
  <c r="AN42" i="69"/>
  <c r="AB57" i="66"/>
  <c r="AB113" i="66"/>
  <c r="AB102" i="66"/>
  <c r="AB58" i="66"/>
  <c r="AB49" i="66"/>
  <c r="AB59" i="66"/>
  <c r="AB35" i="66"/>
  <c r="AB109" i="66"/>
  <c r="AB68" i="66"/>
  <c r="AB55" i="66"/>
  <c r="AB39" i="66"/>
  <c r="AB116" i="66"/>
  <c r="AB69" i="66"/>
  <c r="AB56" i="66"/>
  <c r="AB82" i="66"/>
  <c r="AB45" i="66"/>
  <c r="AB100" i="66"/>
  <c r="AB47" i="66"/>
  <c r="AB101" i="66"/>
  <c r="AB115" i="66"/>
  <c r="AB67" i="66"/>
  <c r="AB106" i="66"/>
  <c r="AB65" i="66"/>
  <c r="AB119" i="66"/>
  <c r="AB107" i="66"/>
  <c r="AB48" i="66"/>
  <c r="AB46" i="66"/>
  <c r="AB108" i="66"/>
  <c r="AB114" i="66"/>
  <c r="AB99" i="66"/>
  <c r="AB66" i="66"/>
  <c r="AM96" i="16"/>
  <c r="AN96" i="16"/>
  <c r="AM48" i="36"/>
  <c r="AN48" i="36"/>
  <c r="AN65" i="33"/>
  <c r="AM65" i="33"/>
  <c r="AM54" i="30"/>
  <c r="AN54" i="30"/>
  <c r="AJ72" i="30"/>
  <c r="AI72" i="30"/>
  <c r="AF72" i="30"/>
  <c r="AB72" i="30"/>
  <c r="AN44" i="30"/>
  <c r="AM44" i="30"/>
  <c r="AJ69" i="29"/>
  <c r="AM41" i="29"/>
  <c r="AN41" i="29"/>
  <c r="AN74" i="29"/>
  <c r="AM74" i="29"/>
  <c r="AJ46" i="30"/>
  <c r="AJ71" i="30"/>
  <c r="AJ43" i="30"/>
  <c r="AJ47" i="30"/>
  <c r="AJ55" i="30"/>
  <c r="AJ59" i="30"/>
  <c r="AJ44" i="30"/>
  <c r="AJ58" i="30"/>
  <c r="AF51" i="28"/>
  <c r="AJ51" i="28"/>
  <c r="AB51" i="28"/>
  <c r="AI51" i="28"/>
  <c r="AN37" i="31"/>
  <c r="AM37" i="31"/>
  <c r="AJ51" i="29"/>
  <c r="AB51" i="29"/>
  <c r="AI51" i="29"/>
  <c r="AF51" i="29"/>
  <c r="AI65" i="26"/>
  <c r="AB65" i="26"/>
  <c r="AJ65" i="26"/>
  <c r="AF65" i="26"/>
  <c r="AM43" i="23"/>
  <c r="AN43" i="23"/>
  <c r="AN52" i="28"/>
  <c r="AM52" i="28"/>
  <c r="Y100" i="23"/>
  <c r="AA96" i="23"/>
  <c r="AN58" i="26"/>
  <c r="AM58" i="26"/>
  <c r="AM62" i="22"/>
  <c r="AN62" i="22"/>
  <c r="AM36" i="25"/>
  <c r="AN36" i="25"/>
  <c r="AN36" i="22"/>
  <c r="AM36" i="22"/>
  <c r="AI40" i="19"/>
  <c r="AJ40" i="19"/>
  <c r="AB40" i="19"/>
  <c r="AF40" i="19"/>
  <c r="AI38" i="18"/>
  <c r="AB38" i="18"/>
  <c r="AF38" i="18"/>
  <c r="AM82" i="65"/>
  <c r="AN82" i="65"/>
  <c r="AB121" i="66"/>
  <c r="AF60" i="11"/>
  <c r="AI60" i="11"/>
  <c r="AJ60" i="11"/>
  <c r="AF100" i="54"/>
  <c r="AB100" i="54"/>
  <c r="AI100" i="54"/>
  <c r="AJ100" i="54"/>
  <c r="AJ42" i="54"/>
  <c r="AF42" i="54"/>
  <c r="AB42" i="54"/>
  <c r="AI42" i="54"/>
  <c r="AN38" i="67"/>
  <c r="AM38" i="67"/>
  <c r="AM35" i="54"/>
  <c r="AN35" i="54"/>
  <c r="AJ63" i="61"/>
  <c r="AJ39" i="61"/>
  <c r="AJ43" i="61"/>
  <c r="AJ65" i="61"/>
  <c r="AJ55" i="61"/>
  <c r="AJ38" i="61"/>
  <c r="AJ88" i="61"/>
  <c r="AJ87" i="61"/>
  <c r="AJ52" i="61"/>
  <c r="AJ67" i="61"/>
  <c r="AJ48" i="61"/>
  <c r="AJ54" i="61"/>
  <c r="AJ53" i="61"/>
  <c r="AJ57" i="61"/>
  <c r="AJ46" i="61"/>
  <c r="AJ47" i="61"/>
  <c r="AJ85" i="61"/>
  <c r="AJ70" i="61"/>
  <c r="AJ84" i="61"/>
  <c r="AJ78" i="61"/>
  <c r="AJ35" i="61"/>
  <c r="AJ66" i="61"/>
  <c r="AJ51" i="61"/>
  <c r="AJ42" i="61"/>
  <c r="AJ80" i="61"/>
  <c r="AJ50" i="61"/>
  <c r="AJ37" i="61"/>
  <c r="AJ64" i="61"/>
  <c r="AJ62" i="61"/>
  <c r="AI72" i="52"/>
  <c r="AJ72" i="52"/>
  <c r="AA91" i="52"/>
  <c r="AF72" i="52"/>
  <c r="AB72" i="52"/>
  <c r="AA54" i="58"/>
  <c r="G53" i="58" s="1"/>
  <c r="AI52" i="58"/>
  <c r="AF52" i="58"/>
  <c r="AH126" i="62"/>
  <c r="AG127" i="62"/>
  <c r="AM50" i="53"/>
  <c r="AN50" i="53"/>
  <c r="AB41" i="52"/>
  <c r="AB78" i="52"/>
  <c r="AF67" i="9"/>
  <c r="AI67" i="9"/>
  <c r="AJ67" i="9"/>
  <c r="AJ37" i="7"/>
  <c r="AF37" i="7"/>
  <c r="AB37" i="7"/>
  <c r="AI37" i="7"/>
  <c r="AN77" i="4"/>
  <c r="AL77" i="4"/>
  <c r="AN93" i="4"/>
  <c r="AL93" i="4"/>
  <c r="AI78" i="37"/>
  <c r="AK78" i="37"/>
  <c r="AI57" i="37"/>
  <c r="AK57" i="37"/>
  <c r="AB58" i="34"/>
  <c r="AF58" i="34"/>
  <c r="AI58" i="34"/>
  <c r="AJ58" i="34"/>
  <c r="AN52" i="29"/>
  <c r="AM52" i="29"/>
  <c r="AM36" i="27"/>
  <c r="AN36" i="27"/>
  <c r="AF125" i="56"/>
  <c r="AI125" i="56"/>
  <c r="AB125" i="56"/>
  <c r="AH59" i="37"/>
  <c r="AA59" i="37"/>
  <c r="AE59" i="37"/>
  <c r="Z60" i="37"/>
  <c r="AB45" i="36"/>
  <c r="AB44" i="33"/>
  <c r="AB53" i="36"/>
  <c r="AM61" i="33"/>
  <c r="AN61" i="33"/>
  <c r="AI52" i="30"/>
  <c r="AF52" i="30"/>
  <c r="AJ52" i="30"/>
  <c r="AB52" i="30"/>
  <c r="AB35" i="32"/>
  <c r="AI35" i="32"/>
  <c r="AF35" i="32"/>
  <c r="AJ35" i="32"/>
  <c r="AI61" i="30"/>
  <c r="AJ61" i="30"/>
  <c r="AF61" i="30"/>
  <c r="AB61" i="30"/>
  <c r="AB36" i="36"/>
  <c r="AD53" i="34"/>
  <c r="AK46" i="34"/>
  <c r="AE46" i="34"/>
  <c r="AJ48" i="36"/>
  <c r="AN44" i="35"/>
  <c r="AM44" i="35"/>
  <c r="AB52" i="33"/>
  <c r="AB55" i="36"/>
  <c r="AJ53" i="36"/>
  <c r="AM34" i="35"/>
  <c r="AN34" i="35"/>
  <c r="AJ64" i="30"/>
  <c r="AM34" i="32"/>
  <c r="AN34" i="32"/>
  <c r="AJ75" i="30"/>
  <c r="AB45" i="33"/>
  <c r="AN53" i="30"/>
  <c r="AM53" i="30"/>
  <c r="AN39" i="30"/>
  <c r="AM39" i="30"/>
  <c r="AJ45" i="29"/>
  <c r="AB53" i="33"/>
  <c r="AN66" i="30"/>
  <c r="AM66" i="30"/>
  <c r="AM45" i="29"/>
  <c r="AN45" i="29"/>
  <c r="AM40" i="29"/>
  <c r="AN40" i="29"/>
  <c r="AF44" i="28"/>
  <c r="AA66" i="28"/>
  <c r="AI44" i="28"/>
  <c r="AJ44" i="28"/>
  <c r="AB44" i="28"/>
  <c r="AM61" i="29"/>
  <c r="AN61" i="29"/>
  <c r="AN65" i="29"/>
  <c r="AM65" i="29"/>
  <c r="AN47" i="23"/>
  <c r="AM47" i="23"/>
  <c r="T113" i="68"/>
  <c r="AA112" i="68"/>
  <c r="AA57" i="24"/>
  <c r="AE57" i="24"/>
  <c r="AH57" i="24"/>
  <c r="AI57" i="24"/>
  <c r="AM36" i="69"/>
  <c r="AN36" i="69"/>
  <c r="AM95" i="65"/>
  <c r="AN95" i="65"/>
  <c r="AM87" i="65"/>
  <c r="AN87" i="65"/>
  <c r="AI44" i="61"/>
  <c r="AJ44" i="61"/>
  <c r="AF44" i="61"/>
  <c r="AB44" i="61"/>
  <c r="AI53" i="63"/>
  <c r="AJ53" i="63"/>
  <c r="AF53" i="63"/>
  <c r="AB53" i="63"/>
  <c r="AM87" i="16"/>
  <c r="AN87" i="16"/>
  <c r="AB123" i="57"/>
  <c r="AF123" i="57"/>
  <c r="AI123" i="57"/>
  <c r="AM59" i="36"/>
  <c r="AN59" i="36"/>
  <c r="AF40" i="35"/>
  <c r="AB40" i="35"/>
  <c r="AI40" i="35"/>
  <c r="AJ40" i="35"/>
  <c r="AM43" i="33"/>
  <c r="AN43" i="33"/>
  <c r="AM37" i="33"/>
  <c r="AN37" i="33"/>
  <c r="AM35" i="31"/>
  <c r="AN35" i="31"/>
  <c r="AJ67" i="30"/>
  <c r="AF67" i="30"/>
  <c r="AB67" i="30"/>
  <c r="AI67" i="30"/>
  <c r="AI34" i="23"/>
  <c r="AJ34" i="23"/>
  <c r="AF34" i="23"/>
  <c r="AB34" i="23"/>
  <c r="AB77" i="23"/>
  <c r="AB85" i="23"/>
  <c r="AI85" i="23"/>
  <c r="AF85" i="23"/>
  <c r="AJ85" i="23"/>
  <c r="AJ50" i="21"/>
  <c r="AJ71" i="21"/>
  <c r="AJ69" i="21"/>
  <c r="AJ38" i="21"/>
  <c r="AJ66" i="21"/>
  <c r="AJ74" i="21"/>
  <c r="AJ40" i="21"/>
  <c r="AJ70" i="21"/>
  <c r="AJ56" i="21"/>
  <c r="AJ54" i="21"/>
  <c r="AJ53" i="21"/>
  <c r="AJ62" i="21"/>
  <c r="AJ44" i="21"/>
  <c r="AJ48" i="21"/>
  <c r="AJ49" i="21"/>
  <c r="AJ37" i="21"/>
  <c r="AJ52" i="21"/>
  <c r="AJ39" i="21"/>
  <c r="AJ42" i="21"/>
  <c r="AJ58" i="21"/>
  <c r="AJ55" i="21"/>
  <c r="AJ41" i="21"/>
  <c r="AJ43" i="21"/>
  <c r="AJ64" i="21"/>
  <c r="AJ35" i="21"/>
  <c r="AJ65" i="21"/>
  <c r="AJ36" i="21"/>
  <c r="AJ73" i="21"/>
  <c r="AJ34" i="21"/>
  <c r="AF58" i="36"/>
  <c r="AI58" i="36"/>
  <c r="AB58" i="36"/>
  <c r="AJ58" i="36"/>
  <c r="AM36" i="33"/>
  <c r="AN36" i="33"/>
  <c r="AM53" i="29"/>
  <c r="AN53" i="29"/>
  <c r="AF39" i="28"/>
  <c r="AI39" i="28"/>
  <c r="AB39" i="28"/>
  <c r="AJ39" i="28"/>
  <c r="AM42" i="27"/>
  <c r="AN42" i="27"/>
  <c r="AI42" i="23"/>
  <c r="AJ42" i="23"/>
  <c r="AF42" i="23"/>
  <c r="AB42" i="23"/>
  <c r="AI49" i="65"/>
  <c r="AB49" i="65"/>
  <c r="AJ49" i="65"/>
  <c r="AF49" i="65"/>
  <c r="AM51" i="54"/>
  <c r="AN51" i="54"/>
  <c r="AB79" i="61"/>
  <c r="AI79" i="61"/>
  <c r="AJ79" i="61"/>
  <c r="AF79" i="61"/>
  <c r="AB72" i="51"/>
  <c r="AF72" i="51"/>
  <c r="AI72" i="51"/>
  <c r="AJ72" i="51"/>
  <c r="AA100" i="51"/>
  <c r="AB122" i="39"/>
  <c r="AI122" i="39"/>
  <c r="AF122" i="39"/>
  <c r="AM114" i="9"/>
  <c r="AN114" i="9"/>
  <c r="AL71" i="4"/>
  <c r="AN71" i="4"/>
  <c r="AN51" i="4"/>
  <c r="AL51" i="4"/>
  <c r="AN39" i="36"/>
  <c r="AM39" i="36"/>
  <c r="AM55" i="35"/>
  <c r="AN55" i="35"/>
  <c r="AB38" i="33"/>
  <c r="AB43" i="36"/>
  <c r="AB56" i="36"/>
  <c r="AM41" i="35"/>
  <c r="AN41" i="35"/>
  <c r="AJ59" i="36"/>
  <c r="AJ51" i="36"/>
  <c r="AB52" i="36"/>
  <c r="AJ43" i="34"/>
  <c r="AF43" i="34"/>
  <c r="AB43" i="34"/>
  <c r="AI43" i="34"/>
  <c r="AM60" i="33"/>
  <c r="AN60" i="33"/>
  <c r="AN42" i="34"/>
  <c r="AM42" i="34"/>
  <c r="AB48" i="35"/>
  <c r="AF48" i="35"/>
  <c r="AI48" i="35"/>
  <c r="AJ48" i="35"/>
  <c r="AJ63" i="36"/>
  <c r="AN69" i="30"/>
  <c r="AM69" i="30"/>
  <c r="AN57" i="33"/>
  <c r="AM57" i="33"/>
  <c r="AI40" i="30"/>
  <c r="AJ40" i="30"/>
  <c r="AB40" i="30"/>
  <c r="AF40" i="30"/>
  <c r="AJ36" i="30"/>
  <c r="AJ54" i="30"/>
  <c r="AJ57" i="36"/>
  <c r="AI56" i="33"/>
  <c r="AJ56" i="33"/>
  <c r="AF56" i="33"/>
  <c r="AB56" i="33"/>
  <c r="AJ65" i="30"/>
  <c r="AJ35" i="30"/>
  <c r="AM41" i="30"/>
  <c r="AN41" i="30"/>
  <c r="AM43" i="29"/>
  <c r="AN43" i="29"/>
  <c r="AM45" i="30"/>
  <c r="AN45" i="30"/>
  <c r="AJ43" i="29"/>
  <c r="AM40" i="28"/>
  <c r="AN40" i="28"/>
  <c r="AM61" i="28"/>
  <c r="AN61" i="28"/>
  <c r="AJ58" i="29"/>
  <c r="AJ65" i="29"/>
  <c r="AM51" i="23"/>
  <c r="AN51" i="23"/>
  <c r="AN41" i="27"/>
  <c r="AM41" i="27"/>
  <c r="AJ51" i="21"/>
  <c r="AI40" i="25"/>
  <c r="AJ40" i="25"/>
  <c r="AF40" i="25"/>
  <c r="AB40" i="25"/>
  <c r="AA54" i="59"/>
  <c r="G53" i="59" s="1"/>
  <c r="AF52" i="59"/>
  <c r="AI52" i="59"/>
  <c r="AN68" i="11"/>
  <c r="AM68" i="11"/>
  <c r="AI125" i="59"/>
  <c r="AF125" i="59"/>
  <c r="AB125" i="59"/>
  <c r="AM102" i="54"/>
  <c r="AN102" i="54"/>
  <c r="AI65" i="52"/>
  <c r="AF65" i="52"/>
  <c r="AJ65" i="52"/>
  <c r="AF124" i="39"/>
  <c r="AB124" i="39"/>
  <c r="AI124" i="39"/>
  <c r="AM86" i="51"/>
  <c r="AN86" i="51"/>
  <c r="AN45" i="51"/>
  <c r="AM45" i="51"/>
  <c r="AF102" i="16"/>
  <c r="AI102" i="16"/>
  <c r="AB102" i="16"/>
  <c r="AJ102" i="16"/>
  <c r="AM49" i="16"/>
  <c r="AN49" i="16"/>
  <c r="AI57" i="7"/>
  <c r="AF57" i="7"/>
  <c r="AB57" i="7"/>
  <c r="AM51" i="36"/>
  <c r="AN51" i="36"/>
  <c r="AJ44" i="34"/>
  <c r="AF44" i="34"/>
  <c r="AB44" i="34"/>
  <c r="AI44" i="34"/>
  <c r="AI42" i="36"/>
  <c r="AJ42" i="36"/>
  <c r="AF42" i="36"/>
  <c r="AB42" i="36"/>
  <c r="AH52" i="35"/>
  <c r="AL52" i="35"/>
  <c r="AG59" i="35"/>
  <c r="AH59" i="35" s="1"/>
  <c r="AM59" i="33"/>
  <c r="AN59" i="33"/>
  <c r="AM35" i="30"/>
  <c r="AN35" i="30"/>
  <c r="AM37" i="34"/>
  <c r="AN37" i="34"/>
  <c r="AN49" i="33"/>
  <c r="AM49" i="33"/>
  <c r="AM35" i="28"/>
  <c r="AN35" i="28"/>
  <c r="AJ45" i="69"/>
  <c r="AB45" i="69"/>
  <c r="AI45" i="69"/>
  <c r="AF45" i="69"/>
  <c r="AJ60" i="36"/>
  <c r="AB41" i="33"/>
  <c r="AI46" i="35"/>
  <c r="AJ46" i="35"/>
  <c r="AB46" i="35"/>
  <c r="AF46" i="35"/>
  <c r="AM44" i="36"/>
  <c r="AN44" i="36"/>
  <c r="AA46" i="34"/>
  <c r="AJ37" i="36"/>
  <c r="AM56" i="34"/>
  <c r="AN56" i="34"/>
  <c r="AN56" i="35"/>
  <c r="AM56" i="35"/>
  <c r="O59" i="35"/>
  <c r="AA59" i="35" s="1"/>
  <c r="AA52" i="35"/>
  <c r="AI58" i="33"/>
  <c r="AF58" i="33"/>
  <c r="AJ58" i="33"/>
  <c r="AB58" i="33"/>
  <c r="AE68" i="33"/>
  <c r="AK68" i="33"/>
  <c r="AM39" i="34"/>
  <c r="AN39" i="34"/>
  <c r="AM35" i="33"/>
  <c r="AN35" i="33"/>
  <c r="AB63" i="36"/>
  <c r="AM38" i="34"/>
  <c r="AN38" i="34"/>
  <c r="AN34" i="31"/>
  <c r="AM34" i="31"/>
  <c r="AB57" i="35"/>
  <c r="AF57" i="35"/>
  <c r="AI57" i="35"/>
  <c r="AJ57" i="35"/>
  <c r="AJ36" i="31"/>
  <c r="AB36" i="31"/>
  <c r="AF36" i="31"/>
  <c r="AI36" i="31"/>
  <c r="AM62" i="30"/>
  <c r="AN62" i="30"/>
  <c r="AJ53" i="30"/>
  <c r="AJ44" i="35"/>
  <c r="AJ35" i="35"/>
  <c r="AM65" i="30"/>
  <c r="AN65" i="30"/>
  <c r="AJ41" i="30"/>
  <c r="AN71" i="29"/>
  <c r="AM71" i="29"/>
  <c r="AN68" i="29"/>
  <c r="AM68" i="29"/>
  <c r="AJ45" i="30"/>
  <c r="AN42" i="29"/>
  <c r="AM42" i="29"/>
  <c r="AN57" i="20"/>
  <c r="AM57" i="20"/>
  <c r="AF57" i="30"/>
  <c r="AB57" i="30"/>
  <c r="AI57" i="30"/>
  <c r="AJ57" i="30"/>
  <c r="AM52" i="69"/>
  <c r="AN52" i="69"/>
  <c r="AH122" i="66"/>
  <c r="AG123" i="66"/>
  <c r="AM49" i="67"/>
  <c r="AN49" i="67"/>
  <c r="AM56" i="69"/>
  <c r="AN56" i="69"/>
  <c r="AM79" i="65"/>
  <c r="AN79" i="65"/>
  <c r="AJ76" i="61"/>
  <c r="AB72" i="61"/>
  <c r="AI72" i="61"/>
  <c r="AA91" i="61"/>
  <c r="AF72" i="61"/>
  <c r="AJ72" i="61"/>
  <c r="AI42" i="52"/>
  <c r="AJ42" i="52"/>
  <c r="AB42" i="52"/>
  <c r="AF42" i="52"/>
  <c r="AM45" i="53"/>
  <c r="AN45" i="53"/>
  <c r="AM42" i="53"/>
  <c r="AN42" i="53"/>
  <c r="AN84" i="52"/>
  <c r="AM84" i="52"/>
  <c r="AJ50" i="9"/>
  <c r="AF50" i="9"/>
  <c r="AB50" i="9"/>
  <c r="AI50" i="9"/>
  <c r="AI66" i="16"/>
  <c r="AJ66" i="16"/>
  <c r="AF66" i="16"/>
  <c r="AM70" i="16"/>
  <c r="AN70" i="16"/>
  <c r="AF93" i="55"/>
  <c r="AI93" i="55"/>
  <c r="AI82" i="51"/>
  <c r="AJ82" i="51"/>
  <c r="AF82" i="51"/>
  <c r="AB82" i="51"/>
  <c r="AL48" i="4"/>
  <c r="AN48" i="4"/>
  <c r="U86" i="37"/>
  <c r="U88" i="37" s="1"/>
  <c r="U82" i="37"/>
  <c r="U84" i="37" s="1"/>
  <c r="U85" i="37" s="1"/>
  <c r="U75" i="37"/>
  <c r="AM37" i="36"/>
  <c r="AN37" i="36"/>
  <c r="AN49" i="34"/>
  <c r="AM49" i="34"/>
  <c r="AM36" i="30"/>
  <c r="AN36" i="30"/>
  <c r="AN38" i="30"/>
  <c r="AM38" i="30"/>
  <c r="AM44" i="27"/>
  <c r="AN44" i="27"/>
  <c r="AN35" i="35"/>
  <c r="AM35" i="35"/>
  <c r="Q127" i="59"/>
  <c r="AA126" i="59"/>
  <c r="AM42" i="51"/>
  <c r="AN42" i="51"/>
  <c r="AM95" i="9"/>
  <c r="AN95" i="9"/>
  <c r="AM44" i="9"/>
  <c r="AN44" i="9"/>
  <c r="AM60" i="36"/>
  <c r="AN60" i="36"/>
  <c r="AM50" i="35"/>
  <c r="AN50" i="35"/>
  <c r="AJ64" i="36"/>
  <c r="AJ39" i="35"/>
  <c r="AF39" i="35"/>
  <c r="AB39" i="35"/>
  <c r="AI39" i="35"/>
  <c r="AB35" i="36"/>
  <c r="AB51" i="34"/>
  <c r="AF51" i="34"/>
  <c r="AI51" i="34"/>
  <c r="AJ51" i="34"/>
  <c r="AJ56" i="36"/>
  <c r="AI50" i="33"/>
  <c r="AF50" i="33"/>
  <c r="AJ50" i="33"/>
  <c r="AB50" i="33"/>
  <c r="AF63" i="33"/>
  <c r="AB63" i="33"/>
  <c r="AI63" i="33"/>
  <c r="AJ63" i="33"/>
  <c r="AK67" i="33"/>
  <c r="AE67" i="33"/>
  <c r="AF55" i="33"/>
  <c r="AB55" i="33"/>
  <c r="AI55" i="33"/>
  <c r="AJ55" i="33"/>
  <c r="AL67" i="33"/>
  <c r="AH67" i="33"/>
  <c r="AB54" i="33"/>
  <c r="AJ69" i="30"/>
  <c r="AM75" i="30"/>
  <c r="AN75" i="30"/>
  <c r="AJ42" i="30"/>
  <c r="AF66" i="33"/>
  <c r="AJ66" i="33"/>
  <c r="AB66" i="33"/>
  <c r="AI66" i="33"/>
  <c r="AM56" i="30"/>
  <c r="AN56" i="30"/>
  <c r="AI42" i="33"/>
  <c r="AF42" i="33"/>
  <c r="AJ42" i="33"/>
  <c r="AB42" i="33"/>
  <c r="AI34" i="33"/>
  <c r="AF34" i="33"/>
  <c r="AJ34" i="33"/>
  <c r="AB34" i="33"/>
  <c r="AJ73" i="30"/>
  <c r="AJ64" i="29"/>
  <c r="AJ37" i="30"/>
  <c r="AN57" i="28"/>
  <c r="AM57" i="28"/>
  <c r="AN55" i="29"/>
  <c r="AM55" i="29"/>
  <c r="AM46" i="29"/>
  <c r="AN46" i="29"/>
  <c r="AB56" i="28"/>
  <c r="AI56" i="28"/>
  <c r="AJ56" i="28"/>
  <c r="AF56" i="28"/>
  <c r="AM58" i="29"/>
  <c r="AN58" i="29"/>
  <c r="AM49" i="28"/>
  <c r="AN49" i="28"/>
  <c r="AM37" i="23"/>
  <c r="AN37" i="23"/>
  <c r="AM53" i="26"/>
  <c r="AN53" i="26"/>
  <c r="AM69" i="22"/>
  <c r="AN69" i="22"/>
  <c r="AM40" i="15"/>
  <c r="AN40" i="15"/>
  <c r="AM82" i="23"/>
  <c r="AN82" i="23"/>
  <c r="AB55" i="69"/>
  <c r="AB51" i="69"/>
  <c r="AB46" i="69"/>
  <c r="AB48" i="69"/>
  <c r="AB40" i="69"/>
  <c r="AB44" i="69"/>
  <c r="AJ78" i="54"/>
  <c r="AB78" i="54"/>
  <c r="AI78" i="54"/>
  <c r="AF78" i="54"/>
  <c r="AM42" i="11"/>
  <c r="AN42" i="11"/>
  <c r="AM48" i="24"/>
  <c r="AL48" i="24"/>
  <c r="AM37" i="67"/>
  <c r="AN37" i="67"/>
  <c r="AI88" i="59"/>
  <c r="AF88" i="59"/>
  <c r="AA145" i="59"/>
  <c r="AI141" i="58"/>
  <c r="AF141" i="58"/>
  <c r="AM37" i="11"/>
  <c r="AN37" i="11"/>
  <c r="AM88" i="54"/>
  <c r="AN88" i="54"/>
  <c r="AM43" i="63"/>
  <c r="AN43" i="63"/>
  <c r="AM70" i="11"/>
  <c r="AN70" i="11"/>
  <c r="AJ49" i="61"/>
  <c r="AI88" i="39"/>
  <c r="AF88" i="39"/>
  <c r="AA145" i="39"/>
  <c r="AN108" i="9"/>
  <c r="AM108" i="9"/>
  <c r="AN118" i="9"/>
  <c r="AM118" i="9"/>
  <c r="AM80" i="16"/>
  <c r="AN80" i="16"/>
  <c r="AM100" i="16"/>
  <c r="AN100" i="16"/>
  <c r="AM46" i="16"/>
  <c r="AN46" i="16"/>
  <c r="AN94" i="4"/>
  <c r="AL94" i="4"/>
  <c r="AF38" i="36"/>
  <c r="AB38" i="36"/>
  <c r="AJ38" i="36"/>
  <c r="AI38" i="36"/>
  <c r="Q67" i="33"/>
  <c r="AA67" i="33" s="1"/>
  <c r="Q68" i="33"/>
  <c r="AA68" i="33" s="1"/>
  <c r="AM64" i="33"/>
  <c r="AN64" i="33"/>
  <c r="AM76" i="30"/>
  <c r="AN76" i="30"/>
  <c r="AM57" i="36"/>
  <c r="AN57" i="36"/>
  <c r="AI60" i="30"/>
  <c r="AF60" i="30"/>
  <c r="AB60" i="30"/>
  <c r="AJ60" i="30"/>
  <c r="AF47" i="33"/>
  <c r="AB47" i="33"/>
  <c r="AI47" i="33"/>
  <c r="AJ47" i="33"/>
  <c r="AN44" i="29"/>
  <c r="AM44" i="29"/>
  <c r="AF39" i="33"/>
  <c r="AB39" i="33"/>
  <c r="AI39" i="33"/>
  <c r="AJ39" i="33"/>
  <c r="AB63" i="30"/>
  <c r="AB42" i="30"/>
  <c r="AB43" i="30"/>
  <c r="AB55" i="30"/>
  <c r="AB46" i="30"/>
  <c r="AB47" i="30"/>
  <c r="AB37" i="30"/>
  <c r="AM50" i="29"/>
  <c r="AN50" i="29"/>
  <c r="AJ59" i="29"/>
  <c r="AB59" i="29"/>
  <c r="AI59" i="29"/>
  <c r="AF59" i="29"/>
  <c r="AM73" i="29"/>
  <c r="AN73" i="29"/>
  <c r="AM34" i="27"/>
  <c r="AN34" i="27"/>
  <c r="AM43" i="27"/>
  <c r="AN43" i="27"/>
  <c r="AI60" i="28"/>
  <c r="AJ60" i="28"/>
  <c r="AB60" i="28"/>
  <c r="AF60" i="28"/>
  <c r="AK96" i="23"/>
  <c r="AD100" i="23"/>
  <c r="AE96" i="23"/>
  <c r="AI44" i="23"/>
  <c r="AF44" i="23"/>
  <c r="AB44" i="23"/>
  <c r="AJ44" i="23"/>
  <c r="AN71" i="26"/>
  <c r="AM71" i="26"/>
  <c r="AF50" i="26"/>
  <c r="AI50" i="26"/>
  <c r="AJ50" i="26"/>
  <c r="AB50" i="26"/>
  <c r="AB49" i="25"/>
  <c r="AI49" i="25"/>
  <c r="AJ49" i="25"/>
  <c r="AF49" i="25"/>
  <c r="AI84" i="23"/>
  <c r="AF84" i="23"/>
  <c r="AJ84" i="23"/>
  <c r="AB84" i="23"/>
  <c r="AM36" i="26"/>
  <c r="AN36" i="26"/>
  <c r="AJ49" i="20"/>
  <c r="AJ43" i="20"/>
  <c r="AJ56" i="20"/>
  <c r="AJ38" i="20"/>
  <c r="AM56" i="26"/>
  <c r="AN56" i="26"/>
  <c r="AF86" i="23"/>
  <c r="AI86" i="23"/>
  <c r="AB86" i="23"/>
  <c r="AJ86" i="23"/>
  <c r="AN35" i="20"/>
  <c r="AM35" i="20"/>
  <c r="AM69" i="21"/>
  <c r="AN69" i="21"/>
  <c r="AI47" i="19"/>
  <c r="AJ47" i="19"/>
  <c r="AF47" i="19"/>
  <c r="AN60" i="20"/>
  <c r="AM60" i="20"/>
  <c r="AJ51" i="19"/>
  <c r="AB51" i="19"/>
  <c r="AF51" i="19"/>
  <c r="AA70" i="19"/>
  <c r="AI51" i="19"/>
  <c r="AE49" i="24"/>
  <c r="AH49" i="24"/>
  <c r="AI49" i="24"/>
  <c r="AA49" i="24"/>
  <c r="AI52" i="23"/>
  <c r="AF52" i="23"/>
  <c r="AB52" i="23"/>
  <c r="AJ52" i="23"/>
  <c r="AJ36" i="19"/>
  <c r="AB36" i="19"/>
  <c r="AF36" i="19"/>
  <c r="AI36" i="19"/>
  <c r="AM52" i="20"/>
  <c r="AN52" i="20"/>
  <c r="AL35" i="24"/>
  <c r="AM35" i="24"/>
  <c r="AN38" i="15"/>
  <c r="AM38" i="15"/>
  <c r="AM59" i="19"/>
  <c r="AN59" i="19"/>
  <c r="AB67" i="68"/>
  <c r="AM62" i="15"/>
  <c r="AN62" i="15"/>
  <c r="AM65" i="15"/>
  <c r="AN65" i="15"/>
  <c r="AM53" i="67"/>
  <c r="AN53" i="67"/>
  <c r="AJ37" i="65"/>
  <c r="AB37" i="65"/>
  <c r="AI37" i="65"/>
  <c r="AF37" i="65"/>
  <c r="AL39" i="24"/>
  <c r="AM39" i="24"/>
  <c r="AB35" i="15"/>
  <c r="AI35" i="15"/>
  <c r="AF35" i="15"/>
  <c r="AJ35" i="15"/>
  <c r="AF55" i="67"/>
  <c r="AJ55" i="67"/>
  <c r="AB55" i="67"/>
  <c r="AI55" i="67"/>
  <c r="AB36" i="15"/>
  <c r="AB70" i="15"/>
  <c r="AB73" i="15"/>
  <c r="AI109" i="68"/>
  <c r="AF109" i="68"/>
  <c r="AB109" i="68"/>
  <c r="AJ61" i="65"/>
  <c r="AF61" i="65"/>
  <c r="AI61" i="65"/>
  <c r="AJ57" i="19"/>
  <c r="AJ58" i="19"/>
  <c r="AJ38" i="19"/>
  <c r="AJ64" i="19"/>
  <c r="AB80" i="65"/>
  <c r="AB95" i="54"/>
  <c r="AI95" i="54"/>
  <c r="AJ95" i="54"/>
  <c r="AF95" i="54"/>
  <c r="AI93" i="65"/>
  <c r="AB93" i="65"/>
  <c r="AF93" i="65"/>
  <c r="AJ93" i="65"/>
  <c r="AM49" i="11"/>
  <c r="AN49" i="11"/>
  <c r="AI93" i="58"/>
  <c r="AF93" i="58"/>
  <c r="AB56" i="68"/>
  <c r="AM41" i="11"/>
  <c r="AN41" i="11"/>
  <c r="AM81" i="54"/>
  <c r="AN81" i="54"/>
  <c r="AI38" i="54"/>
  <c r="AJ38" i="54"/>
  <c r="AF38" i="54"/>
  <c r="AB38" i="54"/>
  <c r="AM41" i="54"/>
  <c r="AN41" i="54"/>
  <c r="AI124" i="64"/>
  <c r="AB124" i="64"/>
  <c r="AF124" i="64"/>
  <c r="AB65" i="58"/>
  <c r="AB109" i="58"/>
  <c r="AB66" i="58"/>
  <c r="AB69" i="58"/>
  <c r="AI93" i="62"/>
  <c r="AF93" i="62"/>
  <c r="AM74" i="65"/>
  <c r="AN74" i="65"/>
  <c r="AH126" i="64"/>
  <c r="AG127" i="64"/>
  <c r="AN50" i="63"/>
  <c r="AM50" i="63"/>
  <c r="AI56" i="11"/>
  <c r="AJ56" i="11"/>
  <c r="AF56" i="11"/>
  <c r="AM85" i="54"/>
  <c r="AN85" i="54"/>
  <c r="AM87" i="61"/>
  <c r="AN87" i="61"/>
  <c r="AM84" i="53"/>
  <c r="AN84" i="53"/>
  <c r="AM40" i="52"/>
  <c r="AN40" i="52"/>
  <c r="AN80" i="61"/>
  <c r="AM80" i="61"/>
  <c r="AM39" i="61"/>
  <c r="AN39" i="61"/>
  <c r="AM79" i="53"/>
  <c r="AN79" i="53"/>
  <c r="AI64" i="54"/>
  <c r="AJ64" i="54"/>
  <c r="AF64" i="54"/>
  <c r="AM79" i="63"/>
  <c r="AN79" i="63"/>
  <c r="AM51" i="63"/>
  <c r="AN51" i="63"/>
  <c r="AM35" i="61"/>
  <c r="AN35" i="61"/>
  <c r="AB122" i="62"/>
  <c r="AF122" i="62"/>
  <c r="AI122" i="62"/>
  <c r="AA91" i="53"/>
  <c r="AB72" i="53"/>
  <c r="AI72" i="53"/>
  <c r="AF72" i="53"/>
  <c r="AJ72" i="53"/>
  <c r="AM57" i="63"/>
  <c r="AN57" i="63"/>
  <c r="AN49" i="52"/>
  <c r="AM49" i="52"/>
  <c r="AM36" i="53"/>
  <c r="AN36" i="53"/>
  <c r="AI123" i="55"/>
  <c r="AF123" i="55"/>
  <c r="AB123" i="55"/>
  <c r="AF94" i="39"/>
  <c r="AI94" i="39"/>
  <c r="AN92" i="51"/>
  <c r="AM92" i="51"/>
  <c r="AN80" i="9"/>
  <c r="AM80" i="9"/>
  <c r="AI37" i="63"/>
  <c r="AJ37" i="63"/>
  <c r="AF37" i="63"/>
  <c r="AB37" i="63"/>
  <c r="AJ77" i="52"/>
  <c r="AJ45" i="52"/>
  <c r="AA64" i="55"/>
  <c r="G63" i="55" s="1"/>
  <c r="AI62" i="55"/>
  <c r="AF62" i="55"/>
  <c r="AN87" i="51"/>
  <c r="AM87" i="51"/>
  <c r="AE126" i="39"/>
  <c r="AD127" i="39"/>
  <c r="AI54" i="9"/>
  <c r="AJ54" i="9"/>
  <c r="AF54" i="9"/>
  <c r="AB54" i="9"/>
  <c r="AM75" i="16"/>
  <c r="AN75" i="16"/>
  <c r="AI134" i="6"/>
  <c r="AF134" i="6"/>
  <c r="AM78" i="51"/>
  <c r="AN78" i="51"/>
  <c r="AF85" i="9"/>
  <c r="AI85" i="9"/>
  <c r="AB85" i="9"/>
  <c r="AJ85" i="9"/>
  <c r="AB121" i="57"/>
  <c r="AF121" i="57"/>
  <c r="AI121" i="57"/>
  <c r="AB49" i="9"/>
  <c r="AA148" i="17"/>
  <c r="AN105" i="16"/>
  <c r="AM105" i="16"/>
  <c r="AB99" i="9"/>
  <c r="AB47" i="9"/>
  <c r="AJ100" i="9"/>
  <c r="AJ48" i="9"/>
  <c r="AI146" i="17"/>
  <c r="AB146" i="17"/>
  <c r="AF146" i="17"/>
  <c r="AB45" i="17"/>
  <c r="AB64" i="17"/>
  <c r="AB39" i="17"/>
  <c r="AB133" i="17"/>
  <c r="AB116" i="17"/>
  <c r="AB120" i="17"/>
  <c r="AB56" i="17"/>
  <c r="AB47" i="17"/>
  <c r="AB84" i="17"/>
  <c r="AB48" i="17"/>
  <c r="AB36" i="17"/>
  <c r="AB127" i="17"/>
  <c r="AB102" i="17"/>
  <c r="AB80" i="17"/>
  <c r="AB44" i="17"/>
  <c r="AB130" i="17"/>
  <c r="AB37" i="17"/>
  <c r="AB126" i="17"/>
  <c r="AB62" i="17"/>
  <c r="AB53" i="17"/>
  <c r="AM104" i="16"/>
  <c r="AN104" i="16"/>
  <c r="AM53" i="16"/>
  <c r="AN53" i="16"/>
  <c r="AE36" i="37"/>
  <c r="AH36" i="37"/>
  <c r="AK36" i="37"/>
  <c r="AI36" i="37"/>
  <c r="AB35" i="9"/>
  <c r="AB141" i="17"/>
  <c r="AM95" i="16"/>
  <c r="AN95" i="16"/>
  <c r="AM43" i="16"/>
  <c r="AN43" i="16"/>
  <c r="AM54" i="16"/>
  <c r="AN54" i="16"/>
  <c r="T64" i="37"/>
  <c r="T74" i="37" s="1"/>
  <c r="T62" i="37"/>
  <c r="AM47" i="52"/>
  <c r="AN47" i="52"/>
  <c r="AM115" i="16"/>
  <c r="AN115" i="16"/>
  <c r="AJ65" i="16"/>
  <c r="AF52" i="37"/>
  <c r="AG52" i="37" s="1"/>
  <c r="AG51" i="37"/>
  <c r="AJ51" i="16"/>
  <c r="AL48" i="7"/>
  <c r="AN48" i="7"/>
  <c r="AI80" i="4"/>
  <c r="AJ80" i="4"/>
  <c r="AF80" i="4"/>
  <c r="AB80" i="4"/>
  <c r="AN43" i="4"/>
  <c r="AL43" i="4"/>
  <c r="AI70" i="37"/>
  <c r="AK70" i="37"/>
  <c r="AF77" i="17"/>
  <c r="AI77" i="17"/>
  <c r="AA79" i="17"/>
  <c r="G78" i="17" s="1"/>
  <c r="AA94" i="17"/>
  <c r="G93" i="17" s="1"/>
  <c r="AJ92" i="16"/>
  <c r="AJ88" i="16"/>
  <c r="AN61" i="4"/>
  <c r="AL61" i="4"/>
  <c r="AB54" i="17"/>
  <c r="AL83" i="4"/>
  <c r="AN83" i="4"/>
  <c r="AN86" i="4"/>
  <c r="AL86" i="4"/>
  <c r="AL40" i="4"/>
  <c r="AN40" i="4"/>
  <c r="AI49" i="37"/>
  <c r="AK49" i="37"/>
  <c r="AL36" i="4"/>
  <c r="AN36" i="4"/>
  <c r="AH89" i="37"/>
  <c r="AN63" i="29"/>
  <c r="AM63" i="29"/>
  <c r="AI53" i="28"/>
  <c r="AF53" i="28"/>
  <c r="AJ53" i="28"/>
  <c r="AB53" i="28"/>
  <c r="AN60" i="29"/>
  <c r="AM60" i="29"/>
  <c r="AM35" i="23"/>
  <c r="AN35" i="23"/>
  <c r="AM40" i="26"/>
  <c r="AN40" i="26"/>
  <c r="AB64" i="28"/>
  <c r="AB50" i="28"/>
  <c r="AL96" i="23"/>
  <c r="AG100" i="23"/>
  <c r="AH96" i="23"/>
  <c r="AF83" i="23"/>
  <c r="AJ83" i="23"/>
  <c r="AB83" i="23"/>
  <c r="AI83" i="23"/>
  <c r="AM35" i="25"/>
  <c r="AN35" i="25"/>
  <c r="AI88" i="23"/>
  <c r="AJ88" i="23"/>
  <c r="AF88" i="23"/>
  <c r="AB88" i="23"/>
  <c r="AI70" i="23"/>
  <c r="AJ70" i="23"/>
  <c r="AF70" i="23"/>
  <c r="AM57" i="26"/>
  <c r="AN57" i="26"/>
  <c r="AN35" i="26"/>
  <c r="AM35" i="26"/>
  <c r="AN42" i="26"/>
  <c r="AM42" i="26"/>
  <c r="AM43" i="25"/>
  <c r="AN43" i="25"/>
  <c r="AI35" i="22"/>
  <c r="AJ35" i="22"/>
  <c r="AF35" i="22"/>
  <c r="AB35" i="22"/>
  <c r="AJ79" i="23"/>
  <c r="AF79" i="23"/>
  <c r="AB79" i="23"/>
  <c r="AI79" i="23"/>
  <c r="AF63" i="21"/>
  <c r="AI63" i="21"/>
  <c r="AB63" i="21"/>
  <c r="AJ63" i="21"/>
  <c r="AM66" i="19"/>
  <c r="AN66" i="19"/>
  <c r="AM39" i="29"/>
  <c r="AN39" i="29"/>
  <c r="AB90" i="23"/>
  <c r="AI90" i="23"/>
  <c r="AF90" i="23"/>
  <c r="AJ90" i="23"/>
  <c r="AM74" i="21"/>
  <c r="AN74" i="21"/>
  <c r="AJ46" i="22"/>
  <c r="AF46" i="36"/>
  <c r="AJ46" i="36"/>
  <c r="AI46" i="36"/>
  <c r="AB46" i="36"/>
  <c r="AL43" i="24"/>
  <c r="AM43" i="24"/>
  <c r="AI44" i="19"/>
  <c r="AJ44" i="19"/>
  <c r="AB44" i="19"/>
  <c r="AF44" i="19"/>
  <c r="AB55" i="15"/>
  <c r="AF55" i="15"/>
  <c r="AI55" i="15"/>
  <c r="AJ55" i="15"/>
  <c r="AJ61" i="22"/>
  <c r="AI42" i="18"/>
  <c r="AF42" i="18"/>
  <c r="AM38" i="24"/>
  <c r="AL38" i="24"/>
  <c r="AI84" i="70"/>
  <c r="AF84" i="70"/>
  <c r="AJ37" i="69"/>
  <c r="AB37" i="69"/>
  <c r="AF37" i="69"/>
  <c r="AI37" i="69"/>
  <c r="AI77" i="68"/>
  <c r="AA79" i="68"/>
  <c r="G79" i="68" s="1"/>
  <c r="AF77" i="68"/>
  <c r="AJ52" i="20"/>
  <c r="AI47" i="15"/>
  <c r="AJ47" i="15"/>
  <c r="AF47" i="15"/>
  <c r="AF45" i="18"/>
  <c r="AI45" i="18"/>
  <c r="AN37" i="19"/>
  <c r="AM37" i="19"/>
  <c r="AJ50" i="67"/>
  <c r="AF43" i="67"/>
  <c r="AB43" i="67"/>
  <c r="AI43" i="67"/>
  <c r="AJ43" i="67"/>
  <c r="AI41" i="65"/>
  <c r="AB41" i="65"/>
  <c r="AJ41" i="65"/>
  <c r="AF41" i="65"/>
  <c r="AL52" i="24"/>
  <c r="AM52" i="24"/>
  <c r="AL53" i="24"/>
  <c r="AM53" i="24"/>
  <c r="AB94" i="65"/>
  <c r="AB35" i="65"/>
  <c r="AB39" i="65"/>
  <c r="AB51" i="65"/>
  <c r="AB43" i="65"/>
  <c r="AB97" i="65"/>
  <c r="AB55" i="65"/>
  <c r="AB46" i="65"/>
  <c r="AB103" i="54"/>
  <c r="AI103" i="54"/>
  <c r="AJ103" i="54"/>
  <c r="AF103" i="54"/>
  <c r="AB104" i="68"/>
  <c r="AB50" i="65"/>
  <c r="AN54" i="67"/>
  <c r="AM54" i="67"/>
  <c r="AN75" i="65"/>
  <c r="AM75" i="65"/>
  <c r="AI141" i="59"/>
  <c r="AF141" i="59"/>
  <c r="AB85" i="65"/>
  <c r="AI85" i="65"/>
  <c r="AJ85" i="65"/>
  <c r="AF85" i="65"/>
  <c r="AB99" i="65"/>
  <c r="AB83" i="65"/>
  <c r="AN56" i="54"/>
  <c r="AM56" i="54"/>
  <c r="AN97" i="54"/>
  <c r="AM97" i="54"/>
  <c r="AM45" i="54"/>
  <c r="AN45" i="54"/>
  <c r="AI72" i="54"/>
  <c r="AJ72" i="54"/>
  <c r="AF72" i="54"/>
  <c r="AB72" i="54"/>
  <c r="AA111" i="54"/>
  <c r="AB52" i="65"/>
  <c r="AN76" i="11"/>
  <c r="AM76" i="11"/>
  <c r="AM101" i="54"/>
  <c r="AN101" i="54"/>
  <c r="AJ50" i="54"/>
  <c r="AF50" i="54"/>
  <c r="AB50" i="54"/>
  <c r="AI50" i="54"/>
  <c r="AM96" i="54"/>
  <c r="AN96" i="54"/>
  <c r="AN63" i="11"/>
  <c r="AM63" i="11"/>
  <c r="AI67" i="53"/>
  <c r="AJ67" i="53"/>
  <c r="AF67" i="53"/>
  <c r="AA84" i="64"/>
  <c r="G82" i="64" s="1"/>
  <c r="AF81" i="64"/>
  <c r="AI81" i="64"/>
  <c r="AM54" i="63"/>
  <c r="AN54" i="63"/>
  <c r="AN88" i="61"/>
  <c r="AM88" i="61"/>
  <c r="AI72" i="63"/>
  <c r="AJ72" i="63"/>
  <c r="AA91" i="63"/>
  <c r="AB72" i="63"/>
  <c r="AF72" i="63"/>
  <c r="AI122" i="57"/>
  <c r="AF122" i="57"/>
  <c r="AB122" i="57"/>
  <c r="AM44" i="52"/>
  <c r="AN44" i="52"/>
  <c r="AI68" i="63"/>
  <c r="AJ68" i="63"/>
  <c r="AF68" i="63"/>
  <c r="AN58" i="63"/>
  <c r="AM58" i="63"/>
  <c r="AM46" i="63"/>
  <c r="AN46" i="63"/>
  <c r="AF124" i="62"/>
  <c r="AI124" i="62"/>
  <c r="AB124" i="62"/>
  <c r="AN50" i="61"/>
  <c r="AM50" i="61"/>
  <c r="AI65" i="53"/>
  <c r="AF65" i="53"/>
  <c r="AJ65" i="53"/>
  <c r="AF93" i="56"/>
  <c r="AI93" i="56"/>
  <c r="AF85" i="51"/>
  <c r="AB85" i="51"/>
  <c r="AJ85" i="51"/>
  <c r="AI85" i="51"/>
  <c r="O127" i="39"/>
  <c r="AA126" i="39"/>
  <c r="AB125" i="55"/>
  <c r="AF125" i="55"/>
  <c r="AI125" i="55"/>
  <c r="AM80" i="51"/>
  <c r="AN80" i="51"/>
  <c r="AM47" i="51"/>
  <c r="AN47" i="51"/>
  <c r="AF122" i="56"/>
  <c r="AB122" i="56"/>
  <c r="AI122" i="56"/>
  <c r="AA84" i="55"/>
  <c r="G82" i="55" s="1"/>
  <c r="AI81" i="55"/>
  <c r="AF81" i="55"/>
  <c r="AI123" i="56"/>
  <c r="AF123" i="56"/>
  <c r="AB123" i="56"/>
  <c r="AF41" i="61"/>
  <c r="AB41" i="61"/>
  <c r="AI41" i="61"/>
  <c r="AJ41" i="61"/>
  <c r="AM41" i="53"/>
  <c r="AN41" i="53"/>
  <c r="AF77" i="51"/>
  <c r="AB77" i="51"/>
  <c r="AJ77" i="51"/>
  <c r="AI77" i="51"/>
  <c r="AN88" i="9"/>
  <c r="AM88" i="9"/>
  <c r="AN77" i="52"/>
  <c r="AM77" i="52"/>
  <c r="AF88" i="55"/>
  <c r="AI88" i="55"/>
  <c r="AM37" i="51"/>
  <c r="AN37" i="51"/>
  <c r="AN57" i="51"/>
  <c r="AM57" i="51"/>
  <c r="AM79" i="16"/>
  <c r="AN79" i="16"/>
  <c r="AN56" i="9"/>
  <c r="AM56" i="9"/>
  <c r="AN36" i="16"/>
  <c r="AM36" i="16"/>
  <c r="AM76" i="9"/>
  <c r="AN76" i="9"/>
  <c r="AN116" i="9"/>
  <c r="AM116" i="9"/>
  <c r="AM109" i="16"/>
  <c r="AN109" i="16"/>
  <c r="AN90" i="51"/>
  <c r="AM90" i="51"/>
  <c r="AF109" i="9"/>
  <c r="AI109" i="9"/>
  <c r="AJ109" i="9"/>
  <c r="AB109" i="9"/>
  <c r="AN78" i="9"/>
  <c r="AM78" i="9"/>
  <c r="AI68" i="37"/>
  <c r="AK68" i="37"/>
  <c r="AI65" i="7"/>
  <c r="AF65" i="7"/>
  <c r="AA67" i="7"/>
  <c r="AM114" i="16"/>
  <c r="AN114" i="16"/>
  <c r="AM74" i="16"/>
  <c r="AN74" i="16"/>
  <c r="AM39" i="16"/>
  <c r="AN39" i="16"/>
  <c r="AL87" i="4"/>
  <c r="AN87" i="4"/>
  <c r="AF93" i="9"/>
  <c r="AI93" i="9"/>
  <c r="AJ93" i="9"/>
  <c r="AB93" i="9"/>
  <c r="AM35" i="16"/>
  <c r="AN35" i="16"/>
  <c r="AI88" i="4"/>
  <c r="AJ88" i="4"/>
  <c r="AF88" i="4"/>
  <c r="AB88" i="4"/>
  <c r="AJ37" i="16"/>
  <c r="AI37" i="16"/>
  <c r="AB37" i="16"/>
  <c r="AF37" i="16"/>
  <c r="AJ120" i="16"/>
  <c r="AJ96" i="16"/>
  <c r="AM45" i="16"/>
  <c r="AN45" i="16"/>
  <c r="AI41" i="7"/>
  <c r="AJ41" i="7"/>
  <c r="AF41" i="7"/>
  <c r="AB41" i="7"/>
  <c r="AL92" i="4"/>
  <c r="AN92" i="4"/>
  <c r="AL91" i="4"/>
  <c r="AN91" i="4"/>
  <c r="AL46" i="4"/>
  <c r="AN46" i="4"/>
  <c r="AL97" i="4"/>
  <c r="AN97" i="4"/>
  <c r="AL74" i="4"/>
  <c r="AN74" i="4"/>
  <c r="AM37" i="29"/>
  <c r="AN37" i="29"/>
  <c r="AB58" i="30"/>
  <c r="AB63" i="28"/>
  <c r="AM59" i="26"/>
  <c r="AN59" i="26"/>
  <c r="AN39" i="23"/>
  <c r="AM39" i="23"/>
  <c r="AB43" i="28"/>
  <c r="AM35" i="27"/>
  <c r="AN35" i="27"/>
  <c r="AM55" i="26"/>
  <c r="AN55" i="26"/>
  <c r="AM39" i="25"/>
  <c r="AN39" i="25"/>
  <c r="AF91" i="23"/>
  <c r="AJ91" i="23"/>
  <c r="AB91" i="23"/>
  <c r="AI91" i="23"/>
  <c r="AN66" i="26"/>
  <c r="AM66" i="26"/>
  <c r="AI92" i="23"/>
  <c r="AF92" i="23"/>
  <c r="AJ92" i="23"/>
  <c r="AB92" i="23"/>
  <c r="AJ63" i="22"/>
  <c r="AJ34" i="22"/>
  <c r="AF39" i="22"/>
  <c r="AI39" i="22"/>
  <c r="AJ39" i="22"/>
  <c r="AB39" i="22"/>
  <c r="AJ87" i="23"/>
  <c r="AF87" i="23"/>
  <c r="AB87" i="23"/>
  <c r="AI87" i="23"/>
  <c r="AJ52" i="22"/>
  <c r="AI36" i="20"/>
  <c r="AJ36" i="20"/>
  <c r="AF36" i="20"/>
  <c r="AB36" i="20"/>
  <c r="AI47" i="22"/>
  <c r="AJ47" i="22"/>
  <c r="AF47" i="22"/>
  <c r="AN58" i="19"/>
  <c r="AM58" i="19"/>
  <c r="AJ54" i="22"/>
  <c r="AJ51" i="20"/>
  <c r="AM57" i="29"/>
  <c r="AN57" i="29"/>
  <c r="AF94" i="23"/>
  <c r="AI94" i="23"/>
  <c r="AJ94" i="23"/>
  <c r="AB94" i="23"/>
  <c r="AM67" i="19"/>
  <c r="AN67" i="19"/>
  <c r="AN41" i="21"/>
  <c r="AM41" i="21"/>
  <c r="AM37" i="25"/>
  <c r="AN37" i="25"/>
  <c r="AA63" i="20"/>
  <c r="AB44" i="20"/>
  <c r="AF44" i="20"/>
  <c r="AI44" i="20"/>
  <c r="AJ44" i="20"/>
  <c r="AM47" i="24"/>
  <c r="AL47" i="24"/>
  <c r="AM57" i="19"/>
  <c r="AN57" i="19"/>
  <c r="AM61" i="22"/>
  <c r="AN61" i="22"/>
  <c r="AA54" i="68"/>
  <c r="G54" i="68" s="1"/>
  <c r="AI52" i="68"/>
  <c r="AF52" i="68"/>
  <c r="AJ42" i="20"/>
  <c r="AA79" i="70"/>
  <c r="G79" i="70" s="1"/>
  <c r="AF77" i="70"/>
  <c r="AI77" i="70"/>
  <c r="AI41" i="69"/>
  <c r="AB41" i="69"/>
  <c r="AJ41" i="69"/>
  <c r="AF41" i="69"/>
  <c r="AM56" i="19"/>
  <c r="AN56" i="19"/>
  <c r="AN61" i="15"/>
  <c r="AM61" i="15"/>
  <c r="AB63" i="15"/>
  <c r="AF63" i="15"/>
  <c r="AI63" i="15"/>
  <c r="AJ63" i="15"/>
  <c r="AJ37" i="19"/>
  <c r="AB56" i="70"/>
  <c r="AB90" i="70"/>
  <c r="AB49" i="70"/>
  <c r="AB59" i="70"/>
  <c r="AB45" i="70"/>
  <c r="AB55" i="70"/>
  <c r="AB92" i="70"/>
  <c r="AJ45" i="65"/>
  <c r="AB45" i="65"/>
  <c r="AF45" i="65"/>
  <c r="AI45" i="65"/>
  <c r="AD113" i="70"/>
  <c r="AE112" i="70"/>
  <c r="AI85" i="66"/>
  <c r="AF85" i="66"/>
  <c r="AL45" i="24"/>
  <c r="AM45" i="24"/>
  <c r="AB65" i="68"/>
  <c r="AJ49" i="67"/>
  <c r="AA73" i="66"/>
  <c r="G73" i="66" s="1"/>
  <c r="AF71" i="66"/>
  <c r="AI71" i="66"/>
  <c r="AM70" i="65"/>
  <c r="AN70" i="65"/>
  <c r="AJ54" i="67"/>
  <c r="AN38" i="11"/>
  <c r="AM38" i="11"/>
  <c r="AI124" i="59"/>
  <c r="AF124" i="59"/>
  <c r="AB124" i="59"/>
  <c r="AF123" i="58"/>
  <c r="AB123" i="58"/>
  <c r="AI123" i="58"/>
  <c r="AM94" i="54"/>
  <c r="AN94" i="54"/>
  <c r="AM45" i="11"/>
  <c r="AN45" i="11"/>
  <c r="AB76" i="65"/>
  <c r="AM71" i="11"/>
  <c r="AN71" i="11"/>
  <c r="AI54" i="54"/>
  <c r="AJ54" i="54"/>
  <c r="AF54" i="54"/>
  <c r="AB54" i="54"/>
  <c r="AB48" i="65"/>
  <c r="AF40" i="63"/>
  <c r="AB40" i="63"/>
  <c r="AJ40" i="63"/>
  <c r="AI40" i="63"/>
  <c r="AD127" i="58"/>
  <c r="AE126" i="58"/>
  <c r="AN107" i="54"/>
  <c r="AM107" i="54"/>
  <c r="AN78" i="61"/>
  <c r="AM78" i="61"/>
  <c r="AB125" i="57"/>
  <c r="AI125" i="57"/>
  <c r="AF125" i="57"/>
  <c r="AM55" i="63"/>
  <c r="AN55" i="63"/>
  <c r="AF124" i="57"/>
  <c r="AB124" i="57"/>
  <c r="AI124" i="57"/>
  <c r="AM48" i="52"/>
  <c r="AN48" i="52"/>
  <c r="AN84" i="54"/>
  <c r="AM84" i="54"/>
  <c r="AF81" i="62"/>
  <c r="AI81" i="62"/>
  <c r="AA84" i="62"/>
  <c r="G82" i="62" s="1"/>
  <c r="AM37" i="61"/>
  <c r="AN37" i="61"/>
  <c r="AM93" i="54"/>
  <c r="AN93" i="54"/>
  <c r="AI38" i="52"/>
  <c r="AB38" i="52"/>
  <c r="AF38" i="52"/>
  <c r="AJ38" i="52"/>
  <c r="AN35" i="52"/>
  <c r="AM35" i="52"/>
  <c r="AF53" i="51"/>
  <c r="AB53" i="51"/>
  <c r="AJ53" i="51"/>
  <c r="AI53" i="51"/>
  <c r="AN80" i="53"/>
  <c r="AM80" i="53"/>
  <c r="AJ49" i="52"/>
  <c r="AI81" i="51"/>
  <c r="AF81" i="51"/>
  <c r="AB81" i="51"/>
  <c r="AJ81" i="51"/>
  <c r="AN41" i="51"/>
  <c r="AM41" i="51"/>
  <c r="AA44" i="55"/>
  <c r="G43" i="55" s="1"/>
  <c r="AI42" i="55"/>
  <c r="AF42" i="55"/>
  <c r="AA74" i="55"/>
  <c r="G73" i="55" s="1"/>
  <c r="AI72" i="55"/>
  <c r="AF72" i="55"/>
  <c r="AM47" i="63"/>
  <c r="AN47" i="63"/>
  <c r="AM39" i="53"/>
  <c r="AN39" i="53"/>
  <c r="AN46" i="61"/>
  <c r="AM46" i="61"/>
  <c r="AN47" i="53"/>
  <c r="AM47" i="53"/>
  <c r="AI93" i="39"/>
  <c r="AF93" i="39"/>
  <c r="AI55" i="54"/>
  <c r="AJ55" i="54"/>
  <c r="AF55" i="54"/>
  <c r="AB55" i="54"/>
  <c r="AN85" i="53"/>
  <c r="AM85" i="53"/>
  <c r="AN54" i="53"/>
  <c r="AM54" i="53"/>
  <c r="AN42" i="61"/>
  <c r="AM42" i="61"/>
  <c r="AM52" i="9"/>
  <c r="AN52" i="9"/>
  <c r="AB145" i="17"/>
  <c r="AI145" i="17"/>
  <c r="AF145" i="17"/>
  <c r="AF141" i="39"/>
  <c r="AI141" i="39"/>
  <c r="AF68" i="17"/>
  <c r="AI68" i="17"/>
  <c r="AA70" i="17"/>
  <c r="G69" i="17" s="1"/>
  <c r="AM83" i="16"/>
  <c r="AN83" i="16"/>
  <c r="AB120" i="9"/>
  <c r="AI168" i="17"/>
  <c r="AF168" i="17"/>
  <c r="AM58" i="51"/>
  <c r="AN58" i="51"/>
  <c r="AI46" i="9"/>
  <c r="AJ46" i="9"/>
  <c r="AF46" i="9"/>
  <c r="AB46" i="9"/>
  <c r="AJ79" i="52"/>
  <c r="AF77" i="9"/>
  <c r="AI77" i="9"/>
  <c r="AB77" i="9"/>
  <c r="AJ77" i="9"/>
  <c r="AN113" i="16"/>
  <c r="AM113" i="16"/>
  <c r="AI77" i="16"/>
  <c r="AJ77" i="16"/>
  <c r="AF77" i="16"/>
  <c r="AB77" i="16"/>
  <c r="AB89" i="9"/>
  <c r="AM50" i="51"/>
  <c r="AN50" i="51"/>
  <c r="AB100" i="9"/>
  <c r="AB48" i="9"/>
  <c r="AM119" i="16"/>
  <c r="AN119" i="16"/>
  <c r="AI51" i="9"/>
  <c r="AF51" i="9"/>
  <c r="AB51" i="9"/>
  <c r="AJ51" i="9"/>
  <c r="AL45" i="7"/>
  <c r="AN45" i="7"/>
  <c r="AB58" i="39"/>
  <c r="AM108" i="16"/>
  <c r="AN108" i="16"/>
  <c r="AJ112" i="16"/>
  <c r="AM50" i="16"/>
  <c r="AN50" i="16"/>
  <c r="AJ46" i="16"/>
  <c r="AI70" i="7"/>
  <c r="AF70" i="7"/>
  <c r="AL64" i="4"/>
  <c r="AN64" i="4"/>
  <c r="N52" i="37"/>
  <c r="Z51" i="37"/>
  <c r="AJ99" i="16"/>
  <c r="AJ114" i="16"/>
  <c r="AJ74" i="16"/>
  <c r="AJ39" i="16"/>
  <c r="AJ101" i="16"/>
  <c r="AJ40" i="16"/>
  <c r="N64" i="37"/>
  <c r="N62" i="37"/>
  <c r="Z61" i="37"/>
  <c r="AB81" i="9"/>
  <c r="AJ103" i="16"/>
  <c r="AJ55" i="16"/>
  <c r="AJ51" i="7"/>
  <c r="AJ42" i="7"/>
  <c r="AN52" i="51"/>
  <c r="AM52" i="51"/>
  <c r="AB82" i="9"/>
  <c r="AN44" i="16"/>
  <c r="AM44" i="16"/>
  <c r="AI73" i="4"/>
  <c r="AJ73" i="4"/>
  <c r="AF73" i="4"/>
  <c r="AB73" i="4"/>
  <c r="AL68" i="4"/>
  <c r="AN68" i="4"/>
  <c r="AL49" i="4"/>
  <c r="AN49" i="4"/>
  <c r="P64" i="37"/>
  <c r="P74" i="37" s="1"/>
  <c r="P62" i="37"/>
  <c r="AL59" i="4"/>
  <c r="AN59" i="4"/>
  <c r="AL98" i="4"/>
  <c r="AN98" i="4"/>
  <c r="AI77" i="37"/>
  <c r="AK77" i="37"/>
  <c r="AE89" i="37"/>
  <c r="AK56" i="37"/>
  <c r="AI56" i="37"/>
  <c r="AJ38" i="23"/>
  <c r="AF38" i="23"/>
  <c r="AB38" i="23"/>
  <c r="AI38" i="23"/>
  <c r="AM37" i="27"/>
  <c r="AN37" i="27"/>
  <c r="AM43" i="26"/>
  <c r="AN43" i="26"/>
  <c r="AI58" i="23"/>
  <c r="AJ58" i="23"/>
  <c r="AF58" i="23"/>
  <c r="AN68" i="26"/>
  <c r="AM68" i="26"/>
  <c r="AM51" i="26"/>
  <c r="AN51" i="26"/>
  <c r="AI52" i="25"/>
  <c r="AJ52" i="25"/>
  <c r="AA54" i="25"/>
  <c r="AF52" i="25"/>
  <c r="AB52" i="25"/>
  <c r="AM45" i="23"/>
  <c r="AN45" i="23"/>
  <c r="AM41" i="25"/>
  <c r="AN41" i="25"/>
  <c r="AN49" i="20"/>
  <c r="AM49" i="20"/>
  <c r="AB81" i="23"/>
  <c r="AF81" i="23"/>
  <c r="AI81" i="23"/>
  <c r="AJ81" i="23"/>
  <c r="AB93" i="23"/>
  <c r="AI93" i="23"/>
  <c r="AF93" i="23"/>
  <c r="AJ93" i="23"/>
  <c r="AM48" i="20"/>
  <c r="AN48" i="20"/>
  <c r="AJ55" i="22"/>
  <c r="AJ68" i="22"/>
  <c r="AJ60" i="22"/>
  <c r="AJ49" i="22"/>
  <c r="AJ41" i="22"/>
  <c r="AJ51" i="22"/>
  <c r="AN55" i="19"/>
  <c r="AM55" i="19"/>
  <c r="AN69" i="29"/>
  <c r="AM69" i="29"/>
  <c r="AM37" i="22"/>
  <c r="AN37" i="22"/>
  <c r="AJ40" i="22"/>
  <c r="AJ58" i="24"/>
  <c r="AD58" i="24"/>
  <c r="AB38" i="25"/>
  <c r="AB46" i="25"/>
  <c r="AB50" i="25"/>
  <c r="AJ48" i="22"/>
  <c r="AM59" i="20"/>
  <c r="AN59" i="20"/>
  <c r="AM37" i="21"/>
  <c r="AN37" i="21"/>
  <c r="AN34" i="19"/>
  <c r="AM34" i="19"/>
  <c r="AA118" i="70"/>
  <c r="O113" i="70"/>
  <c r="AA112" i="70"/>
  <c r="AI49" i="69"/>
  <c r="AB49" i="69"/>
  <c r="AJ49" i="69"/>
  <c r="AF49" i="69"/>
  <c r="AI56" i="22"/>
  <c r="AJ56" i="22"/>
  <c r="AB56" i="22"/>
  <c r="AA75" i="22"/>
  <c r="AF56" i="22"/>
  <c r="AL54" i="24"/>
  <c r="AM54" i="24"/>
  <c r="AM56" i="15"/>
  <c r="AN56" i="15"/>
  <c r="AF47" i="67"/>
  <c r="AI47" i="67"/>
  <c r="AJ47" i="67"/>
  <c r="AB47" i="67"/>
  <c r="AA36" i="24"/>
  <c r="AH36" i="24"/>
  <c r="AE36" i="24"/>
  <c r="AI36" i="24"/>
  <c r="AB59" i="15"/>
  <c r="AI59" i="15"/>
  <c r="AJ59" i="15"/>
  <c r="AF59" i="15"/>
  <c r="AJ53" i="65"/>
  <c r="AB53" i="65"/>
  <c r="AF53" i="65"/>
  <c r="AI53" i="65"/>
  <c r="AL56" i="24"/>
  <c r="AM56" i="24"/>
  <c r="AI40" i="67"/>
  <c r="AJ40" i="67"/>
  <c r="AF40" i="67"/>
  <c r="AB40" i="67"/>
  <c r="AI96" i="65"/>
  <c r="AJ96" i="65"/>
  <c r="AB96" i="65"/>
  <c r="AF96" i="65"/>
  <c r="AB51" i="15"/>
  <c r="AF51" i="15"/>
  <c r="AI51" i="15"/>
  <c r="AA76" i="15"/>
  <c r="AJ51" i="15"/>
  <c r="AI72" i="59"/>
  <c r="AF72" i="59"/>
  <c r="AA74" i="59"/>
  <c r="G73" i="59" s="1"/>
  <c r="AB81" i="65"/>
  <c r="AI82" i="54"/>
  <c r="AB82" i="54"/>
  <c r="AJ82" i="54"/>
  <c r="AF82" i="54"/>
  <c r="AD113" i="68"/>
  <c r="AE112" i="68"/>
  <c r="AN46" i="11"/>
  <c r="AM46" i="11"/>
  <c r="AB106" i="68"/>
  <c r="AB36" i="67"/>
  <c r="AB52" i="67"/>
  <c r="AB50" i="67"/>
  <c r="AB48" i="67"/>
  <c r="O127" i="58"/>
  <c r="AA126" i="58"/>
  <c r="AD127" i="64"/>
  <c r="AE126" i="64"/>
  <c r="AI62" i="64"/>
  <c r="AA64" i="64"/>
  <c r="G63" i="64" s="1"/>
  <c r="AF62" i="64"/>
  <c r="AI88" i="58"/>
  <c r="AF88" i="58"/>
  <c r="AA145" i="58"/>
  <c r="AI46" i="54"/>
  <c r="AJ46" i="54"/>
  <c r="AF46" i="54"/>
  <c r="AB46" i="54"/>
  <c r="AF56" i="63"/>
  <c r="AB56" i="63"/>
  <c r="AJ56" i="63"/>
  <c r="AI56" i="63"/>
  <c r="AN78" i="63"/>
  <c r="AM78" i="63"/>
  <c r="AN76" i="61"/>
  <c r="AM76" i="61"/>
  <c r="AN54" i="61"/>
  <c r="AM54" i="61"/>
  <c r="AN83" i="53"/>
  <c r="AM83" i="53"/>
  <c r="AN88" i="63"/>
  <c r="AM88" i="63"/>
  <c r="AI36" i="63"/>
  <c r="AJ36" i="63"/>
  <c r="AF36" i="63"/>
  <c r="AB36" i="63"/>
  <c r="AF45" i="61"/>
  <c r="AB45" i="61"/>
  <c r="AI45" i="61"/>
  <c r="AJ45" i="61"/>
  <c r="AN105" i="54"/>
  <c r="AM105" i="54"/>
  <c r="AM43" i="61"/>
  <c r="AN43" i="61"/>
  <c r="AM51" i="53"/>
  <c r="AN51" i="53"/>
  <c r="AN87" i="52"/>
  <c r="AM87" i="52"/>
  <c r="AM56" i="52"/>
  <c r="AN56" i="52"/>
  <c r="AM48" i="61"/>
  <c r="AN48" i="61"/>
  <c r="AF52" i="53"/>
  <c r="AB52" i="53"/>
  <c r="AI52" i="53"/>
  <c r="AJ52" i="53"/>
  <c r="AM53" i="54"/>
  <c r="AN53" i="54"/>
  <c r="AM35" i="63"/>
  <c r="AN35" i="63"/>
  <c r="AM80" i="63"/>
  <c r="AN80" i="63"/>
  <c r="AI44" i="63"/>
  <c r="AJ44" i="63"/>
  <c r="AF44" i="63"/>
  <c r="AB44" i="63"/>
  <c r="AF64" i="52"/>
  <c r="AI64" i="52"/>
  <c r="AJ64" i="52"/>
  <c r="AI46" i="52"/>
  <c r="AJ46" i="52"/>
  <c r="AF46" i="52"/>
  <c r="AB46" i="52"/>
  <c r="AJ67" i="52"/>
  <c r="AJ84" i="63"/>
  <c r="AJ39" i="63"/>
  <c r="AJ55" i="63"/>
  <c r="AM48" i="53"/>
  <c r="AN48" i="53"/>
  <c r="AJ96" i="9"/>
  <c r="AB96" i="9"/>
  <c r="AF96" i="9"/>
  <c r="AI96" i="9"/>
  <c r="AA124" i="9"/>
  <c r="AB72" i="9"/>
  <c r="AF72" i="9"/>
  <c r="AI72" i="9"/>
  <c r="AJ72" i="9"/>
  <c r="AJ41" i="63"/>
  <c r="AN96" i="51"/>
  <c r="AM96" i="51"/>
  <c r="AM83" i="51"/>
  <c r="AN83" i="51"/>
  <c r="AM48" i="51"/>
  <c r="AN48" i="51"/>
  <c r="AJ83" i="61"/>
  <c r="AB83" i="61"/>
  <c r="AF83" i="61"/>
  <c r="AI83" i="61"/>
  <c r="AN51" i="52"/>
  <c r="AM51" i="52"/>
  <c r="AM43" i="51"/>
  <c r="AN43" i="51"/>
  <c r="AM45" i="52"/>
  <c r="AN45" i="52"/>
  <c r="AN52" i="61"/>
  <c r="AM52" i="61"/>
  <c r="AJ58" i="9"/>
  <c r="AF58" i="9"/>
  <c r="AB58" i="9"/>
  <c r="AI58" i="9"/>
  <c r="AB84" i="9"/>
  <c r="AJ63" i="53"/>
  <c r="AJ43" i="53"/>
  <c r="AJ55" i="53"/>
  <c r="AJ79" i="53"/>
  <c r="AJ49" i="53"/>
  <c r="AJ77" i="53"/>
  <c r="AJ84" i="53"/>
  <c r="AI125" i="39"/>
  <c r="AF125" i="39"/>
  <c r="AB125" i="39"/>
  <c r="AF143" i="17"/>
  <c r="AI143" i="17"/>
  <c r="AB143" i="17"/>
  <c r="AJ80" i="9"/>
  <c r="AJ88" i="9"/>
  <c r="AJ105" i="9"/>
  <c r="AJ69" i="9"/>
  <c r="AJ113" i="9"/>
  <c r="AI85" i="16"/>
  <c r="AJ85" i="16"/>
  <c r="AF85" i="16"/>
  <c r="AB85" i="16"/>
  <c r="AB121" i="9"/>
  <c r="AB113" i="9"/>
  <c r="AI38" i="9"/>
  <c r="AJ38" i="9"/>
  <c r="AF38" i="9"/>
  <c r="AB38" i="9"/>
  <c r="AN36" i="51"/>
  <c r="AM36" i="51"/>
  <c r="AB41" i="9"/>
  <c r="AM111" i="16"/>
  <c r="AN111" i="16"/>
  <c r="AL34" i="7"/>
  <c r="AN34" i="7"/>
  <c r="AI38" i="4"/>
  <c r="AF38" i="4"/>
  <c r="AJ38" i="4"/>
  <c r="AB38" i="4"/>
  <c r="AM112" i="16"/>
  <c r="AN112" i="16"/>
  <c r="AL38" i="7"/>
  <c r="AN38" i="7"/>
  <c r="AL37" i="4"/>
  <c r="AN37" i="4"/>
  <c r="AM53" i="52"/>
  <c r="AN53" i="52"/>
  <c r="AM99" i="16"/>
  <c r="AN99" i="16"/>
  <c r="AJ41" i="16"/>
  <c r="AL95" i="4"/>
  <c r="AN95" i="4"/>
  <c r="AB83" i="9"/>
  <c r="AN62" i="4"/>
  <c r="AL62" i="4"/>
  <c r="AJ100" i="16"/>
  <c r="AN78" i="16"/>
  <c r="AM78" i="16"/>
  <c r="AB55" i="7"/>
  <c r="AI74" i="7"/>
  <c r="AF74" i="7"/>
  <c r="AJ37" i="9"/>
  <c r="AM120" i="16"/>
  <c r="AN120" i="16"/>
  <c r="AJ76" i="16"/>
  <c r="AJ38" i="16"/>
  <c r="AI89" i="4"/>
  <c r="AJ89" i="4"/>
  <c r="AF89" i="4"/>
  <c r="AB89" i="4"/>
  <c r="AL55" i="4"/>
  <c r="AN55" i="4"/>
  <c r="AI80" i="37"/>
  <c r="AK80" i="37"/>
  <c r="AM34" i="21"/>
  <c r="AN34" i="21"/>
  <c r="AM61" i="26"/>
  <c r="AN61" i="26"/>
  <c r="AM47" i="25"/>
  <c r="AN47" i="25"/>
  <c r="AB89" i="23"/>
  <c r="AF89" i="23"/>
  <c r="AI89" i="23"/>
  <c r="AJ89" i="23"/>
  <c r="AI66" i="23"/>
  <c r="AF66" i="23"/>
  <c r="AJ66" i="23"/>
  <c r="AM44" i="25"/>
  <c r="AN44" i="25"/>
  <c r="AF48" i="23"/>
  <c r="AB48" i="23"/>
  <c r="AJ48" i="23"/>
  <c r="AI48" i="23"/>
  <c r="AB63" i="26"/>
  <c r="AI63" i="26"/>
  <c r="AJ63" i="26"/>
  <c r="AF63" i="26"/>
  <c r="AM56" i="29"/>
  <c r="AN56" i="29"/>
  <c r="AJ37" i="22"/>
  <c r="AJ62" i="22"/>
  <c r="AM40" i="22"/>
  <c r="AN40" i="22"/>
  <c r="AB59" i="30"/>
  <c r="AJ53" i="22"/>
  <c r="AM62" i="19"/>
  <c r="AN62" i="19"/>
  <c r="AN42" i="19"/>
  <c r="AM42" i="19"/>
  <c r="AL34" i="24"/>
  <c r="AM34" i="24"/>
  <c r="AN71" i="22"/>
  <c r="AM71" i="22"/>
  <c r="AJ63" i="19"/>
  <c r="AB63" i="19"/>
  <c r="AI63" i="19"/>
  <c r="AF63" i="19"/>
  <c r="AM57" i="15"/>
  <c r="AN57" i="15"/>
  <c r="AF108" i="70"/>
  <c r="AI108" i="70"/>
  <c r="AB108" i="70"/>
  <c r="AJ53" i="69"/>
  <c r="AB53" i="69"/>
  <c r="AI53" i="69"/>
  <c r="AF53" i="69"/>
  <c r="AI84" i="68"/>
  <c r="AA120" i="68"/>
  <c r="AF84" i="68"/>
  <c r="AM64" i="15"/>
  <c r="AN64" i="15"/>
  <c r="AA73" i="70"/>
  <c r="G73" i="70" s="1"/>
  <c r="AI71" i="70"/>
  <c r="AF71" i="70"/>
  <c r="AM44" i="21"/>
  <c r="AN44" i="21"/>
  <c r="AM45" i="67"/>
  <c r="AN45" i="67"/>
  <c r="AB55" i="20"/>
  <c r="AF55" i="20"/>
  <c r="AJ55" i="20"/>
  <c r="AI55" i="20"/>
  <c r="AI111" i="68"/>
  <c r="AB111" i="68"/>
  <c r="AF111" i="68"/>
  <c r="AI56" i="67"/>
  <c r="AJ56" i="67"/>
  <c r="AB56" i="67"/>
  <c r="AF56" i="67"/>
  <c r="AF35" i="67"/>
  <c r="AB35" i="67"/>
  <c r="AI35" i="67"/>
  <c r="AJ35" i="67"/>
  <c r="AM50" i="69"/>
  <c r="AN50" i="69"/>
  <c r="AB77" i="65"/>
  <c r="AI77" i="65"/>
  <c r="AJ77" i="65"/>
  <c r="AF77" i="65"/>
  <c r="AJ48" i="67"/>
  <c r="AI62" i="59"/>
  <c r="AF62" i="59"/>
  <c r="AA64" i="59"/>
  <c r="G63" i="59" s="1"/>
  <c r="AJ86" i="54"/>
  <c r="AB86" i="54"/>
  <c r="AI86" i="54"/>
  <c r="AF86" i="54"/>
  <c r="AB90" i="68"/>
  <c r="AB84" i="65"/>
  <c r="AB40" i="65"/>
  <c r="AM50" i="11"/>
  <c r="AN50" i="11"/>
  <c r="AA122" i="66"/>
  <c r="AN90" i="65"/>
  <c r="AM90" i="65"/>
  <c r="AB110" i="68"/>
  <c r="AI58" i="11"/>
  <c r="AF58" i="11"/>
  <c r="AJ58" i="11"/>
  <c r="AM104" i="54"/>
  <c r="AN104" i="54"/>
  <c r="AJ58" i="54"/>
  <c r="AF58" i="54"/>
  <c r="AB58" i="54"/>
  <c r="AI58" i="54"/>
  <c r="AB36" i="65"/>
  <c r="AI121" i="59"/>
  <c r="AF121" i="59"/>
  <c r="AB121" i="59"/>
  <c r="AM57" i="54"/>
  <c r="AN57" i="54"/>
  <c r="AM99" i="54"/>
  <c r="AN99" i="54"/>
  <c r="AM89" i="54"/>
  <c r="AN89" i="54"/>
  <c r="AI121" i="64"/>
  <c r="AB121" i="64"/>
  <c r="AF121" i="64"/>
  <c r="AF63" i="63"/>
  <c r="AI63" i="63"/>
  <c r="AJ63" i="63"/>
  <c r="AM55" i="61"/>
  <c r="AN55" i="61"/>
  <c r="AM52" i="54"/>
  <c r="AN52" i="54"/>
  <c r="AJ56" i="61"/>
  <c r="AF56" i="61"/>
  <c r="AB56" i="61"/>
  <c r="AI56" i="61"/>
  <c r="AM77" i="53"/>
  <c r="AN77" i="53"/>
  <c r="AN85" i="63"/>
  <c r="AM85" i="63"/>
  <c r="AF94" i="62"/>
  <c r="AI94" i="62"/>
  <c r="AF77" i="61"/>
  <c r="AI77" i="61"/>
  <c r="AB77" i="61"/>
  <c r="AJ77" i="61"/>
  <c r="AF56" i="53"/>
  <c r="AB56" i="53"/>
  <c r="AI56" i="53"/>
  <c r="AJ56" i="53"/>
  <c r="AF77" i="63"/>
  <c r="AI77" i="63"/>
  <c r="AB77" i="63"/>
  <c r="AJ77" i="63"/>
  <c r="AN42" i="63"/>
  <c r="AM42" i="63"/>
  <c r="AM43" i="11"/>
  <c r="AN43" i="11"/>
  <c r="AN38" i="61"/>
  <c r="AM38" i="61"/>
  <c r="AM74" i="11"/>
  <c r="AN74" i="11"/>
  <c r="AI43" i="54"/>
  <c r="AF43" i="54"/>
  <c r="AJ43" i="54"/>
  <c r="AB43" i="54"/>
  <c r="AI50" i="52"/>
  <c r="AJ50" i="52"/>
  <c r="AF50" i="52"/>
  <c r="AB50" i="52"/>
  <c r="AM44" i="54"/>
  <c r="AN44" i="54"/>
  <c r="AJ104" i="9"/>
  <c r="AB104" i="9"/>
  <c r="AF104" i="9"/>
  <c r="AI104" i="9"/>
  <c r="AM35" i="11"/>
  <c r="AN35" i="11"/>
  <c r="AM41" i="63"/>
  <c r="AN41" i="63"/>
  <c r="AM55" i="51"/>
  <c r="AN55" i="51"/>
  <c r="AI105" i="17"/>
  <c r="AF105" i="17"/>
  <c r="AN38" i="53"/>
  <c r="AM38" i="53"/>
  <c r="AF49" i="51"/>
  <c r="AB49" i="51"/>
  <c r="AJ49" i="51"/>
  <c r="AI49" i="51"/>
  <c r="AM40" i="53"/>
  <c r="AN40" i="53"/>
  <c r="AJ39" i="52"/>
  <c r="AM49" i="61"/>
  <c r="AN49" i="61"/>
  <c r="AM37" i="53"/>
  <c r="AN37" i="53"/>
  <c r="AB48" i="55"/>
  <c r="AB49" i="55"/>
  <c r="AB99" i="55"/>
  <c r="AB103" i="55"/>
  <c r="AB35" i="55"/>
  <c r="AB83" i="55"/>
  <c r="AB107" i="55"/>
  <c r="AB111" i="55"/>
  <c r="AB46" i="55"/>
  <c r="AB47" i="55"/>
  <c r="AB45" i="55"/>
  <c r="AA54" i="39"/>
  <c r="G53" i="39" s="1"/>
  <c r="AF52" i="39"/>
  <c r="AI52" i="39"/>
  <c r="AJ63" i="52"/>
  <c r="AF63" i="52"/>
  <c r="AI63" i="52"/>
  <c r="AB40" i="9"/>
  <c r="AB57" i="9"/>
  <c r="AB86" i="9"/>
  <c r="AM53" i="9"/>
  <c r="AN53" i="9"/>
  <c r="AF123" i="39"/>
  <c r="AI123" i="39"/>
  <c r="AB123" i="39"/>
  <c r="AA52" i="17"/>
  <c r="G51" i="17" s="1"/>
  <c r="AF50" i="17"/>
  <c r="AI50" i="17"/>
  <c r="AM93" i="16"/>
  <c r="AN93" i="16"/>
  <c r="AA122" i="16"/>
  <c r="AI89" i="16"/>
  <c r="AJ89" i="16"/>
  <c r="AF89" i="16"/>
  <c r="AB89" i="16"/>
  <c r="AB37" i="39"/>
  <c r="AM54" i="51"/>
  <c r="AN54" i="51"/>
  <c r="AL44" i="7"/>
  <c r="AN44" i="7"/>
  <c r="AJ39" i="9"/>
  <c r="AM106" i="16"/>
  <c r="AN106" i="16"/>
  <c r="AF50" i="4"/>
  <c r="AB50" i="4"/>
  <c r="AI50" i="4"/>
  <c r="AJ50" i="4"/>
  <c r="AF68" i="7"/>
  <c r="AI68" i="7"/>
  <c r="AB55" i="9"/>
  <c r="AJ80" i="16"/>
  <c r="AJ50" i="7"/>
  <c r="AB97" i="9"/>
  <c r="AJ90" i="9"/>
  <c r="AB90" i="9"/>
  <c r="AF90" i="9"/>
  <c r="AA123" i="9"/>
  <c r="AI90" i="9"/>
  <c r="AM52" i="16"/>
  <c r="AN52" i="16"/>
  <c r="AN35" i="4"/>
  <c r="AL35" i="4"/>
  <c r="AM103" i="16"/>
  <c r="AN103" i="16"/>
  <c r="AM107" i="16"/>
  <c r="AN107" i="16"/>
  <c r="AJ103" i="9"/>
  <c r="AD64" i="37"/>
  <c r="AC74" i="37"/>
  <c r="AL90" i="4"/>
  <c r="AN90" i="4"/>
  <c r="R75" i="37"/>
  <c r="R86" i="37"/>
  <c r="R88" i="37" s="1"/>
  <c r="R82" i="37"/>
  <c r="R84" i="37" s="1"/>
  <c r="R85" i="37" s="1"/>
  <c r="AN42" i="4"/>
  <c r="AL42" i="4"/>
  <c r="O86" i="37"/>
  <c r="O88" i="37" s="1"/>
  <c r="O82" i="37"/>
  <c r="O84" i="37" s="1"/>
  <c r="O85" i="37" s="1"/>
  <c r="O75" i="37"/>
  <c r="W86" i="37"/>
  <c r="W88" i="37" s="1"/>
  <c r="W82" i="37"/>
  <c r="W84" i="37" s="1"/>
  <c r="W85" i="37" s="1"/>
  <c r="W75" i="37"/>
  <c r="AL44" i="4"/>
  <c r="AN44" i="4"/>
  <c r="V86" i="37"/>
  <c r="V88" i="37" s="1"/>
  <c r="V82" i="37"/>
  <c r="V84" i="37" s="1"/>
  <c r="V85" i="37" s="1"/>
  <c r="V75" i="37"/>
  <c r="AM62" i="29"/>
  <c r="AN62" i="29"/>
  <c r="AM40" i="27"/>
  <c r="AN40" i="27"/>
  <c r="AJ46" i="23"/>
  <c r="AI46" i="23"/>
  <c r="AB46" i="23"/>
  <c r="AF46" i="23"/>
  <c r="AI74" i="23"/>
  <c r="AF74" i="23"/>
  <c r="AJ74" i="23"/>
  <c r="AN46" i="26"/>
  <c r="AM46" i="26"/>
  <c r="AM98" i="23"/>
  <c r="AN98" i="23"/>
  <c r="AM44" i="26"/>
  <c r="AN44" i="26"/>
  <c r="AM42" i="21"/>
  <c r="AN42" i="21"/>
  <c r="AM40" i="21"/>
  <c r="AN40" i="21"/>
  <c r="AM65" i="21"/>
  <c r="AN65" i="21"/>
  <c r="AM35" i="29"/>
  <c r="AN35" i="29"/>
  <c r="AF78" i="23"/>
  <c r="AI78" i="23"/>
  <c r="AB78" i="23"/>
  <c r="AJ78" i="23"/>
  <c r="AM66" i="21"/>
  <c r="AN66" i="21"/>
  <c r="AM56" i="20"/>
  <c r="AN56" i="20"/>
  <c r="AN68" i="15"/>
  <c r="AM68" i="15"/>
  <c r="AM70" i="26"/>
  <c r="AN70" i="26"/>
  <c r="AM67" i="26"/>
  <c r="AN67" i="26"/>
  <c r="AB67" i="22"/>
  <c r="AI67" i="22"/>
  <c r="AF67" i="22"/>
  <c r="AJ67" i="22"/>
  <c r="AN64" i="21"/>
  <c r="AM64" i="21"/>
  <c r="AN62" i="26"/>
  <c r="AM62" i="26"/>
  <c r="AH112" i="70"/>
  <c r="AG113" i="70"/>
  <c r="AI36" i="23"/>
  <c r="AF36" i="23"/>
  <c r="AB36" i="23"/>
  <c r="AJ36" i="23"/>
  <c r="AB59" i="68"/>
  <c r="AB35" i="68"/>
  <c r="AB103" i="68"/>
  <c r="AB92" i="68"/>
  <c r="AB45" i="68"/>
  <c r="AB68" i="68"/>
  <c r="AB55" i="68"/>
  <c r="AB46" i="68"/>
  <c r="AB39" i="68"/>
  <c r="AA115" i="68"/>
  <c r="AB57" i="68"/>
  <c r="AB47" i="68"/>
  <c r="AB49" i="68"/>
  <c r="AB96" i="68"/>
  <c r="AB99" i="68"/>
  <c r="AB69" i="68"/>
  <c r="AB58" i="68"/>
  <c r="AB98" i="68"/>
  <c r="AM60" i="15"/>
  <c r="AN60" i="15"/>
  <c r="AI45" i="26"/>
  <c r="AF45" i="26"/>
  <c r="AJ45" i="26"/>
  <c r="AB45" i="26"/>
  <c r="AN72" i="15"/>
  <c r="AM72" i="15"/>
  <c r="AJ39" i="15"/>
  <c r="AB39" i="15"/>
  <c r="AF39" i="15"/>
  <c r="AI39" i="15"/>
  <c r="AB91" i="68"/>
  <c r="AJ53" i="67"/>
  <c r="AJ36" i="67"/>
  <c r="AJ37" i="67"/>
  <c r="AJ52" i="67"/>
  <c r="AJ45" i="67"/>
  <c r="Z58" i="24"/>
  <c r="AM41" i="15"/>
  <c r="AN41" i="15"/>
  <c r="AN46" i="67"/>
  <c r="AM46" i="67"/>
  <c r="AB97" i="68"/>
  <c r="AF39" i="67"/>
  <c r="AI39" i="67"/>
  <c r="AJ39" i="67"/>
  <c r="AB39" i="67"/>
  <c r="AM69" i="15"/>
  <c r="AN69" i="15"/>
  <c r="AB89" i="68"/>
  <c r="AJ41" i="67"/>
  <c r="AM44" i="65"/>
  <c r="AN44" i="65"/>
  <c r="AM91" i="65"/>
  <c r="AN91" i="65"/>
  <c r="AJ59" i="20"/>
  <c r="AB78" i="65"/>
  <c r="AM69" i="11"/>
  <c r="AN69" i="11"/>
  <c r="AF44" i="67"/>
  <c r="AB44" i="67"/>
  <c r="AI44" i="67"/>
  <c r="AJ44" i="67"/>
  <c r="AA44" i="58"/>
  <c r="G43" i="58" s="1"/>
  <c r="AI42" i="58"/>
  <c r="AF42" i="58"/>
  <c r="AI86" i="65"/>
  <c r="AJ86" i="65"/>
  <c r="AB86" i="65"/>
  <c r="AF86" i="65"/>
  <c r="AH126" i="58"/>
  <c r="AG127" i="58"/>
  <c r="AM36" i="54"/>
  <c r="AN36" i="54"/>
  <c r="AM83" i="54"/>
  <c r="AN83" i="54"/>
  <c r="AN48" i="54"/>
  <c r="AM48" i="54"/>
  <c r="AF123" i="64"/>
  <c r="AB123" i="64"/>
  <c r="AI123" i="64"/>
  <c r="AF124" i="58"/>
  <c r="AB124" i="58"/>
  <c r="AI124" i="58"/>
  <c r="AD127" i="62"/>
  <c r="AE126" i="62"/>
  <c r="AJ76" i="53"/>
  <c r="AF76" i="53"/>
  <c r="AB76" i="53"/>
  <c r="AI76" i="53"/>
  <c r="AF91" i="51"/>
  <c r="AJ91" i="51"/>
  <c r="AB91" i="51"/>
  <c r="AI91" i="51"/>
  <c r="AI62" i="58"/>
  <c r="AF62" i="58"/>
  <c r="AA64" i="58"/>
  <c r="G63" i="58" s="1"/>
  <c r="AM38" i="63"/>
  <c r="AN38" i="63"/>
  <c r="AI52" i="63"/>
  <c r="AJ52" i="63"/>
  <c r="AF52" i="63"/>
  <c r="AB52" i="63"/>
  <c r="AM47" i="61"/>
  <c r="AN47" i="61"/>
  <c r="P127" i="64"/>
  <c r="AA126" i="64"/>
  <c r="AI68" i="61"/>
  <c r="AJ68" i="61"/>
  <c r="AF68" i="61"/>
  <c r="AM85" i="52"/>
  <c r="AN85" i="52"/>
  <c r="AM108" i="54"/>
  <c r="AN108" i="54"/>
  <c r="AH126" i="57"/>
  <c r="AG127" i="57"/>
  <c r="AI98" i="54"/>
  <c r="AB98" i="54"/>
  <c r="AJ98" i="54"/>
  <c r="AF98" i="54"/>
  <c r="AA126" i="62"/>
  <c r="O127" i="62"/>
  <c r="AF44" i="53"/>
  <c r="AB44" i="53"/>
  <c r="AJ44" i="53"/>
  <c r="AI44" i="53"/>
  <c r="AI54" i="52"/>
  <c r="AJ54" i="52"/>
  <c r="AB54" i="52"/>
  <c r="AF54" i="52"/>
  <c r="AN88" i="53"/>
  <c r="AM88" i="53"/>
  <c r="AN46" i="53"/>
  <c r="AM46" i="53"/>
  <c r="AF88" i="56"/>
  <c r="AI88" i="56"/>
  <c r="AM46" i="51"/>
  <c r="AN46" i="51"/>
  <c r="AI92" i="17"/>
  <c r="AF92" i="17"/>
  <c r="AM57" i="53"/>
  <c r="AN57" i="53"/>
  <c r="AM55" i="52"/>
  <c r="AN55" i="52"/>
  <c r="AJ112" i="9"/>
  <c r="AB112" i="9"/>
  <c r="AF112" i="9"/>
  <c r="AI112" i="9"/>
  <c r="AI52" i="56"/>
  <c r="AF52" i="56"/>
  <c r="AA54" i="56"/>
  <c r="G53" i="56" s="1"/>
  <c r="AM94" i="51"/>
  <c r="AN94" i="51"/>
  <c r="AJ80" i="52"/>
  <c r="AJ70" i="52"/>
  <c r="AJ56" i="52"/>
  <c r="AJ62" i="52"/>
  <c r="AJ40" i="52"/>
  <c r="AJ48" i="52"/>
  <c r="AM39" i="52"/>
  <c r="AN39" i="52"/>
  <c r="AI141" i="55"/>
  <c r="AF141" i="55"/>
  <c r="AF66" i="51"/>
  <c r="AI66" i="51"/>
  <c r="AJ66" i="51"/>
  <c r="AM87" i="53"/>
  <c r="AN87" i="53"/>
  <c r="AJ83" i="52"/>
  <c r="AN44" i="51"/>
  <c r="AM44" i="51"/>
  <c r="AB121" i="39"/>
  <c r="AI121" i="39"/>
  <c r="AF121" i="39"/>
  <c r="AM40" i="51"/>
  <c r="AN40" i="51"/>
  <c r="AB105" i="9"/>
  <c r="AJ42" i="9"/>
  <c r="AF42" i="9"/>
  <c r="AB42" i="9"/>
  <c r="AI42" i="9"/>
  <c r="AN97" i="16"/>
  <c r="AM97" i="16"/>
  <c r="AJ78" i="9"/>
  <c r="AI64" i="9"/>
  <c r="AJ64" i="9"/>
  <c r="AF64" i="9"/>
  <c r="AM37" i="54"/>
  <c r="AN37" i="54"/>
  <c r="AM35" i="51"/>
  <c r="AN35" i="51"/>
  <c r="AB87" i="9"/>
  <c r="AJ41" i="9"/>
  <c r="AB63" i="17"/>
  <c r="AB96" i="17"/>
  <c r="AM84" i="16"/>
  <c r="AN84" i="16"/>
  <c r="AD51" i="37"/>
  <c r="AC52" i="37"/>
  <c r="AD52" i="37" s="1"/>
  <c r="AL65" i="4"/>
  <c r="AN65" i="4"/>
  <c r="AB107" i="9"/>
  <c r="AN86" i="16"/>
  <c r="AM86" i="16"/>
  <c r="AJ79" i="16"/>
  <c r="AJ87" i="16"/>
  <c r="AJ60" i="16"/>
  <c r="AJ68" i="16"/>
  <c r="AJ47" i="16"/>
  <c r="AJ64" i="16"/>
  <c r="AJ52" i="16"/>
  <c r="AJ119" i="16"/>
  <c r="AJ83" i="16"/>
  <c r="AJ35" i="16"/>
  <c r="AJ75" i="16"/>
  <c r="AN40" i="7"/>
  <c r="AL40" i="7"/>
  <c r="AK69" i="37"/>
  <c r="AI69" i="37"/>
  <c r="AJ43" i="7"/>
  <c r="AB122" i="55"/>
  <c r="AI94" i="55"/>
  <c r="AF94" i="55"/>
  <c r="AJ115" i="16"/>
  <c r="AM116" i="16"/>
  <c r="AN116" i="16"/>
  <c r="AM41" i="16"/>
  <c r="AN41" i="16"/>
  <c r="AF73" i="7"/>
  <c r="AI73" i="7"/>
  <c r="AL79" i="4"/>
  <c r="AN79" i="4"/>
  <c r="AM51" i="16"/>
  <c r="AN51" i="16"/>
  <c r="AJ36" i="7"/>
  <c r="Z95" i="37"/>
  <c r="N71" i="37"/>
  <c r="AJ49" i="63"/>
  <c r="AM98" i="16"/>
  <c r="AN98" i="16"/>
  <c r="AM88" i="16"/>
  <c r="AN88" i="16"/>
  <c r="AJ47" i="7"/>
  <c r="AB47" i="7"/>
  <c r="AF47" i="7"/>
  <c r="AI47" i="7"/>
  <c r="AB103" i="9"/>
  <c r="AB37" i="9"/>
  <c r="AF94" i="16"/>
  <c r="AI94" i="16"/>
  <c r="AB94" i="16"/>
  <c r="AJ94" i="16"/>
  <c r="AM76" i="16"/>
  <c r="AN76" i="16"/>
  <c r="AM38" i="16"/>
  <c r="AN38" i="16"/>
  <c r="AL84" i="4"/>
  <c r="AN84" i="4"/>
  <c r="AL60" i="4"/>
  <c r="AN60" i="4"/>
  <c r="AN56" i="4"/>
  <c r="AL56" i="4"/>
  <c r="AK58" i="37"/>
  <c r="AI58" i="37"/>
  <c r="AI50" i="30"/>
  <c r="AF50" i="30"/>
  <c r="AB50" i="30"/>
  <c r="AJ50" i="30"/>
  <c r="AN36" i="29"/>
  <c r="AM36" i="29"/>
  <c r="AM73" i="30"/>
  <c r="AN73" i="30"/>
  <c r="AI66" i="29"/>
  <c r="AJ66" i="29"/>
  <c r="AF66" i="29"/>
  <c r="AB66" i="29"/>
  <c r="AF47" i="28"/>
  <c r="AB47" i="28"/>
  <c r="AI47" i="28"/>
  <c r="AJ47" i="28"/>
  <c r="AM38" i="29"/>
  <c r="AN38" i="29"/>
  <c r="AM39" i="26"/>
  <c r="AN39" i="26"/>
  <c r="AB48" i="28"/>
  <c r="AN39" i="27"/>
  <c r="AM39" i="27"/>
  <c r="AM38" i="27"/>
  <c r="AN38" i="27"/>
  <c r="AI50" i="23"/>
  <c r="AJ50" i="23"/>
  <c r="AF50" i="23"/>
  <c r="AB50" i="23"/>
  <c r="AM70" i="29"/>
  <c r="AN70" i="29"/>
  <c r="AI41" i="26"/>
  <c r="AF41" i="26"/>
  <c r="AJ41" i="26"/>
  <c r="AB41" i="26"/>
  <c r="AI80" i="23"/>
  <c r="AJ80" i="23"/>
  <c r="AB80" i="23"/>
  <c r="AF80" i="23"/>
  <c r="AM40" i="23"/>
  <c r="AN40" i="23"/>
  <c r="AI62" i="23"/>
  <c r="AJ62" i="23"/>
  <c r="AF62" i="23"/>
  <c r="AM73" i="21"/>
  <c r="AN73" i="21"/>
  <c r="AN51" i="20"/>
  <c r="AM51" i="20"/>
  <c r="AJ69" i="22"/>
  <c r="AM41" i="22"/>
  <c r="AN41" i="22"/>
  <c r="AN62" i="21"/>
  <c r="AM62" i="21"/>
  <c r="AB64" i="26"/>
  <c r="AB54" i="26"/>
  <c r="AB60" i="26"/>
  <c r="AB52" i="26"/>
  <c r="AB47" i="26"/>
  <c r="AB38" i="26"/>
  <c r="AJ37" i="20"/>
  <c r="AM54" i="29"/>
  <c r="AN54" i="29"/>
  <c r="AB45" i="25"/>
  <c r="AJ35" i="20"/>
  <c r="AM38" i="20"/>
  <c r="AN38" i="20"/>
  <c r="AJ38" i="22"/>
  <c r="AJ50" i="22"/>
  <c r="AJ71" i="22"/>
  <c r="AI53" i="18"/>
  <c r="AF53" i="18"/>
  <c r="AI55" i="24"/>
  <c r="AE55" i="24"/>
  <c r="AA55" i="24"/>
  <c r="AH55" i="24"/>
  <c r="AI34" i="18"/>
  <c r="AB34" i="18"/>
  <c r="AF34" i="18"/>
  <c r="AI110" i="70"/>
  <c r="AF110" i="70"/>
  <c r="AB110" i="70"/>
  <c r="AF48" i="18"/>
  <c r="AA67" i="18"/>
  <c r="AB48" i="18"/>
  <c r="AI48" i="18"/>
  <c r="AM41" i="19"/>
  <c r="AN41" i="19"/>
  <c r="AB48" i="68"/>
  <c r="AJ48" i="20"/>
  <c r="AJ46" i="67"/>
  <c r="AI86" i="66"/>
  <c r="AF86" i="66"/>
  <c r="AM58" i="21"/>
  <c r="AN58" i="21"/>
  <c r="AB41" i="67"/>
  <c r="AF51" i="67"/>
  <c r="AB51" i="67"/>
  <c r="AI51" i="67"/>
  <c r="AJ51" i="67"/>
  <c r="AF120" i="66"/>
  <c r="AI120" i="66"/>
  <c r="AB120" i="66"/>
  <c r="AH126" i="59"/>
  <c r="AG127" i="59"/>
  <c r="AB56" i="65"/>
  <c r="AM42" i="65"/>
  <c r="AN42" i="65"/>
  <c r="AM60" i="24"/>
  <c r="AL60" i="24"/>
  <c r="AF123" i="59"/>
  <c r="AB123" i="59"/>
  <c r="AI123" i="59"/>
  <c r="AB122" i="58"/>
  <c r="AI122" i="58"/>
  <c r="AF122" i="58"/>
  <c r="AI72" i="58"/>
  <c r="AF72" i="58"/>
  <c r="AA74" i="58"/>
  <c r="G73" i="58" s="1"/>
  <c r="AN40" i="54"/>
  <c r="AM40" i="54"/>
  <c r="AB92" i="65"/>
  <c r="AI66" i="65"/>
  <c r="AF66" i="65"/>
  <c r="AJ66" i="65"/>
  <c r="AI125" i="58"/>
  <c r="AB125" i="58"/>
  <c r="AF125" i="58"/>
  <c r="AF92" i="54"/>
  <c r="AB92" i="54"/>
  <c r="AI92" i="54"/>
  <c r="AJ92" i="54"/>
  <c r="AI141" i="64"/>
  <c r="AF141" i="64"/>
  <c r="AM49" i="54"/>
  <c r="AN49" i="54"/>
  <c r="AI39" i="54"/>
  <c r="AJ39" i="54"/>
  <c r="AF39" i="54"/>
  <c r="AB39" i="54"/>
  <c r="AM51" i="61"/>
  <c r="AN51" i="61"/>
  <c r="AB83" i="58"/>
  <c r="AM87" i="63"/>
  <c r="AN87" i="63"/>
  <c r="AM39" i="63"/>
  <c r="AN39" i="63"/>
  <c r="O127" i="57"/>
  <c r="AA126" i="57"/>
  <c r="AM36" i="52"/>
  <c r="AN36" i="52"/>
  <c r="AM47" i="54"/>
  <c r="AN47" i="54"/>
  <c r="AB83" i="63"/>
  <c r="AF83" i="63"/>
  <c r="AJ83" i="63"/>
  <c r="AI83" i="63"/>
  <c r="AM84" i="61"/>
  <c r="AN84" i="61"/>
  <c r="AF58" i="61"/>
  <c r="AB58" i="61"/>
  <c r="AJ58" i="61"/>
  <c r="AI58" i="61"/>
  <c r="AM45" i="63"/>
  <c r="AN45" i="63"/>
  <c r="AJ40" i="61"/>
  <c r="AF40" i="61"/>
  <c r="AB40" i="61"/>
  <c r="AI40" i="61"/>
  <c r="AJ58" i="53"/>
  <c r="AF58" i="53"/>
  <c r="AB58" i="53"/>
  <c r="AI58" i="53"/>
  <c r="AI58" i="52"/>
  <c r="AJ58" i="52"/>
  <c r="AF58" i="52"/>
  <c r="AB58" i="52"/>
  <c r="AE126" i="55"/>
  <c r="AD127" i="55"/>
  <c r="AF94" i="56"/>
  <c r="AI94" i="56"/>
  <c r="AJ69" i="52"/>
  <c r="AA126" i="55"/>
  <c r="AN79" i="51"/>
  <c r="AM79" i="51"/>
  <c r="AI62" i="53"/>
  <c r="AF62" i="53"/>
  <c r="AJ62" i="53"/>
  <c r="AN43" i="52"/>
  <c r="AM43" i="52"/>
  <c r="AM57" i="61"/>
  <c r="AN57" i="61"/>
  <c r="O127" i="56"/>
  <c r="AA126" i="56"/>
  <c r="AA44" i="56"/>
  <c r="G43" i="56" s="1"/>
  <c r="AI42" i="56"/>
  <c r="AF42" i="56"/>
  <c r="AF121" i="55"/>
  <c r="AI121" i="55"/>
  <c r="AB121" i="55"/>
  <c r="AF121" i="56"/>
  <c r="AB121" i="56"/>
  <c r="AI121" i="56"/>
  <c r="AM83" i="52"/>
  <c r="AN83" i="52"/>
  <c r="AJ57" i="52"/>
  <c r="AM53" i="61"/>
  <c r="AN53" i="61"/>
  <c r="AM53" i="53"/>
  <c r="AN53" i="53"/>
  <c r="AM77" i="54"/>
  <c r="AN77" i="54"/>
  <c r="AB78" i="53"/>
  <c r="AF117" i="9"/>
  <c r="AI117" i="9"/>
  <c r="AJ117" i="9"/>
  <c r="AB117" i="9"/>
  <c r="AM36" i="9"/>
  <c r="AN36" i="9"/>
  <c r="AI126" i="6"/>
  <c r="AF126" i="6"/>
  <c r="AB119" i="39"/>
  <c r="AB55" i="39"/>
  <c r="AB39" i="39"/>
  <c r="AB114" i="39"/>
  <c r="AB57" i="39"/>
  <c r="AB108" i="39"/>
  <c r="AB98" i="39"/>
  <c r="AB83" i="39"/>
  <c r="AB36" i="39"/>
  <c r="AB38" i="39"/>
  <c r="AB110" i="9"/>
  <c r="AB35" i="39"/>
  <c r="AB111" i="9"/>
  <c r="AM43" i="9"/>
  <c r="AN43" i="9"/>
  <c r="AM79" i="52"/>
  <c r="AN79" i="52"/>
  <c r="AB106" i="39"/>
  <c r="AB98" i="9"/>
  <c r="AM101" i="16"/>
  <c r="AN101" i="16"/>
  <c r="AM45" i="9"/>
  <c r="AN45" i="9"/>
  <c r="AI72" i="39"/>
  <c r="AF72" i="39"/>
  <c r="AA74" i="39"/>
  <c r="G73" i="39" s="1"/>
  <c r="AJ35" i="9"/>
  <c r="AF110" i="16"/>
  <c r="AI110" i="16"/>
  <c r="AB110" i="16"/>
  <c r="AJ110" i="16"/>
  <c r="AI67" i="16"/>
  <c r="AJ67" i="16"/>
  <c r="AF67" i="16"/>
  <c r="AL45" i="4"/>
  <c r="AN45" i="4"/>
  <c r="AF64" i="37"/>
  <c r="AF62" i="37"/>
  <c r="AG62" i="37" s="1"/>
  <c r="AG61" i="37"/>
  <c r="AJ47" i="52"/>
  <c r="AN76" i="51"/>
  <c r="AM76" i="51"/>
  <c r="AJ55" i="9"/>
  <c r="AJ116" i="16"/>
  <c r="AF35" i="7"/>
  <c r="AB35" i="7"/>
  <c r="AI35" i="7"/>
  <c r="AJ35" i="7"/>
  <c r="AA66" i="7"/>
  <c r="AL63" i="4"/>
  <c r="AN63" i="4"/>
  <c r="AB115" i="9"/>
  <c r="AI115" i="9"/>
  <c r="AF115" i="9"/>
  <c r="AJ115" i="9"/>
  <c r="AJ43" i="9"/>
  <c r="AI72" i="4"/>
  <c r="AJ72" i="4"/>
  <c r="AF72" i="4"/>
  <c r="AB72" i="4"/>
  <c r="AM49" i="63"/>
  <c r="AN49" i="63"/>
  <c r="AJ98" i="16"/>
  <c r="AM92" i="16"/>
  <c r="AN92" i="16"/>
  <c r="AF39" i="7"/>
  <c r="AB39" i="7"/>
  <c r="AA69" i="7"/>
  <c r="AI39" i="7"/>
  <c r="AJ39" i="7"/>
  <c r="AN85" i="4"/>
  <c r="AL85" i="4"/>
  <c r="Y64" i="37"/>
  <c r="Y74" i="37" s="1"/>
  <c r="Y62" i="37"/>
  <c r="AA72" i="7"/>
  <c r="AI61" i="7"/>
  <c r="AF61" i="7"/>
  <c r="AB61" i="7"/>
  <c r="AB72" i="6"/>
  <c r="AB76" i="6"/>
  <c r="AB80" i="6"/>
  <c r="AB84" i="6"/>
  <c r="AB88" i="6"/>
  <c r="AB92" i="6"/>
  <c r="AB96" i="6"/>
  <c r="AB116" i="6"/>
  <c r="AB79" i="6"/>
  <c r="AB95" i="6"/>
  <c r="AB109" i="6"/>
  <c r="AB85" i="6"/>
  <c r="AB105" i="6"/>
  <c r="AB75" i="6"/>
  <c r="AB115" i="6"/>
  <c r="AB97" i="6"/>
  <c r="AB111" i="6"/>
  <c r="AB87" i="6"/>
  <c r="AB107" i="6"/>
  <c r="AB73" i="6"/>
  <c r="AB89" i="6"/>
  <c r="AB113" i="6"/>
  <c r="AB77" i="6"/>
  <c r="AB93" i="6"/>
  <c r="AB103" i="6"/>
  <c r="AB83" i="6"/>
  <c r="AL41" i="4"/>
  <c r="AN41" i="4"/>
  <c r="AL75" i="4"/>
  <c r="AN75" i="4"/>
  <c r="Q75" i="37"/>
  <c r="Q86" i="37"/>
  <c r="Q88" i="37" s="1"/>
  <c r="Q82" i="37"/>
  <c r="Q84" i="37" s="1"/>
  <c r="Q85" i="37" s="1"/>
  <c r="S75" i="37"/>
  <c r="S86" i="37"/>
  <c r="S88" i="37" s="1"/>
  <c r="S82" i="37"/>
  <c r="S84" i="37" s="1"/>
  <c r="S85" i="37" s="1"/>
  <c r="AL82" i="4"/>
  <c r="AN82" i="4"/>
  <c r="AN78" i="4"/>
  <c r="AL78" i="4"/>
  <c r="AK54" i="37"/>
  <c r="AI54" i="37"/>
  <c r="AM38" i="22" l="1"/>
  <c r="AN38" i="22"/>
  <c r="AK63" i="37"/>
  <c r="AI63" i="37"/>
  <c r="AN64" i="30"/>
  <c r="AM64" i="30"/>
  <c r="AM34" i="20"/>
  <c r="AN34" i="20"/>
  <c r="AN49" i="53"/>
  <c r="AM49" i="53"/>
  <c r="AM47" i="69"/>
  <c r="AN47" i="69"/>
  <c r="AN53" i="23"/>
  <c r="AL37" i="24"/>
  <c r="AM37" i="24"/>
  <c r="AN63" i="22"/>
  <c r="AM63" i="22"/>
  <c r="AM38" i="19"/>
  <c r="AN38" i="19"/>
  <c r="AN35" i="69"/>
  <c r="AM35" i="69"/>
  <c r="AM41" i="28"/>
  <c r="AN41" i="28"/>
  <c r="AM80" i="52"/>
  <c r="AN80" i="52"/>
  <c r="AF68" i="33"/>
  <c r="AI68" i="33"/>
  <c r="AJ68" i="33"/>
  <c r="AB68" i="33"/>
  <c r="AI67" i="33"/>
  <c r="AJ67" i="33"/>
  <c r="AB67" i="33"/>
  <c r="AF67" i="33"/>
  <c r="AM47" i="26"/>
  <c r="AN47" i="26"/>
  <c r="AM50" i="52"/>
  <c r="AN50" i="52"/>
  <c r="AM38" i="36"/>
  <c r="AN38" i="36"/>
  <c r="AF74" i="37"/>
  <c r="AG64" i="37"/>
  <c r="AM111" i="9"/>
  <c r="AN111" i="9"/>
  <c r="AB126" i="56"/>
  <c r="AF126" i="56"/>
  <c r="AI126" i="56"/>
  <c r="AA127" i="56"/>
  <c r="AM105" i="9"/>
  <c r="AN105" i="9"/>
  <c r="AB126" i="62"/>
  <c r="AF126" i="62"/>
  <c r="AI126" i="62"/>
  <c r="AA127" i="62"/>
  <c r="AN76" i="53"/>
  <c r="AM76" i="53"/>
  <c r="AM77" i="61"/>
  <c r="AN77" i="61"/>
  <c r="AM37" i="16"/>
  <c r="AN37" i="16"/>
  <c r="AL35" i="7"/>
  <c r="AN35" i="7"/>
  <c r="AN78" i="53"/>
  <c r="AM78" i="53"/>
  <c r="AI126" i="57"/>
  <c r="AA127" i="57"/>
  <c r="AF126" i="57"/>
  <c r="AB126" i="57"/>
  <c r="AM66" i="29"/>
  <c r="AN66" i="29"/>
  <c r="AH95" i="37"/>
  <c r="AE95" i="37"/>
  <c r="AL43" i="7"/>
  <c r="AN43" i="7"/>
  <c r="AM42" i="9"/>
  <c r="AN42" i="9"/>
  <c r="AM44" i="53"/>
  <c r="AN44" i="53"/>
  <c r="AM67" i="22"/>
  <c r="AN67" i="22"/>
  <c r="AM90" i="9"/>
  <c r="AN90" i="9"/>
  <c r="AN50" i="4"/>
  <c r="AL50" i="4"/>
  <c r="AN49" i="51"/>
  <c r="AM49" i="51"/>
  <c r="AM56" i="53"/>
  <c r="AN56" i="53"/>
  <c r="AB122" i="66"/>
  <c r="AI122" i="66"/>
  <c r="AF122" i="66"/>
  <c r="AA123" i="66"/>
  <c r="AM86" i="54"/>
  <c r="AN86" i="54"/>
  <c r="AM83" i="9"/>
  <c r="AN83" i="9"/>
  <c r="AM72" i="9"/>
  <c r="AN72" i="9"/>
  <c r="AN96" i="65"/>
  <c r="AM96" i="65"/>
  <c r="AM59" i="15"/>
  <c r="AN59" i="15"/>
  <c r="AN50" i="25"/>
  <c r="AM50" i="25"/>
  <c r="AL73" i="4"/>
  <c r="AN73" i="4"/>
  <c r="AL51" i="7"/>
  <c r="AN51" i="7"/>
  <c r="AM76" i="65"/>
  <c r="AN76" i="65"/>
  <c r="AM36" i="20"/>
  <c r="AN36" i="20"/>
  <c r="AL88" i="4"/>
  <c r="AN88" i="4"/>
  <c r="AF67" i="7"/>
  <c r="AI67" i="7"/>
  <c r="AN83" i="65"/>
  <c r="AM83" i="65"/>
  <c r="AN35" i="65"/>
  <c r="AM35" i="65"/>
  <c r="AN41" i="65"/>
  <c r="AM41" i="65"/>
  <c r="AM55" i="15"/>
  <c r="AN55" i="15"/>
  <c r="T82" i="37"/>
  <c r="T84" i="37" s="1"/>
  <c r="T85" i="37" s="1"/>
  <c r="T75" i="37"/>
  <c r="T86" i="37"/>
  <c r="T88" i="37" s="1"/>
  <c r="AM35" i="9"/>
  <c r="AN35" i="9"/>
  <c r="AM72" i="53"/>
  <c r="AN72" i="53"/>
  <c r="AN38" i="54"/>
  <c r="AM38" i="54"/>
  <c r="AM73" i="15"/>
  <c r="AN73" i="15"/>
  <c r="AM49" i="24"/>
  <c r="AL49" i="24"/>
  <c r="AM42" i="30"/>
  <c r="AN42" i="30"/>
  <c r="AM55" i="69"/>
  <c r="AN55" i="69"/>
  <c r="AM42" i="33"/>
  <c r="AN42" i="33"/>
  <c r="AM36" i="31"/>
  <c r="AN36" i="31"/>
  <c r="AM46" i="35"/>
  <c r="AN46" i="35"/>
  <c r="AM48" i="35"/>
  <c r="AN48" i="35"/>
  <c r="AM38" i="33"/>
  <c r="AN38" i="33"/>
  <c r="AN77" i="23"/>
  <c r="AM77" i="23"/>
  <c r="AM54" i="36"/>
  <c r="AN54" i="36"/>
  <c r="AM81" i="16"/>
  <c r="AN81" i="16"/>
  <c r="AM43" i="22"/>
  <c r="AN43" i="22"/>
  <c r="AM51" i="33"/>
  <c r="AN51" i="33"/>
  <c r="AM48" i="23"/>
  <c r="AN48" i="23"/>
  <c r="AN46" i="9"/>
  <c r="AM46" i="9"/>
  <c r="AM38" i="52"/>
  <c r="AN38" i="52"/>
  <c r="AN54" i="54"/>
  <c r="AM54" i="54"/>
  <c r="AN53" i="28"/>
  <c r="AM53" i="28"/>
  <c r="AM47" i="9"/>
  <c r="AN47" i="9"/>
  <c r="AM37" i="63"/>
  <c r="AN37" i="63"/>
  <c r="AM58" i="53"/>
  <c r="AN58" i="53"/>
  <c r="AM39" i="54"/>
  <c r="AN39" i="54"/>
  <c r="AM38" i="26"/>
  <c r="AN38" i="26"/>
  <c r="AM41" i="26"/>
  <c r="AN41" i="26"/>
  <c r="AN50" i="30"/>
  <c r="AM50" i="30"/>
  <c r="AM94" i="16"/>
  <c r="AN94" i="16"/>
  <c r="AL47" i="7"/>
  <c r="AN47" i="7"/>
  <c r="AL36" i="7"/>
  <c r="AN36" i="7"/>
  <c r="AF126" i="64"/>
  <c r="AI126" i="64"/>
  <c r="AB126" i="64"/>
  <c r="AA127" i="64"/>
  <c r="AM46" i="23"/>
  <c r="AN46" i="23"/>
  <c r="AN77" i="65"/>
  <c r="AM77" i="65"/>
  <c r="AN56" i="67"/>
  <c r="AM56" i="67"/>
  <c r="AM53" i="69"/>
  <c r="AN53" i="69"/>
  <c r="AL89" i="4"/>
  <c r="AN89" i="4"/>
  <c r="AN38" i="9"/>
  <c r="AM38" i="9"/>
  <c r="AN36" i="63"/>
  <c r="AM36" i="63"/>
  <c r="AM56" i="63"/>
  <c r="AN56" i="63"/>
  <c r="AM48" i="67"/>
  <c r="AN48" i="67"/>
  <c r="AM46" i="25"/>
  <c r="AN46" i="25"/>
  <c r="P86" i="37"/>
  <c r="P88" i="37" s="1"/>
  <c r="P82" i="37"/>
  <c r="P84" i="37" s="1"/>
  <c r="P85" i="37" s="1"/>
  <c r="P75" i="37"/>
  <c r="AM48" i="65"/>
  <c r="AN48" i="65"/>
  <c r="AN41" i="69"/>
  <c r="AM41" i="69"/>
  <c r="AM39" i="22"/>
  <c r="AN39" i="22"/>
  <c r="AM85" i="51"/>
  <c r="AN85" i="51"/>
  <c r="AM99" i="65"/>
  <c r="AN99" i="65"/>
  <c r="AN103" i="54"/>
  <c r="AM103" i="54"/>
  <c r="AM94" i="65"/>
  <c r="AN94" i="65"/>
  <c r="AM90" i="23"/>
  <c r="AN90" i="23"/>
  <c r="AM70" i="15"/>
  <c r="AN70" i="15"/>
  <c r="AN63" i="30"/>
  <c r="AM63" i="30"/>
  <c r="AM78" i="54"/>
  <c r="AN78" i="54"/>
  <c r="AN63" i="33"/>
  <c r="AM63" i="33"/>
  <c r="AM58" i="33"/>
  <c r="AN58" i="33"/>
  <c r="AM52" i="36"/>
  <c r="AN52" i="36"/>
  <c r="AN34" i="23"/>
  <c r="AM34" i="23"/>
  <c r="AM40" i="35"/>
  <c r="AN40" i="35"/>
  <c r="AI59" i="37"/>
  <c r="AK59" i="37"/>
  <c r="AL37" i="7"/>
  <c r="AN37" i="7"/>
  <c r="AB96" i="23"/>
  <c r="AF96" i="23"/>
  <c r="AI96" i="23"/>
  <c r="AJ96" i="23"/>
  <c r="AA100" i="23"/>
  <c r="AM65" i="26"/>
  <c r="AN65" i="26"/>
  <c r="AN68" i="30"/>
  <c r="AM68" i="30"/>
  <c r="AL55" i="24"/>
  <c r="AM55" i="24"/>
  <c r="AM112" i="9"/>
  <c r="AN112" i="9"/>
  <c r="AC86" i="37"/>
  <c r="AD74" i="37"/>
  <c r="AC82" i="37"/>
  <c r="AC75" i="37"/>
  <c r="AD75" i="37" s="1"/>
  <c r="AM120" i="9"/>
  <c r="AN120" i="9"/>
  <c r="AM46" i="65"/>
  <c r="AN46" i="65"/>
  <c r="AM44" i="19"/>
  <c r="AN44" i="19"/>
  <c r="AM57" i="30"/>
  <c r="AN57" i="30"/>
  <c r="AM100" i="54"/>
  <c r="AN100" i="54"/>
  <c r="AM51" i="30"/>
  <c r="AN51" i="30"/>
  <c r="AL81" i="4"/>
  <c r="AN81" i="4"/>
  <c r="AM92" i="54"/>
  <c r="AN92" i="54"/>
  <c r="AM56" i="65"/>
  <c r="AN56" i="65"/>
  <c r="AM78" i="65"/>
  <c r="AN78" i="65"/>
  <c r="AN100" i="9"/>
  <c r="AM100" i="9"/>
  <c r="AM44" i="20"/>
  <c r="AN44" i="20"/>
  <c r="AM41" i="61"/>
  <c r="AN41" i="61"/>
  <c r="AM55" i="65"/>
  <c r="AN55" i="65"/>
  <c r="AM79" i="23"/>
  <c r="AN79" i="23"/>
  <c r="AM64" i="28"/>
  <c r="AN64" i="28"/>
  <c r="AM99" i="9"/>
  <c r="AN99" i="9"/>
  <c r="AM50" i="33"/>
  <c r="AN50" i="33"/>
  <c r="AN41" i="33"/>
  <c r="AM41" i="33"/>
  <c r="AN44" i="34"/>
  <c r="AM44" i="34"/>
  <c r="AN49" i="65"/>
  <c r="AM49" i="65"/>
  <c r="AM60" i="26"/>
  <c r="AN60" i="26"/>
  <c r="AM37" i="9"/>
  <c r="AN37" i="9"/>
  <c r="AM87" i="9"/>
  <c r="AN87" i="9"/>
  <c r="AN36" i="23"/>
  <c r="AM36" i="23"/>
  <c r="AM78" i="23"/>
  <c r="AN78" i="23"/>
  <c r="AM89" i="16"/>
  <c r="AN89" i="16"/>
  <c r="AM57" i="9"/>
  <c r="AN57" i="9"/>
  <c r="AM84" i="65"/>
  <c r="AN84" i="65"/>
  <c r="AN89" i="23"/>
  <c r="AM89" i="23"/>
  <c r="AM83" i="61"/>
  <c r="AN83" i="61"/>
  <c r="AM96" i="9"/>
  <c r="AN96" i="9"/>
  <c r="AM46" i="52"/>
  <c r="AN46" i="52"/>
  <c r="AM36" i="67"/>
  <c r="AN36" i="67"/>
  <c r="AN82" i="54"/>
  <c r="AM82" i="54"/>
  <c r="AL36" i="24"/>
  <c r="AM36" i="24"/>
  <c r="AN49" i="69"/>
  <c r="AM49" i="69"/>
  <c r="AM82" i="9"/>
  <c r="AN82" i="9"/>
  <c r="AE61" i="37"/>
  <c r="AD89" i="37" s="1"/>
  <c r="AA61" i="37"/>
  <c r="Z62" i="37"/>
  <c r="AA62" i="37" s="1"/>
  <c r="AH61" i="37"/>
  <c r="AG89" i="37" s="1"/>
  <c r="AN81" i="51"/>
  <c r="AM81" i="51"/>
  <c r="AM53" i="51"/>
  <c r="AN53" i="51"/>
  <c r="AN63" i="28"/>
  <c r="AM63" i="28"/>
  <c r="AN41" i="7"/>
  <c r="AL41" i="7"/>
  <c r="AM93" i="9"/>
  <c r="AN93" i="9"/>
  <c r="AM52" i="65"/>
  <c r="AN52" i="65"/>
  <c r="AM50" i="65"/>
  <c r="AN50" i="65"/>
  <c r="AM97" i="65"/>
  <c r="AN97" i="65"/>
  <c r="AM43" i="67"/>
  <c r="AN43" i="67"/>
  <c r="AM37" i="69"/>
  <c r="AN37" i="69"/>
  <c r="AM83" i="23"/>
  <c r="AN83" i="23"/>
  <c r="AM85" i="9"/>
  <c r="AN85" i="9"/>
  <c r="AN95" i="54"/>
  <c r="AM95" i="54"/>
  <c r="AM55" i="67"/>
  <c r="AN55" i="67"/>
  <c r="AM60" i="28"/>
  <c r="AN60" i="28"/>
  <c r="AM47" i="30"/>
  <c r="AN47" i="30"/>
  <c r="AN39" i="33"/>
  <c r="AM39" i="33"/>
  <c r="AM40" i="69"/>
  <c r="AN40" i="69"/>
  <c r="AM34" i="33"/>
  <c r="AN34" i="33"/>
  <c r="AM35" i="36"/>
  <c r="AN35" i="36"/>
  <c r="AF126" i="59"/>
  <c r="AI126" i="59"/>
  <c r="AB126" i="59"/>
  <c r="AA127" i="59"/>
  <c r="AM72" i="61"/>
  <c r="AN72" i="61"/>
  <c r="AI46" i="34"/>
  <c r="AF46" i="34"/>
  <c r="AJ46" i="34"/>
  <c r="AB46" i="34"/>
  <c r="AN39" i="28"/>
  <c r="AM39" i="28"/>
  <c r="AM58" i="36"/>
  <c r="AN58" i="36"/>
  <c r="AB112" i="68"/>
  <c r="AI112" i="68"/>
  <c r="AF112" i="68"/>
  <c r="AA113" i="68"/>
  <c r="AM44" i="28"/>
  <c r="AN44" i="28"/>
  <c r="AE53" i="34"/>
  <c r="AD60" i="34"/>
  <c r="AE60" i="34" s="1"/>
  <c r="AK53" i="34"/>
  <c r="AN53" i="36"/>
  <c r="AM53" i="36"/>
  <c r="AM72" i="30"/>
  <c r="AN72" i="30"/>
  <c r="AM40" i="24"/>
  <c r="AL40" i="24"/>
  <c r="AB53" i="34"/>
  <c r="AF53" i="34"/>
  <c r="AI53" i="34"/>
  <c r="AJ53" i="34"/>
  <c r="AL39" i="7"/>
  <c r="AN39" i="7"/>
  <c r="AM110" i="16"/>
  <c r="AN110" i="16"/>
  <c r="AM107" i="9"/>
  <c r="AN107" i="9"/>
  <c r="AM97" i="9"/>
  <c r="AN97" i="9"/>
  <c r="AM55" i="20"/>
  <c r="AN55" i="20"/>
  <c r="AN48" i="9"/>
  <c r="AM48" i="9"/>
  <c r="AM72" i="63"/>
  <c r="AN72" i="63"/>
  <c r="AM36" i="15"/>
  <c r="AN36" i="15"/>
  <c r="AM52" i="67"/>
  <c r="AN52" i="67"/>
  <c r="AM53" i="65"/>
  <c r="AN53" i="65"/>
  <c r="AM38" i="23"/>
  <c r="AN38" i="23"/>
  <c r="AM81" i="9"/>
  <c r="AN81" i="9"/>
  <c r="AM86" i="23"/>
  <c r="AN86" i="23"/>
  <c r="AM37" i="30"/>
  <c r="AN37" i="30"/>
  <c r="AM44" i="69"/>
  <c r="AN44" i="69"/>
  <c r="AN55" i="33"/>
  <c r="AM55" i="33"/>
  <c r="AM51" i="34"/>
  <c r="AN51" i="34"/>
  <c r="AM50" i="9"/>
  <c r="AN50" i="9"/>
  <c r="AL57" i="24"/>
  <c r="AM57" i="24"/>
  <c r="AI69" i="7"/>
  <c r="AF69" i="7"/>
  <c r="AM115" i="9"/>
  <c r="AN115" i="9"/>
  <c r="AM117" i="9"/>
  <c r="AN117" i="9"/>
  <c r="AM58" i="52"/>
  <c r="AN58" i="52"/>
  <c r="AN58" i="61"/>
  <c r="AM58" i="61"/>
  <c r="AF72" i="7"/>
  <c r="AI72" i="7"/>
  <c r="AM98" i="9"/>
  <c r="AN98" i="9"/>
  <c r="AN110" i="9"/>
  <c r="AM110" i="9"/>
  <c r="AM40" i="61"/>
  <c r="AN40" i="61"/>
  <c r="AM41" i="67"/>
  <c r="AN41" i="67"/>
  <c r="AM45" i="25"/>
  <c r="AN45" i="25"/>
  <c r="AM54" i="26"/>
  <c r="AN54" i="26"/>
  <c r="AM103" i="9"/>
  <c r="AN103" i="9"/>
  <c r="AN52" i="63"/>
  <c r="AM52" i="63"/>
  <c r="AN39" i="67"/>
  <c r="AM39" i="67"/>
  <c r="AM55" i="9"/>
  <c r="AN55" i="9"/>
  <c r="AN40" i="9"/>
  <c r="AM40" i="9"/>
  <c r="AM56" i="61"/>
  <c r="AN56" i="61"/>
  <c r="AM58" i="54"/>
  <c r="AN58" i="54"/>
  <c r="AM59" i="30"/>
  <c r="AN59" i="30"/>
  <c r="AM113" i="9"/>
  <c r="AN113" i="9"/>
  <c r="AM84" i="9"/>
  <c r="AN84" i="9"/>
  <c r="AM47" i="67"/>
  <c r="AN47" i="67"/>
  <c r="L62" i="37"/>
  <c r="M62" i="37" s="1"/>
  <c r="AE51" i="37"/>
  <c r="Z52" i="37"/>
  <c r="AA52" i="37" s="1"/>
  <c r="AA51" i="37"/>
  <c r="AH51" i="37"/>
  <c r="AM51" i="9"/>
  <c r="AN51" i="9"/>
  <c r="AM55" i="54"/>
  <c r="AN55" i="54"/>
  <c r="AM45" i="65"/>
  <c r="AN45" i="65"/>
  <c r="AN58" i="30"/>
  <c r="AM58" i="30"/>
  <c r="AM77" i="51"/>
  <c r="AN77" i="51"/>
  <c r="AI126" i="39"/>
  <c r="AF126" i="39"/>
  <c r="AB126" i="39"/>
  <c r="AA127" i="39"/>
  <c r="AM50" i="54"/>
  <c r="AN50" i="54"/>
  <c r="AN85" i="65"/>
  <c r="AM85" i="65"/>
  <c r="AN43" i="65"/>
  <c r="AM43" i="65"/>
  <c r="AM88" i="23"/>
  <c r="AN88" i="23"/>
  <c r="AN54" i="9"/>
  <c r="AM54" i="9"/>
  <c r="AM80" i="65"/>
  <c r="AN80" i="65"/>
  <c r="AN52" i="23"/>
  <c r="AM52" i="23"/>
  <c r="AM49" i="25"/>
  <c r="AN49" i="25"/>
  <c r="AN44" i="23"/>
  <c r="AM44" i="23"/>
  <c r="AN46" i="30"/>
  <c r="AM46" i="30"/>
  <c r="AN60" i="30"/>
  <c r="AM60" i="30"/>
  <c r="AM48" i="69"/>
  <c r="AN48" i="69"/>
  <c r="AM42" i="52"/>
  <c r="AN42" i="52"/>
  <c r="AM57" i="35"/>
  <c r="AN57" i="35"/>
  <c r="AF52" i="35"/>
  <c r="AI52" i="35"/>
  <c r="AB52" i="35"/>
  <c r="AJ52" i="35"/>
  <c r="AN40" i="25"/>
  <c r="AM40" i="25"/>
  <c r="AM56" i="33"/>
  <c r="AN56" i="33"/>
  <c r="AN40" i="30"/>
  <c r="AM40" i="30"/>
  <c r="AN42" i="23"/>
  <c r="AM42" i="23"/>
  <c r="AM45" i="33"/>
  <c r="AN45" i="33"/>
  <c r="AM55" i="36"/>
  <c r="AN55" i="36"/>
  <c r="AM36" i="36"/>
  <c r="AN36" i="36"/>
  <c r="AN35" i="32"/>
  <c r="AM35" i="32"/>
  <c r="AM44" i="33"/>
  <c r="AN44" i="33"/>
  <c r="AM58" i="34"/>
  <c r="AN58" i="34"/>
  <c r="AM78" i="52"/>
  <c r="AN78" i="52"/>
  <c r="AM42" i="54"/>
  <c r="AN42" i="54"/>
  <c r="AM51" i="29"/>
  <c r="AN51" i="29"/>
  <c r="AN36" i="61"/>
  <c r="AM36" i="61"/>
  <c r="AM67" i="29"/>
  <c r="AN67" i="29"/>
  <c r="AB60" i="34"/>
  <c r="AI60" i="34"/>
  <c r="AF60" i="34"/>
  <c r="AM48" i="63"/>
  <c r="AN48" i="63"/>
  <c r="AM63" i="19"/>
  <c r="AN63" i="19"/>
  <c r="AM50" i="67"/>
  <c r="AN50" i="67"/>
  <c r="AM38" i="25"/>
  <c r="AN38" i="25"/>
  <c r="AN52" i="25"/>
  <c r="AM52" i="25"/>
  <c r="AN50" i="28"/>
  <c r="AM50" i="28"/>
  <c r="AN35" i="15"/>
  <c r="AM35" i="15"/>
  <c r="AM36" i="19"/>
  <c r="AN36" i="19"/>
  <c r="AN47" i="33"/>
  <c r="AM47" i="33"/>
  <c r="AM56" i="28"/>
  <c r="AN56" i="28"/>
  <c r="AM51" i="28"/>
  <c r="AN51" i="28"/>
  <c r="AM83" i="63"/>
  <c r="AN83" i="63"/>
  <c r="AN51" i="67"/>
  <c r="AM51" i="67"/>
  <c r="AM54" i="52"/>
  <c r="AN54" i="52"/>
  <c r="AL50" i="7"/>
  <c r="AN50" i="7"/>
  <c r="AN86" i="9"/>
  <c r="AM86" i="9"/>
  <c r="AM40" i="65"/>
  <c r="AN40" i="65"/>
  <c r="AN44" i="63"/>
  <c r="AM44" i="63"/>
  <c r="AN46" i="54"/>
  <c r="AM46" i="54"/>
  <c r="AL80" i="4"/>
  <c r="AN80" i="4"/>
  <c r="AI126" i="55"/>
  <c r="AB126" i="55"/>
  <c r="AF126" i="55"/>
  <c r="AA127" i="55"/>
  <c r="AM64" i="26"/>
  <c r="AN64" i="26"/>
  <c r="AN47" i="28"/>
  <c r="AM47" i="28"/>
  <c r="AM98" i="54"/>
  <c r="AN98" i="54"/>
  <c r="AM104" i="9"/>
  <c r="AN104" i="9"/>
  <c r="AM43" i="54"/>
  <c r="AN43" i="54"/>
  <c r="AM35" i="67"/>
  <c r="AN35" i="67"/>
  <c r="AM41" i="9"/>
  <c r="AN41" i="9"/>
  <c r="AM121" i="9"/>
  <c r="AN121" i="9"/>
  <c r="AM81" i="65"/>
  <c r="AN81" i="65"/>
  <c r="AM51" i="15"/>
  <c r="AN51" i="15"/>
  <c r="AF112" i="70"/>
  <c r="AI112" i="70"/>
  <c r="AA113" i="70"/>
  <c r="AB112" i="70"/>
  <c r="Z64" i="37"/>
  <c r="AM89" i="9"/>
  <c r="AN89" i="9"/>
  <c r="AM77" i="9"/>
  <c r="AN77" i="9"/>
  <c r="AM87" i="23"/>
  <c r="AN87" i="23"/>
  <c r="AM91" i="23"/>
  <c r="AN91" i="23"/>
  <c r="AN72" i="54"/>
  <c r="AM72" i="54"/>
  <c r="AN51" i="65"/>
  <c r="AM51" i="65"/>
  <c r="AM35" i="22"/>
  <c r="AN35" i="22"/>
  <c r="AF148" i="17"/>
  <c r="AI148" i="17"/>
  <c r="AB148" i="17"/>
  <c r="AM84" i="23"/>
  <c r="AN84" i="23"/>
  <c r="AN50" i="26"/>
  <c r="AM50" i="26"/>
  <c r="AN55" i="30"/>
  <c r="AM55" i="30"/>
  <c r="AM46" i="69"/>
  <c r="AN46" i="69"/>
  <c r="AM54" i="33"/>
  <c r="AN54" i="33"/>
  <c r="AM39" i="35"/>
  <c r="AN39" i="35"/>
  <c r="AI59" i="35"/>
  <c r="AF59" i="35"/>
  <c r="AB59" i="35"/>
  <c r="AN42" i="36"/>
  <c r="AM42" i="36"/>
  <c r="AM102" i="16"/>
  <c r="AN102" i="16"/>
  <c r="AM43" i="34"/>
  <c r="AN43" i="34"/>
  <c r="AN56" i="36"/>
  <c r="AM56" i="36"/>
  <c r="AM79" i="61"/>
  <c r="AN79" i="61"/>
  <c r="AM67" i="30"/>
  <c r="AN67" i="30"/>
  <c r="AN44" i="61"/>
  <c r="AM44" i="61"/>
  <c r="AM52" i="33"/>
  <c r="AN52" i="33"/>
  <c r="AM61" i="30"/>
  <c r="AN61" i="30"/>
  <c r="AN52" i="30"/>
  <c r="AM52" i="30"/>
  <c r="AM45" i="36"/>
  <c r="AN45" i="36"/>
  <c r="AN41" i="52"/>
  <c r="AM41" i="52"/>
  <c r="AN72" i="52"/>
  <c r="AM72" i="52"/>
  <c r="AM40" i="19"/>
  <c r="AN40" i="19"/>
  <c r="AN48" i="25"/>
  <c r="AM48" i="25"/>
  <c r="AM101" i="9"/>
  <c r="AN101" i="9"/>
  <c r="AM63" i="15"/>
  <c r="AN63" i="15"/>
  <c r="AN63" i="36"/>
  <c r="AM63" i="36"/>
  <c r="AM72" i="51"/>
  <c r="AN72" i="51"/>
  <c r="AM53" i="63"/>
  <c r="AN53" i="63"/>
  <c r="AM92" i="65"/>
  <c r="AN92" i="65"/>
  <c r="AM52" i="26"/>
  <c r="AN52" i="26"/>
  <c r="AN45" i="26"/>
  <c r="AM45" i="26"/>
  <c r="AM77" i="63"/>
  <c r="AN77" i="63"/>
  <c r="AM36" i="65"/>
  <c r="AN36" i="65"/>
  <c r="AM40" i="67"/>
  <c r="AN40" i="67"/>
  <c r="AN81" i="23"/>
  <c r="AM81" i="23"/>
  <c r="AM94" i="23"/>
  <c r="AN94" i="23"/>
  <c r="AL72" i="4"/>
  <c r="AN72" i="4"/>
  <c r="AM80" i="23"/>
  <c r="AN80" i="23"/>
  <c r="AH58" i="24"/>
  <c r="AI58" i="24"/>
  <c r="AE58" i="24"/>
  <c r="AA58" i="24"/>
  <c r="Y75" i="37"/>
  <c r="Y86" i="37"/>
  <c r="Y88" i="37" s="1"/>
  <c r="Y82" i="37"/>
  <c r="Y84" i="37" s="1"/>
  <c r="Y85" i="37" s="1"/>
  <c r="AI66" i="7"/>
  <c r="AF66" i="7"/>
  <c r="AN50" i="23"/>
  <c r="AM50" i="23"/>
  <c r="AM48" i="28"/>
  <c r="AN48" i="28"/>
  <c r="N72" i="37"/>
  <c r="Z72" i="37" s="1"/>
  <c r="Z71" i="37"/>
  <c r="AM91" i="51"/>
  <c r="AN91" i="51"/>
  <c r="AM86" i="65"/>
  <c r="AN86" i="65"/>
  <c r="AM44" i="67"/>
  <c r="AN44" i="67"/>
  <c r="AM39" i="15"/>
  <c r="AN39" i="15"/>
  <c r="AM63" i="26"/>
  <c r="AN63" i="26"/>
  <c r="AL38" i="4"/>
  <c r="AN38" i="4"/>
  <c r="AM85" i="16"/>
  <c r="AN85" i="16"/>
  <c r="AM58" i="9"/>
  <c r="AN58" i="9"/>
  <c r="AM52" i="53"/>
  <c r="AN52" i="53"/>
  <c r="AM45" i="61"/>
  <c r="AN45" i="61"/>
  <c r="AI126" i="58"/>
  <c r="AB126" i="58"/>
  <c r="AF126" i="58"/>
  <c r="AA127" i="58"/>
  <c r="AM56" i="22"/>
  <c r="AN56" i="22"/>
  <c r="AN93" i="23"/>
  <c r="AM93" i="23"/>
  <c r="AL42" i="7"/>
  <c r="AN42" i="7"/>
  <c r="AM77" i="16"/>
  <c r="AN77" i="16"/>
  <c r="AM40" i="63"/>
  <c r="AN40" i="63"/>
  <c r="AM92" i="23"/>
  <c r="AN92" i="23"/>
  <c r="AM43" i="28"/>
  <c r="AN43" i="28"/>
  <c r="AM109" i="9"/>
  <c r="AN109" i="9"/>
  <c r="AM39" i="65"/>
  <c r="AN39" i="65"/>
  <c r="AM46" i="36"/>
  <c r="AN46" i="36"/>
  <c r="AM63" i="21"/>
  <c r="AN63" i="21"/>
  <c r="AM49" i="9"/>
  <c r="AN49" i="9"/>
  <c r="AM93" i="65"/>
  <c r="AN93" i="65"/>
  <c r="AM37" i="65"/>
  <c r="AN37" i="65"/>
  <c r="AM51" i="19"/>
  <c r="AN51" i="19"/>
  <c r="AM59" i="29"/>
  <c r="AN59" i="29"/>
  <c r="AN43" i="30"/>
  <c r="AM43" i="30"/>
  <c r="AN51" i="69"/>
  <c r="AM51" i="69"/>
  <c r="AM66" i="33"/>
  <c r="AN66" i="33"/>
  <c r="AM82" i="51"/>
  <c r="AN82" i="51"/>
  <c r="AM45" i="69"/>
  <c r="AN45" i="69"/>
  <c r="AM43" i="36"/>
  <c r="AN43" i="36"/>
  <c r="AN85" i="23"/>
  <c r="AM85" i="23"/>
  <c r="AM53" i="33"/>
  <c r="AN53" i="33"/>
  <c r="AA60" i="37"/>
  <c r="L60" i="37" s="1"/>
  <c r="M60" i="37" s="1"/>
  <c r="AM36" i="32"/>
  <c r="AN36" i="32"/>
  <c r="X86" i="37"/>
  <c r="X88" i="37" s="1"/>
  <c r="X82" i="37"/>
  <c r="X84" i="37" s="1"/>
  <c r="X85" i="37" s="1"/>
  <c r="X75" i="37"/>
  <c r="L52" i="37" l="1"/>
  <c r="M52" i="37" s="1"/>
  <c r="AA72" i="37"/>
  <c r="AE72" i="37"/>
  <c r="AH72" i="37"/>
  <c r="AM46" i="34"/>
  <c r="AN46" i="34"/>
  <c r="AF75" i="37"/>
  <c r="AG75" i="37" s="1"/>
  <c r="AF86" i="37"/>
  <c r="AG74" i="37"/>
  <c r="AF82" i="37"/>
  <c r="AM67" i="33"/>
  <c r="AN67" i="33"/>
  <c r="AK51" i="37"/>
  <c r="AI51" i="37"/>
  <c r="AL58" i="24"/>
  <c r="AM58" i="24"/>
  <c r="AN96" i="23"/>
  <c r="AM96" i="23"/>
  <c r="N74" i="37"/>
  <c r="AN52" i="35"/>
  <c r="AM52" i="35"/>
  <c r="AC84" i="37"/>
  <c r="AD82" i="37"/>
  <c r="AN68" i="33"/>
  <c r="AM68" i="33"/>
  <c r="AE64" i="37"/>
  <c r="AH64" i="37"/>
  <c r="AA64" i="37"/>
  <c r="AM53" i="34"/>
  <c r="AN53" i="34"/>
  <c r="AI61" i="37"/>
  <c r="AK61" i="37"/>
  <c r="AE71" i="37"/>
  <c r="AA71" i="37"/>
  <c r="AH71" i="37"/>
  <c r="AD86" i="37"/>
  <c r="AC88" i="37"/>
  <c r="AD88" i="37" s="1"/>
  <c r="AG86" i="37" l="1"/>
  <c r="AF88" i="37"/>
  <c r="AG88" i="37" s="1"/>
  <c r="AI64" i="37"/>
  <c r="AK64" i="37"/>
  <c r="AD84" i="37"/>
  <c r="AC85" i="37"/>
  <c r="AD85" i="37" s="1"/>
  <c r="N86" i="37"/>
  <c r="N82" i="37"/>
  <c r="Z74" i="37"/>
  <c r="N75" i="37"/>
  <c r="AI71" i="37"/>
  <c r="AK71" i="37"/>
  <c r="AG82" i="37"/>
  <c r="AF84" i="37"/>
  <c r="AI72" i="37"/>
  <c r="AK72" i="37"/>
  <c r="N84" i="37" l="1"/>
  <c r="Z82" i="37"/>
  <c r="N88" i="37"/>
  <c r="Z88" i="37" s="1"/>
  <c r="Z86" i="37"/>
  <c r="AF85" i="37"/>
  <c r="AG85" i="37" s="1"/>
  <c r="AG84" i="37"/>
  <c r="L75" i="37"/>
  <c r="M75" i="37" s="1"/>
  <c r="AE74" i="37"/>
  <c r="Z75" i="37"/>
  <c r="AA75" i="37" s="1"/>
  <c r="AH74" i="37"/>
  <c r="AA74" i="37"/>
  <c r="AA88" i="37" l="1"/>
  <c r="AH88" i="37"/>
  <c r="AE88" i="37"/>
  <c r="AH82" i="37"/>
  <c r="AE82" i="37"/>
  <c r="AA82" i="37"/>
  <c r="AH86" i="37"/>
  <c r="AE86" i="37"/>
  <c r="AA86" i="37"/>
  <c r="AI74" i="37"/>
  <c r="AK74" i="37"/>
  <c r="Z84" i="37"/>
  <c r="N85" i="37"/>
  <c r="AI82" i="37" l="1"/>
  <c r="AK82" i="37"/>
  <c r="AA84" i="37"/>
  <c r="AE84" i="37"/>
  <c r="Z85" i="37"/>
  <c r="AA85" i="37" s="1"/>
  <c r="AH84" i="37"/>
  <c r="AK84" i="37" l="1"/>
  <c r="AI84" i="37"/>
  <c r="L85" i="37"/>
  <c r="M85"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C8" authorId="0" shapeId="0" xr:uid="{00000000-0006-0000-0000-000001000000}">
      <text>
        <r>
          <rPr>
            <b/>
            <sz val="9"/>
            <color indexed="81"/>
            <rFont val="Tahoma"/>
            <family val="2"/>
          </rPr>
          <t>Kaitlyn Pressley:</t>
        </r>
        <r>
          <rPr>
            <sz val="9"/>
            <color indexed="81"/>
            <rFont val="Tahoma"/>
            <family val="2"/>
          </rPr>
          <t xml:space="preserve">
When using an ALT scenario, please define if you are using it as an alternate BUDGET or FORECAST.
BUDGET will pull the ALT scenario chosen for each month, regardless of the status of that month.
FORECAST will pull ACTUAL for any month that has been flagged for actuals, and the ALT scenario for all other months.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1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100-000002000000}">
      <text>
        <r>
          <rPr>
            <sz val="9"/>
            <color indexed="81"/>
            <rFont val="Tahoma"/>
            <family val="2"/>
          </rPr>
          <t>Right-click to build filter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2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200-000002000000}">
      <text>
        <r>
          <rPr>
            <sz val="9"/>
            <color indexed="81"/>
            <rFont val="Tahoma"/>
            <family val="2"/>
          </rPr>
          <t>Right-click to build filter</t>
        </r>
      </text>
    </comment>
    <comment ref="K32" authorId="1" shapeId="0" xr:uid="{00000000-0006-0000-0200-000003000000}">
      <text>
        <r>
          <rPr>
            <b/>
            <sz val="9"/>
            <color indexed="81"/>
            <rFont val="Tahoma"/>
            <family val="2"/>
          </rPr>
          <t>ekrolik:</t>
        </r>
        <r>
          <rPr>
            <sz val="9"/>
            <color indexed="81"/>
            <rFont val="Tahoma"/>
            <family val="2"/>
          </rPr>
          <t xml:space="preserve">
Drill Down Indicator.  Double Click to drill into additional detail.</t>
        </r>
      </text>
    </comment>
    <comment ref="B59" authorId="1" shapeId="0" xr:uid="{00000000-0006-0000-0200-000004000000}">
      <text>
        <r>
          <rPr>
            <sz val="9"/>
            <color indexed="81"/>
            <rFont val="Tahoma"/>
            <family val="2"/>
          </rPr>
          <t>Right-click to build filter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Kaitlyn Pressley</author>
  </authors>
  <commentList>
    <comment ref="F4" authorId="0" shapeId="0" xr:uid="{00000000-0006-0000-0300-000001000000}">
      <text>
        <r>
          <rPr>
            <b/>
            <sz val="9"/>
            <color indexed="81"/>
            <rFont val="Tahoma"/>
            <family val="2"/>
          </rPr>
          <t>Kaitlyn Pressley:</t>
        </r>
        <r>
          <rPr>
            <sz val="9"/>
            <color indexed="81"/>
            <rFont val="Tahoma"/>
            <family val="2"/>
          </rPr>
          <t xml:space="preserve">
For ALT scenario use only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4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400-000002000000}">
      <text>
        <r>
          <rPr>
            <sz val="9"/>
            <color indexed="81"/>
            <rFont val="Tahoma"/>
            <family val="2"/>
          </rPr>
          <t>Right-click to build filter</t>
        </r>
      </text>
    </comment>
    <comment ref="K32" authorId="1" shapeId="0" xr:uid="{00000000-0006-0000-0400-000003000000}">
      <text>
        <r>
          <rPr>
            <b/>
            <sz val="9"/>
            <color indexed="81"/>
            <rFont val="Tahoma"/>
            <family val="2"/>
          </rPr>
          <t>ekrolik:</t>
        </r>
        <r>
          <rPr>
            <sz val="9"/>
            <color indexed="81"/>
            <rFont val="Tahoma"/>
            <family val="2"/>
          </rPr>
          <t xml:space="preserve">
Drill Down Indicator.  Double Click to drill into additional detail.</t>
        </r>
      </text>
    </comment>
    <comment ref="B72" authorId="1" shapeId="0" xr:uid="{00000000-0006-0000-0400-000004000000}">
      <text>
        <r>
          <rPr>
            <sz val="9"/>
            <color indexed="81"/>
            <rFont val="Tahoma"/>
            <family val="2"/>
          </rPr>
          <t>Right-click to build filter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5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500-000002000000}">
      <text>
        <r>
          <rPr>
            <sz val="9"/>
            <color indexed="81"/>
            <rFont val="Tahoma"/>
            <family val="2"/>
          </rPr>
          <t>Right-click to build filter</t>
        </r>
      </text>
    </comment>
    <comment ref="C29" authorId="1" shapeId="0" xr:uid="{00000000-0006-0000-0500-000003000000}">
      <text>
        <r>
          <rPr>
            <sz val="9"/>
            <color indexed="81"/>
            <rFont val="Tahoma"/>
            <family val="2"/>
          </rPr>
          <t>Right-click to build filter</t>
        </r>
      </text>
    </comment>
    <comment ref="K32" authorId="1" shapeId="0" xr:uid="{00000000-0006-0000-0500-000004000000}">
      <text>
        <r>
          <rPr>
            <b/>
            <sz val="9"/>
            <color indexed="81"/>
            <rFont val="Tahoma"/>
            <family val="2"/>
          </rPr>
          <t>ekrolik:</t>
        </r>
        <r>
          <rPr>
            <sz val="9"/>
            <color indexed="81"/>
            <rFont val="Tahoma"/>
            <family val="2"/>
          </rPr>
          <t xml:space="preserve">
Drill Down Indicator.  Double Click to drill into additional detail.</t>
        </r>
      </text>
    </comment>
    <comment ref="B51" authorId="1" shapeId="0" xr:uid="{00000000-0006-0000-0500-000005000000}">
      <text>
        <r>
          <rPr>
            <sz val="9"/>
            <color indexed="81"/>
            <rFont val="Tahoma"/>
            <family val="2"/>
          </rPr>
          <t>Right-click to build filter</t>
        </r>
      </text>
    </comment>
    <comment ref="B84" authorId="1" shapeId="0" xr:uid="{00000000-0006-0000-0500-000006000000}">
      <text>
        <r>
          <rPr>
            <sz val="9"/>
            <color indexed="81"/>
            <rFont val="Tahoma"/>
            <family val="2"/>
          </rPr>
          <t>Right-click to build filter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6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600-000002000000}">
      <text>
        <r>
          <rPr>
            <sz val="9"/>
            <color indexed="81"/>
            <rFont val="Tahoma"/>
            <family val="2"/>
          </rPr>
          <t>Right-click to build filter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Kaitlyn Pressley</author>
    <author>ekrolik</author>
  </authors>
  <commentList>
    <comment ref="F4" authorId="0" shapeId="0" xr:uid="{00000000-0006-0000-0700-000001000000}">
      <text>
        <r>
          <rPr>
            <b/>
            <sz val="9"/>
            <color indexed="81"/>
            <rFont val="Tahoma"/>
            <family val="2"/>
          </rPr>
          <t>Kaitlyn Pressley:</t>
        </r>
        <r>
          <rPr>
            <sz val="9"/>
            <color indexed="81"/>
            <rFont val="Tahoma"/>
            <family val="2"/>
          </rPr>
          <t xml:space="preserve">
For ALT scenario use only
</t>
        </r>
      </text>
    </comment>
    <comment ref="B29" authorId="1" shapeId="0" xr:uid="{00000000-0006-0000-0700-000002000000}">
      <text>
        <r>
          <rPr>
            <sz val="9"/>
            <color indexed="81"/>
            <rFont val="Tahoma"/>
            <family val="2"/>
          </rPr>
          <t>Right-click to build filter</t>
        </r>
      </text>
    </comment>
    <comment ref="K32" authorId="1" shapeId="0" xr:uid="{00000000-0006-0000-0700-000003000000}">
      <text>
        <r>
          <rPr>
            <b/>
            <sz val="9"/>
            <color indexed="81"/>
            <rFont val="Tahoma"/>
            <family val="2"/>
          </rPr>
          <t>ekrolik:</t>
        </r>
        <r>
          <rPr>
            <sz val="9"/>
            <color indexed="81"/>
            <rFont val="Tahoma"/>
            <family val="2"/>
          </rPr>
          <t xml:space="preserve">
Drill Down Indicator.  Double Click to drill into additional detail.</t>
        </r>
      </text>
    </comment>
    <comment ref="B62" authorId="1" shapeId="0" xr:uid="{00000000-0006-0000-0700-000004000000}">
      <text>
        <r>
          <rPr>
            <sz val="9"/>
            <color indexed="81"/>
            <rFont val="Tahoma"/>
            <family val="2"/>
          </rPr>
          <t>Right-click to build filter</t>
        </r>
      </text>
    </comment>
    <comment ref="B95" authorId="1" shapeId="0" xr:uid="{00000000-0006-0000-0700-000005000000}">
      <text>
        <r>
          <rPr>
            <sz val="9"/>
            <color indexed="81"/>
            <rFont val="Tahoma"/>
            <family val="2"/>
          </rPr>
          <t>Right-click to build filter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800-000001000000}">
      <text>
        <r>
          <rPr>
            <sz val="9"/>
            <color indexed="81"/>
            <rFont val="Tahoma"/>
            <family val="2"/>
          </rPr>
          <t>Right-click to build filter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900-000001000000}">
      <text>
        <r>
          <rPr>
            <sz val="9"/>
            <color indexed="81"/>
            <rFont val="Tahoma"/>
            <family val="2"/>
          </rPr>
          <t>Right-click to build filter</t>
        </r>
      </text>
    </comment>
    <comment ref="K32" authorId="0" shapeId="0" xr:uid="{00000000-0006-0000-09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900-000003000000}">
      <text>
        <r>
          <rPr>
            <sz val="9"/>
            <color indexed="81"/>
            <rFont val="Tahoma"/>
            <family val="2"/>
          </rPr>
          <t>Right-click to build filter</t>
        </r>
      </text>
    </comment>
    <comment ref="B95" authorId="0" shapeId="0" xr:uid="{00000000-0006-0000-0900-000004000000}">
      <text>
        <r>
          <rPr>
            <sz val="9"/>
            <color indexed="81"/>
            <rFont val="Tahoma"/>
            <family val="2"/>
          </rPr>
          <t>Right-click to build filter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A00-000001000000}">
      <text>
        <r>
          <rPr>
            <sz val="9"/>
            <color indexed="81"/>
            <rFont val="Tahoma"/>
            <family val="2"/>
          </rPr>
          <t>Right-click to build filter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B00-000001000000}">
      <text>
        <r>
          <rPr>
            <sz val="9"/>
            <color indexed="81"/>
            <rFont val="Tahoma"/>
            <family val="2"/>
          </rPr>
          <t>Right-click to build filter</t>
        </r>
      </text>
    </comment>
    <comment ref="K32" authorId="0" shapeId="0" xr:uid="{00000000-0006-0000-0B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B00-000003000000}">
      <text>
        <r>
          <rPr>
            <sz val="9"/>
            <color indexed="81"/>
            <rFont val="Tahoma"/>
            <family val="2"/>
          </rPr>
          <t>Right-click to build filter</t>
        </r>
      </text>
    </comment>
    <comment ref="B95" authorId="0" shapeId="0" xr:uid="{00000000-0006-0000-0B00-000004000000}">
      <text>
        <r>
          <rPr>
            <sz val="9"/>
            <color indexed="81"/>
            <rFont val="Tahoma"/>
            <family val="2"/>
          </rPr>
          <t>Right-click to build filter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C00-000001000000}">
      <text>
        <r>
          <rPr>
            <sz val="9"/>
            <color indexed="81"/>
            <rFont val="Tahoma"/>
            <family val="2"/>
          </rPr>
          <t>Right-click to build filter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D00-000001000000}">
      <text>
        <r>
          <rPr>
            <sz val="9"/>
            <color indexed="81"/>
            <rFont val="Tahoma"/>
            <family val="2"/>
          </rPr>
          <t>Right-click to build filter</t>
        </r>
      </text>
    </comment>
    <comment ref="K32" authorId="0" shapeId="0" xr:uid="{00000000-0006-0000-0D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D00-000003000000}">
      <text>
        <r>
          <rPr>
            <sz val="9"/>
            <color indexed="81"/>
            <rFont val="Tahoma"/>
            <family val="2"/>
          </rPr>
          <t>Right-click to build filter</t>
        </r>
      </text>
    </comment>
    <comment ref="B95" authorId="0" shapeId="0" xr:uid="{00000000-0006-0000-0D00-000004000000}">
      <text>
        <r>
          <rPr>
            <sz val="9"/>
            <color indexed="81"/>
            <rFont val="Tahoma"/>
            <family val="2"/>
          </rPr>
          <t>Right-click to build filter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E00-000001000000}">
      <text>
        <r>
          <rPr>
            <sz val="9"/>
            <color indexed="81"/>
            <rFont val="Tahoma"/>
            <family val="2"/>
          </rPr>
          <t>Right-click to build filter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0F00-000001000000}">
      <text>
        <r>
          <rPr>
            <sz val="9"/>
            <color indexed="81"/>
            <rFont val="Tahoma"/>
            <family val="2"/>
          </rPr>
          <t>Right-click to build filter</t>
        </r>
      </text>
    </comment>
    <comment ref="K32" authorId="0" shapeId="0" xr:uid="{00000000-0006-0000-0F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0F00-000003000000}">
      <text>
        <r>
          <rPr>
            <sz val="9"/>
            <color indexed="81"/>
            <rFont val="Tahoma"/>
            <family val="2"/>
          </rPr>
          <t>Right-click to build filter</t>
        </r>
      </text>
    </comment>
    <comment ref="B95" authorId="0" shapeId="0" xr:uid="{00000000-0006-0000-0F00-000004000000}">
      <text>
        <r>
          <rPr>
            <sz val="9"/>
            <color indexed="81"/>
            <rFont val="Tahoma"/>
            <family val="2"/>
          </rPr>
          <t>Right-click to build filter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000-000001000000}">
      <text>
        <r>
          <rPr>
            <sz val="9"/>
            <color indexed="81"/>
            <rFont val="Tahoma"/>
            <family val="2"/>
          </rPr>
          <t>Right-click to build filter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100-000001000000}">
      <text>
        <r>
          <rPr>
            <sz val="9"/>
            <color indexed="81"/>
            <rFont val="Tahoma"/>
            <family val="2"/>
          </rPr>
          <t>Right-click to build filter</t>
        </r>
      </text>
    </comment>
    <comment ref="K32" authorId="0" shapeId="0" xr:uid="{00000000-0006-0000-11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100-000003000000}">
      <text>
        <r>
          <rPr>
            <sz val="9"/>
            <color indexed="81"/>
            <rFont val="Tahoma"/>
            <family val="2"/>
          </rPr>
          <t>Right-click to build filter</t>
        </r>
      </text>
    </comment>
    <comment ref="B95" authorId="0" shapeId="0" xr:uid="{00000000-0006-0000-1100-000004000000}">
      <text>
        <r>
          <rPr>
            <sz val="9"/>
            <color indexed="81"/>
            <rFont val="Tahoma"/>
            <family val="2"/>
          </rPr>
          <t>Right-click to build filter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200-000001000000}">
      <text>
        <r>
          <rPr>
            <sz val="9"/>
            <color indexed="81"/>
            <rFont val="Tahoma"/>
            <family val="2"/>
          </rPr>
          <t>Right-click to build filter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300-000001000000}">
      <text>
        <r>
          <rPr>
            <sz val="9"/>
            <color indexed="81"/>
            <rFont val="Tahoma"/>
            <family val="2"/>
          </rPr>
          <t>Right-click to build filter</t>
        </r>
      </text>
    </comment>
    <comment ref="K32" authorId="0" shapeId="0" xr:uid="{00000000-0006-0000-13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300-000003000000}">
      <text>
        <r>
          <rPr>
            <sz val="9"/>
            <color indexed="81"/>
            <rFont val="Tahoma"/>
            <family val="2"/>
          </rPr>
          <t>Right-click to build filter</t>
        </r>
      </text>
    </comment>
    <comment ref="B95" authorId="0" shapeId="0" xr:uid="{00000000-0006-0000-1300-000004000000}">
      <text>
        <r>
          <rPr>
            <sz val="9"/>
            <color indexed="81"/>
            <rFont val="Tahoma"/>
            <family val="2"/>
          </rPr>
          <t>Right-click to build filter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400-000001000000}">
      <text>
        <r>
          <rPr>
            <sz val="9"/>
            <color indexed="81"/>
            <rFont val="Tahoma"/>
            <family val="2"/>
          </rPr>
          <t>Right-click to build filter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500-000001000000}">
      <text>
        <r>
          <rPr>
            <sz val="9"/>
            <color indexed="81"/>
            <rFont val="Tahoma"/>
            <family val="2"/>
          </rPr>
          <t>Right-click to build filter</t>
        </r>
      </text>
    </comment>
    <comment ref="K32" authorId="0" shapeId="0" xr:uid="{00000000-0006-0000-15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500-000003000000}">
      <text>
        <r>
          <rPr>
            <sz val="9"/>
            <color indexed="81"/>
            <rFont val="Tahoma"/>
            <family val="2"/>
          </rPr>
          <t>Right-click to build filter</t>
        </r>
      </text>
    </comment>
    <comment ref="B95" authorId="0" shapeId="0" xr:uid="{00000000-0006-0000-1500-000004000000}">
      <text>
        <r>
          <rPr>
            <sz val="9"/>
            <color indexed="81"/>
            <rFont val="Tahoma"/>
            <family val="2"/>
          </rPr>
          <t>Right-click to build filter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600-000001000000}">
      <text>
        <r>
          <rPr>
            <sz val="9"/>
            <color indexed="81"/>
            <rFont val="Tahoma"/>
            <family val="2"/>
          </rPr>
          <t>Right-click to build filter</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700-000001000000}">
      <text>
        <r>
          <rPr>
            <sz val="9"/>
            <color indexed="81"/>
            <rFont val="Tahoma"/>
            <family val="2"/>
          </rPr>
          <t>Right-click to build filter</t>
        </r>
      </text>
    </comment>
    <comment ref="K32" authorId="0" shapeId="0" xr:uid="{00000000-0006-0000-17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700-000003000000}">
      <text>
        <r>
          <rPr>
            <sz val="9"/>
            <color indexed="81"/>
            <rFont val="Tahoma"/>
            <family val="2"/>
          </rPr>
          <t>Right-click to build filter</t>
        </r>
      </text>
    </comment>
    <comment ref="B95" authorId="0" shapeId="0" xr:uid="{00000000-0006-0000-1700-000004000000}">
      <text>
        <r>
          <rPr>
            <sz val="9"/>
            <color indexed="81"/>
            <rFont val="Tahoma"/>
            <family val="2"/>
          </rPr>
          <t>Right-click to build filter</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800-000001000000}">
      <text>
        <r>
          <rPr>
            <sz val="9"/>
            <color indexed="81"/>
            <rFont val="Tahoma"/>
            <family val="2"/>
          </rPr>
          <t>Right-click to build filter</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900-000001000000}">
      <text>
        <r>
          <rPr>
            <sz val="9"/>
            <color indexed="81"/>
            <rFont val="Tahoma"/>
            <family val="2"/>
          </rPr>
          <t>Right-click to build filter</t>
        </r>
      </text>
    </comment>
    <comment ref="K32" authorId="0" shapeId="0" xr:uid="{00000000-0006-0000-19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900-000003000000}">
      <text>
        <r>
          <rPr>
            <sz val="9"/>
            <color indexed="81"/>
            <rFont val="Tahoma"/>
            <family val="2"/>
          </rPr>
          <t>Right-click to build filter</t>
        </r>
      </text>
    </comment>
    <comment ref="B95" authorId="0" shapeId="0" xr:uid="{00000000-0006-0000-1900-000004000000}">
      <text>
        <r>
          <rPr>
            <sz val="9"/>
            <color indexed="81"/>
            <rFont val="Tahoma"/>
            <family val="2"/>
          </rPr>
          <t>Right-click to build filter</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A00-000001000000}">
      <text>
        <r>
          <rPr>
            <sz val="9"/>
            <color indexed="81"/>
            <rFont val="Tahoma"/>
            <family val="2"/>
          </rPr>
          <t>Right-click to build filter</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B00-000001000000}">
      <text>
        <r>
          <rPr>
            <sz val="9"/>
            <color indexed="81"/>
            <rFont val="Tahoma"/>
            <family val="2"/>
          </rPr>
          <t>Right-click to build filter</t>
        </r>
      </text>
    </comment>
    <comment ref="K32" authorId="0" shapeId="0" xr:uid="{00000000-0006-0000-1B00-000002000000}">
      <text>
        <r>
          <rPr>
            <b/>
            <sz val="9"/>
            <color indexed="81"/>
            <rFont val="Tahoma"/>
            <family val="2"/>
          </rPr>
          <t>ekrolik:</t>
        </r>
        <r>
          <rPr>
            <sz val="9"/>
            <color indexed="81"/>
            <rFont val="Tahoma"/>
            <family val="2"/>
          </rPr>
          <t xml:space="preserve">
Drill Down Indicator.  Double Click to drill into additional detail.</t>
        </r>
      </text>
    </comment>
    <comment ref="B62" authorId="0" shapeId="0" xr:uid="{00000000-0006-0000-1B00-000003000000}">
      <text>
        <r>
          <rPr>
            <sz val="9"/>
            <color indexed="81"/>
            <rFont val="Tahoma"/>
            <family val="2"/>
          </rPr>
          <t>Right-click to build filter</t>
        </r>
      </text>
    </comment>
    <comment ref="B95" authorId="0" shapeId="0" xr:uid="{00000000-0006-0000-1B00-000004000000}">
      <text>
        <r>
          <rPr>
            <sz val="9"/>
            <color indexed="81"/>
            <rFont val="Tahoma"/>
            <family val="2"/>
          </rPr>
          <t>Right-click to build filter</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C00-000001000000}">
      <text>
        <r>
          <rPr>
            <sz val="9"/>
            <color indexed="81"/>
            <rFont val="Tahoma"/>
            <family val="2"/>
          </rPr>
          <t>Right-click to build filter</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D00-000001000000}">
      <text>
        <r>
          <rPr>
            <sz val="9"/>
            <color indexed="81"/>
            <rFont val="Tahoma"/>
            <family val="2"/>
          </rPr>
          <t>Right-click to build filter</t>
        </r>
      </text>
    </comment>
    <comment ref="K32" authorId="0" shapeId="0" xr:uid="{00000000-0006-0000-1D00-000002000000}">
      <text>
        <r>
          <rPr>
            <b/>
            <sz val="9"/>
            <color indexed="81"/>
            <rFont val="Tahoma"/>
            <family val="2"/>
          </rPr>
          <t>ekrolik:</t>
        </r>
        <r>
          <rPr>
            <sz val="9"/>
            <color indexed="81"/>
            <rFont val="Tahoma"/>
            <family val="2"/>
          </rPr>
          <t xml:space="preserve">
Drill Down Indicator.  Double Click to drill into additional detail.</t>
        </r>
      </text>
    </comment>
    <comment ref="B61" authorId="0" shapeId="0" xr:uid="{00000000-0006-0000-1D00-000003000000}">
      <text>
        <r>
          <rPr>
            <sz val="9"/>
            <color indexed="81"/>
            <rFont val="Tahoma"/>
            <family val="2"/>
          </rPr>
          <t>Right-click to build filter</t>
        </r>
      </text>
    </comment>
    <comment ref="B93" authorId="0" shapeId="0" xr:uid="{00000000-0006-0000-1D00-000004000000}">
      <text>
        <r>
          <rPr>
            <sz val="9"/>
            <color indexed="81"/>
            <rFont val="Tahoma"/>
            <family val="2"/>
          </rPr>
          <t>Right-click to build filter</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E00-000001000000}">
      <text>
        <r>
          <rPr>
            <sz val="9"/>
            <color indexed="81"/>
            <rFont val="Tahoma"/>
            <family val="2"/>
          </rPr>
          <t>Right-click to build filter</t>
        </r>
      </text>
    </comment>
    <comment ref="C29" authorId="0" shapeId="0" xr:uid="{00000000-0006-0000-1E00-000002000000}">
      <text>
        <r>
          <rPr>
            <sz val="9"/>
            <color indexed="81"/>
            <rFont val="Tahoma"/>
            <family val="2"/>
          </rPr>
          <t>Right-click to build filter</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1F00-000001000000}">
      <text>
        <r>
          <rPr>
            <sz val="9"/>
            <color indexed="81"/>
            <rFont val="Tahoma"/>
            <family val="2"/>
          </rPr>
          <t>Right-click to build filter</t>
        </r>
      </text>
    </comment>
    <comment ref="K32" authorId="0" shapeId="0" xr:uid="{00000000-0006-0000-1F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1F00-000003000000}">
      <text>
        <r>
          <rPr>
            <sz val="9"/>
            <color indexed="81"/>
            <rFont val="Tahoma"/>
            <family val="2"/>
          </rPr>
          <t>Right-click to build filter</t>
        </r>
      </text>
    </comment>
    <comment ref="B87" authorId="0" shapeId="0" xr:uid="{00000000-0006-0000-1F00-000004000000}">
      <text>
        <r>
          <rPr>
            <sz val="9"/>
            <color indexed="81"/>
            <rFont val="Tahoma"/>
            <family val="2"/>
          </rPr>
          <t>Right-click to build filter</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000-000001000000}">
      <text>
        <r>
          <rPr>
            <sz val="9"/>
            <color indexed="81"/>
            <rFont val="Tahoma"/>
            <family val="2"/>
          </rPr>
          <t>Right-click to build filter</t>
        </r>
      </text>
    </comment>
    <comment ref="K32" authorId="0" shapeId="0" xr:uid="{00000000-0006-0000-20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2000-000003000000}">
      <text>
        <r>
          <rPr>
            <sz val="9"/>
            <color indexed="81"/>
            <rFont val="Tahoma"/>
            <family val="2"/>
          </rPr>
          <t>Right-click to build filter</t>
        </r>
      </text>
    </comment>
    <comment ref="B86" authorId="0" shapeId="0" xr:uid="{00000000-0006-0000-2000-000004000000}">
      <text>
        <r>
          <rPr>
            <sz val="9"/>
            <color indexed="81"/>
            <rFont val="Tahoma"/>
            <family val="2"/>
          </rPr>
          <t>Right-click to build filter</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100-000001000000}">
      <text>
        <r>
          <rPr>
            <sz val="9"/>
            <color indexed="81"/>
            <rFont val="Tahoma"/>
            <family val="2"/>
          </rPr>
          <t>Right-click to build filter</t>
        </r>
      </text>
    </comment>
    <comment ref="K32" authorId="0" shapeId="0" xr:uid="{00000000-0006-0000-21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2100-000003000000}">
      <text>
        <r>
          <rPr>
            <sz val="9"/>
            <color indexed="81"/>
            <rFont val="Tahoma"/>
            <family val="2"/>
          </rPr>
          <t>Right-click to build filter</t>
        </r>
      </text>
    </comment>
    <comment ref="B86" authorId="0" shapeId="0" xr:uid="{00000000-0006-0000-2100-000004000000}">
      <text>
        <r>
          <rPr>
            <sz val="9"/>
            <color indexed="81"/>
            <rFont val="Tahoma"/>
            <family val="2"/>
          </rPr>
          <t>Right-click to build filter</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200-000001000000}">
      <text>
        <r>
          <rPr>
            <sz val="9"/>
            <color indexed="81"/>
            <rFont val="Tahoma"/>
            <family val="2"/>
          </rPr>
          <t>Right-click to build filter</t>
        </r>
      </text>
    </comment>
    <comment ref="K32" authorId="0" shapeId="0" xr:uid="{00000000-0006-0000-2200-000002000000}">
      <text>
        <r>
          <rPr>
            <b/>
            <sz val="9"/>
            <color indexed="81"/>
            <rFont val="Tahoma"/>
            <family val="2"/>
          </rPr>
          <t>ekrolik:</t>
        </r>
        <r>
          <rPr>
            <sz val="9"/>
            <color indexed="81"/>
            <rFont val="Tahoma"/>
            <family val="2"/>
          </rPr>
          <t xml:space="preserve">
Drill Down Indicator.  Double Click to drill into additional detail.</t>
        </r>
      </text>
    </comment>
    <comment ref="B57" authorId="0" shapeId="0" xr:uid="{00000000-0006-0000-2200-000003000000}">
      <text>
        <r>
          <rPr>
            <sz val="9"/>
            <color indexed="81"/>
            <rFont val="Tahoma"/>
            <family val="2"/>
          </rPr>
          <t>Right-click to build filter</t>
        </r>
      </text>
    </comment>
    <comment ref="B85" authorId="0" shapeId="0" xr:uid="{00000000-0006-0000-2200-000004000000}">
      <text>
        <r>
          <rPr>
            <sz val="9"/>
            <color indexed="81"/>
            <rFont val="Tahoma"/>
            <family val="2"/>
          </rPr>
          <t>Right-click to build filter</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300-000001000000}">
      <text>
        <r>
          <rPr>
            <sz val="9"/>
            <color indexed="81"/>
            <rFont val="Tahoma"/>
            <family val="2"/>
          </rPr>
          <t>Right-click to build filter</t>
        </r>
      </text>
    </comment>
    <comment ref="K32" authorId="0" shapeId="0" xr:uid="{00000000-0006-0000-2300-000002000000}">
      <text>
        <r>
          <rPr>
            <b/>
            <sz val="9"/>
            <color indexed="81"/>
            <rFont val="Tahoma"/>
            <family val="2"/>
          </rPr>
          <t>ekrolik:</t>
        </r>
        <r>
          <rPr>
            <sz val="9"/>
            <color indexed="81"/>
            <rFont val="Tahoma"/>
            <family val="2"/>
          </rPr>
          <t xml:space="preserve">
Drill Down Indicator.  Double Click to drill into additional detail.</t>
        </r>
      </text>
    </comment>
    <comment ref="B58" authorId="0" shapeId="0" xr:uid="{00000000-0006-0000-2300-000003000000}">
      <text>
        <r>
          <rPr>
            <sz val="9"/>
            <color indexed="81"/>
            <rFont val="Tahoma"/>
            <family val="2"/>
          </rPr>
          <t>Right-click to build filter</t>
        </r>
      </text>
    </comment>
    <comment ref="B86" authorId="0" shapeId="0" xr:uid="{00000000-0006-0000-2300-000004000000}">
      <text>
        <r>
          <rPr>
            <sz val="9"/>
            <color indexed="81"/>
            <rFont val="Tahoma"/>
            <family val="2"/>
          </rPr>
          <t>Right-click to build filter</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400-000001000000}">
      <text>
        <r>
          <rPr>
            <sz val="9"/>
            <color indexed="81"/>
            <rFont val="Tahoma"/>
            <family val="2"/>
          </rPr>
          <t>Right-click to build filter</t>
        </r>
      </text>
    </comment>
    <comment ref="K32" authorId="0" shapeId="0" xr:uid="{00000000-0006-0000-2400-000002000000}">
      <text>
        <r>
          <rPr>
            <b/>
            <sz val="9"/>
            <color indexed="81"/>
            <rFont val="Tahoma"/>
            <family val="2"/>
          </rPr>
          <t>ekrolik:</t>
        </r>
        <r>
          <rPr>
            <sz val="9"/>
            <color indexed="81"/>
            <rFont val="Tahoma"/>
            <family val="2"/>
          </rPr>
          <t xml:space="preserve">
Drill Down Indicator.  Double Click to drill into additional detail.</t>
        </r>
      </text>
    </comment>
    <comment ref="B51" authorId="0" shapeId="0" xr:uid="{00000000-0006-0000-2400-000003000000}">
      <text>
        <r>
          <rPr>
            <sz val="9"/>
            <color indexed="81"/>
            <rFont val="Tahoma"/>
            <family val="2"/>
          </rPr>
          <t>Right-click to build filter</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500-000001000000}">
      <text>
        <r>
          <rPr>
            <sz val="9"/>
            <color indexed="81"/>
            <rFont val="Tahoma"/>
            <family val="2"/>
          </rPr>
          <t>Right-click to build filter</t>
        </r>
      </text>
    </comment>
    <comment ref="K32" authorId="0" shapeId="0" xr:uid="{00000000-0006-0000-25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600-000001000000}">
      <text>
        <r>
          <rPr>
            <sz val="9"/>
            <color indexed="81"/>
            <rFont val="Tahoma"/>
            <family val="2"/>
          </rPr>
          <t>Right-click to build filter</t>
        </r>
      </text>
    </comment>
    <comment ref="C29" authorId="0" shapeId="0" xr:uid="{00000000-0006-0000-2600-000002000000}">
      <text>
        <r>
          <rPr>
            <sz val="9"/>
            <color indexed="81"/>
            <rFont val="Tahoma"/>
            <family val="2"/>
          </rPr>
          <t>Right-click to build filter</t>
        </r>
      </text>
    </comment>
    <comment ref="K32" authorId="0" shapeId="0" xr:uid="{00000000-0006-0000-2600-000003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700-000001000000}">
      <text>
        <r>
          <rPr>
            <sz val="9"/>
            <color indexed="81"/>
            <rFont val="Tahoma"/>
            <family val="2"/>
          </rPr>
          <t>Right-click to build filter</t>
        </r>
      </text>
    </comment>
    <comment ref="K32" authorId="0" shapeId="0" xr:uid="{00000000-0006-0000-27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800-000001000000}">
      <text>
        <r>
          <rPr>
            <sz val="9"/>
            <color indexed="81"/>
            <rFont val="Tahoma"/>
            <family val="2"/>
          </rPr>
          <t>Right-click to build filter</t>
        </r>
      </text>
    </comment>
    <comment ref="K32" authorId="0" shapeId="0" xr:uid="{00000000-0006-0000-28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2800-000003000000}">
      <text>
        <r>
          <rPr>
            <sz val="9"/>
            <color indexed="81"/>
            <rFont val="Tahoma"/>
            <family val="2"/>
          </rPr>
          <t>Right-click to build filter</t>
        </r>
      </text>
    </comment>
    <comment ref="B83" authorId="0" shapeId="0" xr:uid="{00000000-0006-0000-2800-000004000000}">
      <text>
        <r>
          <rPr>
            <sz val="9"/>
            <color indexed="81"/>
            <rFont val="Tahoma"/>
            <family val="2"/>
          </rPr>
          <t>Right-click to build filter</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900-000001000000}">
      <text>
        <r>
          <rPr>
            <sz val="9"/>
            <color indexed="81"/>
            <rFont val="Tahoma"/>
            <family val="2"/>
          </rPr>
          <t>Right-click to build filter</t>
        </r>
      </text>
    </comment>
    <comment ref="K32" authorId="0" shapeId="0" xr:uid="{00000000-0006-0000-29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A00-000001000000}">
      <text>
        <r>
          <rPr>
            <sz val="9"/>
            <color indexed="81"/>
            <rFont val="Tahoma"/>
            <family val="2"/>
          </rPr>
          <t>Right-click to build filter</t>
        </r>
      </text>
    </comment>
    <comment ref="K32" authorId="0" shapeId="0" xr:uid="{00000000-0006-0000-2A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B00-000001000000}">
      <text>
        <r>
          <rPr>
            <sz val="9"/>
            <color indexed="81"/>
            <rFont val="Tahoma"/>
            <family val="2"/>
          </rPr>
          <t>Right-click to build filter</t>
        </r>
      </text>
    </comment>
    <comment ref="K32" authorId="0" shapeId="0" xr:uid="{00000000-0006-0000-2B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C00-000001000000}">
      <text>
        <r>
          <rPr>
            <sz val="9"/>
            <color indexed="81"/>
            <rFont val="Tahoma"/>
            <family val="2"/>
          </rPr>
          <t>Right-click to build filter</t>
        </r>
      </text>
    </comment>
    <comment ref="K32" authorId="0" shapeId="0" xr:uid="{00000000-0006-0000-2C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D00-000001000000}">
      <text>
        <r>
          <rPr>
            <sz val="9"/>
            <color indexed="81"/>
            <rFont val="Tahoma"/>
            <family val="2"/>
          </rPr>
          <t>Right-click to build filter</t>
        </r>
      </text>
    </comment>
    <comment ref="K32" authorId="0" shapeId="0" xr:uid="{00000000-0006-0000-2D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E00-000001000000}">
      <text>
        <r>
          <rPr>
            <sz val="9"/>
            <color indexed="81"/>
            <rFont val="Tahoma"/>
            <family val="2"/>
          </rPr>
          <t>Right-click to build filter</t>
        </r>
      </text>
    </comment>
    <comment ref="K32" authorId="0" shapeId="0" xr:uid="{00000000-0006-0000-2E00-000002000000}">
      <text>
        <r>
          <rPr>
            <b/>
            <sz val="9"/>
            <color indexed="81"/>
            <rFont val="Tahoma"/>
            <family val="2"/>
          </rPr>
          <t>ekrolik:</t>
        </r>
        <r>
          <rPr>
            <sz val="9"/>
            <color indexed="81"/>
            <rFont val="Tahoma"/>
            <family val="2"/>
          </rPr>
          <t xml:space="preserve">
Drill Down Indicator.  Double Click to drill into additional detail.</t>
        </r>
      </text>
    </comment>
    <comment ref="B73" authorId="0" shapeId="0" xr:uid="{00000000-0006-0000-2E00-000003000000}">
      <text>
        <r>
          <rPr>
            <sz val="9"/>
            <color indexed="81"/>
            <rFont val="Tahoma"/>
            <family val="2"/>
          </rPr>
          <t>Right-click to build filter</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2F00-000001000000}">
      <text>
        <r>
          <rPr>
            <sz val="9"/>
            <color indexed="81"/>
            <rFont val="Tahoma"/>
            <family val="2"/>
          </rPr>
          <t>Right-click to build filter</t>
        </r>
      </text>
    </comment>
    <comment ref="K32" authorId="0" shapeId="0" xr:uid="{00000000-0006-0000-2F00-000002000000}">
      <text>
        <r>
          <rPr>
            <b/>
            <sz val="9"/>
            <color indexed="81"/>
            <rFont val="Tahoma"/>
            <family val="2"/>
          </rPr>
          <t>ekrolik:</t>
        </r>
        <r>
          <rPr>
            <sz val="9"/>
            <color indexed="81"/>
            <rFont val="Tahoma"/>
            <family val="2"/>
          </rPr>
          <t xml:space="preserve">
Drill Down Indicator.  Double Click to drill into additional detail.</t>
        </r>
      </text>
    </comment>
    <comment ref="B60" authorId="0" shapeId="0" xr:uid="{00000000-0006-0000-2F00-000003000000}">
      <text>
        <r>
          <rPr>
            <sz val="9"/>
            <color indexed="81"/>
            <rFont val="Tahoma"/>
            <family val="2"/>
          </rPr>
          <t>Right-click to build filter</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ekrolik</author>
  </authors>
  <commentList>
    <comment ref="B29" authorId="0" shapeId="0" xr:uid="{00000000-0006-0000-3000-000001000000}">
      <text>
        <r>
          <rPr>
            <sz val="9"/>
            <color indexed="81"/>
            <rFont val="Tahoma"/>
            <family val="2"/>
          </rPr>
          <t>Right-click to build filter</t>
        </r>
      </text>
    </comment>
    <comment ref="K32" authorId="0" shapeId="0" xr:uid="{00000000-0006-0000-3000-000002000000}">
      <text>
        <r>
          <rPr>
            <b/>
            <sz val="9"/>
            <color indexed="81"/>
            <rFont val="Tahoma"/>
            <family val="2"/>
          </rPr>
          <t>ekrolik:</t>
        </r>
        <r>
          <rPr>
            <sz val="9"/>
            <color indexed="81"/>
            <rFont val="Tahoma"/>
            <family val="2"/>
          </rPr>
          <t xml:space="preserve">
Drill Down Indicator.  Double Click to drill into additional detail.</t>
        </r>
      </text>
    </comment>
  </commentList>
</comments>
</file>

<file path=xl/sharedStrings.xml><?xml version="1.0" encoding="utf-8"?>
<sst xmlns="http://schemas.openxmlformats.org/spreadsheetml/2006/main" count="12647" uniqueCount="952">
  <si>
    <t>RANGE</t>
  </si>
  <si>
    <t>VALUE</t>
  </si>
  <si>
    <t>PageKeyRange</t>
  </si>
  <si>
    <t>ColKeyRange</t>
  </si>
  <si>
    <t>RowKeyRange</t>
  </si>
  <si>
    <t>CellKeyRange</t>
  </si>
  <si>
    <t>GetOnlyRange</t>
  </si>
  <si>
    <t>FormatRange</t>
  </si>
  <si>
    <t>SortRange</t>
  </si>
  <si>
    <t>PARAMETER</t>
  </si>
  <si>
    <t>EXPANSION 1</t>
  </si>
  <si>
    <t>ExpandIn</t>
  </si>
  <si>
    <t>Dimension</t>
  </si>
  <si>
    <t>MemberSet</t>
  </si>
  <si>
    <t>BeforeRange</t>
  </si>
  <si>
    <t>AfterRange</t>
  </si>
  <si>
    <t>Suppress</t>
  </si>
  <si>
    <t>Insert</t>
  </si>
  <si>
    <t>TIME</t>
  </si>
  <si>
    <t>CATEGORY</t>
  </si>
  <si>
    <t>MEASURES</t>
  </si>
  <si>
    <t>ROW</t>
  </si>
  <si>
    <t>ACCOUNT</t>
  </si>
  <si>
    <t>Option</t>
  </si>
  <si>
    <t>Value</t>
  </si>
  <si>
    <t>AutoFitCol</t>
  </si>
  <si>
    <t>Bottom</t>
  </si>
  <si>
    <t>DumpDataCache</t>
  </si>
  <si>
    <t>ExpandOnly</t>
  </si>
  <si>
    <t>GroupExpansion</t>
  </si>
  <si>
    <t>HideColKeys</t>
  </si>
  <si>
    <t>HideRowKeys</t>
  </si>
  <si>
    <t>NoRefresh</t>
  </si>
  <si>
    <t>NoSend</t>
  </si>
  <si>
    <t>PctInput</t>
  </si>
  <si>
    <t>QueryEngine</t>
  </si>
  <si>
    <t>QueryType</t>
  </si>
  <si>
    <t>QueryViewName</t>
  </si>
  <si>
    <t>ShowComments</t>
  </si>
  <si>
    <t>ShowNullAsZero</t>
  </si>
  <si>
    <t>SortCol</t>
  </si>
  <si>
    <t>SqlOnly</t>
  </si>
  <si>
    <t>SumParent</t>
  </si>
  <si>
    <t>SuppressDataCol</t>
  </si>
  <si>
    <t>SuppressDataRow</t>
  </si>
  <si>
    <t>SuppressNoData</t>
  </si>
  <si>
    <t>Top</t>
  </si>
  <si>
    <t>OptionRange</t>
  </si>
  <si>
    <t>App</t>
  </si>
  <si>
    <t>FINANCE</t>
  </si>
  <si>
    <t>BUSINESSUNIT</t>
  </si>
  <si>
    <t>DATASRC</t>
  </si>
  <si>
    <t>DEPARTMENT</t>
  </si>
  <si>
    <t>INTCO</t>
  </si>
  <si>
    <t>RPTCURRENCY</t>
  </si>
  <si>
    <t>PERIODIC</t>
  </si>
  <si>
    <t>GOI</t>
  </si>
  <si>
    <t>$</t>
  </si>
  <si>
    <t>%</t>
  </si>
  <si>
    <t>TOTALADJ</t>
  </si>
  <si>
    <t>D_ROOMS_CON</t>
  </si>
  <si>
    <t>All_InterCo</t>
  </si>
  <si>
    <t>LC</t>
  </si>
  <si>
    <t>YTD</t>
  </si>
  <si>
    <t>401000</t>
  </si>
  <si>
    <t>402200</t>
  </si>
  <si>
    <t>402000</t>
  </si>
  <si>
    <t>403000</t>
  </si>
  <si>
    <t>401200</t>
  </si>
  <si>
    <t>REV</t>
  </si>
  <si>
    <t>TRANSRR</t>
  </si>
  <si>
    <t>GROUPRR</t>
  </si>
  <si>
    <t>ROOMS_TOT</t>
  </si>
  <si>
    <t>LABORRL</t>
  </si>
  <si>
    <t>SALWAG</t>
  </si>
  <si>
    <t>NONMGMT</t>
  </si>
  <si>
    <t>600000</t>
  </si>
  <si>
    <t>710000</t>
  </si>
  <si>
    <t>Y</t>
  </si>
  <si>
    <t>700000</t>
  </si>
  <si>
    <t>TOTDEPTEXP</t>
  </si>
  <si>
    <t>TOTDEPTPL</t>
  </si>
  <si>
    <t>OTHR_EXP</t>
  </si>
  <si>
    <t>R_RETAIL</t>
  </si>
  <si>
    <t>R_DISCNT</t>
  </si>
  <si>
    <t>R_NEGOT</t>
  </si>
  <si>
    <t>R_QUALF</t>
  </si>
  <si>
    <t>R_CORP</t>
  </si>
  <si>
    <t>R_ASSCN</t>
  </si>
  <si>
    <t>401800</t>
  </si>
  <si>
    <t>R_TOURW</t>
  </si>
  <si>
    <t>403990</t>
  </si>
  <si>
    <t>CRITERIA</t>
  </si>
  <si>
    <t>EVALUATE IN</t>
  </si>
  <si>
    <t>FORMAT</t>
  </si>
  <si>
    <t>USE</t>
  </si>
  <si>
    <t>PARAMETERS</t>
  </si>
  <si>
    <t>APPLY TO</t>
  </si>
  <si>
    <t>HEADING</t>
  </si>
  <si>
    <t>DATA</t>
  </si>
  <si>
    <t>ACCOUNT.STYLE=B1</t>
  </si>
  <si>
    <t>abc</t>
  </si>
  <si>
    <t>ACCOUNT.STYLE=T4</t>
  </si>
  <si>
    <t>INDENTLEVEL</t>
  </si>
  <si>
    <t>ACCOUNT.STYLE=T5</t>
  </si>
  <si>
    <t>ACCOUNT.STYLE=N</t>
  </si>
  <si>
    <t>FONTBOLD,INDENTLEVEL</t>
  </si>
  <si>
    <t>FONTBOLD,FRAME</t>
  </si>
  <si>
    <t>ACCOUNT.STYLE=T3</t>
  </si>
  <si>
    <t>ACCOUNT.STYLE=T2</t>
  </si>
  <si>
    <t>ACCOUNT.STYLE=T1</t>
  </si>
  <si>
    <t>DEP(700000)</t>
  </si>
  <si>
    <t>&lt;=== Select Category</t>
  </si>
  <si>
    <t>Double-click shaded cells to make selection</t>
  </si>
  <si>
    <t>&lt;=== Do not Delete</t>
  </si>
  <si>
    <t>Current Year</t>
  </si>
  <si>
    <t>TOTAL</t>
  </si>
  <si>
    <t>&gt;</t>
  </si>
  <si>
    <t>DEP(402000),402000,GROUPRR,DEP(401000),401000,R_CONTRACT,403000,403990,ROOMS_TOT</t>
  </si>
  <si>
    <t>R_CONTRACT</t>
  </si>
  <si>
    <t>(Drill Down Indicator - Double Click)</t>
  </si>
  <si>
    <t>402100</t>
  </si>
  <si>
    <t>402130</t>
  </si>
  <si>
    <t>402530</t>
  </si>
  <si>
    <t>402500</t>
  </si>
  <si>
    <t>402540</t>
  </si>
  <si>
    <t>402550</t>
  </si>
  <si>
    <t>402560</t>
  </si>
  <si>
    <t>402600</t>
  </si>
  <si>
    <t>402300</t>
  </si>
  <si>
    <t>402350</t>
  </si>
  <si>
    <t>402400</t>
  </si>
  <si>
    <t>402700</t>
  </si>
  <si>
    <t>402730</t>
  </si>
  <si>
    <t>401100</t>
  </si>
  <si>
    <t>401500</t>
  </si>
  <si>
    <t>401400</t>
  </si>
  <si>
    <t>401600</t>
  </si>
  <si>
    <t>401300</t>
  </si>
  <si>
    <t>401330</t>
  </si>
  <si>
    <t>401700</t>
  </si>
  <si>
    <t>902000</t>
  </si>
  <si>
    <t>S_RETAIL</t>
  </si>
  <si>
    <t>902100</t>
  </si>
  <si>
    <t>902130</t>
  </si>
  <si>
    <t>S_DISCNT</t>
  </si>
  <si>
    <t>902530</t>
  </si>
  <si>
    <t>902500</t>
  </si>
  <si>
    <t>902540</t>
  </si>
  <si>
    <t>902550</t>
  </si>
  <si>
    <t>902560</t>
  </si>
  <si>
    <t>902600</t>
  </si>
  <si>
    <t>S_NEGOT</t>
  </si>
  <si>
    <t>902300</t>
  </si>
  <si>
    <t>902350</t>
  </si>
  <si>
    <t>902200</t>
  </si>
  <si>
    <t>S_QUALF</t>
  </si>
  <si>
    <t>902700</t>
  </si>
  <si>
    <t>902730</t>
  </si>
  <si>
    <t>902400</t>
  </si>
  <si>
    <t>901000</t>
  </si>
  <si>
    <t>S_CORP</t>
  </si>
  <si>
    <t>901100</t>
  </si>
  <si>
    <t>901500</t>
  </si>
  <si>
    <t>S_ASSCN</t>
  </si>
  <si>
    <t>901200</t>
  </si>
  <si>
    <t>901600</t>
  </si>
  <si>
    <t>901800</t>
  </si>
  <si>
    <t>S_TOURW</t>
  </si>
  <si>
    <t>901300</t>
  </si>
  <si>
    <t>901330</t>
  </si>
  <si>
    <t>901400</t>
  </si>
  <si>
    <t>901700</t>
  </si>
  <si>
    <t>R_STAT</t>
  </si>
  <si>
    <t>900200</t>
  </si>
  <si>
    <t>BLANKROW</t>
  </si>
  <si>
    <t>903100</t>
  </si>
  <si>
    <t>ADR_INDT</t>
  </si>
  <si>
    <t>ADR_GROP</t>
  </si>
  <si>
    <t>ADR_CORPT</t>
  </si>
  <si>
    <t>ADR_CORP</t>
  </si>
  <si>
    <t>ADR_ENTR</t>
  </si>
  <si>
    <t>ADR_ASSCN</t>
  </si>
  <si>
    <t>ADR_ASSC</t>
  </si>
  <si>
    <t>ADR_CONV</t>
  </si>
  <si>
    <t>ADR_GGOV</t>
  </si>
  <si>
    <t>ADR_TOURW</t>
  </si>
  <si>
    <t>ADR_WHTT</t>
  </si>
  <si>
    <t>ADR_MICE</t>
  </si>
  <si>
    <t>ADR_SMERF</t>
  </si>
  <si>
    <t>ADR_RETAIL</t>
  </si>
  <si>
    <t>ADR_ROOM</t>
  </si>
  <si>
    <t>ADR_RWEB</t>
  </si>
  <si>
    <t>ADR_DISCNT</t>
  </si>
  <si>
    <t>ADR_PACK</t>
  </si>
  <si>
    <t>ADR_OTA</t>
  </si>
  <si>
    <t>ADR_BMPRO</t>
  </si>
  <si>
    <t>ADR_ADVPR</t>
  </si>
  <si>
    <t>ADR_LDISCNT</t>
  </si>
  <si>
    <t>ADR_PAPR</t>
  </si>
  <si>
    <t>ADR_NEGOT</t>
  </si>
  <si>
    <t>ADR_CONS</t>
  </si>
  <si>
    <t>ADR_NNEG</t>
  </si>
  <si>
    <t>ADR_LNEG</t>
  </si>
  <si>
    <t>ADR_QUALF</t>
  </si>
  <si>
    <t>ADR_QUDI</t>
  </si>
  <si>
    <t>ADR_TGOV</t>
  </si>
  <si>
    <t>ADR_WHOL</t>
  </si>
  <si>
    <t>KPI_ADR</t>
  </si>
  <si>
    <t>DEFAULT</t>
  </si>
  <si>
    <t>ADR_CONT</t>
  </si>
  <si>
    <t>904100</t>
  </si>
  <si>
    <t>905100</t>
  </si>
  <si>
    <t>905200</t>
  </si>
  <si>
    <t>905300</t>
  </si>
  <si>
    <t>906100</t>
  </si>
  <si>
    <t>907100</t>
  </si>
  <si>
    <t>907200</t>
  </si>
  <si>
    <t>907300</t>
  </si>
  <si>
    <t>Market Mix Analysis</t>
  </si>
  <si>
    <t>710150</t>
  </si>
  <si>
    <t>710140</t>
  </si>
  <si>
    <t>710145</t>
  </si>
  <si>
    <t>710160</t>
  </si>
  <si>
    <t>710170</t>
  </si>
  <si>
    <t>710180</t>
  </si>
  <si>
    <t>710190</t>
  </si>
  <si>
    <t>TLFEE</t>
  </si>
  <si>
    <t>TLCST</t>
  </si>
  <si>
    <t>TLOTHR</t>
  </si>
  <si>
    <t>910200</t>
  </si>
  <si>
    <t>RESATHOTEL</t>
  </si>
  <si>
    <t>910220</t>
  </si>
  <si>
    <t>910230</t>
  </si>
  <si>
    <t>910240</t>
  </si>
  <si>
    <t>910250</t>
  </si>
  <si>
    <t>TLNETRES</t>
  </si>
  <si>
    <t>D_RESV_CON</t>
  </si>
  <si>
    <t>910200,BLANKROW,DEP(TLNETRES),TLNETRES</t>
  </si>
  <si>
    <t>RESVEXP</t>
  </si>
  <si>
    <t>RESVSTAT</t>
  </si>
  <si>
    <t>OTHRESV</t>
  </si>
  <si>
    <t>Reservations Operating Expenses</t>
  </si>
  <si>
    <t>Total Reservations Expense</t>
  </si>
  <si>
    <t>ACCOUNT.ID=710000</t>
  </si>
  <si>
    <t>CRS Fee Per Call</t>
  </si>
  <si>
    <t>Net Booking Fee Per Reservation</t>
  </si>
  <si>
    <t>Kimpton Fee Per Available Room</t>
  </si>
  <si>
    <t>GDS Cost Per Reservation</t>
  </si>
  <si>
    <t>Hotel Website Fee Per Reservation</t>
  </si>
  <si>
    <t>E-Channel Fee Per Reservation</t>
  </si>
  <si>
    <t>Total Res. Exp. Per Reservation</t>
  </si>
  <si>
    <t>Payroll Cost Per Total Net Reservation</t>
  </si>
  <si>
    <t>Total Cost Per Net Reservation</t>
  </si>
  <si>
    <t>D1120</t>
  </si>
  <si>
    <t>CURRENT</t>
  </si>
  <si>
    <t>DEP(TLFEE),TLFEE,DEP(TLOTHR),TLOTHR,710000</t>
  </si>
  <si>
    <t>S_TRMSLD</t>
  </si>
  <si>
    <t>D_REST_OUTLET</t>
  </si>
  <si>
    <t>FOOD</t>
  </si>
  <si>
    <t>461100</t>
  </si>
  <si>
    <t>462100</t>
  </si>
  <si>
    <t>463100</t>
  </si>
  <si>
    <t>464100</t>
  </si>
  <si>
    <t>465100</t>
  </si>
  <si>
    <t>REV_F</t>
  </si>
  <si>
    <t>BEV</t>
  </si>
  <si>
    <t>BEV_B</t>
  </si>
  <si>
    <t>BEV_L</t>
  </si>
  <si>
    <t>BEV_D</t>
  </si>
  <si>
    <t>BEV_BAR</t>
  </si>
  <si>
    <t>BEV_PD</t>
  </si>
  <si>
    <t>REV_BEV</t>
  </si>
  <si>
    <t>REV_FB</t>
  </si>
  <si>
    <t>468300</t>
  </si>
  <si>
    <t>468350</t>
  </si>
  <si>
    <t>468550</t>
  </si>
  <si>
    <t>REV_OTHR</t>
  </si>
  <si>
    <t>Filter</t>
  </si>
  <si>
    <t>OTHR_REV</t>
  </si>
  <si>
    <t>400000</t>
  </si>
  <si>
    <t>COS</t>
  </si>
  <si>
    <t>REV_SVCCHG</t>
  </si>
  <si>
    <t>REV_MISC_OTHR</t>
  </si>
  <si>
    <t>COSFB</t>
  </si>
  <si>
    <t>561100</t>
  </si>
  <si>
    <t>COS_FB</t>
  </si>
  <si>
    <t>COSOTH</t>
  </si>
  <si>
    <t>COS_OTHR</t>
  </si>
  <si>
    <t>500001</t>
  </si>
  <si>
    <t>RETAIN(NONMGMT)</t>
  </si>
  <si>
    <t>SALY_MGMT,NONMGMT,DEP(HRLY_NONMGMT),600001,DEP(PAY_OTHER),PAYSUB1,PAYRLTD,DEP(PAY_RELATED),PAY_RELATED,600000</t>
  </si>
  <si>
    <t>KPI_GP</t>
  </si>
  <si>
    <t>NOEXPAND</t>
  </si>
  <si>
    <t>461200</t>
  </si>
  <si>
    <t>461300</t>
  </si>
  <si>
    <t>461400</t>
  </si>
  <si>
    <t>946100</t>
  </si>
  <si>
    <t>946200</t>
  </si>
  <si>
    <t>946300</t>
  </si>
  <si>
    <t>946400</t>
  </si>
  <si>
    <t>462200</t>
  </si>
  <si>
    <t>463200</t>
  </si>
  <si>
    <t>462400</t>
  </si>
  <si>
    <t>463400</t>
  </si>
  <si>
    <t>462300</t>
  </si>
  <si>
    <t>463300</t>
  </si>
  <si>
    <t>Bar</t>
  </si>
  <si>
    <t>464200</t>
  </si>
  <si>
    <t>464400</t>
  </si>
  <si>
    <t>464300</t>
  </si>
  <si>
    <t>KPI_AC</t>
  </si>
  <si>
    <t>Breakfast</t>
  </si>
  <si>
    <t>KPI_BAC</t>
  </si>
  <si>
    <t>Lunch</t>
  </si>
  <si>
    <t>KPI_LAC</t>
  </si>
  <si>
    <t>Dinner</t>
  </si>
  <si>
    <t>KPI_DAC</t>
  </si>
  <si>
    <t>KPI_B</t>
  </si>
  <si>
    <t>KPI_L</t>
  </si>
  <si>
    <t>KPI_D</t>
  </si>
  <si>
    <t>465200</t>
  </si>
  <si>
    <t>465400</t>
  </si>
  <si>
    <t>465300</t>
  </si>
  <si>
    <t>Private Dining</t>
  </si>
  <si>
    <t>KPI_PDAC</t>
  </si>
  <si>
    <t>946500</t>
  </si>
  <si>
    <t>KPI_BAR</t>
  </si>
  <si>
    <t>KPI_BARAC</t>
  </si>
  <si>
    <t>REV_PD</t>
  </si>
  <si>
    <t>Revenue Mix, Average Check, Covers</t>
  </si>
  <si>
    <t>946000</t>
  </si>
  <si>
    <t>HWHRLY_FBKIT</t>
  </si>
  <si>
    <t>HWHRLY_FBVEN</t>
  </si>
  <si>
    <t>Covers/ Labor Hour</t>
  </si>
  <si>
    <t>F&amp;B Kitchen</t>
  </si>
  <si>
    <t>F&amp;B Venues</t>
  </si>
  <si>
    <t>Liquor</t>
  </si>
  <si>
    <t>Wine</t>
  </si>
  <si>
    <t>Beer</t>
  </si>
  <si>
    <t>KPI_CL</t>
  </si>
  <si>
    <t>KPI_CW</t>
  </si>
  <si>
    <t>KPI_CB</t>
  </si>
  <si>
    <t>Beverage Revenue Mix</t>
  </si>
  <si>
    <t>(Revenue mix expressed as % of F&amp;B Revenue)</t>
  </si>
  <si>
    <t>Average Check - Verify</t>
  </si>
  <si>
    <t>D_RS_CON</t>
  </si>
  <si>
    <t>D_BCC_CON</t>
  </si>
  <si>
    <t>Totals</t>
  </si>
  <si>
    <t>D1149</t>
  </si>
  <si>
    <t>467100</t>
  </si>
  <si>
    <t>467200</t>
  </si>
  <si>
    <t>467300</t>
  </si>
  <si>
    <t>567100</t>
  </si>
  <si>
    <t>567200</t>
  </si>
  <si>
    <t>567300</t>
  </si>
  <si>
    <t>Food &amp; Beverage</t>
  </si>
  <si>
    <t>EXPANSION 2</t>
  </si>
  <si>
    <t>D_REST_CON</t>
  </si>
  <si>
    <t>D_REST_OUTLET,D_RS_CON,D_BCC_CON,D1149,D_REST_CON</t>
  </si>
  <si>
    <t>REV_F,|REV_BEV</t>
  </si>
  <si>
    <t>Static</t>
  </si>
  <si>
    <t>Mini Bar</t>
  </si>
  <si>
    <t>REV_MBFB</t>
  </si>
  <si>
    <t>GL</t>
  </si>
  <si>
    <t>D_TELCOM</t>
  </si>
  <si>
    <t>D1132</t>
  </si>
  <si>
    <t>420300</t>
  </si>
  <si>
    <t>REV_SKIN</t>
  </si>
  <si>
    <t>REV_HAIR</t>
  </si>
  <si>
    <t>REV_NAIL</t>
  </si>
  <si>
    <t>REV_FITNES</t>
  </si>
  <si>
    <t>420350</t>
  </si>
  <si>
    <t>REV_MEMBR</t>
  </si>
  <si>
    <t>REV_SPARET</t>
  </si>
  <si>
    <t>420700</t>
  </si>
  <si>
    <t>420990</t>
  </si>
  <si>
    <t>520600</t>
  </si>
  <si>
    <t>520650</t>
  </si>
  <si>
    <t>COS_SPARET</t>
  </si>
  <si>
    <t>D1133</t>
  </si>
  <si>
    <t>430100</t>
  </si>
  <si>
    <t>REV_VALPRK</t>
  </si>
  <si>
    <t>430300</t>
  </si>
  <si>
    <t>430990</t>
  </si>
  <si>
    <t>530100</t>
  </si>
  <si>
    <t>D1136</t>
  </si>
  <si>
    <t>440100</t>
  </si>
  <si>
    <t>440200</t>
  </si>
  <si>
    <t>440300</t>
  </si>
  <si>
    <t>440400</t>
  </si>
  <si>
    <t>440500</t>
  </si>
  <si>
    <t>440600</t>
  </si>
  <si>
    <t>440700</t>
  </si>
  <si>
    <t>440800</t>
  </si>
  <si>
    <t>440900</t>
  </si>
  <si>
    <t>440990</t>
  </si>
  <si>
    <t>540100</t>
  </si>
  <si>
    <t>540200</t>
  </si>
  <si>
    <t>540300</t>
  </si>
  <si>
    <t>540400</t>
  </si>
  <si>
    <t>540500</t>
  </si>
  <si>
    <t>540600</t>
  </si>
  <si>
    <t>540700</t>
  </si>
  <si>
    <t>540800</t>
  </si>
  <si>
    <t>540900</t>
  </si>
  <si>
    <t>D2149</t>
  </si>
  <si>
    <t>469100</t>
  </si>
  <si>
    <t>469200</t>
  </si>
  <si>
    <t>469300</t>
  </si>
  <si>
    <t>469400</t>
  </si>
  <si>
    <t>469500</t>
  </si>
  <si>
    <t>469600</t>
  </si>
  <si>
    <t>469700</t>
  </si>
  <si>
    <t>469800</t>
  </si>
  <si>
    <t>569100</t>
  </si>
  <si>
    <t>569200</t>
  </si>
  <si>
    <t>569300</t>
  </si>
  <si>
    <t>569400</t>
  </si>
  <si>
    <t>569500</t>
  </si>
  <si>
    <t>569600</t>
  </si>
  <si>
    <t>569700</t>
  </si>
  <si>
    <t>569800</t>
  </si>
  <si>
    <t>D1138</t>
  </si>
  <si>
    <t>410000</t>
  </si>
  <si>
    <t>450100</t>
  </si>
  <si>
    <t>450150</t>
  </si>
  <si>
    <t>450200</t>
  </si>
  <si>
    <t>450250</t>
  </si>
  <si>
    <t>450300</t>
  </si>
  <si>
    <t>450350</t>
  </si>
  <si>
    <t>450400</t>
  </si>
  <si>
    <t>450450</t>
  </si>
  <si>
    <t>450500</t>
  </si>
  <si>
    <t>450550</t>
  </si>
  <si>
    <t>450600</t>
  </si>
  <si>
    <t>450650</t>
  </si>
  <si>
    <t>510000</t>
  </si>
  <si>
    <t>550100</t>
  </si>
  <si>
    <t>550150</t>
  </si>
  <si>
    <t>550200</t>
  </si>
  <si>
    <t>550250</t>
  </si>
  <si>
    <t>550300</t>
  </si>
  <si>
    <t>550350</t>
  </si>
  <si>
    <t>550400</t>
  </si>
  <si>
    <t>550450</t>
  </si>
  <si>
    <t>550500</t>
  </si>
  <si>
    <t>550550</t>
  </si>
  <si>
    <t>550600</t>
  </si>
  <si>
    <t>550650</t>
  </si>
  <si>
    <t>Guest Communication</t>
  </si>
  <si>
    <t>Movie</t>
  </si>
  <si>
    <t>Guest Laundry</t>
  </si>
  <si>
    <t>In Room Fax</t>
  </si>
  <si>
    <t>In Room Items</t>
  </si>
  <si>
    <t>Massage</t>
  </si>
  <si>
    <t>Other 1</t>
  </si>
  <si>
    <t>Other 2</t>
  </si>
  <si>
    <t>Other 3</t>
  </si>
  <si>
    <t>Other 4</t>
  </si>
  <si>
    <t>Other 5</t>
  </si>
  <si>
    <t>Other 6</t>
  </si>
  <si>
    <t>Total Department Profit (Loss)</t>
  </si>
  <si>
    <t>D_OTHER_CON</t>
  </si>
  <si>
    <t>DIRECTEXP</t>
  </si>
  <si>
    <t>DEPARTMENT.HLEVEL&lt;&gt;3</t>
  </si>
  <si>
    <t>DEPARTMENT.HLEVEL=3</t>
  </si>
  <si>
    <t>400000|DIRECTEXP|TOTDEPTPL</t>
  </si>
  <si>
    <t>D_TELCOM,D1132,D1133,D1136,D2149,D1138</t>
  </si>
  <si>
    <t>Total Departmental Expenses</t>
  </si>
  <si>
    <t>Total Departmental Revenues</t>
  </si>
  <si>
    <t>Total Departmental Profit</t>
  </si>
  <si>
    <t>D_ROI_CON</t>
  </si>
  <si>
    <t>468990</t>
  </si>
  <si>
    <t>469990</t>
  </si>
  <si>
    <t>450375</t>
  </si>
  <si>
    <t>450380</t>
  </si>
  <si>
    <t>450385</t>
  </si>
  <si>
    <t>450390</t>
  </si>
  <si>
    <t>450395</t>
  </si>
  <si>
    <t>ALLOW_MOP</t>
  </si>
  <si>
    <t>550375</t>
  </si>
  <si>
    <t>550380</t>
  </si>
  <si>
    <t>550385</t>
  </si>
  <si>
    <t>550390</t>
  </si>
  <si>
    <t>550395</t>
  </si>
  <si>
    <t>ALLOW_FB</t>
  </si>
  <si>
    <t>Gym Pass</t>
  </si>
  <si>
    <t>Shared Facilities &amp; Services</t>
  </si>
  <si>
    <t>Retail Kiosk</t>
  </si>
  <si>
    <t>Vending Machines</t>
  </si>
  <si>
    <t>Laundry Machines</t>
  </si>
  <si>
    <t>Occasional F&amp;B</t>
  </si>
  <si>
    <t>EXP</t>
  </si>
  <si>
    <t>ADROCC</t>
  </si>
  <si>
    <t>KPI_OCCUPC</t>
  </si>
  <si>
    <t>Total ADR/ OCC%</t>
  </si>
  <si>
    <t>D_AG_CON</t>
  </si>
  <si>
    <t>D_AGHR</t>
  </si>
  <si>
    <t>D_CON</t>
  </si>
  <si>
    <t>D_IT_CON</t>
  </si>
  <si>
    <t>SYSEXP</t>
  </si>
  <si>
    <t>ITSYS_EXP</t>
  </si>
  <si>
    <t>DEP(ITSYS_EXP)|DEP(700000) AND ID &lt;&gt; ITSYS_EXP AND ID &lt;&gt; 707900</t>
  </si>
  <si>
    <t>COSSRVC</t>
  </si>
  <si>
    <t>DEP(707900)</t>
  </si>
  <si>
    <t>707901</t>
  </si>
  <si>
    <t>707902</t>
  </si>
  <si>
    <t>707903</t>
  </si>
  <si>
    <t>707904</t>
  </si>
  <si>
    <t>707905</t>
  </si>
  <si>
    <t>707900</t>
  </si>
  <si>
    <t>D_SM_CON</t>
  </si>
  <si>
    <t>D_PM_CON</t>
  </si>
  <si>
    <t>D_EC_CON</t>
  </si>
  <si>
    <t>DEP(717000),702600</t>
  </si>
  <si>
    <t>D_MGMT_CON</t>
  </si>
  <si>
    <t>DEP(731000)</t>
  </si>
  <si>
    <t>MGTFEES</t>
  </si>
  <si>
    <t>D_FIXED</t>
  </si>
  <si>
    <t>TOTAL_RENT</t>
  </si>
  <si>
    <t>TOTAL_TAX</t>
  </si>
  <si>
    <t>804100</t>
  </si>
  <si>
    <t>804110</t>
  </si>
  <si>
    <t>804120</t>
  </si>
  <si>
    <t>804000</t>
  </si>
  <si>
    <t>RENT_LB</t>
  </si>
  <si>
    <t>RENT_OTH</t>
  </si>
  <si>
    <t>752100</t>
  </si>
  <si>
    <t>752200</t>
  </si>
  <si>
    <t>752300</t>
  </si>
  <si>
    <t>752400</t>
  </si>
  <si>
    <t>751100</t>
  </si>
  <si>
    <t>751200</t>
  </si>
  <si>
    <t>751300</t>
  </si>
  <si>
    <t>751400</t>
  </si>
  <si>
    <t>751500</t>
  </si>
  <si>
    <t>751000</t>
  </si>
  <si>
    <t>801290</t>
  </si>
  <si>
    <t>801300</t>
  </si>
  <si>
    <t>801360</t>
  </si>
  <si>
    <t>MISC_NONOP</t>
  </si>
  <si>
    <t>801000</t>
  </si>
  <si>
    <t>OTHEXP</t>
  </si>
  <si>
    <t>INCOME</t>
  </si>
  <si>
    <t>OTHR_DESC</t>
  </si>
  <si>
    <t>PROP_OTAX</t>
  </si>
  <si>
    <t>RENT_DESC</t>
  </si>
  <si>
    <t>UTIL</t>
  </si>
  <si>
    <t>DEP(804000),804000,RENT_DESC,DEP(TOTAL_RENT),TOTAL_RENT,PROP_OTAX,DEP(TOTAL_TAX),TOTAL_TAX,INSRC,DEP(751000),751000,OTHR_DESC,DEP(801000),801000</t>
  </si>
  <si>
    <t>INSRC</t>
  </si>
  <si>
    <t>FONT,INDENTLEVEL</t>
  </si>
  <si>
    <t>D1228</t>
  </si>
  <si>
    <t>PAYRLTD</t>
  </si>
  <si>
    <t>799999</t>
  </si>
  <si>
    <t>Total Allocations</t>
  </si>
  <si>
    <t>Cost of House Laundry</t>
  </si>
  <si>
    <t>Total Credits</t>
  </si>
  <si>
    <t>Net Recovery</t>
  </si>
  <si>
    <t>D2259</t>
  </si>
  <si>
    <t>Supplemental Pay</t>
  </si>
  <si>
    <t>Payroll Taxes</t>
  </si>
  <si>
    <t>Employee Benefits</t>
  </si>
  <si>
    <t>D_ALLOC_CON</t>
  </si>
  <si>
    <t>DEPEXP</t>
  </si>
  <si>
    <t>UNDEXP</t>
  </si>
  <si>
    <t>D_UNALLOC_CON</t>
  </si>
  <si>
    <t>KPI_GOP</t>
  </si>
  <si>
    <t>D_PROP</t>
  </si>
  <si>
    <t xml:space="preserve">  </t>
  </si>
  <si>
    <t>EBITDA</t>
  </si>
  <si>
    <t>801100</t>
  </si>
  <si>
    <t>801400</t>
  </si>
  <si>
    <t>801900</t>
  </si>
  <si>
    <t>INCBEFNON</t>
  </si>
  <si>
    <t>NONOPP</t>
  </si>
  <si>
    <t>INTDEPAMT</t>
  </si>
  <si>
    <t>INCBEFTAX</t>
  </si>
  <si>
    <t>803000</t>
  </si>
  <si>
    <t>NETINCOME</t>
  </si>
  <si>
    <t>992200</t>
  </si>
  <si>
    <t>EBITDA: Less Replacement Reserve</t>
  </si>
  <si>
    <t>KPI_REVPAR</t>
  </si>
  <si>
    <t>D_Const_and_Reno</t>
  </si>
  <si>
    <t>NetIncome</t>
  </si>
  <si>
    <t>Total Other - Reported</t>
  </si>
  <si>
    <t>Other</t>
  </si>
  <si>
    <t>("Other" manual recalculation due to Construction and Reno departments impact.  Kimpton rolls the net affect into "Pre-Opening Expense", under Other.</t>
  </si>
  <si>
    <t>Total Other - recalcualted</t>
  </si>
  <si>
    <t>("Other" manual recalculation due to Construction and Reno departments impact)</t>
  </si>
  <si>
    <t>FRAME</t>
  </si>
  <si>
    <t>dept profit</t>
  </si>
  <si>
    <t>789110</t>
  </si>
  <si>
    <t>789115</t>
  </si>
  <si>
    <t>DEP(ALLOC_OUT)</t>
  </si>
  <si>
    <t>Allocations</t>
  </si>
  <si>
    <t>Credits</t>
  </si>
  <si>
    <t>ActualFlag</t>
  </si>
  <si>
    <t>TIMEID</t>
  </si>
  <si>
    <t>MONTH</t>
  </si>
  <si>
    <t>PERIOD</t>
  </si>
  <si>
    <t>MEASURE</t>
  </si>
  <si>
    <t>ForecastYear</t>
  </si>
  <si>
    <t>JAN</t>
  </si>
  <si>
    <t>FEB</t>
  </si>
  <si>
    <t>MAR</t>
  </si>
  <si>
    <t>APR</t>
  </si>
  <si>
    <t>MAY</t>
  </si>
  <si>
    <t>JUN</t>
  </si>
  <si>
    <t>JUL</t>
  </si>
  <si>
    <t>AUG</t>
  </si>
  <si>
    <t>SEP</t>
  </si>
  <si>
    <t>OCT</t>
  </si>
  <si>
    <t>NOV</t>
  </si>
  <si>
    <t>DEC</t>
  </si>
  <si>
    <t>P01</t>
  </si>
  <si>
    <t>P02</t>
  </si>
  <si>
    <t>P03</t>
  </si>
  <si>
    <t>P04</t>
  </si>
  <si>
    <t>P05</t>
  </si>
  <si>
    <t>P06</t>
  </si>
  <si>
    <t>P07</t>
  </si>
  <si>
    <t>P08</t>
  </si>
  <si>
    <t>P09</t>
  </si>
  <si>
    <t>P10</t>
  </si>
  <si>
    <t>P11</t>
  </si>
  <si>
    <t>P12</t>
  </si>
  <si>
    <t>Monthly Data Columns</t>
  </si>
  <si>
    <t>&lt;=== Select Time (Year)</t>
  </si>
  <si>
    <t>Comparison 1 Column</t>
  </si>
  <si>
    <t>Comparison 2 Column</t>
  </si>
  <si>
    <t>VARIANCE</t>
  </si>
  <si>
    <t>Trailing 12 Option</t>
  </si>
  <si>
    <t>1.  Check the box</t>
  </si>
  <si>
    <t>3.  Expand All</t>
  </si>
  <si>
    <t>2.  Select ending month of the trailing 12 period</t>
  </si>
  <si>
    <t>COS_BEV</t>
  </si>
  <si>
    <t>568300</t>
  </si>
  <si>
    <t>568350</t>
  </si>
  <si>
    <t>COS_MISC</t>
  </si>
  <si>
    <t>455100</t>
  </si>
  <si>
    <t>455200</t>
  </si>
  <si>
    <t>455250</t>
  </si>
  <si>
    <t>455300</t>
  </si>
  <si>
    <t>455400</t>
  </si>
  <si>
    <t>455500</t>
  </si>
  <si>
    <t>455510</t>
  </si>
  <si>
    <t>455550</t>
  </si>
  <si>
    <t>455560</t>
  </si>
  <si>
    <t>455565</t>
  </si>
  <si>
    <t>455570</t>
  </si>
  <si>
    <t>455575</t>
  </si>
  <si>
    <t>455580</t>
  </si>
  <si>
    <t>455600</t>
  </si>
  <si>
    <t>455610</t>
  </si>
  <si>
    <t>455650</t>
  </si>
  <si>
    <t>410100</t>
  </si>
  <si>
    <t>410200</t>
  </si>
  <si>
    <t>410300</t>
  </si>
  <si>
    <t>410400</t>
  </si>
  <si>
    <t>410500</t>
  </si>
  <si>
    <t>510100</t>
  </si>
  <si>
    <t>510200</t>
  </si>
  <si>
    <t>510300</t>
  </si>
  <si>
    <t>510400</t>
  </si>
  <si>
    <t>Cost of Staff Dining</t>
  </si>
  <si>
    <t>Net Recovery - Check</t>
  </si>
  <si>
    <t/>
  </si>
  <si>
    <t>1.  Select Business Unit from Current View Action Pane</t>
  </si>
  <si>
    <t>Instructions:</t>
  </si>
  <si>
    <t>Category Glossary</t>
  </si>
  <si>
    <t>Print to PDF Instructions:</t>
  </si>
  <si>
    <t>2.  Select Save As &gt; "PDF or XPS"</t>
  </si>
  <si>
    <t>4.  Set options as shown in screen shot. (recommended options)</t>
  </si>
  <si>
    <t>5.  Select Options button.   You can change options to suit your needs.</t>
  </si>
  <si>
    <t>a.  Page Range:  All</t>
  </si>
  <si>
    <t>b.  Publish what:  Entire workbook (to publish all tabs)</t>
  </si>
  <si>
    <t>c.  Leave remaining default selections</t>
  </si>
  <si>
    <t>3.  Select local disk and folder where you want file saved.  Ensure Save As Type is "PDF"</t>
  </si>
  <si>
    <t>6.  Click "OK"</t>
  </si>
  <si>
    <t>7.  Click "Publish".  PDF will be created in the location you specified</t>
  </si>
  <si>
    <t>&gt;  No longer do we use BPC's ePublish tool for this report</t>
  </si>
  <si>
    <t>ACTUAL_CON</t>
  </si>
  <si>
    <t>ACTUAL</t>
  </si>
  <si>
    <t>HISTORY</t>
  </si>
  <si>
    <t>BUDGET</t>
  </si>
  <si>
    <t>BUD_PROOF</t>
  </si>
  <si>
    <t>JANFORECAST</t>
  </si>
  <si>
    <t>FEBFORECAST</t>
  </si>
  <si>
    <t>MARFORECAST</t>
  </si>
  <si>
    <t>APRFORECAST</t>
  </si>
  <si>
    <t>MAYFORECAST</t>
  </si>
  <si>
    <t>JUNFORECAST</t>
  </si>
  <si>
    <t>JULFORECAST</t>
  </si>
  <si>
    <t>AUGFORECAST</t>
  </si>
  <si>
    <t>SEPFORECAST</t>
  </si>
  <si>
    <t>OCTFORECAST</t>
  </si>
  <si>
    <t>NOVFORECAST</t>
  </si>
  <si>
    <t>DECFORECAST</t>
  </si>
  <si>
    <t>BUDSNAP</t>
  </si>
  <si>
    <t>Rollup of ACTUAL+HISTORY</t>
  </si>
  <si>
    <t>Actual from JDE</t>
  </si>
  <si>
    <t>Pre Kimpton History from JDE</t>
  </si>
  <si>
    <t>Final Budgets (Read only)</t>
  </si>
  <si>
    <t>Forecast (user input)</t>
  </si>
  <si>
    <t>Working Budgets (user input)</t>
  </si>
  <si>
    <t>Forecast Snap (Mar - Dec Forecast + Actual through Feb)</t>
  </si>
  <si>
    <t>Forecast Snap (Apr - Dec Forecast + Actual through Mar)</t>
  </si>
  <si>
    <t>Forecast Snap (May - Dec Forecast + Actual through Apr)</t>
  </si>
  <si>
    <t>Forecast Snap (Jun - Dec Forecast + Actual through May)</t>
  </si>
  <si>
    <t>Forecast Snap (Jul - Dec Forecast + Actual through Jun)</t>
  </si>
  <si>
    <t>Forecast Snap (Aug - Dec Forecast + Actual through Jul)</t>
  </si>
  <si>
    <t>Forecast Snap (Sep - Dec Forecast + Actual through Aug)</t>
  </si>
  <si>
    <t>Forecast Snap (Oct - Dec Forecast + Actual through Sep)</t>
  </si>
  <si>
    <t>Forecast Snap (Feb - Dec Forecast + Jan Actual)</t>
  </si>
  <si>
    <t>1.  Click Excel Office Button, upper left corner</t>
  </si>
  <si>
    <t>Forecast Snap (Nov - Dec Forecast + Actual through Oct)</t>
  </si>
  <si>
    <t>Forecast Snap (Dec Forecast + Actual through Nov)</t>
  </si>
  <si>
    <t>Forecast Snap captured for budget comparisons</t>
  </si>
  <si>
    <t>OR Active Sheets (to publish sheets you have selected)</t>
  </si>
  <si>
    <t>a.  The category and time for each set of data columns are independent and driven by user selection</t>
  </si>
  <si>
    <t>c.  Double-click the blue shaded cells to see the various data choices and comparisons</t>
  </si>
  <si>
    <t>e.  See Category Glossary for additional information</t>
  </si>
  <si>
    <t>b.  To expand/update a single tab, right mouse click, select EVDRE: Expand &amp; Refresh &gt; Active Sheet</t>
  </si>
  <si>
    <t>Forecast Snap (Jan - Dec Forecast, no Actual)</t>
  </si>
  <si>
    <t>D2140</t>
  </si>
  <si>
    <t>D2141</t>
  </si>
  <si>
    <t>XXXX.INP</t>
  </si>
  <si>
    <t>A_NONE</t>
  </si>
  <si>
    <t>Non_InterCo</t>
  </si>
  <si>
    <t>INPUT</t>
  </si>
  <si>
    <t>&lt;=== Venue Name (unique comment)</t>
  </si>
  <si>
    <t>D2142</t>
  </si>
  <si>
    <t>D2145</t>
  </si>
  <si>
    <t>D2146</t>
  </si>
  <si>
    <t>SALY_MGMT|DEP(HRLY_NONMGMT),600001,DEP(PAY_OTHER),PAYSUB1,PAYRLTD,DEP(PAY_RELATED),PAY_RELATED,600000|DEP(700000)</t>
  </si>
  <si>
    <t>use EVGTS here?</t>
  </si>
  <si>
    <t>DEP(SALY_MGMT)|DEP(HRLY_NONMGMT) ,600001,DEP(PAY_OTHER),PAYSUB1,PAYRLTD,DEP(PAY_RELATED),PAY_RELATED,600000|DEP(700000)</t>
  </si>
  <si>
    <t>D_AG_CON|D_AG_CON|D_AGHotRest</t>
  </si>
  <si>
    <t>use EVFTS here?</t>
  </si>
  <si>
    <t>use EVGTS?</t>
  </si>
  <si>
    <t>DEP(PAY_TAXES),PAY_TAXES|DEP(SUP_PAY),SUP_PAY|DEP(EMP_BEN),EMP_BEN|PAY_RELATED</t>
  </si>
  <si>
    <t>% expressed as % of Occupied Rooms</t>
  </si>
  <si>
    <t>ADR</t>
  </si>
  <si>
    <t>OCC%</t>
  </si>
  <si>
    <t>561100|SALY_MGMT|DEP(HRLY_NONMGMT) AND D2259=Y,600001,DEP(PAY_OTHER) AND D2259=Y,PAYSUB1,PAYRLTD,DEP(PAY_RELATED),PAY_RELATED,600000|DEP(700000) AND D2259 = Y</t>
  </si>
  <si>
    <t>SALY_MGMT|DEP(HRLY_NONMGMT) AND D1228=Y,600001,DEP(PAY_OTHER) AND D1228=Y,PAYSUB1,PAYRLTD,DEP(PAY_RELATED),PAY_RELATED,600000|DEP(700000) AND D1228 = Y AND ID &lt;&gt; LNDY_CR</t>
  </si>
  <si>
    <t>Variance</t>
  </si>
  <si>
    <t>Rev / Cost POR</t>
  </si>
  <si>
    <t>D_ROOMS</t>
  </si>
  <si>
    <t>Points</t>
  </si>
  <si>
    <t>Rev / Cost per Customer</t>
  </si>
  <si>
    <t xml:space="preserve"> Cost PAR</t>
  </si>
  <si>
    <t>(% chg)</t>
  </si>
  <si>
    <t>Flow Through</t>
  </si>
  <si>
    <t>561300</t>
  </si>
  <si>
    <t>FDCOS_PCT</t>
  </si>
  <si>
    <t>BEVCOS_PCT</t>
  </si>
  <si>
    <t>LCOS_PCT</t>
  </si>
  <si>
    <t>BCOS_PCT</t>
  </si>
  <si>
    <t>WCOS_PCT</t>
  </si>
  <si>
    <t>Mini Bar Cost %</t>
  </si>
  <si>
    <t>Total F&amp;B Cost %</t>
  </si>
  <si>
    <t>947100</t>
  </si>
  <si>
    <t>947200</t>
  </si>
  <si>
    <t>947300</t>
  </si>
  <si>
    <t>947400</t>
  </si>
  <si>
    <t>947500</t>
  </si>
  <si>
    <t>Total Cost of Sales - Check</t>
  </si>
  <si>
    <t>OWNER_EXP</t>
  </si>
  <si>
    <t>FCOS_NOMB</t>
  </si>
  <si>
    <t>FCOS_NOMB_PCT</t>
  </si>
  <si>
    <t>MBFCOS_PCT</t>
  </si>
  <si>
    <t>b.  The default selection will always be CURRENT, (current year), BUDGET (current year) and ACTUAL (prior year)</t>
  </si>
  <si>
    <t>HWHRLY_FBBQT</t>
  </si>
  <si>
    <t>Banquet &amp; Conf/Catering</t>
  </si>
  <si>
    <t>2. Select Currency from Current View Action Pane: LC for Local Currency, or USD to convert foreign currency BU's to USD</t>
  </si>
  <si>
    <t>3.  Select Category and Time from selection grid above</t>
  </si>
  <si>
    <t>4.  After making data selections you must "Expand All" to pull in data</t>
  </si>
  <si>
    <t>5.  You may delete Tabs that are not needed for your property, but be sure no data exists before deleting tabs</t>
  </si>
  <si>
    <t>All Data Columns</t>
  </si>
  <si>
    <t>&lt;=== Select Report Currency</t>
  </si>
  <si>
    <t>PSFT GL</t>
  </si>
  <si>
    <t>6.  Click the "+" button above Column N to reveal GL Account numbers</t>
  </si>
  <si>
    <t>&lt;&lt; Double Click</t>
  </si>
  <si>
    <t>a.  You may double click the 'Expand All' cell or use (click) 'Expand All' from the Excel Planning &amp; Consolidation tab</t>
  </si>
  <si>
    <t>801310</t>
  </si>
  <si>
    <t>D2143</t>
  </si>
  <si>
    <t>D2144</t>
  </si>
  <si>
    <t>470110</t>
  </si>
  <si>
    <t>471110</t>
  </si>
  <si>
    <t>BEV_RC</t>
  </si>
  <si>
    <t>Use ALT as BUD or FCST</t>
  </si>
  <si>
    <t>&lt;=== Select ALT Use</t>
  </si>
  <si>
    <t>i. When choosing an ALT scenario, it must be defined as BUD or FCST purposes in cell D8</t>
  </si>
  <si>
    <t>Alternate Scenario for budget/forecast</t>
  </si>
  <si>
    <t>ALT1</t>
  </si>
  <si>
    <t>ALT2</t>
  </si>
  <si>
    <t>ALT3</t>
  </si>
  <si>
    <t>ALT4</t>
  </si>
  <si>
    <t>Alt Scenario Cat</t>
  </si>
  <si>
    <t>801315</t>
  </si>
  <si>
    <t>Group vs Local Revenue Ratios [Expand for all Revenue accounts]</t>
  </si>
  <si>
    <t>Group BCC %</t>
  </si>
  <si>
    <t>Local BCC %</t>
  </si>
  <si>
    <t>D2248</t>
  </si>
  <si>
    <t>D2348</t>
  </si>
  <si>
    <t>Reception</t>
  </si>
  <si>
    <t>471210</t>
  </si>
  <si>
    <t>471310</t>
  </si>
  <si>
    <t>471410</t>
  </si>
  <si>
    <t>REV_RC</t>
  </si>
  <si>
    <t>946700</t>
  </si>
  <si>
    <t>KPI_RCAC</t>
  </si>
  <si>
    <t>Break</t>
  </si>
  <si>
    <t>REV_CB</t>
  </si>
  <si>
    <t>946600</t>
  </si>
  <si>
    <t>KPI_CBAC</t>
  </si>
  <si>
    <t>947600</t>
  </si>
  <si>
    <t>KPI_REVSQFT</t>
  </si>
  <si>
    <t>Food &amp; Beverage Revenue per Occupied Group Rooms</t>
  </si>
  <si>
    <t>Removed COS Section</t>
  </si>
  <si>
    <t>Removed Labor Section</t>
  </si>
  <si>
    <t>Removed Op and Oth Exp Section</t>
  </si>
  <si>
    <t>FCST</t>
  </si>
  <si>
    <t>752500</t>
  </si>
  <si>
    <r>
      <rPr>
        <b/>
        <sz val="10"/>
        <color rgb="FFFF0000"/>
        <rFont val="Calibri"/>
        <family val="2"/>
        <scheme val="minor"/>
      </rPr>
      <t>COVID-19 DISCLAIMER</t>
    </r>
    <r>
      <rPr>
        <b/>
        <sz val="10"/>
        <rFont val="Calibri"/>
        <family val="2"/>
        <scheme val="minor"/>
      </rPr>
      <t xml:space="preserve">: </t>
    </r>
    <r>
      <rPr>
        <sz val="10"/>
        <rFont val="Calibri"/>
        <family val="2"/>
        <scheme val="minor"/>
      </rPr>
      <t xml:space="preserve"> Demand in the hospitality industry continues to be negatively affected by the COVID 19 pandemic and national, state and municipal responses thereto (collectively, the “Pandemic”).   The budget and related information and projections are based on uncertain predictions of when and at what rate travel and hotel bookings will stabilize.  The hotel’s market may continue to be negatively affected by the Pandemic in a manner not reflected in the budget and related information. Various data sources used by operator to forecast results continue to be unavailable or unreliable given the increased volatility from the Pandemic. Under these conditions, Kimpton Hotel &amp; Restaurant Group, LLC and its affiliates (“KHRG”) does not have dependable economic data on which to rely and KHRG is not engaged as an economist for Owner. The Pandemic continues to be an event of force majeure that may affect the hotel’s operations in 2022.  Accordingly, Owner acknowledges that the financial projections and conclusions contained in this document are based in whole or in part on estimates and/or assumptions that are inherently uncertain and unreliable. No warranty or guaranty, either express or implied, is made as to the accuracy, completeness, reliability or reasonableness of any of the information contained herein, or as to any conclusions which may be made based thereon. Neither KHRG nor any company, director, officer or employee of KHRG or its affiliates shall have any liability for any loss or damage connected in any way with the use of or reliance on the information provided, including without limitation, under the hotel operating / management agreement between KHRG and Owner. No reference to the information provided may be published in any document or communicated to third parties, without KHRG’s prior written consent. In the event Owner provides this information to its lender, investors, partners, shareholders, etc., we require that at all times the disclaimer included on the attached remains fully intact.</t>
    </r>
  </si>
  <si>
    <t>D_AGHotRest</t>
  </si>
  <si>
    <t>701100</t>
  </si>
  <si>
    <t>701200</t>
  </si>
  <si>
    <t>701400</t>
  </si>
  <si>
    <t>701500</t>
  </si>
  <si>
    <t>702600</t>
  </si>
  <si>
    <t>TRVL_OTHR</t>
  </si>
  <si>
    <t>702900</t>
  </si>
  <si>
    <t>704600</t>
  </si>
  <si>
    <t>704800</t>
  </si>
  <si>
    <t>705000</t>
  </si>
  <si>
    <t>705100</t>
  </si>
  <si>
    <t>705200</t>
  </si>
  <si>
    <t>705500</t>
  </si>
  <si>
    <t>705800</t>
  </si>
  <si>
    <t>706000</t>
  </si>
  <si>
    <t>706100</t>
  </si>
  <si>
    <t>706500</t>
  </si>
  <si>
    <t>HRLY_ACCOT</t>
  </si>
  <si>
    <t>HRLY_HUMRE</t>
  </si>
  <si>
    <t>600001</t>
  </si>
  <si>
    <t>ADD_COMP</t>
  </si>
  <si>
    <t>PAYSUB1</t>
  </si>
  <si>
    <t>PAY_TAXES</t>
  </si>
  <si>
    <t>SUP_PAY</t>
  </si>
  <si>
    <t>EMP_BEN</t>
  </si>
  <si>
    <t>PAY_RELATED</t>
  </si>
  <si>
    <t>SALY_MGMT</t>
  </si>
  <si>
    <t>701300</t>
  </si>
  <si>
    <t>703200</t>
  </si>
  <si>
    <t>703400</t>
  </si>
  <si>
    <t>703500</t>
  </si>
  <si>
    <t>703800</t>
  </si>
  <si>
    <t>HRLY_FBBQT</t>
  </si>
  <si>
    <t>HRLY_FBVEN</t>
  </si>
  <si>
    <t>SVC_DIST</t>
  </si>
  <si>
    <t>CON_LABOR</t>
  </si>
  <si>
    <t>717100</t>
  </si>
  <si>
    <t>717200</t>
  </si>
  <si>
    <t>WS_EXP</t>
  </si>
  <si>
    <t>701600</t>
  </si>
  <si>
    <t>701700</t>
  </si>
  <si>
    <t>701780</t>
  </si>
  <si>
    <t>702000</t>
  </si>
  <si>
    <t>702300</t>
  </si>
  <si>
    <t>702580</t>
  </si>
  <si>
    <t>703000</t>
  </si>
  <si>
    <t>703100</t>
  </si>
  <si>
    <t>703300</t>
  </si>
  <si>
    <t>703510</t>
  </si>
  <si>
    <t>703600</t>
  </si>
  <si>
    <t>703700</t>
  </si>
  <si>
    <t>704100</t>
  </si>
  <si>
    <t>HRLY_FBKIT</t>
  </si>
  <si>
    <t>SALY_FBSVC</t>
  </si>
  <si>
    <t>SALY_FBKIT</t>
  </si>
  <si>
    <t>706700</t>
  </si>
  <si>
    <t>706800</t>
  </si>
  <si>
    <t>706900</t>
  </si>
  <si>
    <t>706060</t>
  </si>
  <si>
    <t>707010</t>
  </si>
  <si>
    <t>707150</t>
  </si>
  <si>
    <t>707310</t>
  </si>
  <si>
    <t>707450</t>
  </si>
  <si>
    <t>707610</t>
  </si>
  <si>
    <t>707650</t>
  </si>
  <si>
    <t>731010</t>
  </si>
  <si>
    <t>801314</t>
  </si>
  <si>
    <t>715100</t>
  </si>
  <si>
    <t>715200</t>
  </si>
  <si>
    <t>715300</t>
  </si>
  <si>
    <t>POM_FE</t>
  </si>
  <si>
    <t>715600</t>
  </si>
  <si>
    <t>715700</t>
  </si>
  <si>
    <t>715800</t>
  </si>
  <si>
    <t>715900</t>
  </si>
  <si>
    <t>716000</t>
  </si>
  <si>
    <t>716100</t>
  </si>
  <si>
    <t>716200</t>
  </si>
  <si>
    <t>716300</t>
  </si>
  <si>
    <t>716400</t>
  </si>
  <si>
    <t>716450</t>
  </si>
  <si>
    <t>716500</t>
  </si>
  <si>
    <t>HRLY_POM</t>
  </si>
  <si>
    <t>693040</t>
  </si>
  <si>
    <t>CONTSP</t>
  </si>
  <si>
    <t>693160</t>
  </si>
  <si>
    <t>693200</t>
  </si>
  <si>
    <t>693280</t>
  </si>
  <si>
    <t>HEAINS</t>
  </si>
  <si>
    <t>693360</t>
  </si>
  <si>
    <t>MEALS</t>
  </si>
  <si>
    <t>693480</t>
  </si>
  <si>
    <t>WC_EXP</t>
  </si>
  <si>
    <t>692100</t>
  </si>
  <si>
    <t>692200</t>
  </si>
  <si>
    <t>692300</t>
  </si>
  <si>
    <t>WELL_PAY</t>
  </si>
  <si>
    <t>692500</t>
  </si>
  <si>
    <t>VAC_PAY</t>
  </si>
  <si>
    <t>NATLMED</t>
  </si>
  <si>
    <t>NATLRET</t>
  </si>
  <si>
    <t>NATLUNE</t>
  </si>
  <si>
    <t>STATUNE</t>
  </si>
  <si>
    <t>701800</t>
  </si>
  <si>
    <t>702500</t>
  </si>
  <si>
    <t>703010</t>
  </si>
  <si>
    <t>704000</t>
  </si>
  <si>
    <t>704200</t>
  </si>
  <si>
    <t>704300</t>
  </si>
  <si>
    <t>704400</t>
  </si>
  <si>
    <t>704500</t>
  </si>
  <si>
    <t>HRLY_FRTOF</t>
  </si>
  <si>
    <t>HRLY_HOUSK</t>
  </si>
  <si>
    <t>711100</t>
  </si>
  <si>
    <t>711200</t>
  </si>
  <si>
    <t>711400</t>
  </si>
  <si>
    <t>712100</t>
  </si>
  <si>
    <t>712400</t>
  </si>
  <si>
    <t>712600</t>
  </si>
  <si>
    <t>712800</t>
  </si>
  <si>
    <t>712900</t>
  </si>
  <si>
    <t>713000</t>
  </si>
  <si>
    <t>713100</t>
  </si>
  <si>
    <t>HRLY_SALES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</si>
</sst>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0.0%"/>
    <numFmt numFmtId="165" formatCode="_(* #,##0_);_(* \(#,##0\);_(* &quot;-&quot;??_);_(@_)"/>
    <numFmt numFmtId="166" formatCode="#,##0.0000_);\(#,##0.0000\)"/>
  </numFmts>
  <fonts count="30"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b/>
      <sz val="11"/>
      <color theme="1"/>
      <name val="Verdana"/>
      <family val="2"/>
    </font>
    <font>
      <b/>
      <sz val="11"/>
      <name val="Calibri"/>
      <family val="2"/>
      <scheme val="minor"/>
    </font>
    <font>
      <sz val="10"/>
      <name val="Arial"/>
      <family val="2"/>
    </font>
    <font>
      <sz val="11"/>
      <name val="Calibri"/>
      <family val="2"/>
      <scheme val="minor"/>
    </font>
    <font>
      <b/>
      <sz val="11"/>
      <color rgb="FFFF0000"/>
      <name val="Calibri"/>
      <family val="2"/>
      <scheme val="minor"/>
    </font>
    <font>
      <sz val="11"/>
      <color rgb="FFFF0000"/>
      <name val="Calibri"/>
      <family val="2"/>
      <scheme val="minor"/>
    </font>
    <font>
      <b/>
      <sz val="9"/>
      <color indexed="81"/>
      <name val="Tahoma"/>
      <family val="2"/>
    </font>
    <font>
      <b/>
      <sz val="11"/>
      <color theme="0"/>
      <name val="Calibri"/>
      <family val="2"/>
      <scheme val="minor"/>
    </font>
    <font>
      <b/>
      <sz val="10"/>
      <name val="Arial"/>
      <family val="2"/>
    </font>
    <font>
      <b/>
      <sz val="11"/>
      <color rgb="FF5F554D"/>
      <name val="Calibri"/>
      <family val="2"/>
      <scheme val="minor"/>
    </font>
    <font>
      <b/>
      <sz val="18"/>
      <color rgb="FF00AEC7"/>
      <name val="Verdana"/>
      <family val="2"/>
    </font>
    <font>
      <sz val="11"/>
      <color rgb="FFC63527"/>
      <name val="Calibri"/>
      <family val="2"/>
      <scheme val="minor"/>
    </font>
    <font>
      <b/>
      <sz val="11"/>
      <color rgb="FFC63527"/>
      <name val="Calibri"/>
      <family val="2"/>
      <scheme val="minor"/>
    </font>
    <font>
      <b/>
      <sz val="14"/>
      <color rgb="FF6E6259"/>
      <name val="Verdana"/>
      <family val="2"/>
    </font>
    <font>
      <b/>
      <sz val="12"/>
      <color rgb="FF6E6259"/>
      <name val="Verdana"/>
      <family val="2"/>
    </font>
    <font>
      <sz val="11"/>
      <color theme="0"/>
      <name val="Calibri"/>
      <family val="2"/>
      <scheme val="minor"/>
    </font>
    <font>
      <b/>
      <sz val="12"/>
      <color theme="1"/>
      <name val="Calibri"/>
      <family val="2"/>
      <scheme val="minor"/>
    </font>
    <font>
      <b/>
      <sz val="11"/>
      <color rgb="FF000000"/>
      <name val="Verdana"/>
      <family val="2"/>
    </font>
    <font>
      <sz val="12"/>
      <color theme="1"/>
      <name val="Calibri"/>
      <family val="2"/>
      <scheme val="minor"/>
    </font>
    <font>
      <b/>
      <u/>
      <sz val="12"/>
      <color theme="1"/>
      <name val="Calibri"/>
      <family val="2"/>
      <scheme val="minor"/>
    </font>
    <font>
      <b/>
      <sz val="16"/>
      <color rgb="FF762A28"/>
      <name val="Calibri"/>
      <family val="2"/>
      <scheme val="minor"/>
    </font>
    <font>
      <b/>
      <sz val="14"/>
      <color theme="1"/>
      <name val="Calibri"/>
      <family val="2"/>
      <scheme val="minor"/>
    </font>
    <font>
      <sz val="8"/>
      <color rgb="FF000000"/>
      <name val="Tahoma"/>
      <family val="2"/>
    </font>
    <font>
      <b/>
      <sz val="10"/>
      <name val="Calibri"/>
      <family val="2"/>
      <scheme val="minor"/>
    </font>
    <font>
      <b/>
      <sz val="10"/>
      <color rgb="FFFF0000"/>
      <name val="Calibri"/>
      <family val="2"/>
      <scheme val="minor"/>
    </font>
    <font>
      <sz val="10"/>
      <name val="Calibri"/>
      <family val="2"/>
      <scheme val="minor"/>
    </font>
  </fonts>
  <fills count="23">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mediumGray">
        <fgColor theme="2" tint="-9.9948118533890809E-2"/>
        <bgColor indexed="65"/>
      </patternFill>
    </fill>
    <fill>
      <patternFill patternType="solid">
        <fgColor rgb="FF00AEC7"/>
        <bgColor indexed="64"/>
      </patternFill>
    </fill>
    <fill>
      <patternFill patternType="solid">
        <fgColor rgb="FFE1FBFF"/>
        <bgColor indexed="64"/>
      </patternFill>
    </fill>
    <fill>
      <patternFill patternType="mediumGray">
        <fgColor rgb="FFDDD9C3"/>
        <bgColor rgb="FFFFFFFF"/>
      </patternFill>
    </fill>
    <fill>
      <patternFill patternType="solid">
        <fgColor rgb="FFFFFFFF"/>
        <bgColor rgb="FF000000"/>
      </patternFill>
    </fill>
    <fill>
      <patternFill patternType="mediumGray">
        <fgColor rgb="FFDBD6D3"/>
        <bgColor indexed="9"/>
      </patternFill>
    </fill>
    <fill>
      <patternFill patternType="mediumGray">
        <fgColor rgb="FFDBD6D3"/>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2"/>
        <bgColor indexed="64"/>
      </patternFill>
    </fill>
  </fills>
  <borders count="96">
    <border>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theme="4" tint="0.59996337778862885"/>
      </left>
      <right style="thin">
        <color theme="4" tint="0.59996337778862885"/>
      </right>
      <top style="thin">
        <color theme="4" tint="0.59996337778862885"/>
      </top>
      <bottom/>
      <diagonal/>
    </border>
    <border>
      <left/>
      <right/>
      <top style="thin">
        <color rgb="FF000000"/>
      </top>
      <bottom/>
      <diagonal/>
    </border>
    <border>
      <left style="thin">
        <color theme="4" tint="0.59996337778862885"/>
      </left>
      <right style="thin">
        <color theme="4" tint="0.59996337778862885"/>
      </right>
      <top style="thin">
        <color rgb="FF000000"/>
      </top>
      <bottom style="thin">
        <color theme="4" tint="0.59996337778862885"/>
      </bottom>
      <diagonal/>
    </border>
    <border>
      <left style="thin">
        <color theme="4" tint="0.59996337778862885"/>
      </left>
      <right style="thin">
        <color theme="4" tint="0.59996337778862885"/>
      </right>
      <top style="thin">
        <color rgb="FF000000"/>
      </top>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bottom/>
      <diagonal/>
    </border>
    <border>
      <left style="thin">
        <color theme="4" tint="0.59996337778862885"/>
      </left>
      <right/>
      <top style="thin">
        <color theme="4" tint="0.59996337778862885"/>
      </top>
      <bottom/>
      <diagonal/>
    </border>
    <border>
      <left/>
      <right style="thin">
        <color theme="4" tint="0.59996337778862885"/>
      </right>
      <top style="thin">
        <color theme="4" tint="0.59996337778862885"/>
      </top>
      <bottom/>
      <diagonal/>
    </border>
    <border>
      <left style="thin">
        <color theme="4" tint="0.59996337778862885"/>
      </left>
      <right/>
      <top/>
      <bottom style="thin">
        <color theme="4" tint="0.59996337778862885"/>
      </bottom>
      <diagonal/>
    </border>
    <border>
      <left/>
      <right style="thin">
        <color theme="4" tint="0.59996337778862885"/>
      </right>
      <top/>
      <bottom style="thin">
        <color theme="4" tint="0.59996337778862885"/>
      </bottom>
      <diagonal/>
    </border>
    <border>
      <left/>
      <right/>
      <top style="thin">
        <color theme="4" tint="0.59996337778862885"/>
      </top>
      <bottom/>
      <diagonal/>
    </border>
    <border>
      <left/>
      <right/>
      <top/>
      <bottom style="thin">
        <color theme="4" tint="0.59996337778862885"/>
      </bottom>
      <diagonal/>
    </border>
    <border>
      <left style="thin">
        <color theme="4" tint="0.59996337778862885"/>
      </left>
      <right/>
      <top/>
      <bottom/>
      <diagonal/>
    </border>
    <border>
      <left/>
      <right style="thin">
        <color theme="4" tint="0.59996337778862885"/>
      </right>
      <top/>
      <bottom/>
      <diagonal/>
    </border>
    <border>
      <left style="thin">
        <color theme="4" tint="0.59996337778862885"/>
      </left>
      <right style="thin">
        <color theme="4" tint="0.59996337778862885"/>
      </right>
      <top style="thin">
        <color indexed="64"/>
      </top>
      <bottom style="double">
        <color indexed="64"/>
      </bottom>
      <diagonal/>
    </border>
    <border>
      <left style="thin">
        <color theme="4" tint="0.59996337778862885"/>
      </left>
      <right style="thin">
        <color theme="4" tint="0.59996337778862885"/>
      </right>
      <top style="thin">
        <color auto="1"/>
      </top>
      <bottom/>
      <diagonal/>
    </border>
    <border>
      <left style="thin">
        <color rgb="FFB8CCE4"/>
      </left>
      <right style="thin">
        <color theme="4" tint="0.59996337778862885"/>
      </right>
      <top style="thin">
        <color rgb="FFB8CCE4"/>
      </top>
      <bottom style="thin">
        <color theme="4" tint="0.59996337778862885"/>
      </bottom>
      <diagonal/>
    </border>
    <border>
      <left style="thin">
        <color theme="4" tint="0.59996337778862885"/>
      </left>
      <right style="thin">
        <color theme="4" tint="0.59996337778862885"/>
      </right>
      <top style="thin">
        <color rgb="FFB8CCE4"/>
      </top>
      <bottom style="thin">
        <color theme="4" tint="0.59996337778862885"/>
      </bottom>
      <diagonal/>
    </border>
    <border>
      <left style="thin">
        <color rgb="FFB8CCE4"/>
      </left>
      <right style="thin">
        <color theme="4" tint="0.59996337778862885"/>
      </right>
      <top style="thin">
        <color rgb="FFB8CCE4"/>
      </top>
      <bottom/>
      <diagonal/>
    </border>
    <border>
      <left style="thin">
        <color theme="4" tint="0.59996337778862885"/>
      </left>
      <right style="thin">
        <color theme="4" tint="0.59996337778862885"/>
      </right>
      <top style="thin">
        <color rgb="FFB8CCE4"/>
      </top>
      <bottom/>
      <diagonal/>
    </border>
    <border>
      <left style="thin">
        <color rgb="FFB8CCE4"/>
      </left>
      <right style="thin">
        <color theme="4" tint="0.59996337778862885"/>
      </right>
      <top/>
      <bottom style="thin">
        <color theme="4" tint="0.59996337778862885"/>
      </bottom>
      <diagonal/>
    </border>
    <border>
      <left style="thin">
        <color rgb="FFB8CCE4"/>
      </left>
      <right style="thin">
        <color theme="4" tint="0.59996337778862885"/>
      </right>
      <top/>
      <bottom/>
      <diagonal/>
    </border>
    <border>
      <left style="thin">
        <color rgb="FFB8CCE4"/>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rgb="FFB8CCE4"/>
      </top>
      <bottom style="thin">
        <color rgb="FFB8CCE4"/>
      </bottom>
      <diagonal/>
    </border>
    <border>
      <left style="thin">
        <color theme="4" tint="0.59996337778862885"/>
      </left>
      <right style="thin">
        <color theme="4" tint="0.59996337778862885"/>
      </right>
      <top style="thin">
        <color indexed="64"/>
      </top>
      <bottom style="thin">
        <color theme="4" tint="0.59996337778862885"/>
      </bottom>
      <diagonal/>
    </border>
    <border>
      <left style="thin">
        <color theme="4" tint="0.59996337778862885"/>
      </left>
      <right style="thin">
        <color theme="4" tint="0.59996337778862885"/>
      </right>
      <top style="thin">
        <color rgb="FF000000"/>
      </top>
      <bottom style="thin">
        <color rgb="FF000000"/>
      </bottom>
      <diagonal/>
    </border>
    <border>
      <left/>
      <right/>
      <top style="thin">
        <color rgb="FF000000"/>
      </top>
      <bottom style="thin">
        <color rgb="FF000000"/>
      </bottom>
      <diagonal/>
    </border>
    <border>
      <left style="thin">
        <color theme="4" tint="0.59996337778862885"/>
      </left>
      <right style="thin">
        <color theme="4" tint="0.59996337778862885"/>
      </right>
      <top style="thin">
        <color rgb="FF000000"/>
      </top>
      <bottom style="thin">
        <color indexed="64"/>
      </bottom>
      <diagonal/>
    </border>
    <border>
      <left style="thin">
        <color theme="4" tint="0.59996337778862885"/>
      </left>
      <right style="thin">
        <color theme="4" tint="0.59996337778862885"/>
      </right>
      <top style="thin">
        <color indexed="64"/>
      </top>
      <bottom style="thin">
        <color indexed="64"/>
      </bottom>
      <diagonal/>
    </border>
    <border>
      <left style="thin">
        <color rgb="FFB8CCE4"/>
      </left>
      <right style="thin">
        <color theme="4" tint="0.59996337778862885"/>
      </right>
      <top style="thin">
        <color rgb="FF000000"/>
      </top>
      <bottom style="thin">
        <color rgb="FF000000"/>
      </bottom>
      <diagonal/>
    </border>
    <border>
      <left style="thin">
        <color theme="4" tint="0.59996337778862885"/>
      </left>
      <right style="thin">
        <color theme="4" tint="0.59996337778862885"/>
      </right>
      <top/>
      <bottom style="thin">
        <color rgb="FF000000"/>
      </bottom>
      <diagonal/>
    </border>
    <border>
      <left style="thin">
        <color rgb="FFB8CCE4"/>
      </left>
      <right style="thin">
        <color theme="4" tint="0.59996337778862885"/>
      </right>
      <top/>
      <bottom style="thin">
        <color rgb="FF000000"/>
      </bottom>
      <diagonal/>
    </border>
    <border>
      <left style="thin">
        <color rgb="FFB8CCE4"/>
      </left>
      <right style="thin">
        <color theme="4" tint="0.59996337778862885"/>
      </right>
      <top/>
      <bottom style="thin">
        <color rgb="FFB8CCE4"/>
      </bottom>
      <diagonal/>
    </border>
    <border>
      <left style="thin">
        <color theme="4" tint="0.59996337778862885"/>
      </left>
      <right style="thin">
        <color theme="4" tint="0.59996337778862885"/>
      </right>
      <top/>
      <bottom style="thin">
        <color rgb="FFB8CCE4"/>
      </bottom>
      <diagonal/>
    </border>
    <border>
      <left style="thin">
        <color rgb="FFB8CCE4"/>
      </left>
      <right style="thin">
        <color theme="4" tint="0.59996337778862885"/>
      </right>
      <top style="thin">
        <color rgb="FF000000"/>
      </top>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theme="4" tint="0.59996337778862885"/>
      </right>
      <top style="thin">
        <color rgb="FFB8CCE4"/>
      </top>
      <bottom style="thin">
        <color theme="4" tint="0.59996337778862885"/>
      </bottom>
      <diagonal/>
    </border>
    <border>
      <left/>
      <right style="thin">
        <color theme="4" tint="0.59996337778862885"/>
      </right>
      <top style="thin">
        <color rgb="FFB8CCE4"/>
      </top>
      <bottom/>
      <diagonal/>
    </border>
    <border>
      <left/>
      <right style="thin">
        <color theme="4" tint="0.59996337778862885"/>
      </right>
      <top style="thin">
        <color rgb="FF000000"/>
      </top>
      <bottom style="thin">
        <color rgb="FF000000"/>
      </bottom>
      <diagonal/>
    </border>
    <border>
      <left/>
      <right style="thin">
        <color theme="4" tint="0.59996337778862885"/>
      </right>
      <top style="thin">
        <color rgb="FFB8CCE4"/>
      </top>
      <bottom style="thin">
        <color rgb="FFB8CCE4"/>
      </bottom>
      <diagonal/>
    </border>
    <border>
      <left/>
      <right style="thin">
        <color theme="4" tint="0.59996337778862885"/>
      </right>
      <top/>
      <bottom style="thin">
        <color rgb="FFB8CCE4"/>
      </bottom>
      <diagonal/>
    </border>
    <border>
      <left/>
      <right/>
      <top/>
      <bottom style="thin">
        <color rgb="FFB8CCE4"/>
      </bottom>
      <diagonal/>
    </border>
    <border>
      <left style="thin">
        <color theme="4" tint="0.59996337778862885"/>
      </left>
      <right style="thin">
        <color rgb="FFB8CCE4"/>
      </right>
      <top style="thin">
        <color rgb="FFB8CCE4"/>
      </top>
      <bottom style="thin">
        <color rgb="FFB8CCE4"/>
      </bottom>
      <diagonal/>
    </border>
    <border>
      <left/>
      <right/>
      <top style="thin">
        <color rgb="FFB8CCE4"/>
      </top>
      <bottom/>
      <diagonal/>
    </border>
    <border>
      <left style="thin">
        <color theme="4" tint="0.59996337778862885"/>
      </left>
      <right style="thin">
        <color rgb="FFB8CCE4"/>
      </right>
      <top/>
      <bottom style="thin">
        <color rgb="FFB8CCE4"/>
      </bottom>
      <diagonal/>
    </border>
    <border>
      <left style="thin">
        <color theme="4" tint="0.59996337778862885"/>
      </left>
      <right style="thin">
        <color rgb="FFB8CCE4"/>
      </right>
      <top style="thin">
        <color rgb="FFB8CCE4"/>
      </top>
      <bottom/>
      <diagonal/>
    </border>
    <border>
      <left style="thin">
        <color theme="4" tint="0.59996337778862885"/>
      </left>
      <right style="thin">
        <color rgb="FFB8CCE4"/>
      </right>
      <top/>
      <bottom/>
      <diagonal/>
    </border>
    <border>
      <left style="thin">
        <color theme="4" tint="0.59996337778862885"/>
      </left>
      <right style="thin">
        <color rgb="FFB8CCE4"/>
      </right>
      <top style="thin">
        <color rgb="FF000000"/>
      </top>
      <bottom style="thin">
        <color rgb="FF000000"/>
      </bottom>
      <diagonal/>
    </border>
    <border>
      <left style="thin">
        <color theme="4" tint="0.59996337778862885"/>
      </left>
      <right style="thin">
        <color rgb="FFB8CCE4"/>
      </right>
      <top style="thin">
        <color rgb="FF000000"/>
      </top>
      <bottom/>
      <diagonal/>
    </border>
    <border>
      <left style="thin">
        <color theme="4" tint="0.59996337778862885"/>
      </left>
      <right style="thin">
        <color rgb="FFB8CCE4"/>
      </right>
      <top style="thin">
        <color rgb="FFB8CCE4"/>
      </top>
      <bottom style="thin">
        <color theme="4" tint="0.59996337778862885"/>
      </bottom>
      <diagonal/>
    </border>
    <border>
      <left style="thin">
        <color theme="4" tint="0.59996337778862885"/>
      </left>
      <right style="thin">
        <color rgb="FFB8CCE4"/>
      </right>
      <top/>
      <bottom style="thin">
        <color theme="4" tint="0.59996337778862885"/>
      </bottom>
      <diagonal/>
    </border>
    <border>
      <left/>
      <right/>
      <top style="thin">
        <color rgb="FFB8CCE4"/>
      </top>
      <bottom style="thin">
        <color rgb="FFB8CCE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rgb="FF000000"/>
      </top>
      <bottom style="double">
        <color indexed="64"/>
      </bottom>
      <diagonal/>
    </border>
    <border>
      <left style="thin">
        <color theme="4" tint="0.59996337778862885"/>
      </left>
      <right style="thin">
        <color rgb="FFB8CCE4"/>
      </right>
      <top style="thin">
        <color rgb="FF000000"/>
      </top>
      <bottom style="thin">
        <color theme="4" tint="0.59996337778862885"/>
      </bottom>
      <diagonal/>
    </border>
    <border>
      <left style="thin">
        <color theme="4" tint="0.59996337778862885"/>
      </left>
      <right style="thin">
        <color rgb="FFB8CCE4"/>
      </right>
      <top style="thin">
        <color indexed="64"/>
      </top>
      <bottom style="thin">
        <color theme="4" tint="0.59996337778862885"/>
      </bottom>
      <diagonal/>
    </border>
    <border>
      <left style="thin">
        <color theme="4" tint="0.59996337778862885"/>
      </left>
      <right style="thin">
        <color rgb="FFB8CCE4"/>
      </right>
      <top style="thin">
        <color indexed="64"/>
      </top>
      <bottom style="thin">
        <color indexed="64"/>
      </bottom>
      <diagonal/>
    </border>
    <border>
      <left style="thin">
        <color theme="4" tint="0.59996337778862885"/>
      </left>
      <right style="thin">
        <color rgb="FFB8CCE4"/>
      </right>
      <top style="thin">
        <color indexed="64"/>
      </top>
      <bottom style="double">
        <color indexed="64"/>
      </bottom>
      <diagonal/>
    </border>
    <border>
      <left style="thin">
        <color theme="4" tint="0.59996337778862885"/>
      </left>
      <right/>
      <top style="thin">
        <color indexed="64"/>
      </top>
      <bottom style="thin">
        <color theme="4" tint="0.59996337778862885"/>
      </bottom>
      <diagonal/>
    </border>
    <border>
      <left/>
      <right style="thin">
        <color theme="4" tint="0.59996337778862885"/>
      </right>
      <top style="thin">
        <color indexed="64"/>
      </top>
      <bottom style="thin">
        <color theme="4" tint="0.59996337778862885"/>
      </bottom>
      <diagonal/>
    </border>
    <border>
      <left style="thin">
        <color theme="4" tint="0.59996337778862885"/>
      </left>
      <right/>
      <top style="thin">
        <color indexed="64"/>
      </top>
      <bottom style="thin">
        <color indexed="64"/>
      </bottom>
      <diagonal/>
    </border>
    <border>
      <left/>
      <right style="thin">
        <color theme="4" tint="0.59996337778862885"/>
      </right>
      <top style="thin">
        <color indexed="64"/>
      </top>
      <bottom style="thin">
        <color indexed="64"/>
      </bottom>
      <diagonal/>
    </border>
    <border>
      <left style="thin">
        <color theme="4" tint="0.59996337778862885"/>
      </left>
      <right/>
      <top style="thin">
        <color indexed="64"/>
      </top>
      <bottom style="double">
        <color indexed="64"/>
      </bottom>
      <diagonal/>
    </border>
    <border>
      <left/>
      <right style="thin">
        <color theme="4" tint="0.59996337778862885"/>
      </right>
      <top style="thin">
        <color indexed="64"/>
      </top>
      <bottom style="double">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double">
        <color indexed="64"/>
      </bottom>
      <diagonal/>
    </border>
    <border>
      <left style="thin">
        <color rgb="FFB8CCE4"/>
      </left>
      <right style="thin">
        <color theme="4" tint="0.59996337778862885"/>
      </right>
      <top style="double">
        <color rgb="FF000000"/>
      </top>
      <bottom style="double">
        <color rgb="FF000000"/>
      </bottom>
      <diagonal/>
    </border>
    <border>
      <left style="thin">
        <color theme="4" tint="0.59996337778862885"/>
      </left>
      <right style="thin">
        <color theme="4" tint="0.59996337778862885"/>
      </right>
      <top style="double">
        <color rgb="FF000000"/>
      </top>
      <bottom style="double">
        <color rgb="FF000000"/>
      </bottom>
      <diagonal/>
    </border>
    <border>
      <left/>
      <right/>
      <top style="double">
        <color rgb="FF000000"/>
      </top>
      <bottom style="double">
        <color rgb="FF000000"/>
      </bottom>
      <diagonal/>
    </border>
    <border>
      <left style="thin">
        <color theme="4" tint="0.59996337778862885"/>
      </left>
      <right style="thin">
        <color rgb="FFB8CCE4"/>
      </right>
      <top style="double">
        <color rgb="FF000000"/>
      </top>
      <bottom style="double">
        <color rgb="FF000000"/>
      </bottom>
      <diagonal/>
    </border>
    <border>
      <left/>
      <right/>
      <top/>
      <bottom style="thin">
        <color rgb="FF000000"/>
      </bottom>
      <diagonal/>
    </border>
    <border>
      <left style="thin">
        <color theme="4" tint="0.59996337778862885"/>
      </left>
      <right style="thin">
        <color theme="4" tint="0.59996337778862885"/>
      </right>
      <top style="thin">
        <color theme="4" tint="0.59996337778862885"/>
      </top>
      <bottom style="thin">
        <color rgb="FF000000"/>
      </bottom>
      <diagonal/>
    </border>
    <border>
      <left style="thin">
        <color theme="4" tint="0.59996337778862885"/>
      </left>
      <right style="thin">
        <color theme="4" tint="0.59996337778862885"/>
      </right>
      <top style="thin">
        <color rgb="FFB8CCE4"/>
      </top>
      <bottom style="thin">
        <color rgb="FF000000"/>
      </bottom>
      <diagonal/>
    </border>
    <border>
      <left style="thin">
        <color theme="4" tint="0.59996337778862885"/>
      </left>
      <right style="thin">
        <color rgb="FFB8CCE4"/>
      </right>
      <top style="thin">
        <color rgb="FFB8CCE4"/>
      </top>
      <bottom style="thin">
        <color rgb="FF000000"/>
      </bottom>
      <diagonal/>
    </border>
  </borders>
  <cellStyleXfs count="10">
    <xf numFmtId="0" fontId="0" fillId="0" borderId="0"/>
    <xf numFmtId="9" fontId="3" fillId="0" borderId="0" applyFont="0" applyFill="0" applyBorder="0" applyAlignment="0" applyProtection="0"/>
    <xf numFmtId="0" fontId="6" fillId="0" borderId="0"/>
    <xf numFmtId="0" fontId="12" fillId="0" borderId="2">
      <alignment horizontal="left" wrapText="1"/>
    </xf>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44" fontId="3" fillId="0" borderId="0" applyFont="0" applyFill="0" applyBorder="0" applyAlignment="0" applyProtection="0"/>
    <xf numFmtId="0" fontId="6" fillId="0" borderId="0"/>
    <xf numFmtId="43" fontId="3" fillId="0" borderId="0" applyFont="0" applyFill="0" applyBorder="0" applyAlignment="0" applyProtection="0"/>
  </cellStyleXfs>
  <cellXfs count="632">
    <xf numFmtId="0" fontId="0" fillId="0" borderId="0" xfId="0"/>
    <xf numFmtId="0" fontId="0" fillId="2" borderId="0" xfId="0" applyFill="1"/>
    <xf numFmtId="0" fontId="0" fillId="2" borderId="0" xfId="0" applyFill="1" applyAlignment="1">
      <alignment horizontal="center"/>
    </xf>
    <xf numFmtId="0" fontId="0" fillId="8" borderId="0" xfId="0" applyFill="1" applyProtection="1">
      <protection locked="0"/>
    </xf>
    <xf numFmtId="0" fontId="7" fillId="9" borderId="0" xfId="0" applyFont="1" applyFill="1" applyProtection="1"/>
    <xf numFmtId="0" fontId="7" fillId="2" borderId="0" xfId="0" applyNumberFormat="1" applyFont="1" applyFill="1" applyProtection="1"/>
    <xf numFmtId="0" fontId="7" fillId="2" borderId="0" xfId="0" applyFont="1" applyFill="1" applyProtection="1"/>
    <xf numFmtId="10" fontId="7" fillId="2" borderId="0" xfId="6" applyNumberFormat="1" applyFont="1" applyFill="1" applyProtection="1"/>
    <xf numFmtId="0" fontId="0" fillId="2" borderId="0" xfId="0" applyFill="1" applyAlignment="1">
      <alignment wrapText="1"/>
    </xf>
    <xf numFmtId="0" fontId="0" fillId="8" borderId="0" xfId="0" applyFill="1" applyProtection="1"/>
    <xf numFmtId="0" fontId="0" fillId="10" borderId="2" xfId="0" applyFill="1" applyBorder="1" applyAlignment="1" applyProtection="1">
      <alignment horizontal="center"/>
    </xf>
    <xf numFmtId="0" fontId="0" fillId="2" borderId="0" xfId="0" applyFill="1" applyProtection="1"/>
    <xf numFmtId="0" fontId="5" fillId="9" borderId="47" xfId="2" applyFont="1" applyFill="1" applyBorder="1" applyAlignment="1" applyProtection="1">
      <alignment horizontal="centerContinuous"/>
    </xf>
    <xf numFmtId="0" fontId="5" fillId="9" borderId="48" xfId="2" applyFont="1" applyFill="1" applyBorder="1" applyAlignment="1" applyProtection="1">
      <alignment horizontal="centerContinuous"/>
    </xf>
    <xf numFmtId="0" fontId="7" fillId="9" borderId="48" xfId="2" applyFont="1" applyFill="1" applyBorder="1" applyAlignment="1" applyProtection="1">
      <alignment horizontal="centerContinuous"/>
    </xf>
    <xf numFmtId="0" fontId="0" fillId="9" borderId="48" xfId="0" applyFill="1" applyBorder="1" applyAlignment="1" applyProtection="1">
      <alignment horizontal="centerContinuous"/>
    </xf>
    <xf numFmtId="0" fontId="0" fillId="9" borderId="49" xfId="0" applyFill="1" applyBorder="1" applyAlignment="1" applyProtection="1">
      <alignment horizontal="centerContinuous"/>
    </xf>
    <xf numFmtId="0" fontId="1" fillId="9" borderId="47" xfId="0" applyFont="1" applyFill="1" applyBorder="1" applyAlignment="1" applyProtection="1">
      <alignment horizontal="centerContinuous"/>
    </xf>
    <xf numFmtId="0" fontId="1" fillId="9" borderId="48" xfId="0" applyFont="1" applyFill="1" applyBorder="1" applyAlignment="1" applyProtection="1">
      <alignment horizontal="centerContinuous"/>
    </xf>
    <xf numFmtId="0" fontId="0" fillId="8" borderId="50" xfId="0" applyFill="1" applyBorder="1" applyProtection="1"/>
    <xf numFmtId="0" fontId="0" fillId="8" borderId="0" xfId="0" applyFill="1" applyBorder="1" applyProtection="1"/>
    <xf numFmtId="0" fontId="5" fillId="8" borderId="0" xfId="2" applyFont="1" applyFill="1" applyBorder="1" applyAlignment="1" applyProtection="1">
      <alignment horizontal="centerContinuous"/>
    </xf>
    <xf numFmtId="0" fontId="6" fillId="8" borderId="0" xfId="2" applyFont="1" applyFill="1" applyBorder="1" applyAlignment="1" applyProtection="1"/>
    <xf numFmtId="0" fontId="0" fillId="8" borderId="51" xfId="0" applyFill="1" applyBorder="1" applyProtection="1"/>
    <xf numFmtId="0" fontId="5" fillId="9" borderId="2" xfId="2" applyFont="1" applyFill="1" applyBorder="1" applyAlignment="1" applyProtection="1">
      <alignment horizontal="center"/>
    </xf>
    <xf numFmtId="0" fontId="0" fillId="8" borderId="50" xfId="0" applyFill="1" applyBorder="1" applyAlignment="1" applyProtection="1"/>
    <xf numFmtId="0" fontId="0" fillId="8" borderId="0" xfId="0" applyFill="1" applyBorder="1" applyAlignment="1" applyProtection="1"/>
    <xf numFmtId="0" fontId="0" fillId="8" borderId="2" xfId="0" applyFill="1" applyBorder="1" applyAlignment="1" applyProtection="1">
      <alignment horizontal="center" vertical="center"/>
    </xf>
    <xf numFmtId="0" fontId="0" fillId="8" borderId="0" xfId="0" applyFill="1" applyBorder="1" applyAlignment="1" applyProtection="1">
      <alignment horizontal="center" vertical="center"/>
    </xf>
    <xf numFmtId="0" fontId="5" fillId="8" borderId="0" xfId="2" applyFont="1" applyFill="1" applyBorder="1" applyAlignment="1" applyProtection="1">
      <alignment horizontal="center"/>
    </xf>
    <xf numFmtId="0" fontId="5" fillId="8" borderId="0" xfId="2" applyFont="1" applyFill="1" applyBorder="1" applyAlignment="1" applyProtection="1">
      <alignment horizontal="left" indent="1"/>
    </xf>
    <xf numFmtId="0" fontId="7" fillId="8" borderId="2" xfId="2" applyFont="1" applyFill="1" applyBorder="1" applyAlignment="1" applyProtection="1">
      <alignment horizontal="left" indent="1"/>
    </xf>
    <xf numFmtId="0" fontId="0" fillId="8" borderId="52" xfId="0" applyFill="1" applyBorder="1" applyProtection="1"/>
    <xf numFmtId="0" fontId="5" fillId="8" borderId="53" xfId="2" applyFont="1" applyFill="1" applyBorder="1" applyAlignment="1" applyProtection="1">
      <alignment horizontal="centerContinuous"/>
    </xf>
    <xf numFmtId="0" fontId="0" fillId="8" borderId="85" xfId="0" applyFill="1" applyBorder="1" applyProtection="1"/>
    <xf numFmtId="0" fontId="0" fillId="8" borderId="53" xfId="0" applyFill="1" applyBorder="1" applyAlignment="1" applyProtection="1">
      <alignment horizontal="centerContinuous"/>
    </xf>
    <xf numFmtId="0" fontId="0" fillId="8" borderId="54" xfId="0" applyFill="1" applyBorder="1" applyAlignment="1" applyProtection="1">
      <alignment horizontal="centerContinuous"/>
    </xf>
    <xf numFmtId="0" fontId="0" fillId="8" borderId="53" xfId="0" applyFill="1" applyBorder="1" applyProtection="1"/>
    <xf numFmtId="0" fontId="0" fillId="8" borderId="54" xfId="0" applyFill="1" applyBorder="1" applyProtection="1"/>
    <xf numFmtId="0" fontId="0" fillId="8" borderId="0" xfId="0" applyFill="1" applyBorder="1" applyAlignment="1" applyProtection="1">
      <alignment horizontal="centerContinuous"/>
    </xf>
    <xf numFmtId="0" fontId="24" fillId="21" borderId="86" xfId="0" applyFont="1" applyFill="1" applyBorder="1" applyAlignment="1" applyProtection="1">
      <alignment horizontal="center" vertical="center"/>
    </xf>
    <xf numFmtId="0" fontId="25" fillId="8" borderId="0" xfId="0" applyFont="1" applyFill="1" applyAlignment="1" applyProtection="1">
      <alignment horizontal="left" vertical="center" indent="1"/>
    </xf>
    <xf numFmtId="0" fontId="0" fillId="9" borderId="5" xfId="0" applyFill="1" applyBorder="1" applyAlignment="1" applyProtection="1">
      <alignment horizontal="centerContinuous"/>
    </xf>
    <xf numFmtId="0" fontId="0" fillId="9" borderId="6" xfId="0" applyFill="1" applyBorder="1" applyAlignment="1" applyProtection="1">
      <alignment horizontal="centerContinuous"/>
    </xf>
    <xf numFmtId="0" fontId="0" fillId="9" borderId="7" xfId="0" applyFill="1" applyBorder="1" applyAlignment="1" applyProtection="1">
      <alignment horizontal="centerContinuous"/>
    </xf>
    <xf numFmtId="0" fontId="0" fillId="9" borderId="2" xfId="0" applyFill="1" applyBorder="1" applyAlignment="1" applyProtection="1">
      <alignment horizontal="centerContinuous"/>
    </xf>
    <xf numFmtId="0" fontId="0" fillId="8" borderId="48" xfId="0" applyFill="1" applyBorder="1" applyProtection="1"/>
    <xf numFmtId="0" fontId="23" fillId="8" borderId="0" xfId="0" applyFont="1" applyFill="1" applyProtection="1"/>
    <xf numFmtId="0" fontId="22" fillId="8" borderId="0" xfId="0" applyFont="1" applyFill="1" applyProtection="1"/>
    <xf numFmtId="0" fontId="22" fillId="8" borderId="5" xfId="0" applyFont="1" applyFill="1" applyBorder="1" applyProtection="1"/>
    <xf numFmtId="0" fontId="22" fillId="8" borderId="7" xfId="0" applyFont="1" applyFill="1" applyBorder="1" applyProtection="1"/>
    <xf numFmtId="0" fontId="22" fillId="8" borderId="6" xfId="0" applyFont="1" applyFill="1" applyBorder="1" applyProtection="1"/>
    <xf numFmtId="0" fontId="22" fillId="8" borderId="0" xfId="0" applyFont="1" applyFill="1" applyAlignment="1" applyProtection="1">
      <alignment horizontal="left" indent="2"/>
    </xf>
    <xf numFmtId="0" fontId="1" fillId="2" borderId="0" xfId="0" applyFont="1" applyFill="1" applyProtection="1"/>
    <xf numFmtId="0" fontId="0" fillId="3" borderId="0" xfId="0" applyFill="1" applyProtection="1"/>
    <xf numFmtId="0" fontId="9" fillId="2" borderId="0" xfId="0" applyFont="1" applyFill="1" applyProtection="1"/>
    <xf numFmtId="0" fontId="0" fillId="6" borderId="0" xfId="0" applyFill="1" applyProtection="1"/>
    <xf numFmtId="0" fontId="0" fillId="5" borderId="0" xfId="0" applyFill="1" applyProtection="1"/>
    <xf numFmtId="0" fontId="0" fillId="10" borderId="2" xfId="0" applyFill="1" applyBorder="1" applyProtection="1"/>
    <xf numFmtId="0" fontId="0" fillId="2" borderId="0" xfId="0" applyFill="1" applyAlignment="1" applyProtection="1">
      <alignment horizontal="center"/>
    </xf>
    <xf numFmtId="0" fontId="0" fillId="3" borderId="0" xfId="0" applyNumberFormat="1" applyFill="1" applyProtection="1"/>
    <xf numFmtId="0" fontId="1" fillId="3" borderId="2" xfId="0" applyFont="1" applyFill="1" applyBorder="1" applyProtection="1"/>
    <xf numFmtId="0" fontId="1" fillId="3" borderId="1" xfId="0" applyFont="1" applyFill="1" applyBorder="1" applyProtection="1"/>
    <xf numFmtId="0" fontId="1" fillId="3" borderId="3" xfId="0" applyFont="1" applyFill="1" applyBorder="1" applyProtection="1"/>
    <xf numFmtId="49" fontId="0" fillId="3" borderId="0" xfId="0" applyNumberFormat="1" applyFill="1" applyProtection="1"/>
    <xf numFmtId="0" fontId="1" fillId="4" borderId="2" xfId="0" applyFont="1" applyFill="1" applyBorder="1" applyProtection="1"/>
    <xf numFmtId="0" fontId="0" fillId="2" borderId="2" xfId="0" applyFill="1" applyBorder="1" applyProtection="1"/>
    <xf numFmtId="0" fontId="0" fillId="7" borderId="0" xfId="0" applyFill="1" applyProtection="1"/>
    <xf numFmtId="0" fontId="0" fillId="7" borderId="0" xfId="0" applyFill="1" applyAlignment="1" applyProtection="1">
      <alignment horizontal="center"/>
    </xf>
    <xf numFmtId="37" fontId="0" fillId="7" borderId="0" xfId="0" applyNumberFormat="1" applyFill="1" applyProtection="1"/>
    <xf numFmtId="0" fontId="14" fillId="2" borderId="0" xfId="0" applyFont="1" applyFill="1" applyAlignment="1" applyProtection="1">
      <alignment horizontal="left"/>
    </xf>
    <xf numFmtId="0" fontId="17" fillId="2" borderId="0" xfId="0" applyFont="1" applyFill="1" applyAlignment="1" applyProtection="1">
      <alignment horizontal="left"/>
    </xf>
    <xf numFmtId="0" fontId="18" fillId="2" borderId="0" xfId="0" applyFont="1" applyFill="1" applyAlignment="1" applyProtection="1">
      <alignment horizontal="left"/>
    </xf>
    <xf numFmtId="0" fontId="11" fillId="12" borderId="44" xfId="0" applyNumberFormat="1" applyFont="1" applyFill="1" applyBorder="1" applyAlignment="1" applyProtection="1">
      <alignment horizontal="centerContinuous"/>
    </xf>
    <xf numFmtId="0" fontId="11" fillId="12" borderId="45" xfId="0" applyNumberFormat="1" applyFont="1" applyFill="1" applyBorder="1" applyAlignment="1" applyProtection="1">
      <alignment horizontal="centerContinuous"/>
    </xf>
    <xf numFmtId="0" fontId="11" fillId="12" borderId="46" xfId="0" applyNumberFormat="1" applyFont="1" applyFill="1" applyBorder="1" applyAlignment="1" applyProtection="1">
      <alignment horizontal="centerContinuous"/>
    </xf>
    <xf numFmtId="0" fontId="0" fillId="2" borderId="0" xfId="0" applyFill="1" applyAlignment="1" applyProtection="1">
      <alignment horizontal="right"/>
    </xf>
    <xf numFmtId="0" fontId="13" fillId="13" borderId="4" xfId="0" applyNumberFormat="1" applyFont="1" applyFill="1" applyBorder="1" applyAlignment="1" applyProtection="1">
      <alignment horizontal="center"/>
    </xf>
    <xf numFmtId="0" fontId="13" fillId="13" borderId="4" xfId="0" applyNumberFormat="1" applyFont="1" applyFill="1" applyBorder="1" applyAlignment="1" applyProtection="1"/>
    <xf numFmtId="0" fontId="13" fillId="13" borderId="4" xfId="0" applyNumberFormat="1" applyFont="1" applyFill="1" applyBorder="1" applyAlignment="1" applyProtection="1">
      <alignment horizontal="centerContinuous"/>
    </xf>
    <xf numFmtId="0" fontId="13" fillId="13" borderId="4" xfId="0" applyNumberFormat="1" applyFont="1" applyFill="1" applyBorder="1" applyAlignment="1" applyProtection="1">
      <alignment horizontal="centerContinuous" wrapText="1"/>
    </xf>
    <xf numFmtId="0" fontId="1" fillId="4" borderId="2" xfId="0" applyFont="1" applyFill="1" applyBorder="1" applyAlignment="1" applyProtection="1">
      <alignment wrapText="1"/>
    </xf>
    <xf numFmtId="0" fontId="0" fillId="2" borderId="2" xfId="0" applyFill="1" applyBorder="1" applyAlignment="1" applyProtection="1">
      <alignment wrapText="1"/>
    </xf>
    <xf numFmtId="0" fontId="0" fillId="2" borderId="0" xfId="0" applyFill="1" applyAlignment="1" applyProtection="1">
      <alignment wrapText="1"/>
    </xf>
    <xf numFmtId="3" fontId="0" fillId="2" borderId="0" xfId="0" applyNumberFormat="1" applyFill="1" applyAlignment="1" applyProtection="1">
      <alignment wrapText="1"/>
    </xf>
    <xf numFmtId="0" fontId="0" fillId="2" borderId="0" xfId="0" applyFill="1" applyAlignment="1" applyProtection="1">
      <alignment horizontal="center" wrapText="1"/>
    </xf>
    <xf numFmtId="0" fontId="15" fillId="2" borderId="0" xfId="0" applyFont="1" applyFill="1" applyAlignment="1" applyProtection="1">
      <alignment wrapText="1"/>
    </xf>
    <xf numFmtId="0" fontId="13" fillId="13" borderId="4" xfId="0" applyNumberFormat="1" applyFont="1" applyFill="1" applyBorder="1" applyAlignment="1" applyProtection="1">
      <alignment horizontal="center" wrapText="1"/>
    </xf>
    <xf numFmtId="49" fontId="0" fillId="3" borderId="0" xfId="0" applyNumberFormat="1" applyFill="1" applyAlignment="1" applyProtection="1"/>
    <xf numFmtId="0" fontId="1" fillId="3" borderId="0" xfId="0" applyNumberFormat="1" applyFont="1" applyFill="1" applyAlignment="1" applyProtection="1">
      <alignment horizontal="left"/>
    </xf>
    <xf numFmtId="0" fontId="0" fillId="2" borderId="0" xfId="0" applyFont="1" applyFill="1" applyAlignment="1" applyProtection="1">
      <alignment horizontal="left" indent="1"/>
    </xf>
    <xf numFmtId="37" fontId="0" fillId="0" borderId="4" xfId="0" applyNumberFormat="1" applyFill="1" applyBorder="1" applyProtection="1"/>
    <xf numFmtId="37" fontId="0" fillId="11" borderId="4" xfId="0" applyNumberFormat="1" applyFill="1" applyBorder="1" applyProtection="1"/>
    <xf numFmtId="37" fontId="0" fillId="11" borderId="15" xfId="0" applyNumberFormat="1" applyFill="1" applyBorder="1" applyProtection="1"/>
    <xf numFmtId="37" fontId="0" fillId="11" borderId="16" xfId="0" applyNumberFormat="1" applyFill="1" applyBorder="1" applyProtection="1"/>
    <xf numFmtId="10" fontId="0" fillId="18" borderId="44" xfId="1" applyNumberFormat="1" applyFont="1" applyFill="1" applyBorder="1" applyAlignment="1" applyProtection="1"/>
    <xf numFmtId="39" fontId="0" fillId="18" borderId="46" xfId="0" applyNumberFormat="1" applyFill="1" applyBorder="1" applyAlignment="1" applyProtection="1">
      <alignment horizontal="center"/>
    </xf>
    <xf numFmtId="0" fontId="1" fillId="3" borderId="5" xfId="0" applyFont="1" applyFill="1" applyBorder="1" applyProtection="1"/>
    <xf numFmtId="0" fontId="1" fillId="3" borderId="6" xfId="0" applyFont="1" applyFill="1" applyBorder="1" applyProtection="1"/>
    <xf numFmtId="0" fontId="1" fillId="3" borderId="7" xfId="0" applyFont="1" applyFill="1" applyBorder="1" applyProtection="1"/>
    <xf numFmtId="164" fontId="0" fillId="0" borderId="4" xfId="1" applyNumberFormat="1" applyFont="1" applyFill="1" applyBorder="1" applyProtection="1"/>
    <xf numFmtId="10" fontId="0" fillId="2" borderId="0" xfId="1" applyNumberFormat="1" applyFont="1" applyFill="1" applyProtection="1"/>
    <xf numFmtId="44" fontId="0" fillId="0" borderId="4" xfId="7" applyFont="1" applyFill="1" applyBorder="1" applyProtection="1"/>
    <xf numFmtId="44" fontId="0" fillId="2" borderId="0" xfId="0" applyNumberFormat="1" applyFill="1" applyProtection="1"/>
    <xf numFmtId="0" fontId="0" fillId="2" borderId="0" xfId="0" applyFill="1" applyAlignment="1" applyProtection="1">
      <alignment horizontal="left" indent="1"/>
    </xf>
    <xf numFmtId="0" fontId="4" fillId="2" borderId="0" xfId="0" applyFont="1" applyFill="1" applyAlignment="1" applyProtection="1">
      <alignment horizontal="left"/>
    </xf>
    <xf numFmtId="0" fontId="1" fillId="2" borderId="0" xfId="0" applyFont="1" applyFill="1" applyAlignment="1" applyProtection="1">
      <alignment horizontal="left"/>
    </xf>
    <xf numFmtId="0" fontId="1" fillId="2" borderId="0" xfId="0" applyFont="1" applyFill="1" applyAlignment="1" applyProtection="1"/>
    <xf numFmtId="43" fontId="0" fillId="2" borderId="0" xfId="9" applyFont="1" applyFill="1" applyProtection="1"/>
    <xf numFmtId="0" fontId="1" fillId="2" borderId="8" xfId="0" applyFont="1" applyFill="1" applyBorder="1" applyAlignment="1" applyProtection="1">
      <alignment horizontal="left"/>
    </xf>
    <xf numFmtId="10" fontId="0" fillId="18" borderId="15" xfId="1" applyNumberFormat="1" applyFont="1" applyFill="1" applyBorder="1" applyAlignment="1" applyProtection="1"/>
    <xf numFmtId="39" fontId="0" fillId="18" borderId="16" xfId="0" applyNumberFormat="1" applyFill="1" applyBorder="1" applyAlignment="1" applyProtection="1">
      <alignment horizontal="center"/>
    </xf>
    <xf numFmtId="37" fontId="1" fillId="0" borderId="11" xfId="0" applyNumberFormat="1" applyFont="1" applyFill="1" applyBorder="1" applyProtection="1"/>
    <xf numFmtId="164" fontId="1" fillId="0" borderId="11" xfId="1" applyNumberFormat="1" applyFont="1" applyFill="1" applyBorder="1" applyProtection="1"/>
    <xf numFmtId="37" fontId="1" fillId="11" borderId="11" xfId="0" applyNumberFormat="1" applyFont="1" applyFill="1" applyBorder="1" applyProtection="1"/>
    <xf numFmtId="10" fontId="1" fillId="18" borderId="79" xfId="1" applyNumberFormat="1" applyFont="1" applyFill="1" applyBorder="1" applyAlignment="1" applyProtection="1"/>
    <xf numFmtId="39" fontId="1" fillId="18" borderId="80" xfId="0" applyNumberFormat="1" applyFont="1" applyFill="1" applyBorder="1" applyAlignment="1" applyProtection="1">
      <alignment horizontal="center"/>
    </xf>
    <xf numFmtId="0" fontId="15" fillId="2" borderId="0" xfId="0" applyFont="1" applyFill="1" applyAlignment="1" applyProtection="1">
      <alignment horizontal="left"/>
    </xf>
    <xf numFmtId="0" fontId="0" fillId="2" borderId="22" xfId="0" applyFill="1" applyBorder="1" applyProtection="1"/>
    <xf numFmtId="0" fontId="0" fillId="2" borderId="17" xfId="0" applyFill="1" applyBorder="1" applyProtection="1"/>
    <xf numFmtId="0" fontId="0" fillId="2" borderId="20" xfId="0" applyFill="1" applyBorder="1" applyProtection="1"/>
    <xf numFmtId="0" fontId="0" fillId="2" borderId="18" xfId="0" applyFill="1" applyBorder="1" applyProtection="1"/>
    <xf numFmtId="0" fontId="0" fillId="3" borderId="0" xfId="0" applyNumberFormat="1" applyFont="1" applyFill="1" applyAlignment="1" applyProtection="1">
      <alignment horizontal="left" indent="1"/>
    </xf>
    <xf numFmtId="37" fontId="1" fillId="0" borderId="37" xfId="0" applyNumberFormat="1" applyFont="1" applyFill="1" applyBorder="1" applyProtection="1"/>
    <xf numFmtId="164" fontId="1" fillId="0" borderId="37" xfId="1" applyNumberFormat="1" applyFont="1" applyFill="1" applyBorder="1" applyProtection="1"/>
    <xf numFmtId="37" fontId="1" fillId="11" borderId="37" xfId="0" applyNumberFormat="1" applyFont="1" applyFill="1" applyBorder="1" applyProtection="1"/>
    <xf numFmtId="37" fontId="1" fillId="0" borderId="23" xfId="0" applyNumberFormat="1" applyFont="1" applyFill="1" applyBorder="1" applyProtection="1"/>
    <xf numFmtId="164" fontId="1" fillId="0" borderId="23" xfId="1" applyNumberFormat="1" applyFont="1" applyFill="1" applyBorder="1" applyProtection="1"/>
    <xf numFmtId="37" fontId="1" fillId="11" borderId="23" xfId="0" applyNumberFormat="1" applyFont="1" applyFill="1" applyBorder="1" applyProtection="1"/>
    <xf numFmtId="0" fontId="0" fillId="2" borderId="15" xfId="0" applyFill="1" applyBorder="1" applyProtection="1"/>
    <xf numFmtId="0" fontId="0" fillId="2" borderId="19" xfId="0" applyFill="1" applyBorder="1" applyProtection="1"/>
    <xf numFmtId="0" fontId="0" fillId="2" borderId="16" xfId="0" applyFill="1" applyBorder="1" applyProtection="1"/>
    <xf numFmtId="164" fontId="1" fillId="0" borderId="4" xfId="1" applyNumberFormat="1" applyFont="1" applyFill="1" applyBorder="1" applyProtection="1"/>
    <xf numFmtId="0" fontId="1" fillId="2" borderId="0" xfId="0" applyFont="1" applyFill="1" applyAlignment="1" applyProtection="1">
      <alignment horizontal="center"/>
    </xf>
    <xf numFmtId="0" fontId="0" fillId="16" borderId="0" xfId="0" applyFill="1" applyProtection="1"/>
    <xf numFmtId="0" fontId="9" fillId="16" borderId="0" xfId="0" applyFont="1" applyFill="1" applyProtection="1"/>
    <xf numFmtId="0" fontId="0" fillId="3" borderId="0" xfId="0" applyNumberFormat="1" applyFill="1" applyAlignment="1" applyProtection="1">
      <alignment horizontal="left" indent="1"/>
    </xf>
    <xf numFmtId="37" fontId="0" fillId="2" borderId="0" xfId="0" applyNumberFormat="1" applyFill="1" applyProtection="1"/>
    <xf numFmtId="37" fontId="0" fillId="0" borderId="4" xfId="0" applyNumberFormat="1" applyFill="1" applyBorder="1" applyProtection="1">
      <protection locked="0"/>
    </xf>
    <xf numFmtId="164" fontId="0" fillId="13" borderId="4" xfId="1" applyNumberFormat="1" applyFont="1" applyFill="1" applyBorder="1" applyProtection="1">
      <protection locked="0"/>
    </xf>
    <xf numFmtId="0" fontId="0" fillId="2" borderId="0" xfId="0" applyFill="1" applyProtection="1">
      <protection locked="0"/>
    </xf>
    <xf numFmtId="37" fontId="0" fillId="11" borderId="4" xfId="0" applyNumberFormat="1" applyFill="1" applyBorder="1" applyProtection="1">
      <protection locked="0"/>
    </xf>
    <xf numFmtId="164" fontId="0" fillId="0" borderId="4" xfId="1" applyNumberFormat="1" applyFont="1" applyFill="1" applyBorder="1" applyProtection="1">
      <protection locked="0"/>
    </xf>
    <xf numFmtId="10" fontId="0" fillId="11" borderId="4" xfId="1" applyNumberFormat="1" applyFont="1" applyFill="1" applyBorder="1" applyProtection="1">
      <protection locked="0"/>
    </xf>
    <xf numFmtId="44" fontId="0" fillId="0" borderId="4" xfId="7" applyFont="1" applyFill="1" applyBorder="1" applyProtection="1">
      <protection locked="0"/>
    </xf>
    <xf numFmtId="44" fontId="0" fillId="11" borderId="4" xfId="7" applyNumberFormat="1" applyFont="1" applyFill="1" applyBorder="1" applyProtection="1">
      <protection locked="0"/>
    </xf>
    <xf numFmtId="44" fontId="0" fillId="11" borderId="4" xfId="7" applyFont="1" applyFill="1" applyBorder="1" applyProtection="1">
      <protection locked="0"/>
    </xf>
    <xf numFmtId="0" fontId="0" fillId="13" borderId="21" xfId="0" applyFill="1" applyBorder="1" applyProtection="1">
      <protection locked="0"/>
    </xf>
    <xf numFmtId="0" fontId="0" fillId="13" borderId="0" xfId="0" applyFill="1" applyBorder="1" applyProtection="1">
      <protection locked="0"/>
    </xf>
    <xf numFmtId="0" fontId="0" fillId="13" borderId="22" xfId="0" applyFill="1" applyBorder="1" applyProtection="1">
      <protection locked="0"/>
    </xf>
    <xf numFmtId="37" fontId="1" fillId="0" borderId="11" xfId="0" applyNumberFormat="1" applyFont="1" applyFill="1" applyBorder="1" applyProtection="1">
      <protection locked="0"/>
    </xf>
    <xf numFmtId="164" fontId="1" fillId="0" borderId="11" xfId="1" applyNumberFormat="1" applyFont="1" applyFill="1" applyBorder="1" applyProtection="1">
      <protection locked="0"/>
    </xf>
    <xf numFmtId="37" fontId="1" fillId="11" borderId="11" xfId="0" applyNumberFormat="1" applyFont="1" applyFill="1" applyBorder="1" applyProtection="1">
      <protection locked="0"/>
    </xf>
    <xf numFmtId="39" fontId="15" fillId="2" borderId="15" xfId="9" applyNumberFormat="1" applyFont="1" applyFill="1" applyBorder="1" applyProtection="1">
      <protection locked="0"/>
    </xf>
    <xf numFmtId="39" fontId="15" fillId="2" borderId="0" xfId="9" applyNumberFormat="1" applyFont="1" applyFill="1" applyBorder="1" applyProtection="1">
      <protection locked="0"/>
    </xf>
    <xf numFmtId="0" fontId="19" fillId="2" borderId="16" xfId="0" applyFont="1" applyFill="1" applyBorder="1" applyProtection="1">
      <protection locked="0"/>
    </xf>
    <xf numFmtId="0" fontId="19" fillId="2" borderId="0" xfId="0" applyFont="1" applyFill="1" applyBorder="1" applyProtection="1">
      <protection locked="0"/>
    </xf>
    <xf numFmtId="0" fontId="0" fillId="2" borderId="22" xfId="0" applyFill="1" applyBorder="1" applyProtection="1">
      <protection locked="0"/>
    </xf>
    <xf numFmtId="0" fontId="0" fillId="2" borderId="17" xfId="0" applyFill="1" applyBorder="1" applyProtection="1">
      <protection locked="0"/>
    </xf>
    <xf numFmtId="0" fontId="0" fillId="2" borderId="20" xfId="0" applyFill="1" applyBorder="1" applyProtection="1">
      <protection locked="0"/>
    </xf>
    <xf numFmtId="0" fontId="0" fillId="2" borderId="18" xfId="0" applyFill="1" applyBorder="1" applyProtection="1">
      <protection locked="0"/>
    </xf>
    <xf numFmtId="0" fontId="19" fillId="2" borderId="22" xfId="0" applyFont="1" applyFill="1" applyBorder="1" applyProtection="1">
      <protection locked="0"/>
    </xf>
    <xf numFmtId="37" fontId="1" fillId="0" borderId="37" xfId="0" applyNumberFormat="1" applyFont="1" applyFill="1" applyBorder="1" applyProtection="1">
      <protection locked="0"/>
    </xf>
    <xf numFmtId="164" fontId="1" fillId="0" borderId="37" xfId="1" applyNumberFormat="1" applyFont="1" applyFill="1" applyBorder="1" applyProtection="1">
      <protection locked="0"/>
    </xf>
    <xf numFmtId="37" fontId="1" fillId="11" borderId="37" xfId="0" applyNumberFormat="1" applyFont="1" applyFill="1" applyBorder="1" applyProtection="1">
      <protection locked="0"/>
    </xf>
    <xf numFmtId="37" fontId="1" fillId="0" borderId="23" xfId="0" applyNumberFormat="1" applyFont="1" applyFill="1" applyBorder="1" applyProtection="1">
      <protection locked="0"/>
    </xf>
    <xf numFmtId="164" fontId="1" fillId="0" borderId="23" xfId="1" applyNumberFormat="1" applyFont="1" applyFill="1" applyBorder="1" applyProtection="1">
      <protection locked="0"/>
    </xf>
    <xf numFmtId="37" fontId="1" fillId="11" borderId="23" xfId="0" applyNumberFormat="1" applyFont="1" applyFill="1" applyBorder="1" applyProtection="1">
      <protection locked="0"/>
    </xf>
    <xf numFmtId="165" fontId="15" fillId="2" borderId="15" xfId="9" applyNumberFormat="1" applyFont="1" applyFill="1" applyBorder="1" applyProtection="1">
      <protection locked="0"/>
    </xf>
    <xf numFmtId="165" fontId="15" fillId="2" borderId="0" xfId="9" applyNumberFormat="1" applyFont="1" applyFill="1" applyBorder="1" applyProtection="1">
      <protection locked="0"/>
    </xf>
    <xf numFmtId="0" fontId="0" fillId="2" borderId="15" xfId="0" applyFill="1" applyBorder="1" applyProtection="1">
      <protection locked="0"/>
    </xf>
    <xf numFmtId="0" fontId="0" fillId="2" borderId="19" xfId="0" applyFill="1" applyBorder="1" applyProtection="1">
      <protection locked="0"/>
    </xf>
    <xf numFmtId="0" fontId="0" fillId="2" borderId="16" xfId="0" applyFill="1" applyBorder="1" applyProtection="1">
      <protection locked="0"/>
    </xf>
    <xf numFmtId="37" fontId="0" fillId="17" borderId="4" xfId="0" applyNumberFormat="1" applyFill="1" applyBorder="1" applyProtection="1">
      <protection locked="0"/>
    </xf>
    <xf numFmtId="164" fontId="0" fillId="17" borderId="4" xfId="1" applyNumberFormat="1" applyFont="1" applyFill="1" applyBorder="1" applyProtection="1">
      <protection locked="0"/>
    </xf>
    <xf numFmtId="37" fontId="0" fillId="17" borderId="13" xfId="0" applyNumberFormat="1" applyFill="1" applyBorder="1" applyProtection="1">
      <protection locked="0"/>
    </xf>
    <xf numFmtId="164" fontId="0" fillId="17" borderId="13" xfId="1" applyNumberFormat="1" applyFont="1" applyFill="1" applyBorder="1" applyProtection="1">
      <protection locked="0"/>
    </xf>
    <xf numFmtId="0" fontId="9" fillId="0" borderId="0" xfId="0" applyFont="1" applyFill="1" applyProtection="1"/>
    <xf numFmtId="0" fontId="15" fillId="2" borderId="0" xfId="0" applyFont="1" applyFill="1" applyAlignment="1" applyProtection="1">
      <alignment horizontal="center" wrapText="1"/>
    </xf>
    <xf numFmtId="0" fontId="15" fillId="2" borderId="0" xfId="0" applyFont="1" applyFill="1" applyAlignment="1" applyProtection="1">
      <alignment horizontal="left" indent="1"/>
    </xf>
    <xf numFmtId="37" fontId="0" fillId="0" borderId="32" xfId="0" applyNumberFormat="1" applyFill="1" applyBorder="1" applyProtection="1"/>
    <xf numFmtId="39" fontId="0" fillId="18" borderId="4" xfId="0" applyNumberFormat="1" applyFill="1" applyBorder="1" applyProtection="1"/>
    <xf numFmtId="39" fontId="0" fillId="19" borderId="4" xfId="0" applyNumberFormat="1" applyFill="1" applyBorder="1" applyProtection="1"/>
    <xf numFmtId="39" fontId="0" fillId="11" borderId="4" xfId="0" applyNumberFormat="1" applyFill="1" applyBorder="1" applyProtection="1"/>
    <xf numFmtId="39" fontId="0" fillId="9" borderId="4" xfId="0" applyNumberFormat="1" applyFill="1" applyBorder="1" applyProtection="1"/>
    <xf numFmtId="49" fontId="0" fillId="3" borderId="0" xfId="0" applyNumberFormat="1" applyFill="1" applyAlignment="1" applyProtection="1">
      <alignment horizontal="left"/>
    </xf>
    <xf numFmtId="37" fontId="0" fillId="0" borderId="28" xfId="0" applyNumberFormat="1" applyFill="1" applyBorder="1" applyProtection="1"/>
    <xf numFmtId="39" fontId="0" fillId="11" borderId="9" xfId="0" applyNumberFormat="1" applyFill="1" applyBorder="1" applyProtection="1"/>
    <xf numFmtId="0" fontId="1" fillId="3" borderId="0" xfId="0" applyNumberFormat="1" applyFont="1" applyFill="1" applyAlignment="1" applyProtection="1">
      <alignment horizontal="left" indent="1"/>
    </xf>
    <xf numFmtId="0" fontId="16" fillId="2" borderId="0" xfId="0" applyFont="1" applyFill="1" applyAlignment="1" applyProtection="1">
      <alignment horizontal="left" indent="1"/>
    </xf>
    <xf numFmtId="0" fontId="1" fillId="2" borderId="0" xfId="0" applyFont="1" applyFill="1" applyAlignment="1" applyProtection="1">
      <alignment horizontal="left" indent="1"/>
    </xf>
    <xf numFmtId="37" fontId="1" fillId="0" borderId="34" xfId="0" applyNumberFormat="1" applyFont="1" applyFill="1" applyBorder="1" applyProtection="1"/>
    <xf numFmtId="164" fontId="1" fillId="0" borderId="34" xfId="1" applyNumberFormat="1" applyFont="1" applyFill="1" applyBorder="1" applyProtection="1"/>
    <xf numFmtId="39" fontId="1" fillId="18" borderId="34" xfId="0" applyNumberFormat="1" applyFont="1" applyFill="1" applyBorder="1" applyProtection="1"/>
    <xf numFmtId="39" fontId="1" fillId="19" borderId="34" xfId="0" applyNumberFormat="1" applyFont="1" applyFill="1" applyBorder="1" applyProtection="1"/>
    <xf numFmtId="39" fontId="1" fillId="9" borderId="34" xfId="0" applyNumberFormat="1" applyFont="1" applyFill="1" applyBorder="1" applyProtection="1"/>
    <xf numFmtId="0" fontId="1" fillId="2" borderId="6" xfId="0" applyFont="1" applyFill="1" applyBorder="1" applyAlignment="1" applyProtection="1">
      <alignment horizontal="left"/>
    </xf>
    <xf numFmtId="37" fontId="0" fillId="0" borderId="13" xfId="0" applyNumberFormat="1" applyFill="1" applyBorder="1" applyProtection="1"/>
    <xf numFmtId="164" fontId="0" fillId="0" borderId="13" xfId="1" applyNumberFormat="1" applyFont="1" applyFill="1" applyBorder="1" applyProtection="1"/>
    <xf numFmtId="37" fontId="0" fillId="11" borderId="13" xfId="0" applyNumberFormat="1" applyFill="1" applyBorder="1" applyProtection="1"/>
    <xf numFmtId="39" fontId="0" fillId="18" borderId="13" xfId="0" applyNumberFormat="1" applyFill="1" applyBorder="1" applyProtection="1"/>
    <xf numFmtId="39" fontId="0" fillId="19" borderId="13" xfId="0" applyNumberFormat="1" applyFill="1" applyBorder="1" applyProtection="1"/>
    <xf numFmtId="39" fontId="0" fillId="9" borderId="13" xfId="0" applyNumberFormat="1" applyFill="1" applyBorder="1" applyProtection="1"/>
    <xf numFmtId="0" fontId="0" fillId="2" borderId="21" xfId="0" applyFill="1" applyBorder="1" applyProtection="1"/>
    <xf numFmtId="0" fontId="0" fillId="2" borderId="0" xfId="0" applyFill="1" applyBorder="1" applyProtection="1"/>
    <xf numFmtId="37" fontId="0" fillId="0" borderId="14" xfId="0" applyNumberFormat="1" applyFill="1" applyBorder="1" applyProtection="1"/>
    <xf numFmtId="164" fontId="0" fillId="0" borderId="14" xfId="1" applyNumberFormat="1" applyFont="1" applyFill="1" applyBorder="1" applyProtection="1"/>
    <xf numFmtId="37" fontId="0" fillId="11" borderId="14" xfId="0" applyNumberFormat="1" applyFill="1" applyBorder="1" applyProtection="1"/>
    <xf numFmtId="0" fontId="1" fillId="2" borderId="0" xfId="0" applyFont="1" applyFill="1" applyBorder="1" applyAlignment="1" applyProtection="1">
      <alignment horizontal="left"/>
    </xf>
    <xf numFmtId="39" fontId="0" fillId="0" borderId="4" xfId="1" applyNumberFormat="1" applyFont="1" applyFill="1" applyBorder="1" applyProtection="1"/>
    <xf numFmtId="37" fontId="0" fillId="0" borderId="32" xfId="0" applyNumberFormat="1" applyFill="1" applyBorder="1" applyProtection="1">
      <protection locked="0"/>
    </xf>
    <xf numFmtId="39" fontId="0" fillId="18" borderId="4" xfId="0" applyNumberFormat="1" applyFill="1" applyBorder="1" applyProtection="1">
      <protection locked="0"/>
    </xf>
    <xf numFmtId="39" fontId="0" fillId="19" borderId="4" xfId="0" applyNumberFormat="1" applyFill="1" applyBorder="1" applyProtection="1">
      <protection locked="0"/>
    </xf>
    <xf numFmtId="39" fontId="0" fillId="11" borderId="4" xfId="0" applyNumberFormat="1" applyFill="1" applyBorder="1" applyProtection="1">
      <protection locked="0"/>
    </xf>
    <xf numFmtId="39" fontId="0" fillId="9" borderId="4" xfId="0" applyNumberFormat="1" applyFill="1" applyBorder="1" applyProtection="1">
      <protection locked="0"/>
    </xf>
    <xf numFmtId="37" fontId="0" fillId="0" borderId="9" xfId="0" applyNumberFormat="1" applyFill="1" applyBorder="1" applyProtection="1">
      <protection locked="0"/>
    </xf>
    <xf numFmtId="37" fontId="0" fillId="0" borderId="28" xfId="0" applyNumberFormat="1" applyFill="1" applyBorder="1" applyProtection="1">
      <protection locked="0"/>
    </xf>
    <xf numFmtId="164" fontId="0" fillId="0" borderId="9" xfId="1" applyNumberFormat="1" applyFont="1" applyFill="1" applyBorder="1" applyProtection="1">
      <protection locked="0"/>
    </xf>
    <xf numFmtId="37" fontId="0" fillId="11" borderId="9" xfId="0" applyNumberFormat="1" applyFill="1" applyBorder="1" applyProtection="1">
      <protection locked="0"/>
    </xf>
    <xf numFmtId="39" fontId="0" fillId="18" borderId="9" xfId="0" applyNumberFormat="1" applyFill="1" applyBorder="1" applyProtection="1">
      <protection locked="0"/>
    </xf>
    <xf numFmtId="39" fontId="0" fillId="19" borderId="9" xfId="0" applyNumberFormat="1" applyFill="1" applyBorder="1" applyProtection="1">
      <protection locked="0"/>
    </xf>
    <xf numFmtId="39" fontId="0" fillId="11" borderId="9" xfId="0" applyNumberFormat="1" applyFill="1" applyBorder="1" applyProtection="1">
      <protection locked="0"/>
    </xf>
    <xf numFmtId="39" fontId="0" fillId="9" borderId="9" xfId="0" applyNumberFormat="1" applyFill="1" applyBorder="1" applyProtection="1">
      <protection locked="0"/>
    </xf>
    <xf numFmtId="37" fontId="1" fillId="0" borderId="34" xfId="0" applyNumberFormat="1" applyFont="1" applyFill="1" applyBorder="1" applyProtection="1">
      <protection locked="0"/>
    </xf>
    <xf numFmtId="164" fontId="1" fillId="0" borderId="34" xfId="1" applyNumberFormat="1" applyFont="1" applyFill="1" applyBorder="1" applyProtection="1">
      <protection locked="0"/>
    </xf>
    <xf numFmtId="0" fontId="1" fillId="2" borderId="35" xfId="0" applyFont="1" applyFill="1" applyBorder="1" applyProtection="1">
      <protection locked="0"/>
    </xf>
    <xf numFmtId="37" fontId="1" fillId="11" borderId="34" xfId="0" applyNumberFormat="1" applyFont="1" applyFill="1" applyBorder="1" applyProtection="1">
      <protection locked="0"/>
    </xf>
    <xf numFmtId="39" fontId="1" fillId="18" borderId="34" xfId="0" applyNumberFormat="1" applyFont="1" applyFill="1" applyBorder="1" applyProtection="1">
      <protection locked="0"/>
    </xf>
    <xf numFmtId="39" fontId="1" fillId="19" borderId="34" xfId="0" applyNumberFormat="1" applyFont="1" applyFill="1" applyBorder="1" applyProtection="1">
      <protection locked="0"/>
    </xf>
    <xf numFmtId="39" fontId="1" fillId="11" borderId="34" xfId="0" applyNumberFormat="1" applyFont="1" applyFill="1" applyBorder="1" applyProtection="1">
      <protection locked="0"/>
    </xf>
    <xf numFmtId="39" fontId="1" fillId="9" borderId="34" xfId="0" applyNumberFormat="1" applyFont="1" applyFill="1" applyBorder="1" applyProtection="1">
      <protection locked="0"/>
    </xf>
    <xf numFmtId="37" fontId="0" fillId="0" borderId="13" xfId="0" applyNumberFormat="1" applyFill="1" applyBorder="1" applyProtection="1">
      <protection locked="0"/>
    </xf>
    <xf numFmtId="37" fontId="0" fillId="0" borderId="42" xfId="0" applyNumberFormat="1" applyFill="1" applyBorder="1" applyProtection="1">
      <protection locked="0"/>
    </xf>
    <xf numFmtId="164" fontId="0" fillId="0" borderId="13" xfId="1" applyNumberFormat="1" applyFont="1" applyFill="1" applyBorder="1" applyProtection="1">
      <protection locked="0"/>
    </xf>
    <xf numFmtId="37" fontId="0" fillId="11" borderId="13" xfId="0" applyNumberFormat="1" applyFill="1" applyBorder="1" applyProtection="1">
      <protection locked="0"/>
    </xf>
    <xf numFmtId="39" fontId="0" fillId="18" borderId="13" xfId="0" applyNumberFormat="1" applyFill="1" applyBorder="1" applyProtection="1">
      <protection locked="0"/>
    </xf>
    <xf numFmtId="39" fontId="0" fillId="19" borderId="13" xfId="0" applyNumberFormat="1" applyFill="1" applyBorder="1" applyProtection="1">
      <protection locked="0"/>
    </xf>
    <xf numFmtId="39" fontId="0" fillId="11" borderId="13" xfId="0" applyNumberFormat="1" applyFill="1" applyBorder="1" applyProtection="1">
      <protection locked="0"/>
    </xf>
    <xf numFmtId="39" fontId="0" fillId="9" borderId="13" xfId="0" applyNumberFormat="1" applyFill="1" applyBorder="1" applyProtection="1">
      <protection locked="0"/>
    </xf>
    <xf numFmtId="37" fontId="0" fillId="0" borderId="14" xfId="0" applyNumberFormat="1" applyFill="1" applyBorder="1" applyProtection="1">
      <protection locked="0"/>
    </xf>
    <xf numFmtId="164" fontId="0" fillId="0" borderId="14" xfId="1" applyNumberFormat="1" applyFont="1" applyFill="1" applyBorder="1" applyProtection="1">
      <protection locked="0"/>
    </xf>
    <xf numFmtId="37" fontId="0" fillId="11" borderId="14" xfId="0" applyNumberFormat="1" applyFill="1" applyBorder="1" applyProtection="1">
      <protection locked="0"/>
    </xf>
    <xf numFmtId="37" fontId="1" fillId="0" borderId="12" xfId="0" applyNumberFormat="1" applyFont="1" applyFill="1" applyBorder="1" applyProtection="1">
      <protection locked="0"/>
    </xf>
    <xf numFmtId="164" fontId="1" fillId="0" borderId="12" xfId="1" applyNumberFormat="1" applyFont="1" applyFill="1" applyBorder="1" applyProtection="1">
      <protection locked="0"/>
    </xf>
    <xf numFmtId="0" fontId="1" fillId="2" borderId="10" xfId="0" applyFont="1" applyFill="1" applyBorder="1" applyProtection="1">
      <protection locked="0"/>
    </xf>
    <xf numFmtId="37" fontId="1" fillId="11" borderId="12" xfId="0" applyNumberFormat="1" applyFont="1" applyFill="1" applyBorder="1" applyProtection="1">
      <protection locked="0"/>
    </xf>
    <xf numFmtId="39" fontId="1" fillId="18" borderId="12" xfId="0" applyNumberFormat="1" applyFont="1" applyFill="1" applyBorder="1" applyProtection="1">
      <protection locked="0"/>
    </xf>
    <xf numFmtId="39" fontId="1" fillId="19" borderId="12" xfId="0" applyNumberFormat="1" applyFont="1" applyFill="1" applyBorder="1" applyProtection="1">
      <protection locked="0"/>
    </xf>
    <xf numFmtId="39" fontId="1" fillId="11" borderId="12" xfId="0" applyNumberFormat="1" applyFont="1" applyFill="1" applyBorder="1" applyProtection="1">
      <protection locked="0"/>
    </xf>
    <xf numFmtId="39" fontId="1" fillId="9" borderId="12" xfId="0" applyNumberFormat="1" applyFont="1" applyFill="1" applyBorder="1" applyProtection="1">
      <protection locked="0"/>
    </xf>
    <xf numFmtId="39" fontId="1" fillId="18" borderId="11" xfId="0" applyNumberFormat="1" applyFont="1" applyFill="1" applyBorder="1" applyProtection="1">
      <protection locked="0"/>
    </xf>
    <xf numFmtId="39" fontId="1" fillId="19" borderId="11" xfId="0" applyNumberFormat="1" applyFont="1" applyFill="1" applyBorder="1" applyProtection="1">
      <protection locked="0"/>
    </xf>
    <xf numFmtId="39" fontId="1" fillId="11" borderId="11" xfId="0" applyNumberFormat="1" applyFont="1" applyFill="1" applyBorder="1" applyProtection="1">
      <protection locked="0"/>
    </xf>
    <xf numFmtId="39" fontId="1" fillId="9" borderId="11" xfId="0" applyNumberFormat="1" applyFont="1" applyFill="1" applyBorder="1" applyProtection="1">
      <protection locked="0"/>
    </xf>
    <xf numFmtId="37" fontId="1" fillId="11" borderId="24" xfId="0" applyNumberFormat="1" applyFont="1" applyFill="1" applyBorder="1" applyProtection="1">
      <protection locked="0"/>
    </xf>
    <xf numFmtId="37" fontId="1" fillId="0" borderId="24" xfId="0" applyNumberFormat="1" applyFont="1" applyFill="1" applyBorder="1" applyProtection="1">
      <protection locked="0"/>
    </xf>
    <xf numFmtId="164" fontId="1" fillId="0" borderId="24" xfId="1" applyNumberFormat="1" applyFont="1" applyFill="1" applyBorder="1" applyProtection="1">
      <protection locked="0"/>
    </xf>
    <xf numFmtId="39" fontId="1" fillId="18" borderId="74" xfId="0" applyNumberFormat="1" applyFont="1" applyFill="1" applyBorder="1" applyProtection="1">
      <protection locked="0"/>
    </xf>
    <xf numFmtId="39" fontId="1" fillId="19" borderId="74" xfId="0" applyNumberFormat="1" applyFont="1" applyFill="1" applyBorder="1" applyProtection="1">
      <protection locked="0"/>
    </xf>
    <xf numFmtId="39" fontId="1" fillId="11" borderId="74" xfId="0" applyNumberFormat="1" applyFont="1" applyFill="1" applyBorder="1" applyProtection="1">
      <protection locked="0"/>
    </xf>
    <xf numFmtId="39" fontId="1" fillId="9" borderId="74" xfId="0" applyNumberFormat="1" applyFont="1" applyFill="1" applyBorder="1" applyProtection="1">
      <protection locked="0"/>
    </xf>
    <xf numFmtId="0" fontId="8" fillId="2" borderId="0" xfId="0" applyFont="1" applyFill="1" applyProtection="1"/>
    <xf numFmtId="0" fontId="4" fillId="2" borderId="0" xfId="0" applyFont="1" applyFill="1" applyAlignment="1" applyProtection="1">
      <alignment horizontal="center" wrapText="1"/>
    </xf>
    <xf numFmtId="0" fontId="0" fillId="2" borderId="16" xfId="0" applyFill="1" applyBorder="1" applyAlignment="1" applyProtection="1">
      <alignment horizontal="center"/>
    </xf>
    <xf numFmtId="0" fontId="1" fillId="2" borderId="22" xfId="0" applyFont="1" applyFill="1" applyBorder="1" applyAlignment="1" applyProtection="1">
      <alignment horizontal="right"/>
    </xf>
    <xf numFmtId="0" fontId="16" fillId="2" borderId="0" xfId="0" applyFont="1" applyFill="1" applyAlignment="1" applyProtection="1">
      <alignment horizontal="left"/>
    </xf>
    <xf numFmtId="0" fontId="1" fillId="2" borderId="9" xfId="0" applyFont="1" applyFill="1" applyBorder="1" applyAlignment="1" applyProtection="1">
      <alignment horizontal="center"/>
    </xf>
    <xf numFmtId="0" fontId="0" fillId="2" borderId="0" xfId="0" applyFill="1" applyAlignment="1" applyProtection="1">
      <alignment horizontal="left"/>
    </xf>
    <xf numFmtId="164" fontId="3" fillId="15" borderId="4" xfId="1" applyNumberFormat="1" applyFont="1" applyFill="1" applyBorder="1" applyAlignment="1" applyProtection="1"/>
    <xf numFmtId="37" fontId="1" fillId="14" borderId="25" xfId="0" applyNumberFormat="1" applyFont="1" applyFill="1" applyBorder="1" applyAlignment="1" applyProtection="1">
      <protection locked="0"/>
    </xf>
    <xf numFmtId="37" fontId="1" fillId="14" borderId="57" xfId="0" applyNumberFormat="1" applyFont="1" applyFill="1" applyBorder="1" applyAlignment="1" applyProtection="1">
      <protection locked="0"/>
    </xf>
    <xf numFmtId="164" fontId="1" fillId="14" borderId="26" xfId="1" applyNumberFormat="1" applyFont="1" applyFill="1" applyBorder="1" applyProtection="1">
      <protection locked="0"/>
    </xf>
    <xf numFmtId="37" fontId="1" fillId="14" borderId="26" xfId="0" applyNumberFormat="1" applyFont="1" applyFill="1" applyBorder="1" applyAlignment="1" applyProtection="1">
      <protection locked="0"/>
    </xf>
    <xf numFmtId="37" fontId="1" fillId="14" borderId="26" xfId="0" applyNumberFormat="1" applyFont="1" applyFill="1" applyBorder="1" applyProtection="1">
      <protection locked="0"/>
    </xf>
    <xf numFmtId="37" fontId="1" fillId="14" borderId="70" xfId="0" applyNumberFormat="1" applyFont="1" applyFill="1" applyBorder="1" applyProtection="1">
      <protection locked="0"/>
    </xf>
    <xf numFmtId="37" fontId="0" fillId="15" borderId="25" xfId="0" applyNumberFormat="1" applyFont="1" applyFill="1" applyBorder="1" applyAlignment="1" applyProtection="1">
      <protection locked="0"/>
    </xf>
    <xf numFmtId="37" fontId="0" fillId="15" borderId="57" xfId="0" applyNumberFormat="1" applyFont="1" applyFill="1" applyBorder="1" applyAlignment="1" applyProtection="1">
      <protection locked="0"/>
    </xf>
    <xf numFmtId="164" fontId="3" fillId="15" borderId="26" xfId="1" applyNumberFormat="1" applyFont="1" applyFill="1" applyBorder="1" applyProtection="1">
      <protection locked="0"/>
    </xf>
    <xf numFmtId="37" fontId="0" fillId="15" borderId="26" xfId="0" applyNumberFormat="1" applyFont="1" applyFill="1" applyBorder="1" applyAlignment="1" applyProtection="1">
      <protection locked="0"/>
    </xf>
    <xf numFmtId="37" fontId="0" fillId="15" borderId="26" xfId="0" applyNumberFormat="1" applyFont="1" applyFill="1" applyBorder="1" applyProtection="1">
      <protection locked="0"/>
    </xf>
    <xf numFmtId="37" fontId="0" fillId="15" borderId="70" xfId="0" applyNumberFormat="1" applyFont="1" applyFill="1" applyBorder="1" applyProtection="1">
      <protection locked="0"/>
    </xf>
    <xf numFmtId="37" fontId="1" fillId="14" borderId="27" xfId="0" applyNumberFormat="1" applyFont="1" applyFill="1" applyBorder="1" applyAlignment="1" applyProtection="1">
      <protection locked="0"/>
    </xf>
    <xf numFmtId="37" fontId="1" fillId="14" borderId="58" xfId="0" applyNumberFormat="1" applyFont="1" applyFill="1" applyBorder="1" applyAlignment="1" applyProtection="1">
      <protection locked="0"/>
    </xf>
    <xf numFmtId="164" fontId="1" fillId="14" borderId="28" xfId="1" applyNumberFormat="1" applyFont="1" applyFill="1" applyBorder="1" applyProtection="1">
      <protection locked="0"/>
    </xf>
    <xf numFmtId="37" fontId="1" fillId="14" borderId="28" xfId="0" applyNumberFormat="1" applyFont="1" applyFill="1" applyBorder="1" applyAlignment="1" applyProtection="1">
      <protection locked="0"/>
    </xf>
    <xf numFmtId="37" fontId="1" fillId="14" borderId="28" xfId="0" applyNumberFormat="1" applyFont="1" applyFill="1" applyBorder="1" applyProtection="1">
      <protection locked="0"/>
    </xf>
    <xf numFmtId="37" fontId="1" fillId="14" borderId="66" xfId="0" applyNumberFormat="1" applyFont="1" applyFill="1" applyBorder="1" applyProtection="1">
      <protection locked="0"/>
    </xf>
    <xf numFmtId="37" fontId="1" fillId="15" borderId="38" xfId="0" applyNumberFormat="1" applyFont="1" applyFill="1" applyBorder="1" applyAlignment="1" applyProtection="1">
      <protection locked="0"/>
    </xf>
    <xf numFmtId="37" fontId="1" fillId="15" borderId="59" xfId="0" applyNumberFormat="1" applyFont="1" applyFill="1" applyBorder="1" applyAlignment="1" applyProtection="1">
      <protection locked="0"/>
    </xf>
    <xf numFmtId="164" fontId="1" fillId="15" borderId="34" xfId="1" applyNumberFormat="1" applyFont="1" applyFill="1" applyBorder="1" applyProtection="1">
      <protection locked="0"/>
    </xf>
    <xf numFmtId="37" fontId="1" fillId="15" borderId="34" xfId="0" applyNumberFormat="1" applyFont="1" applyFill="1" applyBorder="1" applyAlignment="1" applyProtection="1">
      <protection locked="0"/>
    </xf>
    <xf numFmtId="37" fontId="1" fillId="15" borderId="34" xfId="0" applyNumberFormat="1" applyFont="1" applyFill="1" applyBorder="1" applyProtection="1">
      <protection locked="0"/>
    </xf>
    <xf numFmtId="37" fontId="1" fillId="15" borderId="68" xfId="0" applyNumberFormat="1" applyFont="1" applyFill="1" applyBorder="1" applyProtection="1">
      <protection locked="0"/>
    </xf>
    <xf numFmtId="37" fontId="1" fillId="15" borderId="29" xfId="0" applyNumberFormat="1" applyFont="1" applyFill="1" applyBorder="1" applyAlignment="1" applyProtection="1">
      <protection locked="0"/>
    </xf>
    <xf numFmtId="37" fontId="1" fillId="15" borderId="18" xfId="0" applyNumberFormat="1" applyFont="1" applyFill="1" applyBorder="1" applyAlignment="1" applyProtection="1">
      <protection locked="0"/>
    </xf>
    <xf numFmtId="164" fontId="1" fillId="15" borderId="13" xfId="1" applyNumberFormat="1" applyFont="1" applyFill="1" applyBorder="1" applyProtection="1">
      <protection locked="0"/>
    </xf>
    <xf numFmtId="37" fontId="1" fillId="15" borderId="13" xfId="0" applyNumberFormat="1" applyFont="1" applyFill="1" applyBorder="1" applyAlignment="1" applyProtection="1">
      <protection locked="0"/>
    </xf>
    <xf numFmtId="37" fontId="1" fillId="15" borderId="13" xfId="0" applyNumberFormat="1" applyFont="1" applyFill="1" applyBorder="1" applyProtection="1">
      <protection locked="0"/>
    </xf>
    <xf numFmtId="37" fontId="1" fillId="15" borderId="71" xfId="0" applyNumberFormat="1" applyFont="1" applyFill="1" applyBorder="1" applyProtection="1">
      <protection locked="0"/>
    </xf>
    <xf numFmtId="37" fontId="0" fillId="15" borderId="29" xfId="0" applyNumberFormat="1" applyFont="1" applyFill="1" applyBorder="1" applyAlignment="1" applyProtection="1">
      <protection locked="0"/>
    </xf>
    <xf numFmtId="37" fontId="0" fillId="15" borderId="18" xfId="0" applyNumberFormat="1" applyFont="1" applyFill="1" applyBorder="1" applyAlignment="1" applyProtection="1">
      <protection locked="0"/>
    </xf>
    <xf numFmtId="164" fontId="3" fillId="15" borderId="13" xfId="1" applyNumberFormat="1" applyFont="1" applyFill="1" applyBorder="1" applyProtection="1">
      <protection locked="0"/>
    </xf>
    <xf numFmtId="37" fontId="0" fillId="15" borderId="13" xfId="0" applyNumberFormat="1" applyFont="1" applyFill="1" applyBorder="1" applyAlignment="1" applyProtection="1">
      <protection locked="0"/>
    </xf>
    <xf numFmtId="37" fontId="0" fillId="15" borderId="13" xfId="0" applyNumberFormat="1" applyFont="1" applyFill="1" applyBorder="1" applyProtection="1">
      <protection locked="0"/>
    </xf>
    <xf numFmtId="37" fontId="0" fillId="15" borderId="71" xfId="0" applyNumberFormat="1" applyFont="1" applyFill="1" applyBorder="1" applyProtection="1">
      <protection locked="0"/>
    </xf>
    <xf numFmtId="37" fontId="0" fillId="15" borderId="27" xfId="0" applyNumberFormat="1" applyFont="1" applyFill="1" applyBorder="1" applyAlignment="1" applyProtection="1">
      <protection locked="0"/>
    </xf>
    <xf numFmtId="37" fontId="0" fillId="15" borderId="58" xfId="0" applyNumberFormat="1" applyFont="1" applyFill="1" applyBorder="1" applyAlignment="1" applyProtection="1">
      <protection locked="0"/>
    </xf>
    <xf numFmtId="164" fontId="3" fillId="15" borderId="28" xfId="1" applyNumberFormat="1" applyFont="1" applyFill="1" applyBorder="1" applyProtection="1">
      <protection locked="0"/>
    </xf>
    <xf numFmtId="37" fontId="0" fillId="15" borderId="28" xfId="0" applyNumberFormat="1" applyFont="1" applyFill="1" applyBorder="1" applyAlignment="1" applyProtection="1">
      <protection locked="0"/>
    </xf>
    <xf numFmtId="37" fontId="0" fillId="15" borderId="28" xfId="0" applyNumberFormat="1" applyFont="1" applyFill="1" applyBorder="1" applyProtection="1">
      <protection locked="0"/>
    </xf>
    <xf numFmtId="37" fontId="0" fillId="15" borderId="66" xfId="0" applyNumberFormat="1" applyFont="1" applyFill="1" applyBorder="1" applyProtection="1">
      <protection locked="0"/>
    </xf>
    <xf numFmtId="164" fontId="1" fillId="14" borderId="26" xfId="1" applyNumberFormat="1" applyFont="1" applyFill="1" applyBorder="1" applyAlignment="1" applyProtection="1">
      <alignment horizontal="right"/>
      <protection locked="0"/>
    </xf>
    <xf numFmtId="164" fontId="3" fillId="15" borderId="26" xfId="1" applyNumberFormat="1" applyFont="1" applyFill="1" applyBorder="1" applyAlignment="1" applyProtection="1">
      <alignment horizontal="right"/>
      <protection locked="0"/>
    </xf>
    <xf numFmtId="164" fontId="1" fillId="14" borderId="28" xfId="1" applyNumberFormat="1" applyFont="1" applyFill="1" applyBorder="1" applyAlignment="1" applyProtection="1">
      <alignment horizontal="right"/>
      <protection locked="0"/>
    </xf>
    <xf numFmtId="164" fontId="1" fillId="15" borderId="34" xfId="1" applyNumberFormat="1" applyFont="1" applyFill="1" applyBorder="1" applyAlignment="1" applyProtection="1">
      <alignment horizontal="right"/>
      <protection locked="0"/>
    </xf>
    <xf numFmtId="164" fontId="1" fillId="15" borderId="13" xfId="1" applyNumberFormat="1" applyFont="1" applyFill="1" applyBorder="1" applyAlignment="1" applyProtection="1">
      <alignment horizontal="right"/>
      <protection locked="0"/>
    </xf>
    <xf numFmtId="37" fontId="0" fillId="15" borderId="30" xfId="0" applyNumberFormat="1" applyFont="1" applyFill="1" applyBorder="1" applyAlignment="1" applyProtection="1">
      <protection locked="0"/>
    </xf>
    <xf numFmtId="37" fontId="0" fillId="15" borderId="22" xfId="0" applyNumberFormat="1" applyFont="1" applyFill="1" applyBorder="1" applyAlignment="1" applyProtection="1">
      <protection locked="0"/>
    </xf>
    <xf numFmtId="164" fontId="3" fillId="15" borderId="14" xfId="1" applyNumberFormat="1" applyFont="1" applyFill="1" applyBorder="1" applyAlignment="1" applyProtection="1">
      <alignment horizontal="right"/>
      <protection locked="0"/>
    </xf>
    <xf numFmtId="37" fontId="0" fillId="15" borderId="14" xfId="0" applyNumberFormat="1" applyFont="1" applyFill="1" applyBorder="1" applyAlignment="1" applyProtection="1">
      <protection locked="0"/>
    </xf>
    <xf numFmtId="37" fontId="0" fillId="15" borderId="14" xfId="0" applyNumberFormat="1" applyFont="1" applyFill="1" applyBorder="1" applyProtection="1">
      <protection locked="0"/>
    </xf>
    <xf numFmtId="37" fontId="0" fillId="15" borderId="67" xfId="0" applyNumberFormat="1" applyFont="1" applyFill="1" applyBorder="1" applyProtection="1">
      <protection locked="0"/>
    </xf>
    <xf numFmtId="37" fontId="0" fillId="15" borderId="31" xfId="0" applyNumberFormat="1" applyFont="1" applyFill="1" applyBorder="1" applyAlignment="1" applyProtection="1">
      <protection locked="0"/>
    </xf>
    <xf numFmtId="37" fontId="0" fillId="15" borderId="60" xfId="0" applyNumberFormat="1" applyFont="1" applyFill="1" applyBorder="1" applyAlignment="1" applyProtection="1">
      <protection locked="0"/>
    </xf>
    <xf numFmtId="164" fontId="3" fillId="15" borderId="32" xfId="1" applyNumberFormat="1" applyFont="1" applyFill="1" applyBorder="1" applyAlignment="1" applyProtection="1">
      <alignment horizontal="right"/>
      <protection locked="0"/>
    </xf>
    <xf numFmtId="37" fontId="0" fillId="15" borderId="32" xfId="0" applyNumberFormat="1" applyFont="1" applyFill="1" applyBorder="1" applyAlignment="1" applyProtection="1">
      <protection locked="0"/>
    </xf>
    <xf numFmtId="37" fontId="0" fillId="15" borderId="32" xfId="0" applyNumberFormat="1" applyFont="1" applyFill="1" applyBorder="1" applyProtection="1">
      <protection locked="0"/>
    </xf>
    <xf numFmtId="37" fontId="0" fillId="15" borderId="63" xfId="0" applyNumberFormat="1" applyFont="1" applyFill="1" applyBorder="1" applyProtection="1">
      <protection locked="0"/>
    </xf>
    <xf numFmtId="44" fontId="1" fillId="14" borderId="25" xfId="0" applyNumberFormat="1" applyFont="1" applyFill="1" applyBorder="1" applyAlignment="1" applyProtection="1">
      <protection locked="0"/>
    </xf>
    <xf numFmtId="44" fontId="1" fillId="14" borderId="57" xfId="0" applyNumberFormat="1" applyFont="1" applyFill="1" applyBorder="1" applyAlignment="1" applyProtection="1">
      <protection locked="0"/>
    </xf>
    <xf numFmtId="164" fontId="1" fillId="14" borderId="26" xfId="1" applyNumberFormat="1" applyFont="1" applyFill="1" applyBorder="1" applyAlignment="1" applyProtection="1">
      <protection locked="0"/>
    </xf>
    <xf numFmtId="44" fontId="1" fillId="14" borderId="26" xfId="0" applyNumberFormat="1" applyFont="1" applyFill="1" applyBorder="1" applyProtection="1">
      <protection locked="0"/>
    </xf>
    <xf numFmtId="44" fontId="1" fillId="14" borderId="70" xfId="0" applyNumberFormat="1" applyFont="1" applyFill="1" applyBorder="1" applyProtection="1">
      <protection locked="0"/>
    </xf>
    <xf numFmtId="44" fontId="0" fillId="15" borderId="25" xfId="0" applyNumberFormat="1" applyFont="1" applyFill="1" applyBorder="1" applyAlignment="1" applyProtection="1">
      <protection locked="0"/>
    </xf>
    <xf numFmtId="44" fontId="0" fillId="15" borderId="57" xfId="0" applyNumberFormat="1" applyFont="1" applyFill="1" applyBorder="1" applyAlignment="1" applyProtection="1">
      <protection locked="0"/>
    </xf>
    <xf numFmtId="164" fontId="3" fillId="15" borderId="26" xfId="1" applyNumberFormat="1" applyFont="1" applyFill="1" applyBorder="1" applyAlignment="1" applyProtection="1">
      <protection locked="0"/>
    </xf>
    <xf numFmtId="44" fontId="0" fillId="15" borderId="26" xfId="0" applyNumberFormat="1" applyFont="1" applyFill="1" applyBorder="1" applyProtection="1">
      <protection locked="0"/>
    </xf>
    <xf numFmtId="44" fontId="0" fillId="15" borderId="70" xfId="0" applyNumberFormat="1" applyFont="1" applyFill="1" applyBorder="1" applyProtection="1">
      <protection locked="0"/>
    </xf>
    <xf numFmtId="44" fontId="1" fillId="14" borderId="27" xfId="0" applyNumberFormat="1" applyFont="1" applyFill="1" applyBorder="1" applyAlignment="1" applyProtection="1">
      <protection locked="0"/>
    </xf>
    <xf numFmtId="44" fontId="1" fillId="14" borderId="58" xfId="0" applyNumberFormat="1" applyFont="1" applyFill="1" applyBorder="1" applyAlignment="1" applyProtection="1">
      <protection locked="0"/>
    </xf>
    <xf numFmtId="164" fontId="1" fillId="14" borderId="28" xfId="1" applyNumberFormat="1" applyFont="1" applyFill="1" applyBorder="1" applyAlignment="1" applyProtection="1">
      <protection locked="0"/>
    </xf>
    <xf numFmtId="44" fontId="1" fillId="14" borderId="28" xfId="0" applyNumberFormat="1" applyFont="1" applyFill="1" applyBorder="1" applyProtection="1">
      <protection locked="0"/>
    </xf>
    <xf numFmtId="44" fontId="1" fillId="14" borderId="66" xfId="0" applyNumberFormat="1" applyFont="1" applyFill="1" applyBorder="1" applyProtection="1">
      <protection locked="0"/>
    </xf>
    <xf numFmtId="44" fontId="1" fillId="15" borderId="38" xfId="0" applyNumberFormat="1" applyFont="1" applyFill="1" applyBorder="1" applyAlignment="1" applyProtection="1">
      <protection locked="0"/>
    </xf>
    <xf numFmtId="44" fontId="1" fillId="15" borderId="59" xfId="0" applyNumberFormat="1" applyFont="1" applyFill="1" applyBorder="1" applyAlignment="1" applyProtection="1">
      <protection locked="0"/>
    </xf>
    <xf numFmtId="164" fontId="1" fillId="15" borderId="34" xfId="1" applyNumberFormat="1" applyFont="1" applyFill="1" applyBorder="1" applyAlignment="1" applyProtection="1">
      <protection locked="0"/>
    </xf>
    <xf numFmtId="44" fontId="1" fillId="15" borderId="34" xfId="0" applyNumberFormat="1" applyFont="1" applyFill="1" applyBorder="1" applyProtection="1">
      <protection locked="0"/>
    </xf>
    <xf numFmtId="44" fontId="1" fillId="15" borderId="68" xfId="0" applyNumberFormat="1" applyFont="1" applyFill="1" applyBorder="1" applyProtection="1">
      <protection locked="0"/>
    </xf>
    <xf numFmtId="44" fontId="1" fillId="15" borderId="29" xfId="0" applyNumberFormat="1" applyFont="1" applyFill="1" applyBorder="1" applyAlignment="1" applyProtection="1">
      <protection locked="0"/>
    </xf>
    <xf numFmtId="44" fontId="1" fillId="15" borderId="18" xfId="0" applyNumberFormat="1" applyFont="1" applyFill="1" applyBorder="1" applyAlignment="1" applyProtection="1">
      <protection locked="0"/>
    </xf>
    <xf numFmtId="164" fontId="1" fillId="15" borderId="13" xfId="1" applyNumberFormat="1" applyFont="1" applyFill="1" applyBorder="1" applyAlignment="1" applyProtection="1">
      <protection locked="0"/>
    </xf>
    <xf numFmtId="44" fontId="1" fillId="15" borderId="13" xfId="0" applyNumberFormat="1" applyFont="1" applyFill="1" applyBorder="1" applyProtection="1">
      <protection locked="0"/>
    </xf>
    <xf numFmtId="44" fontId="1" fillId="15" borderId="71" xfId="0" applyNumberFormat="1" applyFont="1" applyFill="1" applyBorder="1" applyProtection="1">
      <protection locked="0"/>
    </xf>
    <xf numFmtId="44" fontId="0" fillId="15" borderId="41" xfId="0" applyNumberFormat="1" applyFont="1" applyFill="1" applyBorder="1" applyAlignment="1" applyProtection="1">
      <protection locked="0"/>
    </xf>
    <xf numFmtId="44" fontId="0" fillId="15" borderId="61" xfId="0" applyNumberFormat="1" applyFont="1" applyFill="1" applyBorder="1" applyAlignment="1" applyProtection="1">
      <protection locked="0"/>
    </xf>
    <xf numFmtId="164" fontId="3" fillId="15" borderId="42" xfId="1" applyNumberFormat="1" applyFont="1" applyFill="1" applyBorder="1" applyAlignment="1" applyProtection="1">
      <protection locked="0"/>
    </xf>
    <xf numFmtId="44" fontId="0" fillId="15" borderId="42" xfId="0" applyNumberFormat="1" applyFont="1" applyFill="1" applyBorder="1" applyProtection="1">
      <protection locked="0"/>
    </xf>
    <xf numFmtId="44" fontId="0" fillId="15" borderId="65" xfId="0" applyNumberFormat="1" applyFont="1" applyFill="1" applyBorder="1" applyProtection="1">
      <protection locked="0"/>
    </xf>
    <xf numFmtId="44" fontId="1" fillId="15" borderId="40" xfId="0" applyNumberFormat="1" applyFont="1" applyFill="1" applyBorder="1" applyAlignment="1" applyProtection="1">
      <protection locked="0"/>
    </xf>
    <xf numFmtId="164" fontId="1" fillId="15" borderId="39" xfId="1" applyNumberFormat="1" applyFont="1" applyFill="1" applyBorder="1" applyAlignment="1" applyProtection="1">
      <protection locked="0"/>
    </xf>
    <xf numFmtId="44" fontId="1" fillId="15" borderId="39" xfId="0" applyNumberFormat="1" applyFont="1" applyFill="1" applyBorder="1" applyProtection="1">
      <protection locked="0"/>
    </xf>
    <xf numFmtId="0" fontId="0" fillId="7" borderId="0" xfId="0" applyFill="1" applyAlignment="1" applyProtection="1"/>
    <xf numFmtId="37" fontId="0" fillId="20" borderId="0" xfId="0" applyNumberFormat="1" applyFill="1" applyProtection="1"/>
    <xf numFmtId="0" fontId="0" fillId="2" borderId="0" xfId="0" applyFill="1" applyAlignment="1" applyProtection="1">
      <alignment horizontal="right" wrapText="1"/>
    </xf>
    <xf numFmtId="37" fontId="1" fillId="0" borderId="13" xfId="0" applyNumberFormat="1" applyFont="1" applyFill="1" applyBorder="1" applyProtection="1"/>
    <xf numFmtId="164" fontId="1" fillId="0" borderId="13" xfId="1" applyNumberFormat="1" applyFont="1" applyFill="1" applyBorder="1" applyProtection="1"/>
    <xf numFmtId="37" fontId="1" fillId="11" borderId="13" xfId="0" applyNumberFormat="1" applyFont="1" applyFill="1" applyBorder="1" applyProtection="1"/>
    <xf numFmtId="37" fontId="0" fillId="2" borderId="0" xfId="0" applyNumberFormat="1" applyFill="1" applyAlignment="1" applyProtection="1">
      <alignment horizontal="right"/>
    </xf>
    <xf numFmtId="0" fontId="0" fillId="2" borderId="0" xfId="0" applyFill="1" applyAlignment="1" applyProtection="1"/>
    <xf numFmtId="0" fontId="0" fillId="2" borderId="0" xfId="0" applyFont="1" applyFill="1" applyAlignment="1" applyProtection="1">
      <alignment horizontal="left"/>
    </xf>
    <xf numFmtId="39" fontId="1" fillId="0" borderId="36" xfId="0" applyNumberFormat="1" applyFont="1" applyFill="1" applyBorder="1" applyProtection="1"/>
    <xf numFmtId="164" fontId="1" fillId="0" borderId="36" xfId="1" applyNumberFormat="1" applyFont="1" applyFill="1" applyBorder="1" applyProtection="1"/>
    <xf numFmtId="39" fontId="1" fillId="11" borderId="37" xfId="0" applyNumberFormat="1" applyFont="1" applyFill="1" applyBorder="1" applyProtection="1"/>
    <xf numFmtId="39" fontId="0" fillId="18" borderId="73" xfId="0" applyNumberFormat="1" applyFill="1" applyBorder="1" applyProtection="1">
      <protection locked="0"/>
    </xf>
    <xf numFmtId="39" fontId="0" fillId="19" borderId="73" xfId="0" applyNumberFormat="1" applyFill="1" applyBorder="1" applyProtection="1">
      <protection locked="0"/>
    </xf>
    <xf numFmtId="39" fontId="0" fillId="11" borderId="73" xfId="0" applyNumberFormat="1" applyFill="1" applyBorder="1" applyProtection="1">
      <protection locked="0"/>
    </xf>
    <xf numFmtId="39" fontId="0" fillId="9" borderId="73" xfId="0" applyNumberFormat="1" applyFill="1" applyBorder="1" applyProtection="1">
      <protection locked="0"/>
    </xf>
    <xf numFmtId="37" fontId="1" fillId="0" borderId="33" xfId="0" applyNumberFormat="1" applyFont="1" applyFill="1" applyBorder="1" applyProtection="1">
      <protection locked="0"/>
    </xf>
    <xf numFmtId="164" fontId="1" fillId="0" borderId="33" xfId="1" applyNumberFormat="1" applyFont="1" applyFill="1" applyBorder="1" applyProtection="1">
      <protection locked="0"/>
    </xf>
    <xf numFmtId="37" fontId="1" fillId="11" borderId="33" xfId="0" applyNumberFormat="1" applyFont="1" applyFill="1" applyBorder="1" applyProtection="1">
      <protection locked="0"/>
    </xf>
    <xf numFmtId="39" fontId="0" fillId="18" borderId="23" xfId="0" applyNumberFormat="1" applyFill="1" applyBorder="1" applyProtection="1">
      <protection locked="0"/>
    </xf>
    <xf numFmtId="39" fontId="0" fillId="19" borderId="23" xfId="0" applyNumberFormat="1" applyFill="1" applyBorder="1" applyProtection="1">
      <protection locked="0"/>
    </xf>
    <xf numFmtId="39" fontId="0" fillId="11" borderId="23" xfId="0" applyNumberFormat="1" applyFill="1" applyBorder="1" applyProtection="1">
      <protection locked="0"/>
    </xf>
    <xf numFmtId="39" fontId="0" fillId="9" borderId="23" xfId="0" applyNumberFormat="1" applyFill="1" applyBorder="1" applyProtection="1">
      <protection locked="0"/>
    </xf>
    <xf numFmtId="164" fontId="0" fillId="2" borderId="0" xfId="1" applyNumberFormat="1" applyFont="1" applyFill="1" applyProtection="1"/>
    <xf numFmtId="39" fontId="0" fillId="11" borderId="4" xfId="0" applyNumberFormat="1" applyFill="1" applyBorder="1" applyAlignment="1" applyProtection="1">
      <alignment horizontal="right"/>
    </xf>
    <xf numFmtId="37" fontId="0" fillId="11" borderId="4" xfId="0" applyNumberFormat="1" applyFill="1" applyBorder="1" applyAlignment="1" applyProtection="1">
      <alignment horizontal="right"/>
    </xf>
    <xf numFmtId="10" fontId="0" fillId="2" borderId="0" xfId="0" applyNumberFormat="1" applyFill="1" applyProtection="1"/>
    <xf numFmtId="39" fontId="1" fillId="18" borderId="37" xfId="0" applyNumberFormat="1" applyFont="1" applyFill="1" applyBorder="1" applyProtection="1"/>
    <xf numFmtId="39" fontId="1" fillId="19" borderId="37" xfId="0" applyNumberFormat="1" applyFont="1" applyFill="1" applyBorder="1" applyProtection="1"/>
    <xf numFmtId="39" fontId="1" fillId="9" borderId="37" xfId="0" applyNumberFormat="1" applyFont="1" applyFill="1" applyBorder="1" applyProtection="1"/>
    <xf numFmtId="39" fontId="1" fillId="11" borderId="37" xfId="0" applyNumberFormat="1" applyFont="1" applyFill="1" applyBorder="1" applyAlignment="1" applyProtection="1">
      <alignment horizontal="right"/>
    </xf>
    <xf numFmtId="39" fontId="0" fillId="11" borderId="13" xfId="0" applyNumberFormat="1" applyFill="1" applyBorder="1" applyAlignment="1" applyProtection="1">
      <alignment horizontal="right"/>
    </xf>
    <xf numFmtId="37" fontId="0" fillId="2" borderId="21" xfId="0" applyNumberFormat="1" applyFill="1" applyBorder="1" applyProtection="1"/>
    <xf numFmtId="37" fontId="0" fillId="2" borderId="0" xfId="0" applyNumberFormat="1" applyFill="1" applyBorder="1" applyProtection="1"/>
    <xf numFmtId="37" fontId="0" fillId="15" borderId="4" xfId="0" applyNumberFormat="1" applyFont="1" applyFill="1" applyBorder="1" applyAlignment="1" applyProtection="1"/>
    <xf numFmtId="49" fontId="0" fillId="3" borderId="0" xfId="0" applyNumberFormat="1" applyFont="1" applyFill="1" applyAlignment="1" applyProtection="1">
      <alignment horizontal="left"/>
    </xf>
    <xf numFmtId="39" fontId="0" fillId="18" borderId="26" xfId="0" applyNumberFormat="1" applyFill="1" applyBorder="1" applyProtection="1"/>
    <xf numFmtId="39" fontId="0" fillId="19" borderId="26" xfId="0" applyNumberFormat="1" applyFill="1" applyBorder="1" applyProtection="1"/>
    <xf numFmtId="39" fontId="0" fillId="9" borderId="26" xfId="0" applyNumberFormat="1" applyFill="1" applyBorder="1" applyProtection="1"/>
    <xf numFmtId="39" fontId="0" fillId="11" borderId="26" xfId="0" applyNumberFormat="1" applyFill="1" applyBorder="1" applyAlignment="1" applyProtection="1">
      <alignment horizontal="right"/>
    </xf>
    <xf numFmtId="37" fontId="0" fillId="11" borderId="70" xfId="0" applyNumberFormat="1" applyFill="1" applyBorder="1" applyAlignment="1" applyProtection="1">
      <alignment horizontal="right"/>
    </xf>
    <xf numFmtId="39" fontId="0" fillId="18" borderId="28" xfId="0" applyNumberFormat="1" applyFill="1" applyBorder="1" applyProtection="1"/>
    <xf numFmtId="39" fontId="0" fillId="19" borderId="28" xfId="0" applyNumberFormat="1" applyFill="1" applyBorder="1" applyProtection="1"/>
    <xf numFmtId="39" fontId="0" fillId="9" borderId="28" xfId="0" applyNumberFormat="1" applyFill="1" applyBorder="1" applyProtection="1"/>
    <xf numFmtId="39" fontId="0" fillId="11" borderId="28" xfId="0" applyNumberFormat="1" applyFill="1" applyBorder="1" applyAlignment="1" applyProtection="1">
      <alignment horizontal="right"/>
    </xf>
    <xf numFmtId="37" fontId="0" fillId="11" borderId="66" xfId="0" applyNumberFormat="1" applyFill="1" applyBorder="1" applyAlignment="1" applyProtection="1">
      <alignment horizontal="right"/>
    </xf>
    <xf numFmtId="39" fontId="1" fillId="11" borderId="34" xfId="0" applyNumberFormat="1" applyFont="1" applyFill="1" applyBorder="1" applyAlignment="1" applyProtection="1">
      <alignment horizontal="right"/>
    </xf>
    <xf numFmtId="37" fontId="1" fillId="11" borderId="68" xfId="0" applyNumberFormat="1" applyFont="1" applyFill="1" applyBorder="1" applyAlignment="1" applyProtection="1">
      <alignment horizontal="right"/>
    </xf>
    <xf numFmtId="37" fontId="0" fillId="11" borderId="71" xfId="0" applyNumberFormat="1" applyFill="1" applyBorder="1" applyAlignment="1" applyProtection="1">
      <alignment horizontal="right"/>
    </xf>
    <xf numFmtId="10" fontId="0" fillId="2" borderId="22" xfId="1" applyNumberFormat="1" applyFont="1" applyFill="1" applyBorder="1" applyProtection="1"/>
    <xf numFmtId="10" fontId="0" fillId="2" borderId="21" xfId="1" applyNumberFormat="1" applyFont="1" applyFill="1" applyBorder="1" applyProtection="1"/>
    <xf numFmtId="10" fontId="0" fillId="2" borderId="0" xfId="1" applyNumberFormat="1" applyFont="1" applyFill="1" applyBorder="1" applyProtection="1"/>
    <xf numFmtId="37" fontId="0" fillId="2" borderId="15" xfId="0" applyNumberFormat="1" applyFill="1" applyBorder="1" applyProtection="1"/>
    <xf numFmtId="37" fontId="0" fillId="2" borderId="19" xfId="0" applyNumberFormat="1" applyFill="1" applyBorder="1" applyProtection="1"/>
    <xf numFmtId="39" fontId="1" fillId="18" borderId="33" xfId="0" applyNumberFormat="1" applyFont="1" applyFill="1" applyBorder="1" applyProtection="1"/>
    <xf numFmtId="39" fontId="1" fillId="19" borderId="33" xfId="0" applyNumberFormat="1" applyFont="1" applyFill="1" applyBorder="1" applyProtection="1"/>
    <xf numFmtId="39" fontId="1" fillId="9" borderId="33" xfId="0" applyNumberFormat="1" applyFont="1" applyFill="1" applyBorder="1" applyProtection="1"/>
    <xf numFmtId="39" fontId="1" fillId="11" borderId="33" xfId="0" applyNumberFormat="1" applyFont="1" applyFill="1" applyBorder="1" applyAlignment="1" applyProtection="1">
      <alignment horizontal="right"/>
    </xf>
    <xf numFmtId="39" fontId="1" fillId="18" borderId="23" xfId="0" applyNumberFormat="1" applyFont="1" applyFill="1" applyBorder="1" applyProtection="1"/>
    <xf numFmtId="39" fontId="1" fillId="19" borderId="23" xfId="0" applyNumberFormat="1" applyFont="1" applyFill="1" applyBorder="1" applyProtection="1"/>
    <xf numFmtId="39" fontId="1" fillId="9" borderId="23" xfId="0" applyNumberFormat="1" applyFont="1" applyFill="1" applyBorder="1" applyProtection="1"/>
    <xf numFmtId="39" fontId="1" fillId="11" borderId="23" xfId="0" applyNumberFormat="1" applyFont="1" applyFill="1" applyBorder="1" applyAlignment="1" applyProtection="1">
      <alignment horizontal="right"/>
    </xf>
    <xf numFmtId="39" fontId="0" fillId="11" borderId="4" xfId="0" applyNumberFormat="1" applyFill="1" applyBorder="1" applyAlignment="1" applyProtection="1">
      <alignment horizontal="right"/>
      <protection locked="0"/>
    </xf>
    <xf numFmtId="37" fontId="0" fillId="11" borderId="4" xfId="0" applyNumberFormat="1" applyFill="1" applyBorder="1" applyAlignment="1" applyProtection="1">
      <alignment horizontal="right"/>
      <protection locked="0"/>
    </xf>
    <xf numFmtId="39" fontId="0" fillId="11" borderId="9" xfId="0" applyNumberFormat="1" applyFill="1" applyBorder="1" applyAlignment="1" applyProtection="1">
      <alignment horizontal="right"/>
      <protection locked="0"/>
    </xf>
    <xf numFmtId="37" fontId="0" fillId="11" borderId="9" xfId="0" applyNumberFormat="1" applyFill="1" applyBorder="1" applyAlignment="1" applyProtection="1">
      <alignment horizontal="right"/>
      <protection locked="0"/>
    </xf>
    <xf numFmtId="39" fontId="1" fillId="11" borderId="34" xfId="0" applyNumberFormat="1" applyFont="1" applyFill="1" applyBorder="1" applyAlignment="1" applyProtection="1">
      <alignment horizontal="right"/>
      <protection locked="0"/>
    </xf>
    <xf numFmtId="37" fontId="1" fillId="11" borderId="34" xfId="0" applyNumberFormat="1" applyFont="1" applyFill="1" applyBorder="1" applyAlignment="1" applyProtection="1">
      <alignment horizontal="right"/>
      <protection locked="0"/>
    </xf>
    <xf numFmtId="39" fontId="0" fillId="11" borderId="13" xfId="0" applyNumberFormat="1" applyFill="1" applyBorder="1" applyAlignment="1" applyProtection="1">
      <alignment horizontal="right"/>
      <protection locked="0"/>
    </xf>
    <xf numFmtId="37" fontId="0" fillId="11" borderId="13" xfId="0" applyNumberFormat="1" applyFill="1" applyBorder="1" applyAlignment="1" applyProtection="1">
      <alignment horizontal="right"/>
      <protection locked="0"/>
    </xf>
    <xf numFmtId="39" fontId="1" fillId="11" borderId="12" xfId="0" applyNumberFormat="1" applyFont="1" applyFill="1" applyBorder="1" applyAlignment="1" applyProtection="1">
      <alignment horizontal="right"/>
      <protection locked="0"/>
    </xf>
    <xf numFmtId="37" fontId="1" fillId="11" borderId="12" xfId="0" applyNumberFormat="1" applyFont="1" applyFill="1" applyBorder="1" applyAlignment="1" applyProtection="1">
      <alignment horizontal="right"/>
      <protection locked="0"/>
    </xf>
    <xf numFmtId="39" fontId="1" fillId="11" borderId="11" xfId="0" applyNumberFormat="1" applyFont="1" applyFill="1" applyBorder="1" applyAlignment="1" applyProtection="1">
      <alignment horizontal="right"/>
      <protection locked="0"/>
    </xf>
    <xf numFmtId="37" fontId="1" fillId="11" borderId="11" xfId="0" applyNumberFormat="1" applyFont="1" applyFill="1" applyBorder="1" applyAlignment="1" applyProtection="1">
      <alignment horizontal="right"/>
      <protection locked="0"/>
    </xf>
    <xf numFmtId="39" fontId="1" fillId="18" borderId="37" xfId="0" applyNumberFormat="1" applyFont="1" applyFill="1" applyBorder="1" applyProtection="1">
      <protection locked="0"/>
    </xf>
    <xf numFmtId="39" fontId="1" fillId="19" borderId="37" xfId="0" applyNumberFormat="1" applyFont="1" applyFill="1" applyBorder="1" applyProtection="1">
      <protection locked="0"/>
    </xf>
    <xf numFmtId="39" fontId="1" fillId="9" borderId="37" xfId="0" applyNumberFormat="1" applyFont="1" applyFill="1" applyBorder="1" applyProtection="1">
      <protection locked="0"/>
    </xf>
    <xf numFmtId="39" fontId="1" fillId="11" borderId="37" xfId="0" applyNumberFormat="1" applyFont="1" applyFill="1" applyBorder="1" applyAlignment="1" applyProtection="1">
      <alignment horizontal="right"/>
      <protection locked="0"/>
    </xf>
    <xf numFmtId="37" fontId="1" fillId="11" borderId="37" xfId="0" applyNumberFormat="1" applyFont="1" applyFill="1" applyBorder="1" applyAlignment="1" applyProtection="1">
      <alignment horizontal="right"/>
      <protection locked="0"/>
    </xf>
    <xf numFmtId="166" fontId="1" fillId="11" borderId="37" xfId="0" applyNumberFormat="1" applyFont="1" applyFill="1" applyBorder="1" applyAlignment="1" applyProtection="1">
      <alignment horizontal="right"/>
      <protection locked="0"/>
    </xf>
    <xf numFmtId="37" fontId="1" fillId="0" borderId="21" xfId="0" applyNumberFormat="1" applyFont="1" applyFill="1" applyBorder="1" applyProtection="1">
      <protection locked="0"/>
    </xf>
    <xf numFmtId="37" fontId="1" fillId="0" borderId="0" xfId="0" applyNumberFormat="1" applyFont="1" applyFill="1" applyBorder="1" applyProtection="1">
      <protection locked="0"/>
    </xf>
    <xf numFmtId="164" fontId="1" fillId="0" borderId="22" xfId="1" applyNumberFormat="1" applyFont="1" applyFill="1" applyBorder="1" applyProtection="1">
      <protection locked="0"/>
    </xf>
    <xf numFmtId="164" fontId="1" fillId="0" borderId="0" xfId="1" applyNumberFormat="1" applyFont="1" applyFill="1" applyBorder="1" applyProtection="1">
      <protection locked="0"/>
    </xf>
    <xf numFmtId="37" fontId="1" fillId="11" borderId="22" xfId="0" applyNumberFormat="1" applyFont="1" applyFill="1" applyBorder="1" applyProtection="1">
      <protection locked="0"/>
    </xf>
    <xf numFmtId="39" fontId="1" fillId="18" borderId="33" xfId="0" applyNumberFormat="1" applyFont="1" applyFill="1" applyBorder="1" applyProtection="1">
      <protection locked="0"/>
    </xf>
    <xf numFmtId="39" fontId="1" fillId="19" borderId="33" xfId="0" applyNumberFormat="1" applyFont="1" applyFill="1" applyBorder="1" applyProtection="1">
      <protection locked="0"/>
    </xf>
    <xf numFmtId="39" fontId="1" fillId="9" borderId="33" xfId="0" applyNumberFormat="1" applyFont="1" applyFill="1" applyBorder="1" applyProtection="1">
      <protection locked="0"/>
    </xf>
    <xf numFmtId="39" fontId="1" fillId="11" borderId="33" xfId="0" applyNumberFormat="1" applyFont="1" applyFill="1" applyBorder="1" applyAlignment="1" applyProtection="1">
      <alignment horizontal="right"/>
      <protection locked="0"/>
    </xf>
    <xf numFmtId="37" fontId="1" fillId="11" borderId="33" xfId="0" applyNumberFormat="1" applyFont="1" applyFill="1" applyBorder="1" applyAlignment="1" applyProtection="1">
      <alignment horizontal="right"/>
      <protection locked="0"/>
    </xf>
    <xf numFmtId="37" fontId="0" fillId="2" borderId="0" xfId="0" applyNumberFormat="1" applyFill="1" applyProtection="1">
      <protection locked="0"/>
    </xf>
    <xf numFmtId="39" fontId="1" fillId="18" borderId="23" xfId="0" applyNumberFormat="1" applyFont="1" applyFill="1" applyBorder="1" applyProtection="1">
      <protection locked="0"/>
    </xf>
    <xf numFmtId="39" fontId="1" fillId="19" borderId="23" xfId="0" applyNumberFormat="1" applyFont="1" applyFill="1" applyBorder="1" applyProtection="1">
      <protection locked="0"/>
    </xf>
    <xf numFmtId="39" fontId="1" fillId="9" borderId="23" xfId="0" applyNumberFormat="1" applyFont="1" applyFill="1" applyBorder="1" applyProtection="1">
      <protection locked="0"/>
    </xf>
    <xf numFmtId="39" fontId="1" fillId="11" borderId="23" xfId="0" applyNumberFormat="1" applyFont="1" applyFill="1" applyBorder="1" applyAlignment="1" applyProtection="1">
      <alignment horizontal="right"/>
      <protection locked="0"/>
    </xf>
    <xf numFmtId="37" fontId="1" fillId="11" borderId="23" xfId="0" applyNumberFormat="1" applyFont="1" applyFill="1" applyBorder="1" applyAlignment="1" applyProtection="1">
      <alignment horizontal="right"/>
      <protection locked="0"/>
    </xf>
    <xf numFmtId="37" fontId="0" fillId="0" borderId="31" xfId="0" applyNumberFormat="1" applyFill="1" applyBorder="1" applyProtection="1">
      <protection locked="0"/>
    </xf>
    <xf numFmtId="164" fontId="0" fillId="0" borderId="32" xfId="1" applyNumberFormat="1" applyFont="1" applyFill="1" applyBorder="1" applyProtection="1">
      <protection locked="0"/>
    </xf>
    <xf numFmtId="0" fontId="0" fillId="2" borderId="64" xfId="0" applyFill="1" applyBorder="1" applyProtection="1">
      <protection locked="0"/>
    </xf>
    <xf numFmtId="37" fontId="0" fillId="11" borderId="32" xfId="0" applyNumberFormat="1" applyFill="1" applyBorder="1" applyProtection="1">
      <protection locked="0"/>
    </xf>
    <xf numFmtId="37" fontId="0" fillId="11" borderId="63" xfId="0" applyNumberFormat="1" applyFill="1" applyBorder="1" applyProtection="1">
      <protection locked="0"/>
    </xf>
    <xf numFmtId="39" fontId="0" fillId="18" borderId="26" xfId="0" applyNumberFormat="1" applyFill="1" applyBorder="1" applyProtection="1">
      <protection locked="0"/>
    </xf>
    <xf numFmtId="39" fontId="0" fillId="19" borderId="26" xfId="0" applyNumberFormat="1" applyFill="1" applyBorder="1" applyProtection="1">
      <protection locked="0"/>
    </xf>
    <xf numFmtId="39" fontId="0" fillId="9" borderId="26" xfId="0" applyNumberFormat="1" applyFill="1" applyBorder="1" applyProtection="1">
      <protection locked="0"/>
    </xf>
    <xf numFmtId="39" fontId="0" fillId="11" borderId="26" xfId="0" applyNumberFormat="1" applyFill="1" applyBorder="1" applyAlignment="1" applyProtection="1">
      <alignment horizontal="right"/>
      <protection locked="0"/>
    </xf>
    <xf numFmtId="37" fontId="0" fillId="11" borderId="70" xfId="0" applyNumberFormat="1" applyFill="1" applyBorder="1" applyAlignment="1" applyProtection="1">
      <alignment horizontal="right"/>
      <protection locked="0"/>
    </xf>
    <xf numFmtId="37" fontId="0" fillId="0" borderId="27" xfId="0" applyNumberFormat="1" applyFill="1" applyBorder="1" applyProtection="1">
      <protection locked="0"/>
    </xf>
    <xf numFmtId="164" fontId="0" fillId="0" borderId="28" xfId="1" applyNumberFormat="1" applyFont="1" applyFill="1" applyBorder="1" applyProtection="1">
      <protection locked="0"/>
    </xf>
    <xf numFmtId="37" fontId="0" fillId="11" borderId="28" xfId="0" applyNumberFormat="1" applyFill="1" applyBorder="1" applyProtection="1">
      <protection locked="0"/>
    </xf>
    <xf numFmtId="37" fontId="0" fillId="11" borderId="66" xfId="0" applyNumberFormat="1" applyFill="1" applyBorder="1" applyProtection="1">
      <protection locked="0"/>
    </xf>
    <xf numFmtId="39" fontId="0" fillId="18" borderId="28" xfId="0" applyNumberFormat="1" applyFill="1" applyBorder="1" applyProtection="1">
      <protection locked="0"/>
    </xf>
    <xf numFmtId="39" fontId="0" fillId="19" borderId="28" xfId="0" applyNumberFormat="1" applyFill="1" applyBorder="1" applyProtection="1">
      <protection locked="0"/>
    </xf>
    <xf numFmtId="39" fontId="0" fillId="9" borderId="28" xfId="0" applyNumberFormat="1" applyFill="1" applyBorder="1" applyProtection="1">
      <protection locked="0"/>
    </xf>
    <xf numFmtId="39" fontId="0" fillId="11" borderId="28" xfId="0" applyNumberFormat="1" applyFill="1" applyBorder="1" applyAlignment="1" applyProtection="1">
      <alignment horizontal="right"/>
      <protection locked="0"/>
    </xf>
    <xf numFmtId="37" fontId="0" fillId="11" borderId="66" xfId="0" applyNumberFormat="1" applyFill="1" applyBorder="1" applyAlignment="1" applyProtection="1">
      <alignment horizontal="right"/>
      <protection locked="0"/>
    </xf>
    <xf numFmtId="37" fontId="1" fillId="0" borderId="38" xfId="0" applyNumberFormat="1" applyFont="1" applyFill="1" applyBorder="1" applyProtection="1">
      <protection locked="0"/>
    </xf>
    <xf numFmtId="37" fontId="1" fillId="11" borderId="68" xfId="0" applyNumberFormat="1" applyFont="1" applyFill="1" applyBorder="1" applyProtection="1">
      <protection locked="0"/>
    </xf>
    <xf numFmtId="37" fontId="1" fillId="11" borderId="68" xfId="0" applyNumberFormat="1" applyFont="1" applyFill="1" applyBorder="1" applyAlignment="1" applyProtection="1">
      <alignment horizontal="right"/>
      <protection locked="0"/>
    </xf>
    <xf numFmtId="37" fontId="0" fillId="0" borderId="41" xfId="0" applyNumberFormat="1" applyFill="1" applyBorder="1" applyProtection="1">
      <protection locked="0"/>
    </xf>
    <xf numFmtId="164" fontId="0" fillId="0" borderId="42" xfId="1" applyNumberFormat="1" applyFont="1" applyFill="1" applyBorder="1" applyProtection="1">
      <protection locked="0"/>
    </xf>
    <xf numFmtId="0" fontId="0" fillId="2" borderId="0" xfId="0" applyFill="1" applyBorder="1" applyProtection="1">
      <protection locked="0"/>
    </xf>
    <xf numFmtId="37" fontId="0" fillId="11" borderId="42" xfId="0" applyNumberFormat="1" applyFill="1" applyBorder="1" applyProtection="1">
      <protection locked="0"/>
    </xf>
    <xf numFmtId="37" fontId="0" fillId="11" borderId="65" xfId="0" applyNumberFormat="1" applyFill="1" applyBorder="1" applyProtection="1">
      <protection locked="0"/>
    </xf>
    <xf numFmtId="37" fontId="0" fillId="11" borderId="71" xfId="0" applyNumberFormat="1" applyFill="1" applyBorder="1" applyAlignment="1" applyProtection="1">
      <alignment horizontal="right"/>
      <protection locked="0"/>
    </xf>
    <xf numFmtId="37" fontId="1" fillId="0" borderId="43" xfId="0" applyNumberFormat="1" applyFont="1" applyFill="1" applyBorder="1" applyProtection="1">
      <protection locked="0"/>
    </xf>
    <xf numFmtId="37" fontId="1" fillId="11" borderId="69" xfId="0" applyNumberFormat="1" applyFont="1" applyFill="1" applyBorder="1" applyProtection="1">
      <protection locked="0"/>
    </xf>
    <xf numFmtId="37" fontId="1" fillId="11" borderId="69" xfId="0" applyNumberFormat="1" applyFont="1" applyFill="1" applyBorder="1" applyAlignment="1" applyProtection="1">
      <alignment horizontal="right"/>
      <protection locked="0"/>
    </xf>
    <xf numFmtId="0" fontId="15" fillId="2" borderId="0" xfId="0" applyFont="1" applyFill="1" applyProtection="1"/>
    <xf numFmtId="0" fontId="20" fillId="2" borderId="0" xfId="0" applyFont="1" applyFill="1" applyProtection="1"/>
    <xf numFmtId="0" fontId="0" fillId="10" borderId="0" xfId="0" applyFill="1" applyProtection="1"/>
    <xf numFmtId="0" fontId="19" fillId="2" borderId="0" xfId="0" applyFont="1" applyFill="1" applyAlignment="1" applyProtection="1">
      <alignment horizontal="left" indent="1"/>
    </xf>
    <xf numFmtId="39" fontId="0" fillId="0" borderId="4" xfId="0" applyNumberFormat="1" applyFill="1" applyBorder="1" applyProtection="1"/>
    <xf numFmtId="0" fontId="1" fillId="2" borderId="0" xfId="0" applyFont="1" applyFill="1" applyAlignment="1" applyProtection="1">
      <alignment horizontal="left" indent="2"/>
    </xf>
    <xf numFmtId="0" fontId="0" fillId="3" borderId="0" xfId="0" applyNumberFormat="1" applyFill="1" applyAlignment="1" applyProtection="1">
      <alignment horizontal="left"/>
    </xf>
    <xf numFmtId="44" fontId="1" fillId="0" borderId="4" xfId="7" applyFont="1" applyFill="1" applyBorder="1" applyProtection="1">
      <protection locked="0"/>
    </xf>
    <xf numFmtId="44" fontId="1" fillId="11" borderId="4" xfId="7" applyFont="1" applyFill="1" applyBorder="1" applyProtection="1">
      <protection locked="0"/>
    </xf>
    <xf numFmtId="44" fontId="19" fillId="2" borderId="15" xfId="7" applyFont="1" applyFill="1" applyBorder="1" applyProtection="1">
      <protection locked="0"/>
    </xf>
    <xf numFmtId="44" fontId="19" fillId="2" borderId="19" xfId="7" applyFont="1" applyFill="1" applyBorder="1" applyProtection="1">
      <protection locked="0"/>
    </xf>
    <xf numFmtId="44" fontId="19" fillId="2" borderId="16" xfId="7" applyFont="1" applyFill="1" applyBorder="1" applyProtection="1">
      <protection locked="0"/>
    </xf>
    <xf numFmtId="0" fontId="19" fillId="2" borderId="17" xfId="0" applyFont="1" applyFill="1" applyBorder="1" applyProtection="1">
      <protection locked="0"/>
    </xf>
    <xf numFmtId="0" fontId="19" fillId="2" borderId="20" xfId="0" applyFont="1" applyFill="1" applyBorder="1" applyProtection="1">
      <protection locked="0"/>
    </xf>
    <xf numFmtId="0" fontId="19" fillId="2" borderId="18" xfId="0" applyFont="1" applyFill="1" applyBorder="1" applyProtection="1">
      <protection locked="0"/>
    </xf>
    <xf numFmtId="0" fontId="19" fillId="2" borderId="0" xfId="0" applyFont="1" applyFill="1" applyProtection="1">
      <protection locked="0"/>
    </xf>
    <xf numFmtId="44" fontId="19" fillId="2" borderId="21" xfId="7" applyFont="1" applyFill="1" applyBorder="1" applyProtection="1">
      <protection locked="0"/>
    </xf>
    <xf numFmtId="44" fontId="19" fillId="2" borderId="0" xfId="7" applyFont="1" applyFill="1" applyBorder="1" applyProtection="1">
      <protection locked="0"/>
    </xf>
    <xf numFmtId="44" fontId="19" fillId="2" borderId="22" xfId="7" applyFont="1" applyFill="1" applyBorder="1" applyProtection="1">
      <protection locked="0"/>
    </xf>
    <xf numFmtId="37" fontId="1" fillId="0" borderId="4" xfId="0" applyNumberFormat="1" applyFont="1" applyFill="1" applyBorder="1" applyProtection="1">
      <protection locked="0"/>
    </xf>
    <xf numFmtId="164" fontId="1" fillId="0" borderId="4" xfId="1" applyNumberFormat="1" applyFont="1" applyFill="1" applyBorder="1" applyProtection="1">
      <protection locked="0"/>
    </xf>
    <xf numFmtId="37" fontId="1" fillId="11" borderId="4" xfId="0" applyNumberFormat="1" applyFont="1" applyFill="1" applyBorder="1" applyProtection="1">
      <protection locked="0"/>
    </xf>
    <xf numFmtId="39" fontId="0" fillId="0" borderId="4" xfId="0" applyNumberFormat="1" applyFill="1" applyBorder="1" applyProtection="1">
      <protection locked="0"/>
    </xf>
    <xf numFmtId="39" fontId="0" fillId="0" borderId="4" xfId="1" applyNumberFormat="1" applyFont="1" applyFill="1" applyBorder="1" applyProtection="1">
      <protection locked="0"/>
    </xf>
    <xf numFmtId="37" fontId="0" fillId="2" borderId="21" xfId="0" applyNumberFormat="1" applyFill="1" applyBorder="1" applyProtection="1">
      <protection locked="0"/>
    </xf>
    <xf numFmtId="37" fontId="0" fillId="2" borderId="0" xfId="0" applyNumberFormat="1" applyFill="1" applyBorder="1" applyProtection="1">
      <protection locked="0"/>
    </xf>
    <xf numFmtId="0" fontId="0" fillId="2" borderId="21" xfId="0" applyFill="1" applyBorder="1" applyProtection="1">
      <protection locked="0"/>
    </xf>
    <xf numFmtId="10" fontId="0" fillId="2" borderId="22" xfId="1" applyNumberFormat="1" applyFont="1" applyFill="1" applyBorder="1" applyProtection="1">
      <protection locked="0"/>
    </xf>
    <xf numFmtId="10" fontId="0" fillId="2" borderId="21" xfId="1" applyNumberFormat="1" applyFont="1" applyFill="1" applyBorder="1" applyProtection="1">
      <protection locked="0"/>
    </xf>
    <xf numFmtId="10" fontId="0" fillId="2" borderId="0" xfId="1" applyNumberFormat="1" applyFont="1" applyFill="1" applyBorder="1" applyProtection="1">
      <protection locked="0"/>
    </xf>
    <xf numFmtId="0" fontId="13" fillId="13" borderId="44" xfId="0" applyNumberFormat="1" applyFont="1" applyFill="1" applyBorder="1" applyAlignment="1" applyProtection="1">
      <alignment horizontal="center"/>
      <protection locked="0"/>
    </xf>
    <xf numFmtId="0" fontId="13" fillId="13" borderId="45" xfId="0" applyNumberFormat="1" applyFont="1" applyFill="1" applyBorder="1" applyAlignment="1" applyProtection="1">
      <alignment horizontal="center"/>
      <protection locked="0"/>
    </xf>
    <xf numFmtId="0" fontId="13" fillId="13" borderId="46" xfId="0" applyNumberFormat="1" applyFont="1" applyFill="1" applyBorder="1" applyAlignment="1" applyProtection="1">
      <alignment horizontal="center"/>
      <protection locked="0"/>
    </xf>
    <xf numFmtId="164" fontId="1" fillId="11" borderId="4" xfId="1" applyNumberFormat="1" applyFont="1" applyFill="1" applyBorder="1" applyProtection="1">
      <protection locked="0"/>
    </xf>
    <xf numFmtId="0" fontId="0" fillId="8" borderId="2" xfId="0" applyFill="1" applyBorder="1" applyProtection="1"/>
    <xf numFmtId="39" fontId="0" fillId="18" borderId="14" xfId="0" applyNumberFormat="1" applyFill="1" applyBorder="1" applyProtection="1"/>
    <xf numFmtId="39" fontId="0" fillId="19" borderId="14" xfId="0" applyNumberFormat="1" applyFill="1" applyBorder="1" applyProtection="1"/>
    <xf numFmtId="39" fontId="0" fillId="9" borderId="14" xfId="0" applyNumberFormat="1" applyFill="1" applyBorder="1" applyProtection="1"/>
    <xf numFmtId="39" fontId="0" fillId="11" borderId="14" xfId="0" applyNumberFormat="1" applyFill="1" applyBorder="1" applyAlignment="1" applyProtection="1">
      <alignment horizontal="right"/>
    </xf>
    <xf numFmtId="37" fontId="0" fillId="11" borderId="67" xfId="0" applyNumberFormat="1" applyFill="1" applyBorder="1" applyAlignment="1" applyProtection="1">
      <alignment horizontal="right"/>
    </xf>
    <xf numFmtId="0" fontId="0" fillId="2" borderId="72" xfId="0" applyFill="1" applyBorder="1" applyProtection="1">
      <protection locked="0"/>
    </xf>
    <xf numFmtId="0" fontId="0" fillId="2" borderId="62" xfId="0" applyFill="1" applyBorder="1" applyProtection="1">
      <protection locked="0"/>
    </xf>
    <xf numFmtId="37" fontId="0" fillId="0" borderId="30" xfId="0" applyNumberFormat="1" applyFill="1" applyBorder="1" applyProtection="1">
      <protection locked="0"/>
    </xf>
    <xf numFmtId="37" fontId="0" fillId="11" borderId="67" xfId="0" applyNumberFormat="1" applyFill="1" applyBorder="1" applyProtection="1">
      <protection locked="0"/>
    </xf>
    <xf numFmtId="39" fontId="0" fillId="18" borderId="14" xfId="0" applyNumberFormat="1" applyFill="1" applyBorder="1" applyProtection="1">
      <protection locked="0"/>
    </xf>
    <xf numFmtId="39" fontId="0" fillId="19" borderId="14" xfId="0" applyNumberFormat="1" applyFill="1" applyBorder="1" applyProtection="1">
      <protection locked="0"/>
    </xf>
    <xf numFmtId="39" fontId="0" fillId="9" borderId="14" xfId="0" applyNumberFormat="1" applyFill="1" applyBorder="1" applyProtection="1">
      <protection locked="0"/>
    </xf>
    <xf numFmtId="39" fontId="0" fillId="11" borderId="14" xfId="0" applyNumberFormat="1" applyFill="1" applyBorder="1" applyAlignment="1" applyProtection="1">
      <alignment horizontal="right"/>
      <protection locked="0"/>
    </xf>
    <xf numFmtId="37" fontId="0" fillId="11" borderId="67" xfId="0" applyNumberFormat="1" applyFill="1" applyBorder="1" applyAlignment="1" applyProtection="1">
      <alignment horizontal="right"/>
      <protection locked="0"/>
    </xf>
    <xf numFmtId="39" fontId="1" fillId="18" borderId="24" xfId="0" applyNumberFormat="1" applyFont="1" applyFill="1" applyBorder="1" applyProtection="1">
      <protection locked="0"/>
    </xf>
    <xf numFmtId="39" fontId="1" fillId="19" borderId="24" xfId="0" applyNumberFormat="1" applyFont="1" applyFill="1" applyBorder="1" applyProtection="1">
      <protection locked="0"/>
    </xf>
    <xf numFmtId="39" fontId="1" fillId="9" borderId="24" xfId="0" applyNumberFormat="1" applyFont="1" applyFill="1" applyBorder="1" applyProtection="1">
      <protection locked="0"/>
    </xf>
    <xf numFmtId="39" fontId="1" fillId="11" borderId="24" xfId="0" applyNumberFormat="1" applyFont="1" applyFill="1" applyBorder="1" applyAlignment="1" applyProtection="1">
      <alignment horizontal="right"/>
      <protection locked="0"/>
    </xf>
    <xf numFmtId="37" fontId="1" fillId="11" borderId="24" xfId="0" applyNumberFormat="1" applyFont="1" applyFill="1" applyBorder="1" applyAlignment="1" applyProtection="1">
      <alignment horizontal="right"/>
      <protection locked="0"/>
    </xf>
    <xf numFmtId="0" fontId="0" fillId="3" borderId="0" xfId="0" applyNumberFormat="1" applyFont="1" applyFill="1" applyAlignment="1" applyProtection="1">
      <alignment horizontal="left"/>
    </xf>
    <xf numFmtId="37" fontId="1" fillId="11" borderId="76" xfId="0" applyNumberFormat="1" applyFont="1" applyFill="1" applyBorder="1" applyAlignment="1" applyProtection="1">
      <alignment horizontal="right"/>
    </xf>
    <xf numFmtId="37" fontId="1" fillId="11" borderId="77" xfId="0" applyNumberFormat="1" applyFont="1" applyFill="1" applyBorder="1" applyAlignment="1" applyProtection="1">
      <alignment horizontal="right"/>
    </xf>
    <xf numFmtId="37" fontId="1" fillId="11" borderId="78" xfId="0" applyNumberFormat="1" applyFont="1" applyFill="1" applyBorder="1" applyAlignment="1" applyProtection="1">
      <alignment horizontal="right"/>
    </xf>
    <xf numFmtId="37" fontId="1" fillId="11" borderId="76" xfId="0" applyNumberFormat="1" applyFont="1" applyFill="1" applyBorder="1" applyAlignment="1" applyProtection="1">
      <alignment horizontal="right"/>
      <protection locked="0"/>
    </xf>
    <xf numFmtId="37" fontId="1" fillId="11" borderId="77" xfId="0" applyNumberFormat="1" applyFont="1" applyFill="1" applyBorder="1" applyAlignment="1" applyProtection="1">
      <alignment horizontal="right"/>
      <protection locked="0"/>
    </xf>
    <xf numFmtId="37" fontId="1" fillId="11" borderId="78" xfId="0" applyNumberFormat="1" applyFont="1" applyFill="1" applyBorder="1" applyAlignment="1" applyProtection="1">
      <alignment horizontal="right"/>
      <protection locked="0"/>
    </xf>
    <xf numFmtId="37" fontId="1" fillId="0" borderId="14" xfId="0" applyNumberFormat="1" applyFont="1" applyFill="1" applyBorder="1" applyProtection="1">
      <protection locked="0"/>
    </xf>
    <xf numFmtId="164" fontId="1" fillId="0" borderId="14" xfId="1" applyNumberFormat="1" applyFont="1" applyFill="1" applyBorder="1" applyProtection="1">
      <protection locked="0"/>
    </xf>
    <xf numFmtId="0" fontId="1" fillId="2" borderId="0" xfId="0" applyFont="1" applyFill="1" applyBorder="1" applyProtection="1">
      <protection locked="0"/>
    </xf>
    <xf numFmtId="37" fontId="1" fillId="11" borderId="14" xfId="0" applyNumberFormat="1" applyFont="1" applyFill="1" applyBorder="1" applyProtection="1">
      <protection locked="0"/>
    </xf>
    <xf numFmtId="39" fontId="1" fillId="18" borderId="14" xfId="0" applyNumberFormat="1" applyFont="1" applyFill="1" applyBorder="1" applyProtection="1">
      <protection locked="0"/>
    </xf>
    <xf numFmtId="39" fontId="1" fillId="19" borderId="14" xfId="0" applyNumberFormat="1" applyFont="1" applyFill="1" applyBorder="1" applyProtection="1">
      <protection locked="0"/>
    </xf>
    <xf numFmtId="39" fontId="1" fillId="9" borderId="14" xfId="0" applyNumberFormat="1" applyFont="1" applyFill="1" applyBorder="1" applyProtection="1">
      <protection locked="0"/>
    </xf>
    <xf numFmtId="39" fontId="1" fillId="11" borderId="14" xfId="0" applyNumberFormat="1" applyFont="1" applyFill="1" applyBorder="1" applyAlignment="1" applyProtection="1">
      <alignment horizontal="right"/>
      <protection locked="0"/>
    </xf>
    <xf numFmtId="37" fontId="1" fillId="11" borderId="67" xfId="0" applyNumberFormat="1" applyFont="1" applyFill="1" applyBorder="1" applyAlignment="1" applyProtection="1">
      <alignment horizontal="right"/>
      <protection locked="0"/>
    </xf>
    <xf numFmtId="39" fontId="0" fillId="18" borderId="33" xfId="0" applyNumberFormat="1" applyFill="1" applyBorder="1" applyProtection="1">
      <protection locked="0"/>
    </xf>
    <xf numFmtId="39" fontId="0" fillId="19" borderId="33" xfId="0" applyNumberFormat="1" applyFill="1" applyBorder="1" applyProtection="1">
      <protection locked="0"/>
    </xf>
    <xf numFmtId="39" fontId="0" fillId="9" borderId="33" xfId="0" applyNumberFormat="1" applyFill="1" applyBorder="1" applyProtection="1">
      <protection locked="0"/>
    </xf>
    <xf numFmtId="39" fontId="0" fillId="11" borderId="33" xfId="0" applyNumberFormat="1" applyFill="1" applyBorder="1" applyAlignment="1" applyProtection="1">
      <alignment horizontal="right"/>
      <protection locked="0"/>
    </xf>
    <xf numFmtId="37" fontId="0" fillId="11" borderId="76" xfId="0" applyNumberFormat="1" applyFill="1" applyBorder="1" applyAlignment="1" applyProtection="1">
      <alignment horizontal="right"/>
      <protection locked="0"/>
    </xf>
    <xf numFmtId="37" fontId="0" fillId="0" borderId="25" xfId="0" applyNumberFormat="1" applyFill="1" applyBorder="1" applyProtection="1">
      <protection locked="0"/>
    </xf>
    <xf numFmtId="37" fontId="0" fillId="0" borderId="26" xfId="0" applyNumberFormat="1" applyFill="1" applyBorder="1" applyProtection="1">
      <protection locked="0"/>
    </xf>
    <xf numFmtId="164" fontId="0" fillId="0" borderId="26" xfId="1" applyNumberFormat="1" applyFont="1" applyFill="1" applyBorder="1" applyProtection="1">
      <protection locked="0"/>
    </xf>
    <xf numFmtId="37" fontId="0" fillId="11" borderId="26" xfId="0" applyNumberFormat="1" applyFill="1" applyBorder="1" applyProtection="1">
      <protection locked="0"/>
    </xf>
    <xf numFmtId="37" fontId="0" fillId="11" borderId="70" xfId="0" applyNumberFormat="1" applyFill="1" applyBorder="1" applyProtection="1">
      <protection locked="0"/>
    </xf>
    <xf numFmtId="37" fontId="0" fillId="0" borderId="29" xfId="0" applyNumberFormat="1" applyFill="1" applyBorder="1" applyProtection="1">
      <protection locked="0"/>
    </xf>
    <xf numFmtId="37" fontId="0" fillId="11" borderId="71" xfId="0" applyNumberFormat="1" applyFill="1" applyBorder="1" applyProtection="1">
      <protection locked="0"/>
    </xf>
    <xf numFmtId="0" fontId="1" fillId="22" borderId="0" xfId="0" applyFont="1" applyFill="1" applyAlignment="1" applyProtection="1">
      <alignment horizontal="left" indent="1"/>
    </xf>
    <xf numFmtId="1" fontId="1" fillId="22" borderId="0" xfId="0" applyNumberFormat="1" applyFont="1" applyFill="1" applyProtection="1"/>
    <xf numFmtId="0" fontId="0" fillId="2" borderId="0" xfId="0" applyFont="1" applyFill="1" applyProtection="1"/>
    <xf numFmtId="0" fontId="0" fillId="2" borderId="0" xfId="0" applyFont="1" applyFill="1" applyAlignment="1" applyProtection="1">
      <alignment horizontal="left" indent="2"/>
    </xf>
    <xf numFmtId="0" fontId="1" fillId="2" borderId="87" xfId="0" applyFont="1" applyFill="1" applyBorder="1" applyAlignment="1" applyProtection="1">
      <alignment horizontal="left"/>
    </xf>
    <xf numFmtId="37" fontId="1" fillId="0" borderId="88" xfId="0" applyNumberFormat="1" applyFont="1" applyFill="1" applyBorder="1" applyProtection="1">
      <protection locked="0"/>
    </xf>
    <xf numFmtId="37" fontId="1" fillId="0" borderId="89" xfId="0" applyNumberFormat="1" applyFont="1" applyFill="1" applyBorder="1" applyProtection="1">
      <protection locked="0"/>
    </xf>
    <xf numFmtId="164" fontId="1" fillId="0" borderId="89" xfId="1" applyNumberFormat="1" applyFont="1" applyFill="1" applyBorder="1" applyProtection="1">
      <protection locked="0"/>
    </xf>
    <xf numFmtId="0" fontId="1" fillId="2" borderId="90" xfId="0" applyFont="1" applyFill="1" applyBorder="1" applyProtection="1">
      <protection locked="0"/>
    </xf>
    <xf numFmtId="37" fontId="1" fillId="11" borderId="89" xfId="0" applyNumberFormat="1" applyFont="1" applyFill="1" applyBorder="1" applyProtection="1">
      <protection locked="0"/>
    </xf>
    <xf numFmtId="37" fontId="1" fillId="11" borderId="91" xfId="0" applyNumberFormat="1" applyFont="1" applyFill="1" applyBorder="1" applyProtection="1">
      <protection locked="0"/>
    </xf>
    <xf numFmtId="39" fontId="1" fillId="18" borderId="89" xfId="0" applyNumberFormat="1" applyFont="1" applyFill="1" applyBorder="1" applyProtection="1">
      <protection locked="0"/>
    </xf>
    <xf numFmtId="39" fontId="1" fillId="19" borderId="89" xfId="0" applyNumberFormat="1" applyFont="1" applyFill="1" applyBorder="1" applyProtection="1">
      <protection locked="0"/>
    </xf>
    <xf numFmtId="39" fontId="1" fillId="9" borderId="89" xfId="0" applyNumberFormat="1" applyFont="1" applyFill="1" applyBorder="1" applyProtection="1">
      <protection locked="0"/>
    </xf>
    <xf numFmtId="39" fontId="1" fillId="11" borderId="89" xfId="0" applyNumberFormat="1" applyFont="1" applyFill="1" applyBorder="1" applyAlignment="1" applyProtection="1">
      <alignment horizontal="right"/>
      <protection locked="0"/>
    </xf>
    <xf numFmtId="37" fontId="1" fillId="11" borderId="91" xfId="0" applyNumberFormat="1" applyFont="1" applyFill="1" applyBorder="1" applyAlignment="1" applyProtection="1">
      <alignment horizontal="right"/>
      <protection locked="0"/>
    </xf>
    <xf numFmtId="39" fontId="1" fillId="0" borderId="37" xfId="0" applyNumberFormat="1" applyFont="1" applyFill="1" applyBorder="1" applyProtection="1"/>
    <xf numFmtId="37" fontId="0" fillId="0" borderId="9" xfId="0" applyNumberFormat="1" applyFont="1" applyFill="1" applyBorder="1" applyAlignment="1" applyProtection="1">
      <alignment horizontal="left" indent="1"/>
      <protection locked="0"/>
    </xf>
    <xf numFmtId="37" fontId="1" fillId="0" borderId="12" xfId="0" applyNumberFormat="1" applyFont="1" applyFill="1" applyBorder="1" applyAlignment="1" applyProtection="1">
      <alignment horizontal="left" indent="1"/>
      <protection locked="0"/>
    </xf>
    <xf numFmtId="37" fontId="1" fillId="0" borderId="93" xfId="0" applyNumberFormat="1" applyFont="1" applyFill="1" applyBorder="1" applyAlignment="1" applyProtection="1">
      <alignment horizontal="left" indent="1"/>
      <protection locked="0"/>
    </xf>
    <xf numFmtId="37" fontId="1" fillId="0" borderId="93" xfId="0" applyNumberFormat="1" applyFont="1" applyFill="1" applyBorder="1" applyProtection="1">
      <protection locked="0"/>
    </xf>
    <xf numFmtId="37" fontId="1" fillId="0" borderId="94" xfId="0" applyNumberFormat="1" applyFont="1" applyFill="1" applyBorder="1" applyProtection="1">
      <protection locked="0"/>
    </xf>
    <xf numFmtId="164" fontId="1" fillId="0" borderId="93" xfId="1" applyNumberFormat="1" applyFont="1" applyFill="1" applyBorder="1" applyProtection="1">
      <protection locked="0"/>
    </xf>
    <xf numFmtId="0" fontId="1" fillId="2" borderId="92" xfId="0" applyFont="1" applyFill="1" applyBorder="1" applyProtection="1">
      <protection locked="0"/>
    </xf>
    <xf numFmtId="37" fontId="1" fillId="11" borderId="93" xfId="0" applyNumberFormat="1" applyFont="1" applyFill="1" applyBorder="1" applyProtection="1">
      <protection locked="0"/>
    </xf>
    <xf numFmtId="39" fontId="1" fillId="18" borderId="94" xfId="0" applyNumberFormat="1" applyFont="1" applyFill="1" applyBorder="1" applyProtection="1">
      <protection locked="0"/>
    </xf>
    <xf numFmtId="39" fontId="1" fillId="19" borderId="94" xfId="0" applyNumberFormat="1" applyFont="1" applyFill="1" applyBorder="1" applyProtection="1">
      <protection locked="0"/>
    </xf>
    <xf numFmtId="39" fontId="1" fillId="9" borderId="94" xfId="0" applyNumberFormat="1" applyFont="1" applyFill="1" applyBorder="1" applyProtection="1">
      <protection locked="0"/>
    </xf>
    <xf numFmtId="39" fontId="1" fillId="11" borderId="94" xfId="0" applyNumberFormat="1" applyFont="1" applyFill="1" applyBorder="1" applyAlignment="1" applyProtection="1">
      <alignment horizontal="right"/>
      <protection locked="0"/>
    </xf>
    <xf numFmtId="37" fontId="1" fillId="11" borderId="95" xfId="0" applyNumberFormat="1" applyFont="1" applyFill="1" applyBorder="1" applyAlignment="1" applyProtection="1">
      <alignment horizontal="right"/>
      <protection locked="0"/>
    </xf>
    <xf numFmtId="37" fontId="0" fillId="0" borderId="14" xfId="0" applyNumberFormat="1" applyFont="1" applyFill="1" applyBorder="1" applyAlignment="1" applyProtection="1">
      <alignment horizontal="left" indent="1"/>
      <protection locked="0"/>
    </xf>
    <xf numFmtId="37" fontId="0" fillId="0" borderId="4" xfId="0" applyNumberFormat="1" applyFont="1" applyFill="1" applyBorder="1" applyAlignment="1" applyProtection="1">
      <alignment horizontal="left" indent="1"/>
      <protection locked="0"/>
    </xf>
    <xf numFmtId="37" fontId="1" fillId="0" borderId="34" xfId="0" applyNumberFormat="1" applyFont="1" applyFill="1" applyBorder="1" applyAlignment="1" applyProtection="1">
      <alignment horizontal="left" indent="1"/>
      <protection locked="0"/>
    </xf>
    <xf numFmtId="37" fontId="0" fillId="0" borderId="13" xfId="0" applyNumberFormat="1" applyFont="1" applyFill="1" applyBorder="1" applyAlignment="1" applyProtection="1">
      <alignment horizontal="left" indent="1"/>
      <protection locked="0"/>
    </xf>
    <xf numFmtId="0" fontId="0" fillId="10" borderId="2" xfId="0" applyFill="1" applyBorder="1" applyAlignment="1" applyProtection="1">
      <alignment horizontal="left"/>
    </xf>
    <xf numFmtId="0" fontId="0" fillId="2" borderId="2" xfId="0" quotePrefix="1" applyFill="1" applyBorder="1" applyProtection="1"/>
    <xf numFmtId="37" fontId="0" fillId="0" borderId="4" xfId="1" applyNumberFormat="1" applyFont="1" applyFill="1" applyBorder="1" applyProtection="1"/>
    <xf numFmtId="0" fontId="21" fillId="3" borderId="0" xfId="0" applyNumberFormat="1" applyFont="1" applyFill="1" applyAlignment="1" applyProtection="1">
      <alignment horizontal="left" indent="1"/>
    </xf>
    <xf numFmtId="0" fontId="21" fillId="2" borderId="0" xfId="0" applyFont="1" applyFill="1" applyAlignment="1" applyProtection="1">
      <alignment horizontal="left" indent="1"/>
    </xf>
    <xf numFmtId="39" fontId="1" fillId="18" borderId="13" xfId="0" applyNumberFormat="1" applyFont="1" applyFill="1" applyBorder="1" applyProtection="1"/>
    <xf numFmtId="39" fontId="1" fillId="19" borderId="13" xfId="0" applyNumberFormat="1" applyFont="1" applyFill="1" applyBorder="1" applyProtection="1"/>
    <xf numFmtId="39" fontId="1" fillId="9" borderId="13" xfId="0" applyNumberFormat="1" applyFont="1" applyFill="1" applyBorder="1" applyProtection="1"/>
    <xf numFmtId="39" fontId="1" fillId="11" borderId="13" xfId="0" applyNumberFormat="1" applyFont="1" applyFill="1" applyBorder="1" applyAlignment="1" applyProtection="1">
      <alignment horizontal="right"/>
    </xf>
    <xf numFmtId="37" fontId="1" fillId="11" borderId="71" xfId="0" applyNumberFormat="1" applyFont="1" applyFill="1" applyBorder="1" applyAlignment="1" applyProtection="1">
      <alignment horizontal="right"/>
    </xf>
    <xf numFmtId="37" fontId="1" fillId="11" borderId="75" xfId="0" applyNumberFormat="1" applyFont="1" applyFill="1" applyBorder="1" applyAlignment="1" applyProtection="1">
      <alignment horizontal="right"/>
      <protection locked="0"/>
    </xf>
    <xf numFmtId="3" fontId="0" fillId="2" borderId="0" xfId="0" applyNumberFormat="1" applyFill="1" applyAlignment="1" applyProtection="1"/>
    <xf numFmtId="0" fontId="15" fillId="2" borderId="0" xfId="0" applyFont="1" applyFill="1" applyAlignment="1" applyProtection="1">
      <alignment horizontal="center"/>
    </xf>
    <xf numFmtId="0" fontId="0" fillId="8" borderId="55" xfId="0" applyFill="1" applyBorder="1" applyAlignment="1" applyProtection="1">
      <alignment horizontal="center" vertical="center"/>
    </xf>
    <xf numFmtId="0" fontId="0" fillId="8" borderId="56" xfId="0" applyFill="1" applyBorder="1" applyAlignment="1" applyProtection="1">
      <alignment horizontal="center" vertical="center"/>
    </xf>
    <xf numFmtId="0" fontId="27" fillId="2" borderId="0" xfId="0" applyFont="1" applyFill="1" applyAlignment="1" applyProtection="1">
      <alignment horizontal="left" vertical="top" wrapText="1"/>
    </xf>
    <xf numFmtId="39" fontId="0" fillId="18" borderId="44" xfId="0" applyNumberFormat="1" applyFill="1" applyBorder="1" applyAlignment="1" applyProtection="1">
      <alignment horizontal="center"/>
    </xf>
    <xf numFmtId="39" fontId="0" fillId="18" borderId="46" xfId="0" applyNumberFormat="1" applyFill="1" applyBorder="1" applyAlignment="1" applyProtection="1">
      <alignment horizontal="center"/>
    </xf>
    <xf numFmtId="39" fontId="1" fillId="18" borderId="83" xfId="0" applyNumberFormat="1" applyFont="1" applyFill="1" applyBorder="1" applyAlignment="1" applyProtection="1">
      <alignment horizontal="center"/>
    </xf>
    <xf numFmtId="39" fontId="1" fillId="18" borderId="84" xfId="0" applyNumberFormat="1" applyFont="1" applyFill="1" applyBorder="1" applyAlignment="1" applyProtection="1">
      <alignment horizontal="center"/>
    </xf>
    <xf numFmtId="39" fontId="1" fillId="18" borderId="79" xfId="0" applyNumberFormat="1" applyFont="1" applyFill="1" applyBorder="1" applyAlignment="1" applyProtection="1">
      <alignment horizontal="center"/>
    </xf>
    <xf numFmtId="39" fontId="1" fillId="18" borderId="80" xfId="0" applyNumberFormat="1" applyFont="1" applyFill="1" applyBorder="1" applyAlignment="1" applyProtection="1">
      <alignment horizontal="center"/>
    </xf>
    <xf numFmtId="39" fontId="1" fillId="18" borderId="81" xfId="0" applyNumberFormat="1" applyFont="1" applyFill="1" applyBorder="1" applyAlignment="1" applyProtection="1">
      <alignment horizontal="center"/>
    </xf>
    <xf numFmtId="39" fontId="1" fillId="18" borderId="82" xfId="0" applyNumberFormat="1" applyFont="1" applyFill="1" applyBorder="1" applyAlignment="1" applyProtection="1">
      <alignment horizontal="center"/>
    </xf>
    <xf numFmtId="39" fontId="0" fillId="18" borderId="15" xfId="0" applyNumberFormat="1" applyFill="1" applyBorder="1" applyAlignment="1" applyProtection="1">
      <alignment horizontal="center"/>
    </xf>
    <xf numFmtId="39" fontId="0" fillId="18" borderId="16" xfId="0" applyNumberFormat="1" applyFill="1" applyBorder="1" applyAlignment="1" applyProtection="1">
      <alignment horizontal="center"/>
    </xf>
    <xf numFmtId="0" fontId="13" fillId="13" borderId="44" xfId="0" applyNumberFormat="1" applyFont="1" applyFill="1" applyBorder="1" applyAlignment="1" applyProtection="1">
      <alignment horizontal="center"/>
    </xf>
    <xf numFmtId="0" fontId="13" fillId="13" borderId="46" xfId="0" applyNumberFormat="1" applyFont="1" applyFill="1" applyBorder="1" applyAlignment="1" applyProtection="1">
      <alignment horizontal="center"/>
    </xf>
  </cellXfs>
  <cellStyles count="10">
    <cellStyle name="ColumnHeading" xfId="3" xr:uid="{00000000-0005-0000-0000-000000000000}"/>
    <cellStyle name="Comma" xfId="9" builtinId="3"/>
    <cellStyle name="Comma 2" xfId="4" xr:uid="{00000000-0005-0000-0000-000002000000}"/>
    <cellStyle name="Currency" xfId="7" builtinId="4"/>
    <cellStyle name="Currency 2" xfId="5" xr:uid="{00000000-0005-0000-0000-000004000000}"/>
    <cellStyle name="Normal" xfId="0" builtinId="0"/>
    <cellStyle name="Normal 2" xfId="8" xr:uid="{00000000-0005-0000-0000-000006000000}"/>
    <cellStyle name="Normal_Sheet1" xfId="2" xr:uid="{00000000-0005-0000-0000-000007000000}"/>
    <cellStyle name="Percent" xfId="1" builtinId="5"/>
    <cellStyle name="Percent 2" xfId="6" xr:uid="{00000000-0005-0000-0000-000009000000}"/>
  </cellStyles>
  <dxfs count="181">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ont>
        <color rgb="FFC63527"/>
      </font>
    </dxf>
    <dxf>
      <fill>
        <patternFill patternType="mediumGray">
          <fgColor theme="2" tint="-9.9948118533890809E-2"/>
        </patternFill>
      </fill>
    </dxf>
    <dxf>
      <fill>
        <patternFill patternType="mediumGray">
          <fgColor theme="2" tint="-9.9948118533890809E-2"/>
        </patternFill>
      </fill>
    </dxf>
    <dxf>
      <fill>
        <patternFill patternType="mediumGray">
          <fgColor theme="2" tint="-9.9948118533890809E-2"/>
        </patternFill>
      </fill>
    </dxf>
    <dxf>
      <font>
        <color theme="1" tint="0.499984740745262"/>
      </font>
      <fill>
        <patternFill patternType="lightTrellis">
          <fgColor theme="1" tint="0.499984740745262"/>
        </patternFill>
      </fill>
    </dxf>
  </dxfs>
  <tableStyles count="0" defaultTableStyle="TableStyleMedium9" defaultPivotStyle="PivotStyleLight16"/>
  <colors>
    <mruColors>
      <color rgb="FFC63527"/>
      <color rgb="FFDBD6D3"/>
      <color rgb="FFCAC3BE"/>
      <color rgb="FF9FF4FF"/>
      <color rgb="FFE1FBFF"/>
      <color rgb="FF6E6259"/>
      <color rgb="FF5F554D"/>
      <color rgb="FF5B5149"/>
      <color rgb="FF00AE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CheckBox" fmlaLink="$O$1"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33.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34.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39.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40.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41.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43.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4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45.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4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4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48.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49.vml.rels><?xml version="1.0" encoding="UTF-8" standalone="yes"?>
<Relationships xmlns="http://schemas.openxmlformats.org/package/2006/relationships"><Relationship Id="rId1" Type="http://schemas.openxmlformats.org/officeDocument/2006/relationships/image" Target="../media/image39.emf"/></Relationships>
</file>

<file path=xl/drawings/drawing1.xml><?xml version="1.0" encoding="utf-8"?>
<xdr:wsDr xmlns:xdr="http://schemas.openxmlformats.org/drawingml/2006/spreadsheetDrawing" xmlns:a="http://schemas.openxmlformats.org/drawingml/2006/main">
  <xdr:twoCellAnchor editAs="oneCell">
    <xdr:from>
      <xdr:col>0</xdr:col>
      <xdr:colOff>281801</xdr:colOff>
      <xdr:row>13</xdr:row>
      <xdr:rowOff>101664</xdr:rowOff>
    </xdr:from>
    <xdr:to>
      <xdr:col>7</xdr:col>
      <xdr:colOff>324944</xdr:colOff>
      <xdr:row>22</xdr:row>
      <xdr:rowOff>123907</xdr:rowOff>
    </xdr:to>
    <xdr:pic>
      <xdr:nvPicPr>
        <xdr:cNvPr id="2" name="Picture 1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1801" y="1748929"/>
          <a:ext cx="7259731" cy="1736743"/>
        </a:xfrm>
        <a:prstGeom prst="rect">
          <a:avLst/>
        </a:prstGeom>
        <a:noFill/>
        <a:ln w="1">
          <a:noFill/>
          <a:miter lim="800000"/>
          <a:headEnd/>
          <a:tailEnd type="none" w="med" len="med"/>
        </a:ln>
        <a:effectLst/>
      </xdr:spPr>
    </xdr:pic>
    <xdr:clientData/>
  </xdr:twoCellAnchor>
  <xdr:twoCellAnchor editAs="oneCell">
    <xdr:from>
      <xdr:col>0</xdr:col>
      <xdr:colOff>280147</xdr:colOff>
      <xdr:row>55</xdr:row>
      <xdr:rowOff>112059</xdr:rowOff>
    </xdr:from>
    <xdr:to>
      <xdr:col>7</xdr:col>
      <xdr:colOff>1140759</xdr:colOff>
      <xdr:row>85</xdr:row>
      <xdr:rowOff>188259</xdr:rowOff>
    </xdr:to>
    <xdr:pic>
      <xdr:nvPicPr>
        <xdr:cNvPr id="5133" name="Picture 13">
          <a:extLst>
            <a:ext uri="{FF2B5EF4-FFF2-40B4-BE49-F238E27FC236}">
              <a16:creationId xmlns:a16="http://schemas.microsoft.com/office/drawing/2014/main" id="{00000000-0008-0000-0000-00000D1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0147" y="9681883"/>
          <a:ext cx="8077200" cy="5791200"/>
        </a:xfrm>
        <a:prstGeom prst="rect">
          <a:avLst/>
        </a:prstGeom>
        <a:noFill/>
        <a:ln w="1">
          <a:noFill/>
          <a:miter lim="800000"/>
          <a:headEnd/>
          <a:tailEnd type="none" w="med" len="med"/>
        </a:ln>
        <a:effectLst/>
      </xdr:spPr>
    </xdr:pic>
    <xdr:clientData/>
  </xdr:twoCellAnchor>
  <xdr:twoCellAnchor editAs="oneCell">
    <xdr:from>
      <xdr:col>7</xdr:col>
      <xdr:colOff>1434354</xdr:colOff>
      <xdr:row>14</xdr:row>
      <xdr:rowOff>44823</xdr:rowOff>
    </xdr:from>
    <xdr:to>
      <xdr:col>11</xdr:col>
      <xdr:colOff>50578</xdr:colOff>
      <xdr:row>22</xdr:row>
      <xdr:rowOff>112058</xdr:rowOff>
    </xdr:to>
    <xdr:pic>
      <xdr:nvPicPr>
        <xdr:cNvPr id="5134" name="Picture 14">
          <a:extLst>
            <a:ext uri="{FF2B5EF4-FFF2-40B4-BE49-F238E27FC236}">
              <a16:creationId xmlns:a16="http://schemas.microsoft.com/office/drawing/2014/main" id="{00000000-0008-0000-0000-00000E14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8650942" y="1882588"/>
          <a:ext cx="4331224" cy="1591235"/>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editAs="oneCell">
        <xdr:from>
          <xdr:col>14</xdr:col>
          <xdr:colOff>47625</xdr:colOff>
          <xdr:row>4</xdr:row>
          <xdr:rowOff>171450</xdr:rowOff>
        </xdr:from>
        <xdr:to>
          <xdr:col>15</xdr:col>
          <xdr:colOff>0</xdr:colOff>
          <xdr:row>6</xdr:row>
          <xdr:rowOff>19050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solidFill>
              <a:srgbClr val="FFFF99" mc:Ignorable="a14" a14:legacySpreadsheetColorIndex="43"/>
            </a:solidFill>
            <a:ln w="127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419100</xdr:colOff>
          <xdr:row>0</xdr:row>
          <xdr:rowOff>0</xdr:rowOff>
        </xdr:to>
        <xdr:sp macro="" textlink="">
          <xdr:nvSpPr>
            <xdr:cNvPr id="5131" name="FPMExcelClientSheetOptionstb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31</xdr:col>
      <xdr:colOff>515470</xdr:colOff>
      <xdr:row>25</xdr:row>
      <xdr:rowOff>190500</xdr:rowOff>
    </xdr:from>
    <xdr:to>
      <xdr:col>33</xdr:col>
      <xdr:colOff>620804</xdr:colOff>
      <xdr:row>27</xdr:row>
      <xdr:rowOff>110377</xdr:rowOff>
    </xdr:to>
    <xdr:pic>
      <xdr:nvPicPr>
        <xdr:cNvPr id="2" name="Picture 6">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6382999" y="381000"/>
          <a:ext cx="1472452" cy="435348"/>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4102" name="FPMExcelClientSheetOptionstb1"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61122" name="FPMExcelClientSheetOptionstb1" hidden="1">
              <a:extLst>
                <a:ext uri="{63B3BB69-23CF-44E3-9099-C40C66FF867C}">
                  <a14:compatExt spid="_x0000_s261122"/>
                </a:ext>
                <a:ext uri="{FF2B5EF4-FFF2-40B4-BE49-F238E27FC236}">
                  <a16:creationId xmlns:a16="http://schemas.microsoft.com/office/drawing/2014/main" id="{00000000-0008-0000-0300-000002F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8197" name="FPMExcelClientSheetOptionstb1"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2536" name="FPMExcelClientSheetOptionstb1" hidden="1">
              <a:extLst>
                <a:ext uri="{63B3BB69-23CF-44E3-9099-C40C66FF867C}">
                  <a14:compatExt spid="_x0000_s22536"/>
                </a:ext>
                <a:ext uri="{FF2B5EF4-FFF2-40B4-BE49-F238E27FC236}">
                  <a16:creationId xmlns:a16="http://schemas.microsoft.com/office/drawing/2014/main" id="{00000000-0008-0000-0500-0000085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3555" name="FPMExcelClientSheetOptionstb1"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885825</xdr:colOff>
          <xdr:row>0</xdr:row>
          <xdr:rowOff>0</xdr:rowOff>
        </xdr:to>
        <xdr:sp macro="" textlink="">
          <xdr:nvSpPr>
            <xdr:cNvPr id="10248" name="FPMExcelClientSheetOptionstb1" hidden="1">
              <a:extLst>
                <a:ext uri="{63B3BB69-23CF-44E3-9099-C40C66FF867C}">
                  <a14:compatExt spid="_x0000_s10248"/>
                </a:ext>
                <a:ext uri="{FF2B5EF4-FFF2-40B4-BE49-F238E27FC236}">
                  <a16:creationId xmlns:a16="http://schemas.microsoft.com/office/drawing/2014/main" id="{00000000-0008-0000-0700-000008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30405" name="FPMExcelClientSheetOptionstb1" hidden="1">
              <a:extLst>
                <a:ext uri="{63B3BB69-23CF-44E3-9099-C40C66FF867C}">
                  <a14:compatExt spid="_x0000_s230405"/>
                </a:ext>
                <a:ext uri="{FF2B5EF4-FFF2-40B4-BE49-F238E27FC236}">
                  <a16:creationId xmlns:a16="http://schemas.microsoft.com/office/drawing/2014/main" id="{00000000-0008-0000-0F00-0000058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32449" name="FPMExcelClientSheetOptionstb1" hidden="1">
              <a:extLst>
                <a:ext uri="{63B3BB69-23CF-44E3-9099-C40C66FF867C}">
                  <a14:compatExt spid="_x0000_s232449"/>
                </a:ext>
                <a:ext uri="{FF2B5EF4-FFF2-40B4-BE49-F238E27FC236}">
                  <a16:creationId xmlns:a16="http://schemas.microsoft.com/office/drawing/2014/main" id="{00000000-0008-0000-1100-0000018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14344" name="FPMExcelClientSheetOptionstb1" hidden="1">
              <a:extLst>
                <a:ext uri="{63B3BB69-23CF-44E3-9099-C40C66FF867C}">
                  <a14:compatExt spid="_x0000_s14344"/>
                </a:ext>
                <a:ext uri="{FF2B5EF4-FFF2-40B4-BE49-F238E27FC236}">
                  <a16:creationId xmlns:a16="http://schemas.microsoft.com/office/drawing/2014/main" id="{00000000-0008-0000-1500-0000083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02754" name="FPMExcelClientSheetOptionstb1" hidden="1">
              <a:extLst>
                <a:ext uri="{63B3BB69-23CF-44E3-9099-C40C66FF867C}">
                  <a14:compatExt spid="_x0000_s202754"/>
                </a:ext>
                <a:ext uri="{FF2B5EF4-FFF2-40B4-BE49-F238E27FC236}">
                  <a16:creationId xmlns:a16="http://schemas.microsoft.com/office/drawing/2014/main" id="{00000000-0008-0000-1600-0000021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0</xdr:row>
          <xdr:rowOff>9525</xdr:rowOff>
        </xdr:to>
        <xdr:sp macro="" textlink="">
          <xdr:nvSpPr>
            <xdr:cNvPr id="304133" name="FPMExcelClientSheetOptionstb1" hidden="1">
              <a:extLst>
                <a:ext uri="{63B3BB69-23CF-44E3-9099-C40C66FF867C}">
                  <a14:compatExt spid="_x0000_s304133"/>
                </a:ext>
                <a:ext uri="{FF2B5EF4-FFF2-40B4-BE49-F238E27FC236}">
                  <a16:creationId xmlns:a16="http://schemas.microsoft.com/office/drawing/2014/main" id="{00000000-0008-0000-1700-000005A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5153" name="FPMExcelClientSheetOptionstb1" hidden="1">
              <a:extLst>
                <a:ext uri="{63B3BB69-23CF-44E3-9099-C40C66FF867C}">
                  <a14:compatExt spid="_x0000_s305153"/>
                </a:ext>
                <a:ext uri="{FF2B5EF4-FFF2-40B4-BE49-F238E27FC236}">
                  <a16:creationId xmlns:a16="http://schemas.microsoft.com/office/drawing/2014/main" id="{00000000-0008-0000-1800-000001A8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24</xdr:row>
          <xdr:rowOff>0</xdr:rowOff>
        </xdr:from>
        <xdr:to>
          <xdr:col>0</xdr:col>
          <xdr:colOff>0</xdr:colOff>
          <xdr:row>24</xdr:row>
          <xdr:rowOff>0</xdr:rowOff>
        </xdr:to>
        <xdr:sp macro="" textlink="">
          <xdr:nvSpPr>
            <xdr:cNvPr id="306177" name="FPMExcelClientSheetOptionstb1" hidden="1">
              <a:extLst>
                <a:ext uri="{63B3BB69-23CF-44E3-9099-C40C66FF867C}">
                  <a14:compatExt spid="_x0000_s306177"/>
                </a:ext>
                <a:ext uri="{FF2B5EF4-FFF2-40B4-BE49-F238E27FC236}">
                  <a16:creationId xmlns:a16="http://schemas.microsoft.com/office/drawing/2014/main" id="{00000000-0008-0000-1900-000001AC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7201" name="FPMExcelClientSheetOptionstb1" hidden="1">
              <a:extLst>
                <a:ext uri="{63B3BB69-23CF-44E3-9099-C40C66FF867C}">
                  <a14:compatExt spid="_x0000_s307201"/>
                </a:ext>
                <a:ext uri="{FF2B5EF4-FFF2-40B4-BE49-F238E27FC236}">
                  <a16:creationId xmlns:a16="http://schemas.microsoft.com/office/drawing/2014/main" id="{00000000-0008-0000-1A00-000001B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08225" name="FPMExcelClientSheetOptionstb1" hidden="1">
              <a:extLst>
                <a:ext uri="{63B3BB69-23CF-44E3-9099-C40C66FF867C}">
                  <a14:compatExt spid="_x0000_s308225"/>
                </a:ext>
                <a:ext uri="{FF2B5EF4-FFF2-40B4-BE49-F238E27FC236}">
                  <a16:creationId xmlns:a16="http://schemas.microsoft.com/office/drawing/2014/main" id="{00000000-0008-0000-1B00-000001B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309249" name="FPMExcelClientSheetOptionstb1" hidden="1">
              <a:extLst>
                <a:ext uri="{63B3BB69-23CF-44E3-9099-C40C66FF867C}">
                  <a14:compatExt spid="_x0000_s309249"/>
                </a:ext>
                <a:ext uri="{FF2B5EF4-FFF2-40B4-BE49-F238E27FC236}">
                  <a16:creationId xmlns:a16="http://schemas.microsoft.com/office/drawing/2014/main" id="{00000000-0008-0000-1C00-000001B8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20491" name="FPMExcelClientSheetOptionstb1" hidden="1">
              <a:extLst>
                <a:ext uri="{63B3BB69-23CF-44E3-9099-C40C66FF867C}">
                  <a14:compatExt spid="_x0000_s20491"/>
                </a:ext>
                <a:ext uri="{FF2B5EF4-FFF2-40B4-BE49-F238E27FC236}">
                  <a16:creationId xmlns:a16="http://schemas.microsoft.com/office/drawing/2014/main" id="{00000000-0008-0000-1D00-00000B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12</xdr:col>
          <xdr:colOff>904875</xdr:colOff>
          <xdr:row>0</xdr:row>
          <xdr:rowOff>0</xdr:rowOff>
        </xdr:to>
        <xdr:sp macro="" textlink="">
          <xdr:nvSpPr>
            <xdr:cNvPr id="43016" name="FPMExcelClientSheetOptionstb1" hidden="1">
              <a:extLst>
                <a:ext uri="{63B3BB69-23CF-44E3-9099-C40C66FF867C}">
                  <a14:compatExt spid="_x0000_s43016"/>
                </a:ext>
                <a:ext uri="{FF2B5EF4-FFF2-40B4-BE49-F238E27FC236}">
                  <a16:creationId xmlns:a16="http://schemas.microsoft.com/office/drawing/2014/main" id="{00000000-0008-0000-1E00-000008A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4827" name="FPMExcelClientSheetOptionstb1" hidden="1">
              <a:extLst>
                <a:ext uri="{63B3BB69-23CF-44E3-9099-C40C66FF867C}">
                  <a14:compatExt spid="_x0000_s34827"/>
                </a:ext>
                <a:ext uri="{FF2B5EF4-FFF2-40B4-BE49-F238E27FC236}">
                  <a16:creationId xmlns:a16="http://schemas.microsoft.com/office/drawing/2014/main" id="{00000000-0008-0000-2000-00000B8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6872" name="FPMExcelClientSheetOptionstb1" hidden="1">
              <a:extLst>
                <a:ext uri="{63B3BB69-23CF-44E3-9099-C40C66FF867C}">
                  <a14:compatExt spid="_x0000_s36872"/>
                </a:ext>
                <a:ext uri="{FF2B5EF4-FFF2-40B4-BE49-F238E27FC236}">
                  <a16:creationId xmlns:a16="http://schemas.microsoft.com/office/drawing/2014/main" id="{00000000-0008-0000-2100-0000089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7896" name="FPMExcelClientSheetOptionstb1" hidden="1">
              <a:extLst>
                <a:ext uri="{63B3BB69-23CF-44E3-9099-C40C66FF867C}">
                  <a14:compatExt spid="_x0000_s37896"/>
                </a:ext>
                <a:ext uri="{FF2B5EF4-FFF2-40B4-BE49-F238E27FC236}">
                  <a16:creationId xmlns:a16="http://schemas.microsoft.com/office/drawing/2014/main" id="{00000000-0008-0000-2200-0000089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38920" name="FPMExcelClientSheetOptionstb1" hidden="1">
              <a:extLst>
                <a:ext uri="{63B3BB69-23CF-44E3-9099-C40C66FF867C}">
                  <a14:compatExt spid="_x0000_s38920"/>
                </a:ext>
                <a:ext uri="{FF2B5EF4-FFF2-40B4-BE49-F238E27FC236}">
                  <a16:creationId xmlns:a16="http://schemas.microsoft.com/office/drawing/2014/main" id="{00000000-0008-0000-2300-000008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40967" name="FPMExcelClientSheetOptionstb1" hidden="1">
              <a:extLst>
                <a:ext uri="{63B3BB69-23CF-44E3-9099-C40C66FF867C}">
                  <a14:compatExt spid="_x0000_s40967"/>
                </a:ext>
                <a:ext uri="{FF2B5EF4-FFF2-40B4-BE49-F238E27FC236}">
                  <a16:creationId xmlns:a16="http://schemas.microsoft.com/office/drawing/2014/main" id="{00000000-0008-0000-2400-000007A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1206" name="FPMExcelClientSheetOptionstb1" hidden="1">
              <a:extLst>
                <a:ext uri="{63B3BB69-23CF-44E3-9099-C40C66FF867C}">
                  <a14:compatExt spid="_x0000_s51206"/>
                </a:ext>
                <a:ext uri="{FF2B5EF4-FFF2-40B4-BE49-F238E27FC236}">
                  <a16:creationId xmlns:a16="http://schemas.microsoft.com/office/drawing/2014/main" id="{00000000-0008-0000-2500-000006C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3256" name="FPMExcelClientSheetOptionstb1" hidden="1">
              <a:extLst>
                <a:ext uri="{63B3BB69-23CF-44E3-9099-C40C66FF867C}">
                  <a14:compatExt spid="_x0000_s53256"/>
                </a:ext>
                <a:ext uri="{FF2B5EF4-FFF2-40B4-BE49-F238E27FC236}">
                  <a16:creationId xmlns:a16="http://schemas.microsoft.com/office/drawing/2014/main" id="{00000000-0008-0000-2600-000008D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5304" name="FPMExcelClientSheetOptionstb1" hidden="1">
              <a:extLst>
                <a:ext uri="{63B3BB69-23CF-44E3-9099-C40C66FF867C}">
                  <a14:compatExt spid="_x0000_s55304"/>
                </a:ext>
                <a:ext uri="{FF2B5EF4-FFF2-40B4-BE49-F238E27FC236}">
                  <a16:creationId xmlns:a16="http://schemas.microsoft.com/office/drawing/2014/main" id="{00000000-0008-0000-2700-000008D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6326" name="FPMExcelClientSheetOptionstb1" hidden="1">
              <a:extLst>
                <a:ext uri="{63B3BB69-23CF-44E3-9099-C40C66FF867C}">
                  <a14:compatExt spid="_x0000_s56326"/>
                </a:ext>
                <a:ext uri="{FF2B5EF4-FFF2-40B4-BE49-F238E27FC236}">
                  <a16:creationId xmlns:a16="http://schemas.microsoft.com/office/drawing/2014/main" id="{00000000-0008-0000-2800-000006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58374" name="FPMExcelClientSheetOptionstb1" hidden="1">
              <a:extLst>
                <a:ext uri="{63B3BB69-23CF-44E3-9099-C40C66FF867C}">
                  <a14:compatExt spid="_x0000_s58374"/>
                </a:ext>
                <a:ext uri="{FF2B5EF4-FFF2-40B4-BE49-F238E27FC236}">
                  <a16:creationId xmlns:a16="http://schemas.microsoft.com/office/drawing/2014/main" id="{00000000-0008-0000-2A00-000006E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0419" name="FPMExcelClientSheetOptionstb1" hidden="1">
              <a:extLst>
                <a:ext uri="{63B3BB69-23CF-44E3-9099-C40C66FF867C}">
                  <a14:compatExt spid="_x0000_s60419"/>
                </a:ext>
                <a:ext uri="{FF2B5EF4-FFF2-40B4-BE49-F238E27FC236}">
                  <a16:creationId xmlns:a16="http://schemas.microsoft.com/office/drawing/2014/main" id="{00000000-0008-0000-2B00-000003E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1443" name="FPMExcelClientSheetOptionstb1" hidden="1">
              <a:extLst>
                <a:ext uri="{63B3BB69-23CF-44E3-9099-C40C66FF867C}">
                  <a14:compatExt spid="_x0000_s61443"/>
                </a:ext>
                <a:ext uri="{FF2B5EF4-FFF2-40B4-BE49-F238E27FC236}">
                  <a16:creationId xmlns:a16="http://schemas.microsoft.com/office/drawing/2014/main" id="{00000000-0008-0000-2C00-000003F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62467" name="FPMExcelClientSheetOptionstb1" hidden="1">
              <a:extLst>
                <a:ext uri="{63B3BB69-23CF-44E3-9099-C40C66FF867C}">
                  <a14:compatExt spid="_x0000_s62467"/>
                </a:ext>
                <a:ext uri="{FF2B5EF4-FFF2-40B4-BE49-F238E27FC236}">
                  <a16:creationId xmlns:a16="http://schemas.microsoft.com/office/drawing/2014/main" id="{00000000-0008-0000-2D00-000003F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4524" name="FPMExcelClientSheetOptionstb1" hidden="1">
              <a:extLst>
                <a:ext uri="{63B3BB69-23CF-44E3-9099-C40C66FF867C}">
                  <a14:compatExt spid="_x0000_s64524"/>
                </a:ext>
                <a:ext uri="{FF2B5EF4-FFF2-40B4-BE49-F238E27FC236}">
                  <a16:creationId xmlns:a16="http://schemas.microsoft.com/office/drawing/2014/main" id="{00000000-0008-0000-2E00-00000CF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666750</xdr:colOff>
          <xdr:row>0</xdr:row>
          <xdr:rowOff>0</xdr:rowOff>
        </xdr:to>
        <xdr:sp macro="" textlink="">
          <xdr:nvSpPr>
            <xdr:cNvPr id="65543" name="FPMExcelClientSheetOptionstb1" hidden="1">
              <a:extLst>
                <a:ext uri="{63B3BB69-23CF-44E3-9099-C40C66FF867C}">
                  <a14:compatExt spid="_x0000_s65543"/>
                </a:ext>
                <a:ext uri="{FF2B5EF4-FFF2-40B4-BE49-F238E27FC236}">
                  <a16:creationId xmlns:a16="http://schemas.microsoft.com/office/drawing/2014/main" id="{00000000-0008-0000-2F00-0000070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13</xdr:col>
          <xdr:colOff>904875</xdr:colOff>
          <xdr:row>0</xdr:row>
          <xdr:rowOff>0</xdr:rowOff>
        </xdr:to>
        <xdr:sp macro="" textlink="">
          <xdr:nvSpPr>
            <xdr:cNvPr id="67587" name="FPMExcelClientSheetOptionstb1" hidden="1">
              <a:extLst>
                <a:ext uri="{63B3BB69-23CF-44E3-9099-C40C66FF867C}">
                  <a14:compatExt spid="_x0000_s67587"/>
                </a:ext>
                <a:ext uri="{FF2B5EF4-FFF2-40B4-BE49-F238E27FC236}">
                  <a16:creationId xmlns:a16="http://schemas.microsoft.com/office/drawing/2014/main" id="{00000000-0008-0000-3000-0000030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customProperty" Target="../customProperty2.bin"/><Relationship Id="rId7" Type="http://schemas.openxmlformats.org/officeDocument/2006/relationships/control" Target="../activeX/activeX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5.bin"/><Relationship Id="rId7" Type="http://schemas.openxmlformats.org/officeDocument/2006/relationships/comments" Target="../comments2.xml"/><Relationship Id="rId2" Type="http://schemas.openxmlformats.org/officeDocument/2006/relationships/customProperty" Target="../customProperty4.bin"/><Relationship Id="rId1" Type="http://schemas.openxmlformats.org/officeDocument/2006/relationships/printerSettings" Target="../printerSettings/printerSettings2.bin"/><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customProperty" Target="../customProperty6.bin"/></Relationships>
</file>

<file path=xl/worksheets/_rels/sheet3.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customProperty" Target="../customProperty8.bin"/><Relationship Id="rId7" Type="http://schemas.openxmlformats.org/officeDocument/2006/relationships/control" Target="../activeX/activeX2.xml"/><Relationship Id="rId2" Type="http://schemas.openxmlformats.org/officeDocument/2006/relationships/customProperty" Target="../customProperty7.bin"/><Relationship Id="rId1" Type="http://schemas.openxmlformats.org/officeDocument/2006/relationships/printerSettings" Target="../printerSettings/printerSettings3.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customProperty" Target="../customProperty9.bin"/><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ustomProperty" Target="../customProperty11.bin"/><Relationship Id="rId7" Type="http://schemas.openxmlformats.org/officeDocument/2006/relationships/control" Target="../activeX/activeX3.xml"/><Relationship Id="rId2" Type="http://schemas.openxmlformats.org/officeDocument/2006/relationships/customProperty" Target="../customProperty10.bin"/><Relationship Id="rId1" Type="http://schemas.openxmlformats.org/officeDocument/2006/relationships/printerSettings" Target="../printerSettings/printerSettings4.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customProperty" Target="../customProperty12.bin"/><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ustomProperty" Target="../customProperty14.bin"/><Relationship Id="rId7" Type="http://schemas.openxmlformats.org/officeDocument/2006/relationships/control" Target="../activeX/activeX4.xml"/><Relationship Id="rId2" Type="http://schemas.openxmlformats.org/officeDocument/2006/relationships/customProperty" Target="../customProperty13.bin"/><Relationship Id="rId1" Type="http://schemas.openxmlformats.org/officeDocument/2006/relationships/printerSettings" Target="../printerSettings/printerSettings5.bin"/><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customProperty" Target="../customProperty15.bin"/><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customProperty" Target="../customProperty17.bin"/><Relationship Id="rId7" Type="http://schemas.openxmlformats.org/officeDocument/2006/relationships/control" Target="../activeX/activeX5.xml"/><Relationship Id="rId2" Type="http://schemas.openxmlformats.org/officeDocument/2006/relationships/customProperty" Target="../customProperty16.bin"/><Relationship Id="rId1" Type="http://schemas.openxmlformats.org/officeDocument/2006/relationships/printerSettings" Target="../printerSettings/printerSettings6.bin"/><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customProperty" Target="../customProperty18.bin"/><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customProperty" Target="../customProperty20.bin"/><Relationship Id="rId7" Type="http://schemas.openxmlformats.org/officeDocument/2006/relationships/control" Target="../activeX/activeX6.xml"/><Relationship Id="rId2" Type="http://schemas.openxmlformats.org/officeDocument/2006/relationships/customProperty" Target="../customProperty19.bin"/><Relationship Id="rId1" Type="http://schemas.openxmlformats.org/officeDocument/2006/relationships/printerSettings" Target="../printerSettings/printerSettings7.bin"/><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customProperty" Target="../customProperty21.bin"/><Relationship Id="rId9" Type="http://schemas.openxmlformats.org/officeDocument/2006/relationships/comments" Target="../comments7.xml"/></Relationships>
</file>

<file path=xl/worksheets/_rels/sheet8.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customProperty" Target="../customProperty23.bin"/><Relationship Id="rId7" Type="http://schemas.openxmlformats.org/officeDocument/2006/relationships/control" Target="../activeX/activeX7.xml"/><Relationship Id="rId2" Type="http://schemas.openxmlformats.org/officeDocument/2006/relationships/customProperty" Target="../customProperty22.bin"/><Relationship Id="rId1" Type="http://schemas.openxmlformats.org/officeDocument/2006/relationships/printerSettings" Target="../printerSettings/printerSettings8.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customProperty" Target="../customProperty24.bin"/><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9.bin"/><Relationship Id="rId6" Type="http://schemas.openxmlformats.org/officeDocument/2006/relationships/comments" Target="../comments9.xml"/><Relationship Id="rId5" Type="http://schemas.openxmlformats.org/officeDocument/2006/relationships/vmlDrawing" Target="../drawings/vmlDrawing9.vml"/><Relationship Id="rId4" Type="http://schemas.openxmlformats.org/officeDocument/2006/relationships/customProperty" Target="../customProperty2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vmlDrawing" Target="../drawings/vmlDrawing10.vml"/><Relationship Id="rId4" Type="http://schemas.openxmlformats.org/officeDocument/2006/relationships/customProperty" Target="../customProperty3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1.bin"/><Relationship Id="rId6" Type="http://schemas.openxmlformats.org/officeDocument/2006/relationships/comments" Target="../comments11.xml"/><Relationship Id="rId5" Type="http://schemas.openxmlformats.org/officeDocument/2006/relationships/vmlDrawing" Target="../drawings/vmlDrawing11.vml"/><Relationship Id="rId4" Type="http://schemas.openxmlformats.org/officeDocument/2006/relationships/customProperty" Target="../customProperty33.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2.bin"/><Relationship Id="rId6" Type="http://schemas.openxmlformats.org/officeDocument/2006/relationships/comments" Target="../comments12.xml"/><Relationship Id="rId5" Type="http://schemas.openxmlformats.org/officeDocument/2006/relationships/vmlDrawing" Target="../drawings/vmlDrawing12.vml"/><Relationship Id="rId4" Type="http://schemas.openxmlformats.org/officeDocument/2006/relationships/customProperty" Target="../customProperty36.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3.bin"/><Relationship Id="rId6" Type="http://schemas.openxmlformats.org/officeDocument/2006/relationships/comments" Target="../comments13.xml"/><Relationship Id="rId5" Type="http://schemas.openxmlformats.org/officeDocument/2006/relationships/vmlDrawing" Target="../drawings/vmlDrawing13.vml"/><Relationship Id="rId4" Type="http://schemas.openxmlformats.org/officeDocument/2006/relationships/customProperty" Target="../customProperty39.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41.bin"/><Relationship Id="rId2" Type="http://schemas.openxmlformats.org/officeDocument/2006/relationships/customProperty" Target="../customProperty40.bin"/><Relationship Id="rId1" Type="http://schemas.openxmlformats.org/officeDocument/2006/relationships/printerSettings" Target="../printerSettings/printerSettings14.bin"/><Relationship Id="rId6" Type="http://schemas.openxmlformats.org/officeDocument/2006/relationships/comments" Target="../comments14.xml"/><Relationship Id="rId5" Type="http://schemas.openxmlformats.org/officeDocument/2006/relationships/vmlDrawing" Target="../drawings/vmlDrawing14.vml"/><Relationship Id="rId4" Type="http://schemas.openxmlformats.org/officeDocument/2006/relationships/customProperty" Target="../customProperty4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5.bin"/><Relationship Id="rId6" Type="http://schemas.openxmlformats.org/officeDocument/2006/relationships/comments" Target="../comments15.xml"/><Relationship Id="rId5" Type="http://schemas.openxmlformats.org/officeDocument/2006/relationships/vmlDrawing" Target="../drawings/vmlDrawing15.vml"/><Relationship Id="rId4" Type="http://schemas.openxmlformats.org/officeDocument/2006/relationships/customProperty" Target="../customProperty45.bin"/></Relationships>
</file>

<file path=xl/worksheets/_rels/sheet1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customProperty" Target="../customProperty47.bin"/><Relationship Id="rId7" Type="http://schemas.openxmlformats.org/officeDocument/2006/relationships/control" Target="../activeX/activeX8.xml"/><Relationship Id="rId2" Type="http://schemas.openxmlformats.org/officeDocument/2006/relationships/customProperty" Target="../customProperty46.bin"/><Relationship Id="rId1" Type="http://schemas.openxmlformats.org/officeDocument/2006/relationships/printerSettings" Target="../printerSettings/printerSettings16.bin"/><Relationship Id="rId6" Type="http://schemas.openxmlformats.org/officeDocument/2006/relationships/vmlDrawing" Target="../drawings/vmlDrawing16.vml"/><Relationship Id="rId5" Type="http://schemas.openxmlformats.org/officeDocument/2006/relationships/drawing" Target="../drawings/drawing9.xml"/><Relationship Id="rId4" Type="http://schemas.openxmlformats.org/officeDocument/2006/relationships/customProperty" Target="../customProperty48.bin"/><Relationship Id="rId9"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50.bin"/><Relationship Id="rId2" Type="http://schemas.openxmlformats.org/officeDocument/2006/relationships/customProperty" Target="../customProperty49.bin"/><Relationship Id="rId1" Type="http://schemas.openxmlformats.org/officeDocument/2006/relationships/printerSettings" Target="../printerSettings/printerSettings17.bin"/><Relationship Id="rId6" Type="http://schemas.openxmlformats.org/officeDocument/2006/relationships/comments" Target="../comments17.xml"/><Relationship Id="rId5" Type="http://schemas.openxmlformats.org/officeDocument/2006/relationships/vmlDrawing" Target="../drawings/vmlDrawing17.vml"/><Relationship Id="rId4" Type="http://schemas.openxmlformats.org/officeDocument/2006/relationships/customProperty" Target="../customProperty51.bin"/></Relationships>
</file>

<file path=xl/worksheets/_rels/sheet18.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customProperty" Target="../customProperty53.bin"/><Relationship Id="rId7" Type="http://schemas.openxmlformats.org/officeDocument/2006/relationships/control" Target="../activeX/activeX9.xml"/><Relationship Id="rId2" Type="http://schemas.openxmlformats.org/officeDocument/2006/relationships/customProperty" Target="../customProperty52.bin"/><Relationship Id="rId1" Type="http://schemas.openxmlformats.org/officeDocument/2006/relationships/printerSettings" Target="../printerSettings/printerSettings18.bin"/><Relationship Id="rId6" Type="http://schemas.openxmlformats.org/officeDocument/2006/relationships/vmlDrawing" Target="../drawings/vmlDrawing18.vml"/><Relationship Id="rId5" Type="http://schemas.openxmlformats.org/officeDocument/2006/relationships/drawing" Target="../drawings/drawing10.xml"/><Relationship Id="rId4" Type="http://schemas.openxmlformats.org/officeDocument/2006/relationships/customProperty" Target="../customProperty54.bin"/><Relationship Id="rId9"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56.bin"/><Relationship Id="rId2" Type="http://schemas.openxmlformats.org/officeDocument/2006/relationships/customProperty" Target="../customProperty55.bin"/><Relationship Id="rId1" Type="http://schemas.openxmlformats.org/officeDocument/2006/relationships/printerSettings" Target="../printerSettings/printerSettings19.bin"/><Relationship Id="rId6" Type="http://schemas.openxmlformats.org/officeDocument/2006/relationships/comments" Target="../comments19.xml"/><Relationship Id="rId5" Type="http://schemas.openxmlformats.org/officeDocument/2006/relationships/vmlDrawing" Target="../drawings/vmlDrawing19.vml"/><Relationship Id="rId4" Type="http://schemas.openxmlformats.org/officeDocument/2006/relationships/customProperty" Target="../customProperty5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59.bin"/><Relationship Id="rId2" Type="http://schemas.openxmlformats.org/officeDocument/2006/relationships/customProperty" Target="../customProperty58.bin"/><Relationship Id="rId1" Type="http://schemas.openxmlformats.org/officeDocument/2006/relationships/printerSettings" Target="../printerSettings/printerSettings20.bin"/><Relationship Id="rId6" Type="http://schemas.openxmlformats.org/officeDocument/2006/relationships/comments" Target="../comments20.xml"/><Relationship Id="rId5" Type="http://schemas.openxmlformats.org/officeDocument/2006/relationships/vmlDrawing" Target="../drawings/vmlDrawing20.vml"/><Relationship Id="rId4" Type="http://schemas.openxmlformats.org/officeDocument/2006/relationships/customProperty" Target="../customProperty6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62.bin"/><Relationship Id="rId2" Type="http://schemas.openxmlformats.org/officeDocument/2006/relationships/customProperty" Target="../customProperty61.bin"/><Relationship Id="rId1" Type="http://schemas.openxmlformats.org/officeDocument/2006/relationships/printerSettings" Target="../printerSettings/printerSettings21.bin"/><Relationship Id="rId6" Type="http://schemas.openxmlformats.org/officeDocument/2006/relationships/comments" Target="../comments21.xml"/><Relationship Id="rId5" Type="http://schemas.openxmlformats.org/officeDocument/2006/relationships/vmlDrawing" Target="../drawings/vmlDrawing21.vml"/><Relationship Id="rId4" Type="http://schemas.openxmlformats.org/officeDocument/2006/relationships/customProperty" Target="../customProperty63.bin"/></Relationships>
</file>

<file path=xl/worksheets/_rels/sheet22.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customProperty" Target="../customProperty65.bin"/><Relationship Id="rId7" Type="http://schemas.openxmlformats.org/officeDocument/2006/relationships/control" Target="../activeX/activeX10.xml"/><Relationship Id="rId2" Type="http://schemas.openxmlformats.org/officeDocument/2006/relationships/customProperty" Target="../customProperty64.bin"/><Relationship Id="rId1" Type="http://schemas.openxmlformats.org/officeDocument/2006/relationships/printerSettings" Target="../printerSettings/printerSettings22.bin"/><Relationship Id="rId6" Type="http://schemas.openxmlformats.org/officeDocument/2006/relationships/vmlDrawing" Target="../drawings/vmlDrawing22.vml"/><Relationship Id="rId5" Type="http://schemas.openxmlformats.org/officeDocument/2006/relationships/drawing" Target="../drawings/drawing11.xml"/><Relationship Id="rId4" Type="http://schemas.openxmlformats.org/officeDocument/2006/relationships/customProperty" Target="../customProperty66.bin"/><Relationship Id="rId9"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customProperty" Target="../customProperty68.bin"/><Relationship Id="rId7" Type="http://schemas.openxmlformats.org/officeDocument/2006/relationships/control" Target="../activeX/activeX11.xml"/><Relationship Id="rId2" Type="http://schemas.openxmlformats.org/officeDocument/2006/relationships/customProperty" Target="../customProperty67.bin"/><Relationship Id="rId1" Type="http://schemas.openxmlformats.org/officeDocument/2006/relationships/printerSettings" Target="../printerSettings/printerSettings23.bin"/><Relationship Id="rId6" Type="http://schemas.openxmlformats.org/officeDocument/2006/relationships/vmlDrawing" Target="../drawings/vmlDrawing23.vml"/><Relationship Id="rId5" Type="http://schemas.openxmlformats.org/officeDocument/2006/relationships/drawing" Target="../drawings/drawing12.xml"/><Relationship Id="rId4" Type="http://schemas.openxmlformats.org/officeDocument/2006/relationships/customProperty" Target="../customProperty69.bin"/><Relationship Id="rId9" Type="http://schemas.openxmlformats.org/officeDocument/2006/relationships/comments" Target="../comments23.xml"/></Relationships>
</file>

<file path=xl/worksheets/_rels/sheet24.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ustomProperty" Target="../customProperty71.bin"/><Relationship Id="rId7" Type="http://schemas.openxmlformats.org/officeDocument/2006/relationships/control" Target="../activeX/activeX12.xml"/><Relationship Id="rId2" Type="http://schemas.openxmlformats.org/officeDocument/2006/relationships/customProperty" Target="../customProperty70.bin"/><Relationship Id="rId1" Type="http://schemas.openxmlformats.org/officeDocument/2006/relationships/printerSettings" Target="../printerSettings/printerSettings24.bin"/><Relationship Id="rId6" Type="http://schemas.openxmlformats.org/officeDocument/2006/relationships/vmlDrawing" Target="../drawings/vmlDrawing24.vml"/><Relationship Id="rId5" Type="http://schemas.openxmlformats.org/officeDocument/2006/relationships/drawing" Target="../drawings/drawing13.xml"/><Relationship Id="rId4" Type="http://schemas.openxmlformats.org/officeDocument/2006/relationships/customProperty" Target="../customProperty72.bin"/><Relationship Id="rId9" Type="http://schemas.openxmlformats.org/officeDocument/2006/relationships/comments" Target="../comments24.xml"/></Relationships>
</file>

<file path=xl/worksheets/_rels/sheet25.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customProperty" Target="../customProperty74.bin"/><Relationship Id="rId7" Type="http://schemas.openxmlformats.org/officeDocument/2006/relationships/control" Target="../activeX/activeX13.xml"/><Relationship Id="rId2" Type="http://schemas.openxmlformats.org/officeDocument/2006/relationships/customProperty" Target="../customProperty73.bin"/><Relationship Id="rId1" Type="http://schemas.openxmlformats.org/officeDocument/2006/relationships/printerSettings" Target="../printerSettings/printerSettings25.bin"/><Relationship Id="rId6" Type="http://schemas.openxmlformats.org/officeDocument/2006/relationships/vmlDrawing" Target="../drawings/vmlDrawing25.vml"/><Relationship Id="rId5" Type="http://schemas.openxmlformats.org/officeDocument/2006/relationships/drawing" Target="../drawings/drawing14.xml"/><Relationship Id="rId4" Type="http://schemas.openxmlformats.org/officeDocument/2006/relationships/customProperty" Target="../customProperty75.bin"/><Relationship Id="rId9" Type="http://schemas.openxmlformats.org/officeDocument/2006/relationships/comments" Target="../comments25.xml"/></Relationships>
</file>

<file path=xl/worksheets/_rels/sheet26.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customProperty" Target="../customProperty77.bin"/><Relationship Id="rId7" Type="http://schemas.openxmlformats.org/officeDocument/2006/relationships/control" Target="../activeX/activeX14.xml"/><Relationship Id="rId2" Type="http://schemas.openxmlformats.org/officeDocument/2006/relationships/customProperty" Target="../customProperty76.bin"/><Relationship Id="rId1" Type="http://schemas.openxmlformats.org/officeDocument/2006/relationships/printerSettings" Target="../printerSettings/printerSettings26.bin"/><Relationship Id="rId6" Type="http://schemas.openxmlformats.org/officeDocument/2006/relationships/vmlDrawing" Target="../drawings/vmlDrawing26.vml"/><Relationship Id="rId5" Type="http://schemas.openxmlformats.org/officeDocument/2006/relationships/drawing" Target="../drawings/drawing15.xml"/><Relationship Id="rId4" Type="http://schemas.openxmlformats.org/officeDocument/2006/relationships/customProperty" Target="../customProperty78.bin"/><Relationship Id="rId9" Type="http://schemas.openxmlformats.org/officeDocument/2006/relationships/comments" Target="../comments26.xml"/></Relationships>
</file>

<file path=xl/worksheets/_rels/sheet27.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ustomProperty" Target="../customProperty80.bin"/><Relationship Id="rId7" Type="http://schemas.openxmlformats.org/officeDocument/2006/relationships/control" Target="../activeX/activeX15.xml"/><Relationship Id="rId2" Type="http://schemas.openxmlformats.org/officeDocument/2006/relationships/customProperty" Target="../customProperty79.bin"/><Relationship Id="rId1" Type="http://schemas.openxmlformats.org/officeDocument/2006/relationships/printerSettings" Target="../printerSettings/printerSettings27.bin"/><Relationship Id="rId6" Type="http://schemas.openxmlformats.org/officeDocument/2006/relationships/vmlDrawing" Target="../drawings/vmlDrawing27.vml"/><Relationship Id="rId5" Type="http://schemas.openxmlformats.org/officeDocument/2006/relationships/drawing" Target="../drawings/drawing16.xml"/><Relationship Id="rId4" Type="http://schemas.openxmlformats.org/officeDocument/2006/relationships/customProperty" Target="../customProperty81.bin"/><Relationship Id="rId9" Type="http://schemas.openxmlformats.org/officeDocument/2006/relationships/comments" Target="../comments27.xml"/></Relationships>
</file>

<file path=xl/worksheets/_rels/sheet28.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customProperty" Target="../customProperty83.bin"/><Relationship Id="rId7" Type="http://schemas.openxmlformats.org/officeDocument/2006/relationships/control" Target="../activeX/activeX16.xml"/><Relationship Id="rId2" Type="http://schemas.openxmlformats.org/officeDocument/2006/relationships/customProperty" Target="../customProperty82.bin"/><Relationship Id="rId1" Type="http://schemas.openxmlformats.org/officeDocument/2006/relationships/printerSettings" Target="../printerSettings/printerSettings28.bin"/><Relationship Id="rId6" Type="http://schemas.openxmlformats.org/officeDocument/2006/relationships/vmlDrawing" Target="../drawings/vmlDrawing28.vml"/><Relationship Id="rId5" Type="http://schemas.openxmlformats.org/officeDocument/2006/relationships/drawing" Target="../drawings/drawing17.xml"/><Relationship Id="rId4" Type="http://schemas.openxmlformats.org/officeDocument/2006/relationships/customProperty" Target="../customProperty84.bin"/><Relationship Id="rId9" Type="http://schemas.openxmlformats.org/officeDocument/2006/relationships/comments" Target="../comments28.xml"/></Relationships>
</file>

<file path=xl/worksheets/_rels/sheet29.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customProperty" Target="../customProperty86.bin"/><Relationship Id="rId7" Type="http://schemas.openxmlformats.org/officeDocument/2006/relationships/control" Target="../activeX/activeX17.xml"/><Relationship Id="rId2" Type="http://schemas.openxmlformats.org/officeDocument/2006/relationships/customProperty" Target="../customProperty85.bin"/><Relationship Id="rId1" Type="http://schemas.openxmlformats.org/officeDocument/2006/relationships/printerSettings" Target="../printerSettings/printerSettings29.bin"/><Relationship Id="rId6" Type="http://schemas.openxmlformats.org/officeDocument/2006/relationships/vmlDrawing" Target="../drawings/vmlDrawing29.vml"/><Relationship Id="rId5" Type="http://schemas.openxmlformats.org/officeDocument/2006/relationships/drawing" Target="../drawings/drawing18.xml"/><Relationship Id="rId4" Type="http://schemas.openxmlformats.org/officeDocument/2006/relationships/customProperty" Target="../customProperty87.bin"/><Relationship Id="rId9" Type="http://schemas.openxmlformats.org/officeDocument/2006/relationships/comments" Target="../comments29.xml"/></Relationships>
</file>

<file path=xl/worksheets/_rels/sheet30.x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customProperty" Target="../customProperty89.bin"/><Relationship Id="rId7" Type="http://schemas.openxmlformats.org/officeDocument/2006/relationships/control" Target="../activeX/activeX18.xml"/><Relationship Id="rId2" Type="http://schemas.openxmlformats.org/officeDocument/2006/relationships/customProperty" Target="../customProperty88.bin"/><Relationship Id="rId1" Type="http://schemas.openxmlformats.org/officeDocument/2006/relationships/printerSettings" Target="../printerSettings/printerSettings30.bin"/><Relationship Id="rId6" Type="http://schemas.openxmlformats.org/officeDocument/2006/relationships/vmlDrawing" Target="../drawings/vmlDrawing30.vml"/><Relationship Id="rId5" Type="http://schemas.openxmlformats.org/officeDocument/2006/relationships/drawing" Target="../drawings/drawing19.xml"/><Relationship Id="rId4" Type="http://schemas.openxmlformats.org/officeDocument/2006/relationships/customProperty" Target="../customProperty90.bin"/><Relationship Id="rId9" Type="http://schemas.openxmlformats.org/officeDocument/2006/relationships/comments" Target="../comments30.xml"/></Relationships>
</file>

<file path=xl/worksheets/_rels/sheet31.x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customProperty" Target="../customProperty92.bin"/><Relationship Id="rId7" Type="http://schemas.openxmlformats.org/officeDocument/2006/relationships/control" Target="../activeX/activeX19.xml"/><Relationship Id="rId2" Type="http://schemas.openxmlformats.org/officeDocument/2006/relationships/customProperty" Target="../customProperty91.bin"/><Relationship Id="rId1" Type="http://schemas.openxmlformats.org/officeDocument/2006/relationships/printerSettings" Target="../printerSettings/printerSettings31.bin"/><Relationship Id="rId6" Type="http://schemas.openxmlformats.org/officeDocument/2006/relationships/vmlDrawing" Target="../drawings/vmlDrawing31.vml"/><Relationship Id="rId5" Type="http://schemas.openxmlformats.org/officeDocument/2006/relationships/drawing" Target="../drawings/drawing20.xml"/><Relationship Id="rId4" Type="http://schemas.openxmlformats.org/officeDocument/2006/relationships/customProperty" Target="../customProperty93.bin"/><Relationship Id="rId9" Type="http://schemas.openxmlformats.org/officeDocument/2006/relationships/comments" Target="../comments31.xml"/></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95.bin"/><Relationship Id="rId2" Type="http://schemas.openxmlformats.org/officeDocument/2006/relationships/customProperty" Target="../customProperty94.bin"/><Relationship Id="rId1" Type="http://schemas.openxmlformats.org/officeDocument/2006/relationships/printerSettings" Target="../printerSettings/printerSettings32.bin"/><Relationship Id="rId6" Type="http://schemas.openxmlformats.org/officeDocument/2006/relationships/comments" Target="../comments32.xml"/><Relationship Id="rId5" Type="http://schemas.openxmlformats.org/officeDocument/2006/relationships/vmlDrawing" Target="../drawings/vmlDrawing32.vml"/><Relationship Id="rId4" Type="http://schemas.openxmlformats.org/officeDocument/2006/relationships/customProperty" Target="../customProperty96.bin"/></Relationships>
</file>

<file path=xl/worksheets/_rels/sheet33.x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customProperty" Target="../customProperty98.bin"/><Relationship Id="rId7" Type="http://schemas.openxmlformats.org/officeDocument/2006/relationships/control" Target="../activeX/activeX20.xml"/><Relationship Id="rId2" Type="http://schemas.openxmlformats.org/officeDocument/2006/relationships/customProperty" Target="../customProperty97.bin"/><Relationship Id="rId1" Type="http://schemas.openxmlformats.org/officeDocument/2006/relationships/printerSettings" Target="../printerSettings/printerSettings33.bin"/><Relationship Id="rId6" Type="http://schemas.openxmlformats.org/officeDocument/2006/relationships/vmlDrawing" Target="../drawings/vmlDrawing33.vml"/><Relationship Id="rId5" Type="http://schemas.openxmlformats.org/officeDocument/2006/relationships/drawing" Target="../drawings/drawing21.xml"/><Relationship Id="rId4" Type="http://schemas.openxmlformats.org/officeDocument/2006/relationships/customProperty" Target="../customProperty99.bin"/><Relationship Id="rId9" Type="http://schemas.openxmlformats.org/officeDocument/2006/relationships/comments" Target="../comments33.xml"/></Relationships>
</file>

<file path=xl/worksheets/_rels/sheet34.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customProperty" Target="../customProperty101.bin"/><Relationship Id="rId7" Type="http://schemas.openxmlformats.org/officeDocument/2006/relationships/control" Target="../activeX/activeX21.xml"/><Relationship Id="rId2" Type="http://schemas.openxmlformats.org/officeDocument/2006/relationships/customProperty" Target="../customProperty100.bin"/><Relationship Id="rId1" Type="http://schemas.openxmlformats.org/officeDocument/2006/relationships/printerSettings" Target="../printerSettings/printerSettings34.bin"/><Relationship Id="rId6" Type="http://schemas.openxmlformats.org/officeDocument/2006/relationships/vmlDrawing" Target="../drawings/vmlDrawing34.vml"/><Relationship Id="rId5" Type="http://schemas.openxmlformats.org/officeDocument/2006/relationships/drawing" Target="../drawings/drawing22.xml"/><Relationship Id="rId4" Type="http://schemas.openxmlformats.org/officeDocument/2006/relationships/customProperty" Target="../customProperty102.bin"/><Relationship Id="rId9" Type="http://schemas.openxmlformats.org/officeDocument/2006/relationships/comments" Target="../comments34.xml"/></Relationships>
</file>

<file path=xl/worksheets/_rels/sheet35.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customProperty" Target="../customProperty104.bin"/><Relationship Id="rId7" Type="http://schemas.openxmlformats.org/officeDocument/2006/relationships/control" Target="../activeX/activeX22.xml"/><Relationship Id="rId2" Type="http://schemas.openxmlformats.org/officeDocument/2006/relationships/customProperty" Target="../customProperty103.bin"/><Relationship Id="rId1" Type="http://schemas.openxmlformats.org/officeDocument/2006/relationships/printerSettings" Target="../printerSettings/printerSettings35.bin"/><Relationship Id="rId6" Type="http://schemas.openxmlformats.org/officeDocument/2006/relationships/vmlDrawing" Target="../drawings/vmlDrawing35.vml"/><Relationship Id="rId5" Type="http://schemas.openxmlformats.org/officeDocument/2006/relationships/drawing" Target="../drawings/drawing23.xml"/><Relationship Id="rId4" Type="http://schemas.openxmlformats.org/officeDocument/2006/relationships/customProperty" Target="../customProperty105.bin"/><Relationship Id="rId9" Type="http://schemas.openxmlformats.org/officeDocument/2006/relationships/comments" Target="../comments35.xml"/></Relationships>
</file>

<file path=xl/worksheets/_rels/sheet36.x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customProperty" Target="../customProperty107.bin"/><Relationship Id="rId7" Type="http://schemas.openxmlformats.org/officeDocument/2006/relationships/control" Target="../activeX/activeX23.xml"/><Relationship Id="rId2" Type="http://schemas.openxmlformats.org/officeDocument/2006/relationships/customProperty" Target="../customProperty106.bin"/><Relationship Id="rId1" Type="http://schemas.openxmlformats.org/officeDocument/2006/relationships/printerSettings" Target="../printerSettings/printerSettings36.bin"/><Relationship Id="rId6" Type="http://schemas.openxmlformats.org/officeDocument/2006/relationships/vmlDrawing" Target="../drawings/vmlDrawing36.vml"/><Relationship Id="rId5" Type="http://schemas.openxmlformats.org/officeDocument/2006/relationships/drawing" Target="../drawings/drawing24.xml"/><Relationship Id="rId4" Type="http://schemas.openxmlformats.org/officeDocument/2006/relationships/customProperty" Target="../customProperty108.bin"/><Relationship Id="rId9" Type="http://schemas.openxmlformats.org/officeDocument/2006/relationships/comments" Target="../comments36.xml"/></Relationships>
</file>

<file path=xl/worksheets/_rels/sheet37.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customProperty" Target="../customProperty110.bin"/><Relationship Id="rId7" Type="http://schemas.openxmlformats.org/officeDocument/2006/relationships/control" Target="../activeX/activeX24.xml"/><Relationship Id="rId2" Type="http://schemas.openxmlformats.org/officeDocument/2006/relationships/customProperty" Target="../customProperty109.bin"/><Relationship Id="rId1" Type="http://schemas.openxmlformats.org/officeDocument/2006/relationships/printerSettings" Target="../printerSettings/printerSettings37.bin"/><Relationship Id="rId6" Type="http://schemas.openxmlformats.org/officeDocument/2006/relationships/vmlDrawing" Target="../drawings/vmlDrawing37.vml"/><Relationship Id="rId5" Type="http://schemas.openxmlformats.org/officeDocument/2006/relationships/drawing" Target="../drawings/drawing25.xml"/><Relationship Id="rId4" Type="http://schemas.openxmlformats.org/officeDocument/2006/relationships/customProperty" Target="../customProperty111.bin"/><Relationship Id="rId9" Type="http://schemas.openxmlformats.org/officeDocument/2006/relationships/comments" Target="../comments37.xml"/></Relationships>
</file>

<file path=xl/worksheets/_rels/sheet38.x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customProperty" Target="../customProperty113.bin"/><Relationship Id="rId7" Type="http://schemas.openxmlformats.org/officeDocument/2006/relationships/control" Target="../activeX/activeX25.xml"/><Relationship Id="rId2" Type="http://schemas.openxmlformats.org/officeDocument/2006/relationships/customProperty" Target="../customProperty112.bin"/><Relationship Id="rId1" Type="http://schemas.openxmlformats.org/officeDocument/2006/relationships/printerSettings" Target="../printerSettings/printerSettings38.bin"/><Relationship Id="rId6" Type="http://schemas.openxmlformats.org/officeDocument/2006/relationships/vmlDrawing" Target="../drawings/vmlDrawing38.vml"/><Relationship Id="rId5" Type="http://schemas.openxmlformats.org/officeDocument/2006/relationships/drawing" Target="../drawings/drawing26.xml"/><Relationship Id="rId4" Type="http://schemas.openxmlformats.org/officeDocument/2006/relationships/customProperty" Target="../customProperty114.bin"/><Relationship Id="rId9" Type="http://schemas.openxmlformats.org/officeDocument/2006/relationships/comments" Target="../comments38.xml"/></Relationships>
</file>

<file path=xl/worksheets/_rels/sheet39.x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customProperty" Target="../customProperty116.bin"/><Relationship Id="rId7" Type="http://schemas.openxmlformats.org/officeDocument/2006/relationships/control" Target="../activeX/activeX26.xml"/><Relationship Id="rId2" Type="http://schemas.openxmlformats.org/officeDocument/2006/relationships/customProperty" Target="../customProperty115.bin"/><Relationship Id="rId1" Type="http://schemas.openxmlformats.org/officeDocument/2006/relationships/printerSettings" Target="../printerSettings/printerSettings39.bin"/><Relationship Id="rId6" Type="http://schemas.openxmlformats.org/officeDocument/2006/relationships/vmlDrawing" Target="../drawings/vmlDrawing39.vml"/><Relationship Id="rId5" Type="http://schemas.openxmlformats.org/officeDocument/2006/relationships/drawing" Target="../drawings/drawing27.xml"/><Relationship Id="rId4" Type="http://schemas.openxmlformats.org/officeDocument/2006/relationships/customProperty" Target="../customProperty117.bin"/><Relationship Id="rId9" Type="http://schemas.openxmlformats.org/officeDocument/2006/relationships/comments" Target="../comments39.xml"/></Relationships>
</file>

<file path=xl/worksheets/_rels/sheet40.x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customProperty" Target="../customProperty119.bin"/><Relationship Id="rId7" Type="http://schemas.openxmlformats.org/officeDocument/2006/relationships/control" Target="../activeX/activeX27.xml"/><Relationship Id="rId2" Type="http://schemas.openxmlformats.org/officeDocument/2006/relationships/customProperty" Target="../customProperty118.bin"/><Relationship Id="rId1" Type="http://schemas.openxmlformats.org/officeDocument/2006/relationships/printerSettings" Target="../printerSettings/printerSettings40.bin"/><Relationship Id="rId6" Type="http://schemas.openxmlformats.org/officeDocument/2006/relationships/vmlDrawing" Target="../drawings/vmlDrawing40.vml"/><Relationship Id="rId5" Type="http://schemas.openxmlformats.org/officeDocument/2006/relationships/drawing" Target="../drawings/drawing28.xml"/><Relationship Id="rId4" Type="http://schemas.openxmlformats.org/officeDocument/2006/relationships/customProperty" Target="../customProperty120.bin"/><Relationship Id="rId9" Type="http://schemas.openxmlformats.org/officeDocument/2006/relationships/comments" Target="../comments40.xml"/></Relationships>
</file>

<file path=xl/worksheets/_rels/sheet41.x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customProperty" Target="../customProperty122.bin"/><Relationship Id="rId7" Type="http://schemas.openxmlformats.org/officeDocument/2006/relationships/control" Target="../activeX/activeX28.xml"/><Relationship Id="rId2" Type="http://schemas.openxmlformats.org/officeDocument/2006/relationships/customProperty" Target="../customProperty121.bin"/><Relationship Id="rId1" Type="http://schemas.openxmlformats.org/officeDocument/2006/relationships/printerSettings" Target="../printerSettings/printerSettings41.bin"/><Relationship Id="rId6" Type="http://schemas.openxmlformats.org/officeDocument/2006/relationships/vmlDrawing" Target="../drawings/vmlDrawing41.vml"/><Relationship Id="rId5" Type="http://schemas.openxmlformats.org/officeDocument/2006/relationships/drawing" Target="../drawings/drawing29.xml"/><Relationship Id="rId4" Type="http://schemas.openxmlformats.org/officeDocument/2006/relationships/customProperty" Target="../customProperty123.bin"/><Relationship Id="rId9" Type="http://schemas.openxmlformats.org/officeDocument/2006/relationships/comments" Target="../comments41.xml"/></Relationships>
</file>

<file path=xl/worksheets/_rels/sheet42.xml.rels><?xml version="1.0" encoding="UTF-8" standalone="yes"?>
<Relationships xmlns="http://schemas.openxmlformats.org/package/2006/relationships"><Relationship Id="rId3" Type="http://schemas.openxmlformats.org/officeDocument/2006/relationships/customProperty" Target="../customProperty125.bin"/><Relationship Id="rId2" Type="http://schemas.openxmlformats.org/officeDocument/2006/relationships/customProperty" Target="../customProperty124.bin"/><Relationship Id="rId1" Type="http://schemas.openxmlformats.org/officeDocument/2006/relationships/printerSettings" Target="../printerSettings/printerSettings42.bin"/><Relationship Id="rId6" Type="http://schemas.openxmlformats.org/officeDocument/2006/relationships/comments" Target="../comments42.xml"/><Relationship Id="rId5" Type="http://schemas.openxmlformats.org/officeDocument/2006/relationships/vmlDrawing" Target="../drawings/vmlDrawing42.vml"/><Relationship Id="rId4" Type="http://schemas.openxmlformats.org/officeDocument/2006/relationships/customProperty" Target="../customProperty126.bin"/></Relationships>
</file>

<file path=xl/worksheets/_rels/sheet43.x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customProperty" Target="../customProperty128.bin"/><Relationship Id="rId7" Type="http://schemas.openxmlformats.org/officeDocument/2006/relationships/control" Target="../activeX/activeX29.xml"/><Relationship Id="rId2" Type="http://schemas.openxmlformats.org/officeDocument/2006/relationships/customProperty" Target="../customProperty127.bin"/><Relationship Id="rId1" Type="http://schemas.openxmlformats.org/officeDocument/2006/relationships/printerSettings" Target="../printerSettings/printerSettings43.bin"/><Relationship Id="rId6" Type="http://schemas.openxmlformats.org/officeDocument/2006/relationships/vmlDrawing" Target="../drawings/vmlDrawing43.vml"/><Relationship Id="rId5" Type="http://schemas.openxmlformats.org/officeDocument/2006/relationships/drawing" Target="../drawings/drawing30.xml"/><Relationship Id="rId4" Type="http://schemas.openxmlformats.org/officeDocument/2006/relationships/customProperty" Target="../customProperty129.bin"/><Relationship Id="rId9" Type="http://schemas.openxmlformats.org/officeDocument/2006/relationships/comments" Target="../comments43.xml"/></Relationships>
</file>

<file path=xl/worksheets/_rels/sheet44.x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customProperty" Target="../customProperty131.bin"/><Relationship Id="rId7" Type="http://schemas.openxmlformats.org/officeDocument/2006/relationships/control" Target="../activeX/activeX30.xml"/><Relationship Id="rId2" Type="http://schemas.openxmlformats.org/officeDocument/2006/relationships/customProperty" Target="../customProperty130.bin"/><Relationship Id="rId1" Type="http://schemas.openxmlformats.org/officeDocument/2006/relationships/printerSettings" Target="../printerSettings/printerSettings44.bin"/><Relationship Id="rId6" Type="http://schemas.openxmlformats.org/officeDocument/2006/relationships/vmlDrawing" Target="../drawings/vmlDrawing44.vml"/><Relationship Id="rId5" Type="http://schemas.openxmlformats.org/officeDocument/2006/relationships/drawing" Target="../drawings/drawing31.xml"/><Relationship Id="rId4" Type="http://schemas.openxmlformats.org/officeDocument/2006/relationships/customProperty" Target="../customProperty132.bin"/><Relationship Id="rId9" Type="http://schemas.openxmlformats.org/officeDocument/2006/relationships/comments" Target="../comments44.xml"/></Relationships>
</file>

<file path=xl/worksheets/_rels/sheet45.xml.rels><?xml version="1.0" encoding="UTF-8" standalone="yes"?>
<Relationships xmlns="http://schemas.openxmlformats.org/package/2006/relationships"><Relationship Id="rId8" Type="http://schemas.openxmlformats.org/officeDocument/2006/relationships/image" Target="../media/image35.emf"/><Relationship Id="rId3" Type="http://schemas.openxmlformats.org/officeDocument/2006/relationships/customProperty" Target="../customProperty134.bin"/><Relationship Id="rId7" Type="http://schemas.openxmlformats.org/officeDocument/2006/relationships/control" Target="../activeX/activeX31.xml"/><Relationship Id="rId2" Type="http://schemas.openxmlformats.org/officeDocument/2006/relationships/customProperty" Target="../customProperty133.bin"/><Relationship Id="rId1" Type="http://schemas.openxmlformats.org/officeDocument/2006/relationships/printerSettings" Target="../printerSettings/printerSettings45.bin"/><Relationship Id="rId6" Type="http://schemas.openxmlformats.org/officeDocument/2006/relationships/vmlDrawing" Target="../drawings/vmlDrawing45.vml"/><Relationship Id="rId5" Type="http://schemas.openxmlformats.org/officeDocument/2006/relationships/drawing" Target="../drawings/drawing32.xml"/><Relationship Id="rId4" Type="http://schemas.openxmlformats.org/officeDocument/2006/relationships/customProperty" Target="../customProperty135.bin"/><Relationship Id="rId9" Type="http://schemas.openxmlformats.org/officeDocument/2006/relationships/comments" Target="../comments45.xml"/></Relationships>
</file>

<file path=xl/worksheets/_rels/sheet46.xml.rels><?xml version="1.0" encoding="UTF-8" standalone="yes"?>
<Relationships xmlns="http://schemas.openxmlformats.org/package/2006/relationships"><Relationship Id="rId8" Type="http://schemas.openxmlformats.org/officeDocument/2006/relationships/image" Target="../media/image36.emf"/><Relationship Id="rId3" Type="http://schemas.openxmlformats.org/officeDocument/2006/relationships/customProperty" Target="../customProperty137.bin"/><Relationship Id="rId7" Type="http://schemas.openxmlformats.org/officeDocument/2006/relationships/control" Target="../activeX/activeX32.xml"/><Relationship Id="rId2" Type="http://schemas.openxmlformats.org/officeDocument/2006/relationships/customProperty" Target="../customProperty136.bin"/><Relationship Id="rId1" Type="http://schemas.openxmlformats.org/officeDocument/2006/relationships/printerSettings" Target="../printerSettings/printerSettings46.bin"/><Relationship Id="rId6" Type="http://schemas.openxmlformats.org/officeDocument/2006/relationships/vmlDrawing" Target="../drawings/vmlDrawing46.vml"/><Relationship Id="rId5" Type="http://schemas.openxmlformats.org/officeDocument/2006/relationships/drawing" Target="../drawings/drawing33.xml"/><Relationship Id="rId4" Type="http://schemas.openxmlformats.org/officeDocument/2006/relationships/customProperty" Target="../customProperty138.bin"/><Relationship Id="rId9" Type="http://schemas.openxmlformats.org/officeDocument/2006/relationships/comments" Target="../comments46.xml"/></Relationships>
</file>

<file path=xl/worksheets/_rels/sheet47.x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customProperty" Target="../customProperty140.bin"/><Relationship Id="rId7" Type="http://schemas.openxmlformats.org/officeDocument/2006/relationships/control" Target="../activeX/activeX33.xml"/><Relationship Id="rId2" Type="http://schemas.openxmlformats.org/officeDocument/2006/relationships/customProperty" Target="../customProperty139.bin"/><Relationship Id="rId1" Type="http://schemas.openxmlformats.org/officeDocument/2006/relationships/printerSettings" Target="../printerSettings/printerSettings47.bin"/><Relationship Id="rId6" Type="http://schemas.openxmlformats.org/officeDocument/2006/relationships/vmlDrawing" Target="../drawings/vmlDrawing47.vml"/><Relationship Id="rId5" Type="http://schemas.openxmlformats.org/officeDocument/2006/relationships/drawing" Target="../drawings/drawing34.xml"/><Relationship Id="rId4" Type="http://schemas.openxmlformats.org/officeDocument/2006/relationships/customProperty" Target="../customProperty141.bin"/><Relationship Id="rId9" Type="http://schemas.openxmlformats.org/officeDocument/2006/relationships/comments" Target="../comments47.xml"/></Relationships>
</file>

<file path=xl/worksheets/_rels/sheet48.xml.rels><?xml version="1.0" encoding="UTF-8" standalone="yes"?>
<Relationships xmlns="http://schemas.openxmlformats.org/package/2006/relationships"><Relationship Id="rId8" Type="http://schemas.openxmlformats.org/officeDocument/2006/relationships/image" Target="../media/image38.emf"/><Relationship Id="rId3" Type="http://schemas.openxmlformats.org/officeDocument/2006/relationships/customProperty" Target="../customProperty143.bin"/><Relationship Id="rId7" Type="http://schemas.openxmlformats.org/officeDocument/2006/relationships/control" Target="../activeX/activeX34.xml"/><Relationship Id="rId2" Type="http://schemas.openxmlformats.org/officeDocument/2006/relationships/customProperty" Target="../customProperty142.bin"/><Relationship Id="rId1" Type="http://schemas.openxmlformats.org/officeDocument/2006/relationships/printerSettings" Target="../printerSettings/printerSettings48.bin"/><Relationship Id="rId6" Type="http://schemas.openxmlformats.org/officeDocument/2006/relationships/vmlDrawing" Target="../drawings/vmlDrawing48.vml"/><Relationship Id="rId5" Type="http://schemas.openxmlformats.org/officeDocument/2006/relationships/drawing" Target="../drawings/drawing35.xml"/><Relationship Id="rId4" Type="http://schemas.openxmlformats.org/officeDocument/2006/relationships/customProperty" Target="../customProperty144.bin"/><Relationship Id="rId9" Type="http://schemas.openxmlformats.org/officeDocument/2006/relationships/comments" Target="../comments48.xml"/></Relationships>
</file>

<file path=xl/worksheets/_rels/sheet49.xml.rels><?xml version="1.0" encoding="UTF-8" standalone="yes"?>
<Relationships xmlns="http://schemas.openxmlformats.org/package/2006/relationships"><Relationship Id="rId8" Type="http://schemas.openxmlformats.org/officeDocument/2006/relationships/image" Target="../media/image39.emf"/><Relationship Id="rId3" Type="http://schemas.openxmlformats.org/officeDocument/2006/relationships/customProperty" Target="../customProperty146.bin"/><Relationship Id="rId7" Type="http://schemas.openxmlformats.org/officeDocument/2006/relationships/control" Target="../activeX/activeX35.xml"/><Relationship Id="rId2" Type="http://schemas.openxmlformats.org/officeDocument/2006/relationships/customProperty" Target="../customProperty145.bin"/><Relationship Id="rId1" Type="http://schemas.openxmlformats.org/officeDocument/2006/relationships/printerSettings" Target="../printerSettings/printerSettings49.bin"/><Relationship Id="rId6" Type="http://schemas.openxmlformats.org/officeDocument/2006/relationships/vmlDrawing" Target="../drawings/vmlDrawing49.vml"/><Relationship Id="rId5" Type="http://schemas.openxmlformats.org/officeDocument/2006/relationships/drawing" Target="../drawings/drawing36.xml"/><Relationship Id="rId4" Type="http://schemas.openxmlformats.org/officeDocument/2006/relationships/customProperty" Target="../customProperty147.bin"/><Relationship Id="rId9" Type="http://schemas.openxmlformats.org/officeDocument/2006/relationships/comments" Target="../comments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54"/>
  <sheetViews>
    <sheetView topLeftCell="A3" zoomScale="85" zoomScaleNormal="85" workbookViewId="0">
      <selection activeCell="C13" sqref="C13"/>
    </sheetView>
  </sheetViews>
  <sheetFormatPr defaultRowHeight="15" outlineLevelRow="1" outlineLevelCol="1" x14ac:dyDescent="0.25"/>
  <cols>
    <col min="1" max="1" width="4.7109375" style="3" customWidth="1"/>
    <col min="2" max="2" width="2.7109375" style="3" customWidth="1"/>
    <col min="3" max="3" width="21.42578125" style="3" bestFit="1" customWidth="1"/>
    <col min="4" max="4" width="16.7109375" style="3" customWidth="1"/>
    <col min="5" max="5" width="24.7109375" style="3" customWidth="1"/>
    <col min="6" max="6" width="21.28515625" style="3" bestFit="1" customWidth="1"/>
    <col min="7" max="7" width="16.7109375" style="3" customWidth="1"/>
    <col min="8" max="8" width="22.7109375" style="3" customWidth="1"/>
    <col min="9" max="9" width="21.7109375" style="3" customWidth="1"/>
    <col min="10" max="10" width="16.7109375" style="3" customWidth="1"/>
    <col min="11" max="11" width="24.7109375" style="3" customWidth="1"/>
    <col min="12" max="12" width="2.7109375" style="3" customWidth="1"/>
    <col min="13" max="13" width="5.7109375" style="3" customWidth="1"/>
    <col min="14" max="14" width="2.7109375" style="3" customWidth="1"/>
    <col min="15" max="15" width="9.140625" style="3"/>
    <col min="16" max="16" width="17.7109375" style="3" customWidth="1"/>
    <col min="17" max="17" width="14.7109375" style="3" customWidth="1"/>
    <col min="18" max="18" width="2.7109375" style="3" customWidth="1"/>
    <col min="19" max="19" width="14.28515625" style="3" hidden="1" customWidth="1" outlineLevel="1"/>
    <col min="20" max="20" width="0" style="3" hidden="1" customWidth="1" outlineLevel="1"/>
    <col min="21" max="21" width="9.140625" style="3" collapsed="1"/>
    <col min="22" max="16384" width="9.140625" style="3"/>
  </cols>
  <sheetData>
    <row r="1" spans="1:23" hidden="1" outlineLevel="1" x14ac:dyDescent="0.25">
      <c r="A1" s="9"/>
      <c r="B1" s="9"/>
      <c r="C1" s="10" t="str">
        <f>IF(_epmOfflineCondition_,"20230100",_xll.EVPRO("FINANCE","CURRENT","STARTMTH"))</f>
        <v>20230100</v>
      </c>
      <c r="D1" s="10" t="str">
        <f>LEFT($C$1,4)&amp;".TOTAL"</f>
        <v>2023.TOTAL</v>
      </c>
      <c r="E1" s="11" t="s">
        <v>114</v>
      </c>
      <c r="F1" s="10" t="str">
        <f>IF(_epmOfflineCondition_,"2022.TOTAL",_xll.EVTIM("FINANCE",$D$1,-1,"YEAR"))</f>
        <v>2022.TOTAL</v>
      </c>
      <c r="G1" s="11" t="s">
        <v>114</v>
      </c>
      <c r="H1" s="9"/>
      <c r="I1" s="9"/>
      <c r="J1" s="9"/>
      <c r="K1" s="9"/>
      <c r="L1" s="9"/>
      <c r="M1" s="9"/>
      <c r="N1" s="9"/>
      <c r="O1" s="10" t="b">
        <v>0</v>
      </c>
      <c r="P1" s="11" t="s">
        <v>114</v>
      </c>
      <c r="Q1" s="9"/>
      <c r="R1" s="9"/>
      <c r="S1" s="9"/>
      <c r="T1" s="9"/>
      <c r="U1" s="9"/>
      <c r="V1" s="9"/>
      <c r="W1" s="9"/>
    </row>
    <row r="2" spans="1:23" hidden="1" outlineLevel="1" x14ac:dyDescent="0.25">
      <c r="A2" s="9"/>
      <c r="B2" s="9"/>
      <c r="C2" s="11"/>
      <c r="D2" s="11"/>
      <c r="E2" s="11"/>
      <c r="F2" s="9"/>
      <c r="G2" s="9"/>
      <c r="H2" s="9"/>
      <c r="I2" s="9"/>
      <c r="J2" s="9"/>
      <c r="K2" s="9"/>
      <c r="L2" s="9"/>
      <c r="M2" s="9"/>
      <c r="N2" s="9"/>
      <c r="O2" s="9"/>
      <c r="P2" s="9"/>
      <c r="Q2" s="9"/>
      <c r="R2" s="9"/>
      <c r="S2" s="9"/>
      <c r="T2" s="9"/>
      <c r="U2" s="9"/>
      <c r="V2" s="9"/>
      <c r="W2" s="9"/>
    </row>
    <row r="3" spans="1:23" ht="15.75" collapsed="1" thickBot="1" x14ac:dyDescent="0.3">
      <c r="A3" s="9"/>
      <c r="B3" s="9"/>
      <c r="C3" s="9"/>
      <c r="D3" s="9"/>
      <c r="E3" s="9"/>
      <c r="F3" s="9"/>
      <c r="G3" s="9"/>
      <c r="H3" s="9"/>
      <c r="I3" s="9"/>
      <c r="J3" s="9"/>
      <c r="K3" s="9"/>
      <c r="L3" s="9"/>
      <c r="M3" s="9"/>
      <c r="N3" s="9"/>
      <c r="O3" s="9"/>
      <c r="P3" s="9"/>
      <c r="Q3" s="9"/>
      <c r="R3" s="9"/>
      <c r="S3" s="9"/>
      <c r="T3" s="9"/>
      <c r="U3" s="9"/>
      <c r="V3" s="9"/>
      <c r="W3" s="9"/>
    </row>
    <row r="4" spans="1:23" x14ac:dyDescent="0.25">
      <c r="A4" s="9"/>
      <c r="B4" s="12" t="s">
        <v>113</v>
      </c>
      <c r="C4" s="13"/>
      <c r="D4" s="14"/>
      <c r="E4" s="14"/>
      <c r="F4" s="15"/>
      <c r="G4" s="15"/>
      <c r="H4" s="15"/>
      <c r="I4" s="15"/>
      <c r="J4" s="15"/>
      <c r="K4" s="15"/>
      <c r="L4" s="16"/>
      <c r="M4" s="9"/>
      <c r="N4" s="17" t="s">
        <v>113</v>
      </c>
      <c r="O4" s="18"/>
      <c r="P4" s="15"/>
      <c r="Q4" s="15"/>
      <c r="R4" s="16"/>
      <c r="S4" s="9"/>
      <c r="T4" s="9"/>
      <c r="U4" s="9"/>
      <c r="V4" s="9"/>
      <c r="W4" s="9"/>
    </row>
    <row r="5" spans="1:23" x14ac:dyDescent="0.25">
      <c r="A5" s="9"/>
      <c r="B5" s="19"/>
      <c r="C5" s="20"/>
      <c r="D5" s="21"/>
      <c r="E5" s="21"/>
      <c r="F5" s="22"/>
      <c r="G5" s="22"/>
      <c r="H5" s="20"/>
      <c r="I5" s="20"/>
      <c r="J5" s="20"/>
      <c r="K5" s="20"/>
      <c r="L5" s="23"/>
      <c r="M5" s="9"/>
      <c r="N5" s="19"/>
      <c r="O5" s="20"/>
      <c r="P5" s="20"/>
      <c r="Q5" s="20"/>
      <c r="R5" s="23"/>
      <c r="S5" s="9"/>
      <c r="T5" s="9"/>
      <c r="U5" s="9"/>
      <c r="V5" s="9"/>
      <c r="W5" s="9"/>
    </row>
    <row r="6" spans="1:23" x14ac:dyDescent="0.25">
      <c r="A6" s="9"/>
      <c r="B6" s="19"/>
      <c r="C6" s="617" t="s">
        <v>627</v>
      </c>
      <c r="D6" s="24" t="str">
        <f>IF(_epmOfflineCondition_,"CURRENT",_xll.EPMSelectMember("FINANCE","[CATEGORY].[H1].[CURRENT]","FCFILTER1=Y","",FALSE))</f>
        <v>CURRENT</v>
      </c>
      <c r="E6" s="20" t="s">
        <v>112</v>
      </c>
      <c r="F6" s="617" t="s">
        <v>629</v>
      </c>
      <c r="G6" s="24" t="str">
        <f>IF(_epmOfflineCondition_,"BUDGET",_xll.EVMBR("FINANCE","BUDGET","FCFILTER1=Y"))</f>
        <v>BUDGET</v>
      </c>
      <c r="H6" s="20" t="s">
        <v>112</v>
      </c>
      <c r="I6" s="617" t="s">
        <v>630</v>
      </c>
      <c r="J6" s="24" t="str">
        <f>IF(_epmOfflineCondition_,"ACTUAL_CON",_xll.EPMSelectMember("FINANCE","[CATEGORY].[H1].[ACTUAL_CON]","FCFILTER1=Y","",FALSE))</f>
        <v>ACTUAL_CON</v>
      </c>
      <c r="K6" s="20" t="s">
        <v>112</v>
      </c>
      <c r="L6" s="23"/>
      <c r="M6" s="9"/>
      <c r="N6" s="19"/>
      <c r="O6" s="20"/>
      <c r="P6" s="20" t="s">
        <v>632</v>
      </c>
      <c r="Q6" s="24" t="str">
        <f>IF(_epmOfflineCondition_,"2014.DEC",_xll.EVMBR("FINANCE","2014.DEC","LEVEL=MONTH;YEAR&lt;&gt;NONE"))</f>
        <v>2014.DEC</v>
      </c>
      <c r="R6" s="23"/>
      <c r="S6" s="9"/>
      <c r="T6" s="9"/>
      <c r="U6" s="9"/>
      <c r="V6" s="9"/>
      <c r="W6" s="9"/>
    </row>
    <row r="7" spans="1:23" ht="15" customHeight="1" x14ac:dyDescent="0.25">
      <c r="A7" s="9"/>
      <c r="B7" s="19"/>
      <c r="C7" s="618"/>
      <c r="D7" s="24" t="str">
        <f>IF(_epmOfflineCondition_,"2022.TOTAL",_xll.EPMSelectMember("FINANCE","[TIME].[H1].[2022.TOTAL]","LEVEL=YEAR;YEAR&lt;&gt;NONE","",FALSE))</f>
        <v>2022.TOTAL</v>
      </c>
      <c r="E7" s="20" t="s">
        <v>628</v>
      </c>
      <c r="F7" s="618"/>
      <c r="G7" s="24" t="str">
        <f>IF(_epmOfflineCondition_,"2022.TOTAL",_xll.EPMSelectMember("FINANCE","[TIME].[H1].[2022.TOTAL]","LEVEL=YEAR;YEAR&lt;&gt;NONE","",FALSE))</f>
        <v>2022.TOTAL</v>
      </c>
      <c r="H7" s="20" t="s">
        <v>628</v>
      </c>
      <c r="I7" s="618"/>
      <c r="J7" s="24" t="str">
        <f>IF(_epmOfflineCondition_,"2021.TOTAL",_xll.EPMSelectMember("FINANCE","[TIME].[H1].[2021.TOTAL]","LEVEL=YEAR;YEAR&lt;&gt;NONE","",FALSE))</f>
        <v>2021.TOTAL</v>
      </c>
      <c r="K7" s="20" t="s">
        <v>628</v>
      </c>
      <c r="L7" s="23"/>
      <c r="M7" s="9"/>
      <c r="N7" s="25" t="s">
        <v>633</v>
      </c>
      <c r="O7" s="26"/>
      <c r="P7" s="26"/>
      <c r="Q7" s="26"/>
      <c r="R7" s="23"/>
      <c r="S7" s="9"/>
      <c r="T7" s="9"/>
      <c r="U7" s="9"/>
      <c r="V7" s="9"/>
      <c r="W7" s="9"/>
    </row>
    <row r="8" spans="1:23" ht="15" customHeight="1" x14ac:dyDescent="0.25">
      <c r="A8" s="9"/>
      <c r="B8" s="19"/>
      <c r="C8" s="27" t="s">
        <v>792</v>
      </c>
      <c r="D8" s="24" t="s">
        <v>824</v>
      </c>
      <c r="E8" s="20" t="s">
        <v>793</v>
      </c>
      <c r="F8" s="28"/>
      <c r="G8" s="29"/>
      <c r="H8" s="20"/>
      <c r="I8" s="28"/>
      <c r="J8" s="29"/>
      <c r="K8" s="20"/>
      <c r="L8" s="23"/>
      <c r="M8" s="9"/>
      <c r="N8" s="25" t="s">
        <v>635</v>
      </c>
      <c r="O8" s="26"/>
      <c r="P8" s="26"/>
      <c r="Q8" s="26"/>
      <c r="R8" s="23"/>
      <c r="S8" s="9"/>
      <c r="T8" s="9"/>
      <c r="U8" s="9"/>
      <c r="V8" s="9"/>
      <c r="W8" s="9"/>
    </row>
    <row r="9" spans="1:23" x14ac:dyDescent="0.25">
      <c r="A9" s="9"/>
      <c r="B9" s="19"/>
      <c r="C9" s="30"/>
      <c r="D9" s="20"/>
      <c r="E9" s="20"/>
      <c r="F9" s="20"/>
      <c r="G9" s="20"/>
      <c r="H9" s="20"/>
      <c r="I9" s="20"/>
      <c r="J9" s="20"/>
      <c r="K9" s="20"/>
      <c r="L9" s="23"/>
      <c r="M9" s="9"/>
      <c r="N9" s="25" t="s">
        <v>634</v>
      </c>
      <c r="O9" s="26"/>
      <c r="P9" s="26"/>
      <c r="Q9" s="26"/>
      <c r="R9" s="23"/>
      <c r="S9" s="9"/>
      <c r="T9" s="9"/>
      <c r="U9" s="9"/>
      <c r="V9" s="9"/>
      <c r="W9" s="9"/>
    </row>
    <row r="10" spans="1:23" x14ac:dyDescent="0.25">
      <c r="A10" s="9"/>
      <c r="B10" s="19"/>
      <c r="C10" s="31" t="s">
        <v>780</v>
      </c>
      <c r="D10" s="24" t="str">
        <f>IF(_epmOfflineCondition_,"LC",_xll.EPMContextMember("FINANCE","RPTCURRENCY"))</f>
        <v>LC</v>
      </c>
      <c r="E10" s="20" t="s">
        <v>781</v>
      </c>
      <c r="F10" s="20"/>
      <c r="G10" s="20"/>
      <c r="H10" s="20"/>
      <c r="I10" s="20"/>
      <c r="J10" s="20"/>
      <c r="K10" s="20"/>
      <c r="L10" s="23"/>
      <c r="M10" s="9"/>
      <c r="N10" s="25"/>
      <c r="O10" s="26"/>
      <c r="P10" s="26"/>
      <c r="Q10" s="26"/>
      <c r="R10" s="23"/>
      <c r="S10" s="9"/>
      <c r="T10" s="9"/>
      <c r="U10" s="9"/>
      <c r="V10" s="9"/>
      <c r="W10" s="9"/>
    </row>
    <row r="11" spans="1:23" ht="15.75" thickBot="1" x14ac:dyDescent="0.3">
      <c r="A11" s="9"/>
      <c r="B11" s="32"/>
      <c r="C11" s="33"/>
      <c r="D11" s="34"/>
      <c r="E11" s="35"/>
      <c r="F11" s="35"/>
      <c r="G11" s="35"/>
      <c r="H11" s="35"/>
      <c r="I11" s="35"/>
      <c r="J11" s="35"/>
      <c r="K11" s="35"/>
      <c r="L11" s="36"/>
      <c r="M11" s="9"/>
      <c r="N11" s="32"/>
      <c r="O11" s="37"/>
      <c r="P11" s="37"/>
      <c r="Q11" s="37"/>
      <c r="R11" s="38"/>
      <c r="S11" s="9"/>
      <c r="T11" s="9"/>
      <c r="U11" s="9"/>
      <c r="V11" s="9"/>
      <c r="W11" s="9"/>
    </row>
    <row r="12" spans="1:23" ht="15.75" thickBot="1" x14ac:dyDescent="0.3">
      <c r="A12" s="9"/>
      <c r="B12" s="20"/>
      <c r="C12" s="21"/>
      <c r="D12" s="20"/>
      <c r="E12" s="39"/>
      <c r="F12" s="39"/>
      <c r="G12" s="39"/>
      <c r="H12" s="39"/>
      <c r="I12" s="39"/>
      <c r="J12" s="39"/>
      <c r="K12" s="39"/>
      <c r="L12" s="39"/>
      <c r="M12" s="9"/>
      <c r="N12" s="20"/>
      <c r="O12" s="20"/>
      <c r="P12" s="20"/>
      <c r="Q12" s="20"/>
      <c r="R12" s="20"/>
      <c r="S12" s="9"/>
      <c r="T12" s="9"/>
      <c r="U12" s="9"/>
      <c r="V12" s="9"/>
      <c r="W12" s="9"/>
    </row>
    <row r="13" spans="1:23" ht="40.5" customHeight="1" thickBot="1" x14ac:dyDescent="0.3">
      <c r="A13" s="9"/>
      <c r="B13" s="9"/>
      <c r="C13" s="40" t="str">
        <f>IF(_epmOfflineCondition_,"Expand All",_xll.EPMExecuteAPI("ExpandActiveWorkBook","Expand All"))</f>
        <v>Expand All</v>
      </c>
      <c r="D13" s="41" t="s">
        <v>784</v>
      </c>
      <c r="E13" s="9"/>
      <c r="F13" s="9"/>
      <c r="G13" s="9"/>
      <c r="H13" s="9"/>
      <c r="I13" s="9"/>
      <c r="J13" s="9"/>
      <c r="K13" s="9"/>
      <c r="L13" s="9"/>
      <c r="M13" s="9"/>
      <c r="N13" s="9"/>
      <c r="O13" s="9"/>
      <c r="P13" s="9"/>
      <c r="Q13" s="9"/>
      <c r="R13" s="9"/>
      <c r="S13" s="9"/>
      <c r="T13" s="9"/>
      <c r="U13" s="9"/>
      <c r="V13" s="9"/>
      <c r="W13" s="9"/>
    </row>
    <row r="14" spans="1:23" x14ac:dyDescent="0.25">
      <c r="A14" s="9"/>
      <c r="B14" s="9"/>
      <c r="C14" s="9"/>
      <c r="D14" s="9"/>
      <c r="E14" s="9"/>
      <c r="F14" s="9"/>
      <c r="G14" s="9"/>
      <c r="H14" s="9"/>
      <c r="I14" s="9"/>
      <c r="J14" s="9"/>
      <c r="K14" s="9"/>
      <c r="L14" s="9"/>
      <c r="M14" s="9"/>
      <c r="N14" s="9"/>
      <c r="O14" s="9"/>
      <c r="P14" s="9"/>
      <c r="Q14" s="9"/>
      <c r="R14" s="9"/>
      <c r="S14" s="9"/>
      <c r="T14" s="9"/>
      <c r="U14" s="9"/>
      <c r="V14" s="9"/>
      <c r="W14" s="9"/>
    </row>
    <row r="15" spans="1:23" x14ac:dyDescent="0.25">
      <c r="A15" s="9"/>
      <c r="B15" s="9"/>
      <c r="C15" s="9"/>
      <c r="D15" s="9"/>
      <c r="E15" s="9"/>
      <c r="F15" s="9"/>
      <c r="G15" s="9"/>
      <c r="H15" s="9"/>
      <c r="I15" s="9"/>
      <c r="J15" s="9"/>
      <c r="K15" s="9"/>
      <c r="L15" s="9"/>
      <c r="M15" s="9"/>
      <c r="N15" s="9"/>
      <c r="O15" s="9"/>
      <c r="P15" s="9"/>
      <c r="Q15" s="9"/>
      <c r="R15" s="9"/>
      <c r="S15" s="9"/>
      <c r="T15" s="9"/>
      <c r="U15" s="9"/>
      <c r="V15" s="9"/>
      <c r="W15" s="9"/>
    </row>
    <row r="16" spans="1:23" x14ac:dyDescent="0.25">
      <c r="A16" s="9"/>
      <c r="B16" s="9"/>
      <c r="C16" s="9"/>
      <c r="D16" s="9"/>
      <c r="E16" s="9"/>
      <c r="F16" s="9"/>
      <c r="G16" s="9"/>
      <c r="H16" s="9"/>
      <c r="I16" s="9"/>
      <c r="J16" s="9"/>
      <c r="K16" s="9"/>
      <c r="L16" s="9"/>
      <c r="M16" s="9"/>
      <c r="N16" s="9"/>
      <c r="O16" s="9"/>
      <c r="P16" s="9"/>
      <c r="Q16" s="9"/>
      <c r="R16" s="9"/>
      <c r="S16" s="9"/>
      <c r="T16" s="9"/>
      <c r="U16" s="9"/>
      <c r="V16" s="9"/>
      <c r="W16" s="9"/>
    </row>
    <row r="17" spans="1:23" x14ac:dyDescent="0.25">
      <c r="A17" s="9"/>
      <c r="B17" s="9"/>
      <c r="C17" s="9"/>
      <c r="D17" s="9"/>
      <c r="E17" s="9"/>
      <c r="F17" s="9"/>
      <c r="G17" s="9"/>
      <c r="H17" s="9"/>
      <c r="I17" s="9"/>
      <c r="J17" s="9"/>
      <c r="K17" s="9"/>
      <c r="L17" s="9"/>
      <c r="M17" s="9"/>
      <c r="N17" s="9"/>
      <c r="O17" s="9"/>
      <c r="P17" s="9"/>
      <c r="Q17" s="9"/>
      <c r="R17" s="9"/>
      <c r="S17" s="9"/>
      <c r="T17" s="9"/>
      <c r="U17" s="9"/>
      <c r="V17" s="9"/>
      <c r="W17" s="9"/>
    </row>
    <row r="18" spans="1:23" x14ac:dyDescent="0.25">
      <c r="A18" s="9"/>
      <c r="B18" s="9"/>
      <c r="C18" s="9"/>
      <c r="D18" s="9"/>
      <c r="E18" s="9"/>
      <c r="F18" s="9"/>
      <c r="G18" s="9"/>
      <c r="H18" s="9"/>
      <c r="I18" s="9"/>
      <c r="J18" s="9"/>
      <c r="K18" s="9"/>
      <c r="L18" s="9"/>
      <c r="M18" s="9"/>
      <c r="N18" s="9"/>
      <c r="O18" s="9"/>
      <c r="P18" s="9"/>
      <c r="Q18" s="9"/>
      <c r="R18" s="9"/>
      <c r="S18" s="9"/>
      <c r="T18" s="9"/>
      <c r="U18" s="9"/>
      <c r="V18" s="9"/>
      <c r="W18" s="9"/>
    </row>
    <row r="19" spans="1:23" x14ac:dyDescent="0.25">
      <c r="A19" s="9"/>
      <c r="B19" s="9"/>
      <c r="C19" s="9"/>
      <c r="D19" s="9"/>
      <c r="E19" s="9"/>
      <c r="F19" s="9"/>
      <c r="G19" s="9"/>
      <c r="H19" s="9"/>
      <c r="I19" s="9"/>
      <c r="J19" s="9"/>
      <c r="K19" s="9"/>
      <c r="L19" s="9"/>
      <c r="M19" s="9"/>
      <c r="N19" s="9"/>
      <c r="O19" s="9"/>
      <c r="P19" s="9"/>
      <c r="Q19" s="9"/>
      <c r="R19" s="9"/>
      <c r="S19" s="9"/>
      <c r="T19" s="9"/>
      <c r="U19" s="9"/>
      <c r="V19" s="9"/>
      <c r="W19" s="9"/>
    </row>
    <row r="20" spans="1:23" x14ac:dyDescent="0.25">
      <c r="A20" s="9"/>
      <c r="B20" s="9"/>
      <c r="C20" s="9"/>
      <c r="D20" s="9"/>
      <c r="E20" s="9"/>
      <c r="F20" s="9"/>
      <c r="G20" s="9"/>
      <c r="H20" s="9"/>
      <c r="I20" s="9"/>
      <c r="J20" s="9"/>
      <c r="K20" s="9"/>
      <c r="L20" s="9"/>
      <c r="M20" s="9"/>
      <c r="N20" s="9"/>
      <c r="O20" s="9"/>
      <c r="P20" s="9"/>
      <c r="Q20" s="9"/>
      <c r="R20" s="9"/>
      <c r="S20" s="9"/>
      <c r="T20" s="9"/>
      <c r="U20" s="9"/>
      <c r="V20" s="9"/>
      <c r="W20" s="9"/>
    </row>
    <row r="21" spans="1:23" x14ac:dyDescent="0.25">
      <c r="A21" s="9"/>
      <c r="B21" s="9"/>
      <c r="C21" s="9"/>
      <c r="D21" s="9"/>
      <c r="E21" s="9"/>
      <c r="F21" s="9"/>
      <c r="G21" s="9"/>
      <c r="H21" s="9"/>
      <c r="I21" s="9"/>
      <c r="J21" s="9"/>
      <c r="K21" s="9"/>
      <c r="L21" s="9"/>
      <c r="M21" s="9"/>
      <c r="N21" s="9"/>
      <c r="O21" s="9"/>
      <c r="P21" s="9"/>
      <c r="Q21" s="9"/>
      <c r="R21" s="9"/>
      <c r="S21" s="9"/>
      <c r="T21" s="9"/>
      <c r="U21" s="9"/>
      <c r="V21" s="9"/>
      <c r="W21" s="9"/>
    </row>
    <row r="22" spans="1:23" x14ac:dyDescent="0.25">
      <c r="A22" s="9"/>
      <c r="B22" s="9"/>
      <c r="C22" s="9"/>
      <c r="D22" s="9"/>
      <c r="E22" s="9"/>
      <c r="F22" s="9"/>
      <c r="G22" s="9"/>
      <c r="H22" s="9"/>
      <c r="I22" s="9"/>
      <c r="J22" s="9"/>
      <c r="K22" s="9"/>
      <c r="L22" s="9"/>
      <c r="M22" s="9"/>
      <c r="N22" s="9"/>
      <c r="O22" s="9"/>
      <c r="P22" s="9"/>
      <c r="Q22" s="9"/>
      <c r="R22" s="9"/>
      <c r="S22" s="9"/>
      <c r="T22" s="9"/>
      <c r="U22" s="9"/>
      <c r="V22" s="9"/>
      <c r="W22" s="9"/>
    </row>
    <row r="23" spans="1:23" x14ac:dyDescent="0.25">
      <c r="A23" s="9"/>
      <c r="B23" s="9"/>
      <c r="C23" s="9"/>
      <c r="D23" s="9"/>
      <c r="E23" s="9"/>
      <c r="F23" s="9"/>
      <c r="G23" s="9"/>
      <c r="H23" s="9"/>
      <c r="I23" s="9"/>
      <c r="J23" s="9"/>
      <c r="K23" s="9"/>
      <c r="L23" s="9"/>
      <c r="M23" s="9"/>
      <c r="N23" s="9"/>
      <c r="O23" s="9"/>
      <c r="P23" s="9"/>
      <c r="Q23" s="9"/>
      <c r="R23" s="9"/>
      <c r="S23" s="9"/>
      <c r="T23" s="9"/>
      <c r="U23" s="9"/>
      <c r="V23" s="9"/>
      <c r="W23" s="9"/>
    </row>
    <row r="24" spans="1:23" x14ac:dyDescent="0.25">
      <c r="A24" s="9"/>
      <c r="B24" s="9"/>
      <c r="C24" s="9"/>
      <c r="D24" s="9"/>
      <c r="E24" s="42" t="str">
        <f>C6</f>
        <v>Monthly Data Columns</v>
      </c>
      <c r="F24" s="43"/>
      <c r="G24" s="44"/>
      <c r="H24" s="9"/>
      <c r="I24" s="45" t="str">
        <f>F6</f>
        <v>Comparison 1 Column</v>
      </c>
      <c r="J24" s="9"/>
      <c r="K24" s="45" t="str">
        <f>I6</f>
        <v>Comparison 2 Column</v>
      </c>
      <c r="L24" s="9"/>
      <c r="M24" s="9"/>
      <c r="N24" s="9"/>
      <c r="O24" s="9"/>
      <c r="P24" s="9"/>
      <c r="Q24" s="9"/>
      <c r="R24" s="9"/>
      <c r="S24" s="9"/>
      <c r="T24" s="9"/>
      <c r="U24" s="9"/>
      <c r="V24" s="9"/>
      <c r="W24" s="9"/>
    </row>
    <row r="25" spans="1:23" ht="15.75" thickBot="1" x14ac:dyDescent="0.3">
      <c r="A25" s="9"/>
      <c r="B25" s="9"/>
      <c r="C25" s="9"/>
      <c r="D25" s="9"/>
      <c r="E25" s="9"/>
      <c r="F25" s="9"/>
      <c r="G25" s="9"/>
      <c r="H25" s="9"/>
      <c r="I25" s="9"/>
      <c r="J25" s="9"/>
      <c r="K25" s="9"/>
      <c r="L25" s="9"/>
      <c r="M25" s="9"/>
      <c r="N25" s="9"/>
      <c r="O25" s="9"/>
      <c r="P25" s="9"/>
      <c r="Q25" s="9"/>
      <c r="R25" s="9"/>
      <c r="S25" s="9"/>
      <c r="T25" s="9"/>
      <c r="U25" s="9"/>
      <c r="V25" s="9"/>
      <c r="W25" s="9"/>
    </row>
    <row r="26" spans="1:23" x14ac:dyDescent="0.25">
      <c r="A26" s="46"/>
      <c r="B26" s="46"/>
      <c r="C26" s="46"/>
      <c r="D26" s="46"/>
      <c r="E26" s="46"/>
      <c r="F26" s="46"/>
      <c r="G26" s="46"/>
      <c r="H26" s="46"/>
      <c r="I26" s="46"/>
      <c r="J26" s="46"/>
      <c r="K26" s="46"/>
      <c r="L26" s="46"/>
      <c r="M26" s="46"/>
      <c r="N26" s="46"/>
      <c r="O26" s="46"/>
      <c r="P26" s="46"/>
      <c r="Q26" s="46"/>
      <c r="R26" s="46"/>
      <c r="S26" s="46"/>
      <c r="T26" s="46"/>
      <c r="U26" s="46"/>
      <c r="V26" s="46"/>
      <c r="W26" s="46"/>
    </row>
    <row r="27" spans="1:23" ht="15.75" x14ac:dyDescent="0.25">
      <c r="A27" s="9"/>
      <c r="B27" s="47" t="s">
        <v>669</v>
      </c>
      <c r="C27" s="9"/>
      <c r="D27" s="9"/>
      <c r="E27" s="9"/>
      <c r="F27" s="9"/>
      <c r="G27" s="9"/>
      <c r="H27" s="9"/>
      <c r="I27" s="47" t="s">
        <v>670</v>
      </c>
      <c r="J27" s="9"/>
      <c r="K27" s="9"/>
      <c r="L27" s="9"/>
      <c r="M27" s="9"/>
      <c r="N27" s="9"/>
      <c r="O27" s="9"/>
      <c r="P27" s="9"/>
      <c r="Q27" s="9"/>
      <c r="R27" s="9"/>
      <c r="S27" s="9"/>
      <c r="T27" s="9"/>
      <c r="U27" s="9"/>
      <c r="V27" s="9"/>
      <c r="W27" s="9"/>
    </row>
    <row r="28" spans="1:23" ht="15.75" x14ac:dyDescent="0.25">
      <c r="A28" s="9"/>
      <c r="B28" s="48" t="s">
        <v>668</v>
      </c>
      <c r="C28" s="9"/>
      <c r="D28" s="9"/>
      <c r="E28" s="9"/>
      <c r="F28" s="9"/>
      <c r="G28" s="9"/>
      <c r="H28" s="9"/>
      <c r="I28" s="49" t="str">
        <f t="shared" ref="I28:I50" si="0">S28&amp;" - "&amp;T28</f>
        <v>ACTUAL_CON - Actual</v>
      </c>
      <c r="J28" s="50"/>
      <c r="K28" s="49" t="s">
        <v>700</v>
      </c>
      <c r="L28" s="51"/>
      <c r="M28" s="51"/>
      <c r="N28" s="51"/>
      <c r="O28" s="51"/>
      <c r="P28" s="50"/>
      <c r="Q28" s="9"/>
      <c r="R28" s="9"/>
      <c r="S28" s="9" t="s">
        <v>682</v>
      </c>
      <c r="T28" s="9" t="str">
        <f>IF(_epmOfflineCondition_,"Actual",_xll.EVDES(S28))</f>
        <v>Actual</v>
      </c>
      <c r="U28" s="9"/>
      <c r="V28" s="9"/>
      <c r="W28" s="9"/>
    </row>
    <row r="29" spans="1:23" ht="15.75" x14ac:dyDescent="0.25">
      <c r="A29" s="9"/>
      <c r="B29" s="48" t="s">
        <v>776</v>
      </c>
      <c r="C29" s="9"/>
      <c r="D29" s="9"/>
      <c r="E29" s="9"/>
      <c r="F29" s="9"/>
      <c r="G29" s="9"/>
      <c r="H29" s="9"/>
      <c r="I29" s="49" t="str">
        <f t="shared" si="0"/>
        <v>ACTUAL - Actual</v>
      </c>
      <c r="J29" s="50"/>
      <c r="K29" s="49" t="s">
        <v>701</v>
      </c>
      <c r="L29" s="51"/>
      <c r="M29" s="51"/>
      <c r="N29" s="51"/>
      <c r="O29" s="51"/>
      <c r="P29" s="50"/>
      <c r="Q29" s="9"/>
      <c r="R29" s="9"/>
      <c r="S29" s="9" t="s">
        <v>683</v>
      </c>
      <c r="T29" s="9" t="str">
        <f>IF(_epmOfflineCondition_,"Actual",_xll.EVDES(S29))</f>
        <v>Actual</v>
      </c>
      <c r="U29" s="9"/>
      <c r="V29" s="9"/>
      <c r="W29" s="9"/>
    </row>
    <row r="30" spans="1:23" ht="15.75" x14ac:dyDescent="0.25">
      <c r="A30" s="9"/>
      <c r="B30" s="48" t="s">
        <v>777</v>
      </c>
      <c r="C30" s="9"/>
      <c r="D30" s="9"/>
      <c r="E30" s="9"/>
      <c r="F30" s="9"/>
      <c r="G30" s="9"/>
      <c r="H30" s="9"/>
      <c r="I30" s="49" t="str">
        <f t="shared" si="0"/>
        <v>HISTORY - GL History- Pre_Kimpton</v>
      </c>
      <c r="J30" s="50"/>
      <c r="K30" s="49" t="s">
        <v>702</v>
      </c>
      <c r="L30" s="51"/>
      <c r="M30" s="51"/>
      <c r="N30" s="51"/>
      <c r="O30" s="51"/>
      <c r="P30" s="50"/>
      <c r="Q30" s="9"/>
      <c r="R30" s="9"/>
      <c r="S30" s="9" t="s">
        <v>684</v>
      </c>
      <c r="T30" s="9" t="str">
        <f>IF(_epmOfflineCondition_,"GL History- Pre_Kimpton",_xll.EVDES(S30))</f>
        <v>GL History- Pre_Kimpton</v>
      </c>
      <c r="U30" s="9"/>
      <c r="V30" s="9"/>
      <c r="W30" s="9"/>
    </row>
    <row r="31" spans="1:23" ht="15.75" x14ac:dyDescent="0.25">
      <c r="A31" s="9"/>
      <c r="B31" s="48"/>
      <c r="C31" s="48" t="s">
        <v>720</v>
      </c>
      <c r="D31" s="9"/>
      <c r="E31" s="9"/>
      <c r="F31" s="9"/>
      <c r="G31" s="9"/>
      <c r="H31" s="9"/>
      <c r="I31" s="49" t="str">
        <f t="shared" si="0"/>
        <v>BUDGET - Budget</v>
      </c>
      <c r="J31" s="50"/>
      <c r="K31" s="49" t="s">
        <v>703</v>
      </c>
      <c r="L31" s="51"/>
      <c r="M31" s="51"/>
      <c r="N31" s="51"/>
      <c r="O31" s="51"/>
      <c r="P31" s="50"/>
      <c r="Q31" s="9"/>
      <c r="R31" s="9"/>
      <c r="S31" s="9" t="s">
        <v>685</v>
      </c>
      <c r="T31" s="9" t="str">
        <f>IF(_epmOfflineCondition_,"Budget",_xll.EVDES(S31))</f>
        <v>Budget</v>
      </c>
      <c r="U31" s="9"/>
      <c r="V31" s="9"/>
      <c r="W31" s="9"/>
    </row>
    <row r="32" spans="1:23" ht="15.75" x14ac:dyDescent="0.25">
      <c r="A32" s="9"/>
      <c r="B32" s="48"/>
      <c r="C32" s="48" t="s">
        <v>773</v>
      </c>
      <c r="D32" s="9"/>
      <c r="E32" s="9"/>
      <c r="F32" s="9"/>
      <c r="G32" s="9"/>
      <c r="H32" s="9"/>
      <c r="I32" s="49" t="str">
        <f t="shared" si="0"/>
        <v>CURRENT - Forecast</v>
      </c>
      <c r="J32" s="50"/>
      <c r="K32" s="49" t="s">
        <v>704</v>
      </c>
      <c r="L32" s="51"/>
      <c r="M32" s="51"/>
      <c r="N32" s="51"/>
      <c r="O32" s="51"/>
      <c r="P32" s="50"/>
      <c r="Q32" s="9"/>
      <c r="R32" s="9"/>
      <c r="S32" s="9" t="s">
        <v>255</v>
      </c>
      <c r="T32" s="9" t="str">
        <f>IF(_epmOfflineCondition_,"Forecast",_xll.EVDES(S32))</f>
        <v>Forecast</v>
      </c>
      <c r="U32" s="9"/>
      <c r="V32" s="9"/>
      <c r="W32" s="9"/>
    </row>
    <row r="33" spans="1:23" ht="15.75" x14ac:dyDescent="0.25">
      <c r="A33" s="9"/>
      <c r="B33" s="48"/>
      <c r="C33" s="48" t="s">
        <v>721</v>
      </c>
      <c r="D33" s="9"/>
      <c r="E33" s="9"/>
      <c r="F33" s="9"/>
      <c r="G33" s="9"/>
      <c r="H33" s="9"/>
      <c r="I33" s="49" t="str">
        <f t="shared" si="0"/>
        <v>BUD_PROOF - Budget Proof</v>
      </c>
      <c r="J33" s="50"/>
      <c r="K33" s="49" t="s">
        <v>705</v>
      </c>
      <c r="L33" s="51"/>
      <c r="M33" s="51"/>
      <c r="N33" s="51"/>
      <c r="O33" s="51"/>
      <c r="P33" s="50"/>
      <c r="Q33" s="9"/>
      <c r="R33" s="9"/>
      <c r="S33" s="9" t="s">
        <v>686</v>
      </c>
      <c r="T33" s="9" t="str">
        <f>IF(_epmOfflineCondition_,"Budget Proof",_xll.EVDES(S33))</f>
        <v>Budget Proof</v>
      </c>
      <c r="U33" s="9"/>
      <c r="V33" s="9"/>
      <c r="W33" s="9"/>
    </row>
    <row r="34" spans="1:23" ht="15.75" x14ac:dyDescent="0.25">
      <c r="A34" s="9"/>
      <c r="B34" s="48"/>
      <c r="C34" s="52" t="s">
        <v>794</v>
      </c>
      <c r="D34" s="9"/>
      <c r="E34" s="9"/>
      <c r="F34" s="9"/>
      <c r="G34" s="9"/>
      <c r="H34" s="9"/>
      <c r="I34" s="49" t="str">
        <f t="shared" si="0"/>
        <v>JANFORECAST - JANUARY FORECAST</v>
      </c>
      <c r="J34" s="50"/>
      <c r="K34" s="49" t="s">
        <v>724</v>
      </c>
      <c r="L34" s="51"/>
      <c r="M34" s="51"/>
      <c r="N34" s="51"/>
      <c r="O34" s="51"/>
      <c r="P34" s="50"/>
      <c r="Q34" s="9"/>
      <c r="R34" s="9"/>
      <c r="S34" s="9" t="s">
        <v>687</v>
      </c>
      <c r="T34" s="9" t="str">
        <f>IF(_epmOfflineCondition_,"JANUARY FORECAST",_xll.EVDES(S34))</f>
        <v>JANUARY FORECAST</v>
      </c>
      <c r="U34" s="9"/>
      <c r="V34" s="9"/>
      <c r="W34" s="9"/>
    </row>
    <row r="35" spans="1:23" ht="15.75" x14ac:dyDescent="0.25">
      <c r="A35" s="9"/>
      <c r="B35" s="48"/>
      <c r="C35" s="48" t="s">
        <v>722</v>
      </c>
      <c r="D35" s="9"/>
      <c r="E35" s="9"/>
      <c r="F35" s="9"/>
      <c r="G35" s="9"/>
      <c r="H35" s="9"/>
      <c r="I35" s="49" t="str">
        <f t="shared" si="0"/>
        <v>FEBFORECAST - FEBRUARY FORECAST</v>
      </c>
      <c r="J35" s="50"/>
      <c r="K35" s="49" t="s">
        <v>714</v>
      </c>
      <c r="L35" s="51"/>
      <c r="M35" s="51"/>
      <c r="N35" s="51"/>
      <c r="O35" s="51"/>
      <c r="P35" s="50"/>
      <c r="Q35" s="9"/>
      <c r="R35" s="9"/>
      <c r="S35" s="9" t="s">
        <v>688</v>
      </c>
      <c r="T35" s="9" t="str">
        <f>IF(_epmOfflineCondition_,"FEBRUARY FORECAST",_xll.EVDES(S35))</f>
        <v>FEBRUARY FORECAST</v>
      </c>
      <c r="U35" s="9"/>
      <c r="V35" s="9"/>
      <c r="W35" s="9"/>
    </row>
    <row r="36" spans="1:23" ht="15.75" x14ac:dyDescent="0.25">
      <c r="A36" s="9"/>
      <c r="B36" s="48" t="s">
        <v>778</v>
      </c>
      <c r="C36" s="48"/>
      <c r="D36" s="9"/>
      <c r="E36" s="9"/>
      <c r="F36" s="9"/>
      <c r="G36" s="9"/>
      <c r="H36" s="9"/>
      <c r="I36" s="49" t="str">
        <f t="shared" si="0"/>
        <v>MARFORECAST - MARCH FORECAST</v>
      </c>
      <c r="J36" s="50"/>
      <c r="K36" s="49" t="s">
        <v>706</v>
      </c>
      <c r="L36" s="51"/>
      <c r="M36" s="51"/>
      <c r="N36" s="51"/>
      <c r="O36" s="51"/>
      <c r="P36" s="50"/>
      <c r="Q36" s="9"/>
      <c r="R36" s="9"/>
      <c r="S36" s="9" t="s">
        <v>689</v>
      </c>
      <c r="T36" s="9" t="str">
        <f>IF(_epmOfflineCondition_,"MARCH FORECAST",_xll.EVDES(S36))</f>
        <v>MARCH FORECAST</v>
      </c>
      <c r="U36" s="9"/>
      <c r="V36" s="9"/>
      <c r="W36" s="9"/>
    </row>
    <row r="37" spans="1:23" ht="15.75" x14ac:dyDescent="0.25">
      <c r="A37" s="9"/>
      <c r="B37" s="48"/>
      <c r="C37" s="48" t="s">
        <v>785</v>
      </c>
      <c r="D37" s="9"/>
      <c r="E37" s="9"/>
      <c r="F37" s="9"/>
      <c r="G37" s="9"/>
      <c r="H37" s="9"/>
      <c r="I37" s="49" t="str">
        <f t="shared" si="0"/>
        <v>APRFORECAST - APRIL FORECAST</v>
      </c>
      <c r="J37" s="50"/>
      <c r="K37" s="49" t="s">
        <v>707</v>
      </c>
      <c r="L37" s="51"/>
      <c r="M37" s="51"/>
      <c r="N37" s="51"/>
      <c r="O37" s="51"/>
      <c r="P37" s="50"/>
      <c r="Q37" s="9"/>
      <c r="R37" s="9"/>
      <c r="S37" s="9" t="s">
        <v>690</v>
      </c>
      <c r="T37" s="9" t="str">
        <f>IF(_epmOfflineCondition_,"APRIL FORECAST",_xll.EVDES(S37))</f>
        <v>APRIL FORECAST</v>
      </c>
      <c r="U37" s="9"/>
      <c r="V37" s="9"/>
      <c r="W37" s="9"/>
    </row>
    <row r="38" spans="1:23" ht="15.75" x14ac:dyDescent="0.25">
      <c r="A38" s="9"/>
      <c r="B38" s="48"/>
      <c r="C38" s="48" t="s">
        <v>723</v>
      </c>
      <c r="D38" s="9"/>
      <c r="E38" s="9"/>
      <c r="F38" s="9"/>
      <c r="G38" s="9"/>
      <c r="H38" s="9"/>
      <c r="I38" s="49" t="str">
        <f t="shared" si="0"/>
        <v>MAYFORECAST - MAY FORECAST</v>
      </c>
      <c r="J38" s="50"/>
      <c r="K38" s="49" t="s">
        <v>708</v>
      </c>
      <c r="L38" s="51"/>
      <c r="M38" s="51"/>
      <c r="N38" s="51"/>
      <c r="O38" s="51"/>
      <c r="P38" s="50"/>
      <c r="Q38" s="9"/>
      <c r="R38" s="9"/>
      <c r="S38" s="9" t="s">
        <v>691</v>
      </c>
      <c r="T38" s="9" t="str">
        <f>IF(_epmOfflineCondition_,"MAY FORECAST",_xll.EVDES(S38))</f>
        <v>MAY FORECAST</v>
      </c>
      <c r="U38" s="9"/>
      <c r="V38" s="9"/>
      <c r="W38" s="9"/>
    </row>
    <row r="39" spans="1:23" ht="15.75" x14ac:dyDescent="0.25">
      <c r="A39" s="9"/>
      <c r="B39" s="48" t="s">
        <v>779</v>
      </c>
      <c r="C39" s="9"/>
      <c r="D39" s="9"/>
      <c r="E39" s="9"/>
      <c r="F39" s="9"/>
      <c r="G39" s="9"/>
      <c r="H39" s="9"/>
      <c r="I39" s="49" t="str">
        <f t="shared" si="0"/>
        <v>JUNFORECAST - JUNE FORECAST</v>
      </c>
      <c r="J39" s="50"/>
      <c r="K39" s="49" t="s">
        <v>709</v>
      </c>
      <c r="L39" s="51"/>
      <c r="M39" s="51"/>
      <c r="N39" s="51"/>
      <c r="O39" s="51"/>
      <c r="P39" s="50"/>
      <c r="Q39" s="9"/>
      <c r="R39" s="9"/>
      <c r="S39" s="9" t="s">
        <v>692</v>
      </c>
      <c r="T39" s="9" t="str">
        <f>IF(_epmOfflineCondition_,"JUNE FORECAST",_xll.EVDES(S39))</f>
        <v>JUNE FORECAST</v>
      </c>
      <c r="U39" s="9"/>
      <c r="V39" s="9"/>
      <c r="W39" s="9"/>
    </row>
    <row r="40" spans="1:23" ht="15.75" x14ac:dyDescent="0.25">
      <c r="A40" s="9"/>
      <c r="B40" s="48" t="s">
        <v>783</v>
      </c>
      <c r="C40" s="48"/>
      <c r="D40" s="9"/>
      <c r="E40" s="9"/>
      <c r="F40" s="9"/>
      <c r="G40" s="9"/>
      <c r="H40" s="9"/>
      <c r="I40" s="49" t="str">
        <f t="shared" si="0"/>
        <v>JULFORECAST - JULY FORECAST</v>
      </c>
      <c r="J40" s="50"/>
      <c r="K40" s="49" t="s">
        <v>710</v>
      </c>
      <c r="L40" s="51"/>
      <c r="M40" s="51"/>
      <c r="N40" s="51"/>
      <c r="O40" s="51"/>
      <c r="P40" s="50"/>
      <c r="Q40" s="9"/>
      <c r="R40" s="9"/>
      <c r="S40" s="9" t="s">
        <v>693</v>
      </c>
      <c r="T40" s="9" t="str">
        <f>IF(_epmOfflineCondition_,"JULY FORECAST",_xll.EVDES(S40))</f>
        <v>JULY FORECAST</v>
      </c>
      <c r="U40" s="9"/>
      <c r="V40" s="9"/>
      <c r="W40" s="9"/>
    </row>
    <row r="41" spans="1:23" ht="15.75" x14ac:dyDescent="0.25">
      <c r="A41" s="9"/>
      <c r="B41" s="9"/>
      <c r="C41" s="9"/>
      <c r="D41" s="9"/>
      <c r="E41" s="9"/>
      <c r="F41" s="9"/>
      <c r="G41" s="9"/>
      <c r="H41" s="9"/>
      <c r="I41" s="49" t="str">
        <f t="shared" si="0"/>
        <v>AUGFORECAST - AUGUST FORECAST</v>
      </c>
      <c r="J41" s="50"/>
      <c r="K41" s="49" t="s">
        <v>711</v>
      </c>
      <c r="L41" s="51"/>
      <c r="M41" s="51"/>
      <c r="N41" s="51"/>
      <c r="O41" s="51"/>
      <c r="P41" s="50"/>
      <c r="Q41" s="9"/>
      <c r="R41" s="9"/>
      <c r="S41" s="9" t="s">
        <v>694</v>
      </c>
      <c r="T41" s="9" t="str">
        <f>IF(_epmOfflineCondition_,"AUGUST FORECAST",_xll.EVDES(S41))</f>
        <v>AUGUST FORECAST</v>
      </c>
      <c r="U41" s="9"/>
      <c r="V41" s="9"/>
      <c r="W41" s="9"/>
    </row>
    <row r="42" spans="1:23" ht="15.75" x14ac:dyDescent="0.25">
      <c r="A42" s="9"/>
      <c r="B42" s="47" t="s">
        <v>671</v>
      </c>
      <c r="C42" s="48"/>
      <c r="D42" s="9"/>
      <c r="E42" s="9"/>
      <c r="F42" s="9"/>
      <c r="G42" s="9"/>
      <c r="H42" s="9"/>
      <c r="I42" s="49" t="str">
        <f t="shared" si="0"/>
        <v>SEPFORECAST - SEPTEMBER FORECAST</v>
      </c>
      <c r="J42" s="50"/>
      <c r="K42" s="49" t="s">
        <v>712</v>
      </c>
      <c r="L42" s="51"/>
      <c r="M42" s="51"/>
      <c r="N42" s="51"/>
      <c r="O42" s="51"/>
      <c r="P42" s="50"/>
      <c r="Q42" s="9"/>
      <c r="R42" s="9"/>
      <c r="S42" s="9" t="s">
        <v>695</v>
      </c>
      <c r="T42" s="9" t="str">
        <f>IF(_epmOfflineCondition_,"SEPTEMBER FORECAST",_xll.EVDES(S42))</f>
        <v>SEPTEMBER FORECAST</v>
      </c>
      <c r="U42" s="9"/>
      <c r="V42" s="9"/>
      <c r="W42" s="9"/>
    </row>
    <row r="43" spans="1:23" ht="15.75" x14ac:dyDescent="0.25">
      <c r="A43" s="9"/>
      <c r="B43" s="48" t="s">
        <v>681</v>
      </c>
      <c r="C43" s="48"/>
      <c r="D43" s="9"/>
      <c r="E43" s="9"/>
      <c r="F43" s="9"/>
      <c r="G43" s="9"/>
      <c r="H43" s="9"/>
      <c r="I43" s="49" t="str">
        <f t="shared" si="0"/>
        <v>OCTFORECAST - OCTOBER FORECAST</v>
      </c>
      <c r="J43" s="50"/>
      <c r="K43" s="49" t="s">
        <v>713</v>
      </c>
      <c r="L43" s="51"/>
      <c r="M43" s="51"/>
      <c r="N43" s="51"/>
      <c r="O43" s="51"/>
      <c r="P43" s="50"/>
      <c r="Q43" s="9"/>
      <c r="R43" s="9"/>
      <c r="S43" s="9" t="s">
        <v>696</v>
      </c>
      <c r="T43" s="9" t="str">
        <f>IF(_epmOfflineCondition_,"OCTOBER FORECAST",_xll.EVDES(S43))</f>
        <v>OCTOBER FORECAST</v>
      </c>
      <c r="U43" s="9"/>
      <c r="V43" s="9"/>
      <c r="W43" s="9"/>
    </row>
    <row r="44" spans="1:23" ht="15.75" x14ac:dyDescent="0.25">
      <c r="A44" s="9"/>
      <c r="B44" s="48" t="s">
        <v>715</v>
      </c>
      <c r="C44" s="48"/>
      <c r="D44" s="9"/>
      <c r="E44" s="9"/>
      <c r="F44" s="9"/>
      <c r="G44" s="9"/>
      <c r="H44" s="9"/>
      <c r="I44" s="49" t="str">
        <f t="shared" si="0"/>
        <v>NOVFORECAST - NOVEMBER FORECAST</v>
      </c>
      <c r="J44" s="50"/>
      <c r="K44" s="49" t="s">
        <v>716</v>
      </c>
      <c r="L44" s="51"/>
      <c r="M44" s="51"/>
      <c r="N44" s="51"/>
      <c r="O44" s="51"/>
      <c r="P44" s="50"/>
      <c r="Q44" s="9"/>
      <c r="R44" s="9"/>
      <c r="S44" s="9" t="s">
        <v>697</v>
      </c>
      <c r="T44" s="9" t="str">
        <f>IF(_epmOfflineCondition_,"NOVEMBER FORECAST",_xll.EVDES(S44))</f>
        <v>NOVEMBER FORECAST</v>
      </c>
      <c r="U44" s="9"/>
      <c r="V44" s="9"/>
      <c r="W44" s="9"/>
    </row>
    <row r="45" spans="1:23" ht="15.75" x14ac:dyDescent="0.25">
      <c r="A45" s="9"/>
      <c r="B45" s="48" t="s">
        <v>672</v>
      </c>
      <c r="C45" s="48"/>
      <c r="D45" s="9"/>
      <c r="E45" s="9"/>
      <c r="F45" s="9"/>
      <c r="G45" s="9"/>
      <c r="H45" s="9"/>
      <c r="I45" s="49" t="str">
        <f t="shared" si="0"/>
        <v>DECFORECAST - DECEMBER FORECAST</v>
      </c>
      <c r="J45" s="50"/>
      <c r="K45" s="49" t="s">
        <v>717</v>
      </c>
      <c r="L45" s="51"/>
      <c r="M45" s="51"/>
      <c r="N45" s="51"/>
      <c r="O45" s="51"/>
      <c r="P45" s="50"/>
      <c r="Q45" s="9"/>
      <c r="R45" s="9"/>
      <c r="S45" s="9" t="s">
        <v>698</v>
      </c>
      <c r="T45" s="9" t="str">
        <f>IF(_epmOfflineCondition_,"DECEMBER FORECAST",_xll.EVDES(S45))</f>
        <v>DECEMBER FORECAST</v>
      </c>
      <c r="U45" s="9"/>
      <c r="V45" s="9"/>
      <c r="W45" s="9"/>
    </row>
    <row r="46" spans="1:23" ht="15.75" x14ac:dyDescent="0.25">
      <c r="A46" s="9"/>
      <c r="B46" s="48" t="s">
        <v>678</v>
      </c>
      <c r="C46" s="48"/>
      <c r="D46" s="9"/>
      <c r="E46" s="9"/>
      <c r="F46" s="9"/>
      <c r="G46" s="9"/>
      <c r="H46" s="9"/>
      <c r="I46" s="49" t="str">
        <f t="shared" si="0"/>
        <v>BUDSNAP - Forecast Snapshot</v>
      </c>
      <c r="J46" s="50"/>
      <c r="K46" s="49" t="s">
        <v>718</v>
      </c>
      <c r="L46" s="51"/>
      <c r="M46" s="51"/>
      <c r="N46" s="51"/>
      <c r="O46" s="51"/>
      <c r="P46" s="50"/>
      <c r="Q46" s="9"/>
      <c r="R46" s="9"/>
      <c r="S46" s="9" t="s">
        <v>699</v>
      </c>
      <c r="T46" s="9" t="str">
        <f>IF(_epmOfflineCondition_,"Forecast Snapshot",_xll.EVDES(S46))</f>
        <v>Forecast Snapshot</v>
      </c>
      <c r="U46" s="9"/>
      <c r="V46" s="9"/>
      <c r="W46" s="9"/>
    </row>
    <row r="47" spans="1:23" ht="15.75" x14ac:dyDescent="0.25">
      <c r="A47" s="9"/>
      <c r="B47" s="48" t="s">
        <v>673</v>
      </c>
      <c r="C47" s="48"/>
      <c r="D47" s="9"/>
      <c r="E47" s="9"/>
      <c r="F47" s="9"/>
      <c r="G47" s="9"/>
      <c r="H47" s="9"/>
      <c r="I47" s="49" t="str">
        <f t="shared" si="0"/>
        <v>ALT1 - Scenario 1</v>
      </c>
      <c r="J47" s="50"/>
      <c r="K47" s="49" t="s">
        <v>795</v>
      </c>
      <c r="L47" s="51"/>
      <c r="M47" s="51"/>
      <c r="N47" s="51"/>
      <c r="O47" s="51"/>
      <c r="P47" s="50"/>
      <c r="Q47" s="9"/>
      <c r="R47" s="9"/>
      <c r="S47" s="9" t="s">
        <v>796</v>
      </c>
      <c r="T47" s="9" t="str">
        <f>IF(_epmOfflineCondition_,"Scenario 1",_xll.EVDES(S47))</f>
        <v>Scenario 1</v>
      </c>
      <c r="U47" s="9"/>
      <c r="V47" s="9"/>
      <c r="W47" s="9"/>
    </row>
    <row r="48" spans="1:23" ht="15.75" x14ac:dyDescent="0.25">
      <c r="A48" s="9"/>
      <c r="B48" s="48" t="s">
        <v>674</v>
      </c>
      <c r="C48" s="48"/>
      <c r="D48" s="9"/>
      <c r="E48" s="9"/>
      <c r="F48" s="9"/>
      <c r="G48" s="9"/>
      <c r="H48" s="9"/>
      <c r="I48" s="49" t="str">
        <f t="shared" si="0"/>
        <v>ALT2 - Scenario 2</v>
      </c>
      <c r="J48" s="50"/>
      <c r="K48" s="49" t="s">
        <v>795</v>
      </c>
      <c r="L48" s="51"/>
      <c r="M48" s="51"/>
      <c r="N48" s="51"/>
      <c r="O48" s="51"/>
      <c r="P48" s="50"/>
      <c r="Q48" s="9"/>
      <c r="R48" s="9"/>
      <c r="S48" s="9" t="s">
        <v>797</v>
      </c>
      <c r="T48" s="9" t="str">
        <f>IF(_epmOfflineCondition_,"Scenario 2",_xll.EVDES(S48))</f>
        <v>Scenario 2</v>
      </c>
      <c r="U48" s="9"/>
      <c r="V48" s="9"/>
      <c r="W48" s="9"/>
    </row>
    <row r="49" spans="1:23" ht="15.75" x14ac:dyDescent="0.25">
      <c r="A49" s="9"/>
      <c r="B49" s="48"/>
      <c r="C49" s="48" t="s">
        <v>675</v>
      </c>
      <c r="D49" s="9"/>
      <c r="E49" s="9"/>
      <c r="F49" s="9"/>
      <c r="G49" s="9"/>
      <c r="H49" s="9"/>
      <c r="I49" s="49" t="str">
        <f t="shared" si="0"/>
        <v>ALT3 - Scenario 3</v>
      </c>
      <c r="J49" s="50"/>
      <c r="K49" s="49" t="s">
        <v>795</v>
      </c>
      <c r="L49" s="51"/>
      <c r="M49" s="51"/>
      <c r="N49" s="51"/>
      <c r="O49" s="51"/>
      <c r="P49" s="50"/>
      <c r="Q49" s="9"/>
      <c r="R49" s="9"/>
      <c r="S49" s="9" t="s">
        <v>798</v>
      </c>
      <c r="T49" s="9" t="str">
        <f>IF(_epmOfflineCondition_,"Scenario 3",_xll.EVDES(S49))</f>
        <v>Scenario 3</v>
      </c>
      <c r="U49" s="9"/>
      <c r="V49" s="9"/>
      <c r="W49" s="9"/>
    </row>
    <row r="50" spans="1:23" ht="15.75" x14ac:dyDescent="0.25">
      <c r="A50" s="9"/>
      <c r="B50" s="48"/>
      <c r="C50" s="48" t="s">
        <v>676</v>
      </c>
      <c r="D50" s="9"/>
      <c r="E50" s="9"/>
      <c r="F50" s="9"/>
      <c r="G50" s="9"/>
      <c r="H50" s="9"/>
      <c r="I50" s="49" t="str">
        <f t="shared" si="0"/>
        <v>ALT4 - Scenario 4</v>
      </c>
      <c r="J50" s="50"/>
      <c r="K50" s="49" t="s">
        <v>795</v>
      </c>
      <c r="L50" s="51"/>
      <c r="M50" s="51"/>
      <c r="N50" s="51"/>
      <c r="O50" s="51"/>
      <c r="P50" s="50"/>
      <c r="Q50" s="9"/>
      <c r="R50" s="9"/>
      <c r="S50" s="9" t="s">
        <v>799</v>
      </c>
      <c r="T50" s="9" t="str">
        <f>IF(_epmOfflineCondition_,"Scenario 4",_xll.EVDES(S50))</f>
        <v>Scenario 4</v>
      </c>
      <c r="U50" s="9"/>
      <c r="V50" s="9"/>
      <c r="W50" s="9"/>
    </row>
    <row r="51" spans="1:23" ht="15.75" x14ac:dyDescent="0.25">
      <c r="A51" s="9"/>
      <c r="B51" s="48"/>
      <c r="C51" s="48" t="s">
        <v>719</v>
      </c>
      <c r="D51" s="9"/>
      <c r="E51" s="9"/>
      <c r="F51" s="9"/>
      <c r="G51" s="9"/>
      <c r="H51" s="9"/>
      <c r="I51" s="9"/>
      <c r="J51" s="9"/>
      <c r="K51" s="9"/>
      <c r="L51" s="9"/>
      <c r="M51" s="9"/>
      <c r="N51" s="9"/>
      <c r="O51" s="9"/>
      <c r="P51" s="9"/>
      <c r="Q51" s="9"/>
      <c r="R51" s="9"/>
      <c r="S51" s="9"/>
      <c r="T51" s="9"/>
      <c r="U51" s="9"/>
      <c r="V51" s="9"/>
      <c r="W51" s="9"/>
    </row>
    <row r="52" spans="1:23" ht="15.75" x14ac:dyDescent="0.25">
      <c r="A52" s="9"/>
      <c r="B52" s="48"/>
      <c r="C52" s="48" t="s">
        <v>677</v>
      </c>
      <c r="D52" s="9"/>
      <c r="E52" s="9"/>
      <c r="F52" s="9"/>
      <c r="G52" s="9"/>
      <c r="H52" s="9"/>
      <c r="I52" s="9"/>
      <c r="J52" s="9"/>
      <c r="K52" s="9"/>
      <c r="L52" s="9"/>
      <c r="M52" s="9"/>
      <c r="N52" s="9"/>
      <c r="O52" s="9"/>
      <c r="P52" s="9"/>
      <c r="Q52" s="9"/>
      <c r="R52" s="9"/>
      <c r="S52" s="9"/>
      <c r="T52" s="9"/>
      <c r="U52" s="9"/>
      <c r="V52" s="9"/>
      <c r="W52" s="9"/>
    </row>
    <row r="53" spans="1:23" ht="15.75" x14ac:dyDescent="0.25">
      <c r="A53" s="9"/>
      <c r="B53" s="48" t="s">
        <v>679</v>
      </c>
      <c r="C53" s="48"/>
      <c r="D53" s="9"/>
      <c r="E53" s="9"/>
      <c r="F53" s="9"/>
      <c r="G53" s="9"/>
      <c r="H53" s="9"/>
      <c r="I53" s="9"/>
      <c r="J53" s="9"/>
      <c r="K53" s="9"/>
      <c r="L53" s="9"/>
      <c r="M53" s="9"/>
      <c r="N53" s="9"/>
      <c r="O53" s="9"/>
      <c r="P53" s="9"/>
      <c r="Q53" s="9"/>
      <c r="R53" s="9"/>
      <c r="S53" s="9"/>
      <c r="T53" s="9"/>
      <c r="U53" s="9"/>
      <c r="V53" s="9"/>
      <c r="W53" s="9"/>
    </row>
    <row r="54" spans="1:23" ht="15.75" x14ac:dyDescent="0.25">
      <c r="A54" s="9"/>
      <c r="B54" s="48" t="s">
        <v>680</v>
      </c>
      <c r="C54" s="48"/>
      <c r="D54" s="9"/>
      <c r="E54" s="9"/>
      <c r="F54" s="9"/>
      <c r="G54" s="9"/>
      <c r="H54" s="9"/>
      <c r="I54" s="9"/>
      <c r="J54" s="9"/>
      <c r="K54" s="9"/>
      <c r="L54" s="9"/>
      <c r="M54" s="9"/>
      <c r="N54" s="9"/>
      <c r="O54" s="9"/>
      <c r="P54" s="9"/>
      <c r="Q54" s="9"/>
      <c r="R54" s="9"/>
      <c r="S54" s="9"/>
      <c r="T54" s="9"/>
      <c r="U54" s="9"/>
      <c r="V54" s="9"/>
      <c r="W54" s="9"/>
    </row>
  </sheetData>
  <sheetProtection algorithmName="SHA-512" hashValue="JyUJeq0pRx+tVRYyOVfD8RQR95xlFFkOu3qw2p/d1Z96/rEs2htePyZ1NEMyteKM2Rjl2rjpTFzPHGkU1n7NqA==" saltValue="3+DYl42HbVSuac44sIgCqg==" spinCount="100000" sheet="1" scenarios="1"/>
  <mergeCells count="3">
    <mergeCell ref="C6:C7"/>
    <mergeCell ref="F6:F7"/>
    <mergeCell ref="I6:I7"/>
  </mergeCells>
  <conditionalFormatting sqref="C8:D8">
    <cfRule type="expression" dxfId="180" priority="1">
      <formula>LEFT($D$6,3)&lt;&gt;"ALT"</formula>
    </cfRule>
  </conditionalFormatting>
  <dataValidations count="1">
    <dataValidation type="list" showInputMessage="1" showErrorMessage="1" sqref="D8" xr:uid="{00000000-0002-0000-0000-000000000000}">
      <formula1>"BUD,FCST"</formula1>
    </dataValidation>
  </dataValidations>
  <pageMargins left="0.25" right="0.25" top="0.5" bottom="0.5" header="0.3" footer="0.3"/>
  <pageSetup scale="42"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131" r:id="rId7" name="FPMExcelClientSheetOptionstb1">
          <controlPr defaultSize="0" autoLine="0" r:id="rId8">
            <anchor moveWithCells="1" sizeWithCells="1">
              <from>
                <xdr:col>0</xdr:col>
                <xdr:colOff>0</xdr:colOff>
                <xdr:row>0</xdr:row>
                <xdr:rowOff>0</xdr:rowOff>
              </from>
              <to>
                <xdr:col>2</xdr:col>
                <xdr:colOff>419100</xdr:colOff>
                <xdr:row>0</xdr:row>
                <xdr:rowOff>0</xdr:rowOff>
              </to>
            </anchor>
          </controlPr>
        </control>
      </mc:Choice>
      <mc:Fallback>
        <control shapeId="5131" r:id="rId7" name="FPMExcelClientSheetOptionstb1"/>
      </mc:Fallback>
    </mc:AlternateContent>
    <mc:AlternateContent xmlns:mc="http://schemas.openxmlformats.org/markup-compatibility/2006">
      <mc:Choice Requires="x14">
        <control shapeId="5130" r:id="rId9" name="Check Box 10">
          <controlPr defaultSize="0" print="0" autoFill="0" autoLine="0" autoPict="0">
            <anchor moveWithCells="1">
              <from>
                <xdr:col>14</xdr:col>
                <xdr:colOff>47625</xdr:colOff>
                <xdr:row>4</xdr:row>
                <xdr:rowOff>171450</xdr:rowOff>
              </from>
              <to>
                <xdr:col>15</xdr:col>
                <xdr:colOff>0</xdr:colOff>
                <xdr:row>6</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dimension ref="A1:AO114"/>
  <sheetViews>
    <sheetView tabSelected="1" topLeftCell="K25" zoomScale="85" zoomScaleNormal="85" workbookViewId="0">
      <pane xSplit="3" ySplit="8" topLeftCell="N36" activePane="bottomRight" state="frozen"/>
      <selection activeCell="K25" sqref="K25"/>
      <selection pane="topRight" activeCell="N25" sqref="N25"/>
      <selection pane="bottomLeft" activeCell="K33" sqref="K33"/>
      <selection pane="bottomRight" activeCell="AE61" sqref="AE61"/>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38.7109375" style="1" customWidth="1" collapsed="1"/>
    <col min="14" max="25" width="11.7109375" style="1" customWidth="1" outlineLevel="1"/>
    <col min="26" max="26" width="12.7109375" style="1" customWidth="1"/>
    <col min="27" max="27" width="7.7109375" style="1" customWidth="1"/>
    <col min="28" max="28" width="1.7109375" style="1" customWidth="1"/>
    <col min="29" max="29" width="12.7109375" style="1" customWidth="1"/>
    <col min="30" max="30" width="7.7109375" style="1" customWidth="1"/>
    <col min="31" max="31" width="11.7109375" style="1" customWidth="1"/>
    <col min="32" max="32" width="12.7109375" style="1" customWidth="1"/>
    <col min="33" max="33" width="7.7109375" style="1" customWidth="1"/>
    <col min="34" max="34" width="11.7109375" style="1" customWidth="1"/>
    <col min="35" max="38" width="9.140625" style="1" hidden="1" customWidth="1" outlineLevel="1"/>
    <col min="39" max="39" width="9.140625" style="1" collapsed="1"/>
    <col min="40" max="40" width="14.28515625" style="1" bestFit="1" customWidth="1"/>
    <col min="41"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55"/>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499</v>
      </c>
      <c r="C6" s="11" t="str">
        <f>IF(_epmOfflineCondition_,"Consolidated Hotel &amp; F&amp;B Departments",_xll.EVDES(B6,$B$1))</f>
        <v>Consolidated Hotel &amp; F&amp;B Departments</v>
      </c>
      <c r="D6" s="11"/>
      <c r="E6" s="58" t="str">
        <f>IF(_epmOfflineCondition_,"",_xll.EVPRO($B$1,$B$6,$F$6))</f>
        <v/>
      </c>
      <c r="F6" s="11" t="s">
        <v>278</v>
      </c>
      <c r="G6" s="11"/>
      <c r="H6" s="11"/>
      <c r="I6" s="59"/>
      <c r="J6" s="59"/>
      <c r="K6" s="11"/>
      <c r="L6" s="59"/>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8" t="str">
        <f>IF(LEFT(SetUp!$D$6,3)="ALT","Y","N")</f>
        <v>N</v>
      </c>
      <c r="M11" s="11" t="s">
        <v>800</v>
      </c>
      <c r="N11" s="60" t="str">
        <f>IF(_epmOfflineCondition_,"ACTUAL_CON",IF(N13&lt;$F$4,_xll.EVPRO($B$1,$B$4,"COMPARISON"),$B$4))</f>
        <v>ACTUAL_CON</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11"/>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11" t="s">
        <v>597</v>
      </c>
      <c r="N12" s="4" t="str">
        <f>IF(_epmOfflineCondition_,"Y",_xll.EVPRO($B$1,N$16,$M$12))</f>
        <v>Y</v>
      </c>
      <c r="O12" s="4" t="str">
        <f>IF(_epmOfflineCondition_,"Y",_xll.EVPRO($B$1,O$16,$M$12))</f>
        <v>Y</v>
      </c>
      <c r="P12" s="4" t="str">
        <f>IF(_epmOfflineCondition_,"Y",_xll.EVPRO($B$1,P$16,$M$12))</f>
        <v>Y</v>
      </c>
      <c r="Q12" s="4" t="str">
        <f>IF(_epmOfflineCondition_,"Y",_xll.EVPRO($B$1,Q$16,$M$12))</f>
        <v>Y</v>
      </c>
      <c r="R12" s="4" t="str">
        <f>IF(_epmOfflineCondition_,"Y",_xll.EVPRO($B$1,R$16,$M$12))</f>
        <v>Y</v>
      </c>
      <c r="S12" s="4" t="str">
        <f>IF(_epmOfflineCondition_,"Y",_xll.EVPRO($B$1,S$16,$M$12))</f>
        <v>Y</v>
      </c>
      <c r="T12" s="4" t="str">
        <f>IF(_epmOfflineCondition_,"Y",_xll.EVPRO($B$1,T$16,$M$12))</f>
        <v>Y</v>
      </c>
      <c r="U12" s="4" t="str">
        <f>IF(_epmOfflineCondition_,"Y",_xll.EVPRO($B$1,U$16,$M$12))</f>
        <v>Y</v>
      </c>
      <c r="V12" s="4" t="str">
        <f>IF(_epmOfflineCondition_,"Y",_xll.EVPRO($B$1,V$16,$M$12))</f>
        <v>Y</v>
      </c>
      <c r="W12" s="4" t="str">
        <f>IF(_epmOfflineCondition_,"Y",_xll.EVPRO($B$1,W$16,$M$12))</f>
        <v>Y</v>
      </c>
      <c r="X12" s="4" t="str">
        <f>IF(_epmOfflineCondition_,"Y",_xll.EVPRO($B$1,X$16,$M$12))</f>
        <v>Y</v>
      </c>
      <c r="Y12" s="4" t="str">
        <f>IF(_epmOfflineCondition_,"Y",_xll.EVPRO($B$1,Y$16,$M$12))</f>
        <v>Y</v>
      </c>
      <c r="Z12" s="4" t="str">
        <f>IF(_epmOfflineCondition_,"",_xll.EVPRO($B$1,Z$16,$M$12))</f>
        <v/>
      </c>
      <c r="AA12" s="11"/>
      <c r="AB12" s="11"/>
      <c r="AC12" s="4" t="str">
        <f>IF(_epmOfflineCondition_,"",_xll.EVPRO($B$1,AC$16,$M$12))</f>
        <v/>
      </c>
      <c r="AD12" s="11"/>
      <c r="AE12" s="11"/>
      <c r="AF12" s="4" t="str">
        <f>IF(_epmOfflineCondition_,"",_xll.EVPRO($B$1,AF$16,$M$12))</f>
        <v/>
      </c>
      <c r="AG12" s="11"/>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11" t="s">
        <v>598</v>
      </c>
      <c r="N13" s="5" t="str">
        <f>IF(_epmOfflineCondition_,"20220100",_xll.EVPRO($B$1,N16,"TIMEID"))</f>
        <v>20220100</v>
      </c>
      <c r="O13" s="5" t="str">
        <f>IF(_epmOfflineCondition_,"20220200",_xll.EVPRO($B$1,O16,"TIMEID"))</f>
        <v>20220200</v>
      </c>
      <c r="P13" s="5" t="str">
        <f>IF(_epmOfflineCondition_,"20220300",_xll.EVPRO($B$1,P16,"TIMEID"))</f>
        <v>20220300</v>
      </c>
      <c r="Q13" s="5" t="str">
        <f>IF(_epmOfflineCondition_,"20220400",_xll.EVPRO($B$1,Q16,"TIMEID"))</f>
        <v>20220400</v>
      </c>
      <c r="R13" s="5" t="str">
        <f>IF(_epmOfflineCondition_,"20220500",_xll.EVPRO($B$1,R16,"TIMEID"))</f>
        <v>20220500</v>
      </c>
      <c r="S13" s="5" t="str">
        <f>IF(_epmOfflineCondition_,"20220600",_xll.EVPRO($B$1,S16,"TIMEID"))</f>
        <v>20220600</v>
      </c>
      <c r="T13" s="5" t="str">
        <f>IF(_epmOfflineCondition_,"20220700",_xll.EVPRO($B$1,T16,"TIMEID"))</f>
        <v>20220700</v>
      </c>
      <c r="U13" s="5" t="str">
        <f>IF(_epmOfflineCondition_,"20220800",_xll.EVPRO($B$1,U16,"TIMEID"))</f>
        <v>20220800</v>
      </c>
      <c r="V13" s="5" t="str">
        <f>IF(_epmOfflineCondition_,"20220900",_xll.EVPRO($B$1,V16,"TIMEID"))</f>
        <v>20220900</v>
      </c>
      <c r="W13" s="5" t="str">
        <f>IF(_epmOfflineCondition_,"20221000",_xll.EVPRO($B$1,W16,"TIMEID"))</f>
        <v>20221000</v>
      </c>
      <c r="X13" s="5" t="str">
        <f>IF(_epmOfflineCondition_,"20221100",_xll.EVPRO($B$1,X16,"TIMEID"))</f>
        <v>20221100</v>
      </c>
      <c r="Y13" s="5" t="str">
        <f>IF(_epmOfflineCondition_,"20221200",_xll.EVPRO($B$1,Y16,"TIMEID"))</f>
        <v>20221200</v>
      </c>
      <c r="Z13" s="5" t="str">
        <f>IF(_epmOfflineCondition_,"10000176",_xll.EVPRO($B$1,Z16,"TIMEID"))</f>
        <v>10000176</v>
      </c>
      <c r="AA13" s="11"/>
      <c r="AB13" s="11"/>
      <c r="AC13" s="5" t="str">
        <f>IF(_epmOfflineCondition_,"10000176",_xll.EVPRO($B$1,AC16,"TIMEID"))</f>
        <v>10000176</v>
      </c>
      <c r="AD13" s="11"/>
      <c r="AE13" s="11"/>
      <c r="AF13" s="5" t="str">
        <f>IF(_epmOfflineCondition_,"10000171",_xll.EVPRO($B$1,AF16,"TIMEID"))</f>
        <v>10000171</v>
      </c>
      <c r="AG13" s="11"/>
      <c r="AH13" s="11"/>
      <c r="AI13" s="11"/>
      <c r="AJ13" s="11"/>
      <c r="AK13" s="11"/>
      <c r="AL13" s="11"/>
      <c r="AM13" s="11"/>
      <c r="AN13" s="11"/>
      <c r="AO13" s="11"/>
    </row>
    <row r="14" spans="1:41" hidden="1" outlineLevel="1" x14ac:dyDescent="0.25">
      <c r="A14" s="61" t="str">
        <f>IF(_epmOfflineCondition_,"Evdre:Ok",_xll.EVDRE($B$1,A17:B24))</f>
        <v>Evdre:Ok</v>
      </c>
      <c r="B14" s="11"/>
      <c r="C14" s="11"/>
      <c r="D14" s="11"/>
      <c r="E14" s="11"/>
      <c r="F14" s="11"/>
      <c r="G14" s="11"/>
      <c r="H14" s="11"/>
      <c r="I14" s="59"/>
      <c r="J14" s="59"/>
      <c r="K14" s="11"/>
      <c r="L14" s="59"/>
      <c r="M14" s="11" t="s">
        <v>599</v>
      </c>
      <c r="N14" s="5" t="s">
        <v>603</v>
      </c>
      <c r="O14" s="5" t="s">
        <v>604</v>
      </c>
      <c r="P14" s="5" t="s">
        <v>605</v>
      </c>
      <c r="Q14" s="5" t="s">
        <v>606</v>
      </c>
      <c r="R14" s="5" t="s">
        <v>607</v>
      </c>
      <c r="S14" s="5" t="s">
        <v>608</v>
      </c>
      <c r="T14" s="5" t="s">
        <v>609</v>
      </c>
      <c r="U14" s="5" t="s">
        <v>610</v>
      </c>
      <c r="V14" s="5" t="s">
        <v>611</v>
      </c>
      <c r="W14" s="5" t="s">
        <v>612</v>
      </c>
      <c r="X14" s="5" t="s">
        <v>613</v>
      </c>
      <c r="Y14" s="5" t="s">
        <v>614</v>
      </c>
      <c r="Z14" s="5" t="s">
        <v>116</v>
      </c>
      <c r="AA14" s="11"/>
      <c r="AB14" s="11"/>
      <c r="AC14" s="5" t="s">
        <v>116</v>
      </c>
      <c r="AD14" s="11"/>
      <c r="AE14" s="11"/>
      <c r="AF14" s="5" t="s">
        <v>116</v>
      </c>
      <c r="AG14" s="11"/>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11" t="s">
        <v>600</v>
      </c>
      <c r="N15" s="6" t="s">
        <v>615</v>
      </c>
      <c r="O15" s="6" t="s">
        <v>616</v>
      </c>
      <c r="P15" s="7" t="s">
        <v>617</v>
      </c>
      <c r="Q15" s="7" t="s">
        <v>618</v>
      </c>
      <c r="R15" s="7" t="s">
        <v>619</v>
      </c>
      <c r="S15" s="7" t="s">
        <v>620</v>
      </c>
      <c r="T15" s="7" t="s">
        <v>621</v>
      </c>
      <c r="U15" s="7" t="s">
        <v>622</v>
      </c>
      <c r="V15" s="7" t="s">
        <v>623</v>
      </c>
      <c r="W15" s="7" t="s">
        <v>624</v>
      </c>
      <c r="X15" s="7" t="s">
        <v>625</v>
      </c>
      <c r="Y15" s="7" t="s">
        <v>626</v>
      </c>
      <c r="Z15" s="5" t="s">
        <v>116</v>
      </c>
      <c r="AA15" s="11"/>
      <c r="AB15" s="11"/>
      <c r="AC15" s="5" t="s">
        <v>116</v>
      </c>
      <c r="AD15" s="11"/>
      <c r="AE15" s="11"/>
      <c r="AF15" s="5" t="s">
        <v>116</v>
      </c>
      <c r="AG15" s="11"/>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11" t="s">
        <v>18</v>
      </c>
      <c r="N16" s="60" t="str">
        <f>IF(_epmOfflineCondition_,"2022.JAN",IF(SetUp!$O$1=TRUE,_xll.EVTIM($B$1,O16,-1),IF($D$10="FY",LEFT($B$10,6)&amp;"."&amp;N15,$B$12&amp;"."&amp;N14)))</f>
        <v>2022.JAN</v>
      </c>
      <c r="O16" s="60" t="str">
        <f>IF(_epmOfflineCondition_,"2022.FEB",IF(SetUp!$O$1=TRUE,_xll.EVTIM($B$1,P16,-1),IF($D$10="FY",LEFT($B$10,6)&amp;"."&amp;O15,$B$12&amp;"."&amp;O14)))</f>
        <v>2022.FEB</v>
      </c>
      <c r="P16" s="60" t="str">
        <f>IF(_epmOfflineCondition_,"2022.MAR",IF(SetUp!$O$1=TRUE,_xll.EVTIM($B$1,Q16,-1),IF($D$10="FY",LEFT($B$10,6)&amp;"."&amp;P15,$B$12&amp;"."&amp;P14)))</f>
        <v>2022.MAR</v>
      </c>
      <c r="Q16" s="60" t="str">
        <f>IF(_epmOfflineCondition_,"2022.APR",IF(SetUp!$O$1=TRUE,_xll.EVTIM($B$1,R16,-1),IF($D$10="FY",LEFT($B$10,6)&amp;"."&amp;Q15,$B$12&amp;"."&amp;Q14)))</f>
        <v>2022.APR</v>
      </c>
      <c r="R16" s="60" t="str">
        <f>IF(_epmOfflineCondition_,"2022.MAY",IF(SetUp!$O$1=TRUE,_xll.EVTIM($B$1,S16,-1),IF($D$10="FY",LEFT($B$10,6)&amp;"."&amp;R15,$B$12&amp;"."&amp;R14)))</f>
        <v>2022.MAY</v>
      </c>
      <c r="S16" s="60" t="str">
        <f>IF(_epmOfflineCondition_,"2022.JUN",IF(SetUp!$O$1=TRUE,_xll.EVTIM($B$1,T16,-1),IF($D$10="FY",LEFT($B$10,6)&amp;"."&amp;S15,$B$12&amp;"."&amp;S14)))</f>
        <v>2022.JUN</v>
      </c>
      <c r="T16" s="60" t="str">
        <f>IF(_epmOfflineCondition_,"2022.JUL",IF(SetUp!$O$1=TRUE,_xll.EVTIM($B$1,U16,-1),IF($D$10="FY",LEFT($B$10,6)&amp;"."&amp;T15,$B$12&amp;"."&amp;T14)))</f>
        <v>2022.JUL</v>
      </c>
      <c r="U16" s="60" t="str">
        <f>IF(_epmOfflineCondition_,"2022.AUG",IF(SetUp!$O$1=TRUE,_xll.EVTIM($B$1,V16,-1),IF($D$10="FY",LEFT($B$10,6)&amp;"."&amp;U15,$B$12&amp;"."&amp;U14)))</f>
        <v>2022.AUG</v>
      </c>
      <c r="V16" s="60" t="str">
        <f>IF(_epmOfflineCondition_,"2022.SEP",IF(SetUp!$O$1=TRUE,_xll.EVTIM($B$1,W16,-1),IF($D$10="FY",LEFT($B$10,6)&amp;"."&amp;V15,$B$12&amp;"."&amp;V14)))</f>
        <v>2022.SEP</v>
      </c>
      <c r="W16" s="60" t="str">
        <f>IF(_epmOfflineCondition_,"2022.OCT",IF(SetUp!$O$1=TRUE,_xll.EVTIM($B$1,X16,-1),IF($D$10="FY",LEFT($B$10,6)&amp;"."&amp;W15,$B$12&amp;"."&amp;W14)))</f>
        <v>2022.OCT</v>
      </c>
      <c r="X16" s="60" t="str">
        <f>IF(_epmOfflineCondition_,"2022.NOV",IF(SetUp!$O$1=TRUE,_xll.EVTIM($B$1,Y16,-1),IF($D$10="FY",LEFT($B$10,6)&amp;"."&amp;X15,$B$12&amp;"."&amp;X14)))</f>
        <v>2022.NOV</v>
      </c>
      <c r="Y16" s="60" t="str">
        <f>IF(SetUp!$O$1=TRUE,SetUp!$Q$6,IF($D$10="FY",LEFT($B$10,6)&amp;"."&amp;Y15,$B$12&amp;"."&amp;Y14))</f>
        <v>2022.DEC</v>
      </c>
      <c r="Z16" s="60" t="str">
        <f>IF($D$10="FY",LEFT($B$10,6)&amp;"."&amp;Z15,$B$12&amp;"."&amp;Z14)</f>
        <v>2022.TOTAL</v>
      </c>
      <c r="AA16" s="64"/>
      <c r="AB16" s="64"/>
      <c r="AC16" s="60" t="str">
        <f>IF(SetUp!$O$1=TRUE,SetUp!$Q$6,SetUp!$G$7)</f>
        <v>2022.TOTAL</v>
      </c>
      <c r="AD16" s="64"/>
      <c r="AE16" s="64"/>
      <c r="AF16" s="60" t="str">
        <f>IF(_epmOfflineCondition_,"2021.TOTAL",IF(SetUp!$O$1=TRUE,_xll.EVTIM($B$1,AC16,-1,"YEAR"),SetUp!$J$7))</f>
        <v>2021.TOTAL</v>
      </c>
      <c r="AG16" s="64"/>
      <c r="AH16" s="64"/>
      <c r="AI16" s="11"/>
      <c r="AJ16" s="11"/>
      <c r="AK16" s="11"/>
      <c r="AL16" s="11"/>
      <c r="AM16" s="11"/>
      <c r="AN16" s="11"/>
      <c r="AO16" s="11"/>
    </row>
    <row r="17" spans="1:41" hidden="1" outlineLevel="1" x14ac:dyDescent="0.25">
      <c r="A17" s="65" t="s">
        <v>2</v>
      </c>
      <c r="B17" s="66" t="str">
        <f>IF(_epmOfflineCondition_,"'Summary'!$B$2:$B$10",_xll.EVRNG($B$2:$B$10))</f>
        <v>'Summary'!$B$2:$B$10</v>
      </c>
      <c r="C17" s="11"/>
      <c r="D17" s="11"/>
      <c r="E17" s="11"/>
      <c r="F17" s="11"/>
      <c r="G17" s="11"/>
      <c r="H17" s="11"/>
      <c r="I17" s="59"/>
      <c r="J17" s="59"/>
      <c r="K17" s="11"/>
      <c r="L17" s="59"/>
      <c r="M17" s="11" t="s">
        <v>19</v>
      </c>
      <c r="N17" s="60" t="str">
        <f>IF(_epmOfflineCondition_,"ACTUAL_CON",IF($L$11="Y",N11,IF(N13&lt;$E$4,_xll.EVPRO($B$1,$B$4,"COMPARISON"),$B$4)))</f>
        <v>ACTUAL_CON</v>
      </c>
      <c r="O17" s="60" t="str">
        <f>IF(_epmOfflineCondition_,"ACTUAL_CON",IF($L$11="y",O11,IF(O13&lt;$E$4,_xll.EVPRO($B$1,$B$4,"COMPARISON"),$B$4)))</f>
        <v>ACTUAL_CON</v>
      </c>
      <c r="P17" s="60" t="str">
        <f>IF(_epmOfflineCondition_,"ACTUAL_CON",IF($L$11="y",P11,IF(P13&lt;$E$4,_xll.EVPRO($B$1,$B$4,"COMPARISON"),$B$4)))</f>
        <v>ACTUAL_CON</v>
      </c>
      <c r="Q17" s="60" t="str">
        <f>IF(_epmOfflineCondition_,"ACTUAL_CON",IF($L$11="y",Q11,IF(Q13&lt;$E$4,_xll.EVPRO($B$1,$B$4,"COMPARISON"),$B$4)))</f>
        <v>ACTUAL_CON</v>
      </c>
      <c r="R17" s="60" t="str">
        <f>IF(_epmOfflineCondition_,"ACTUAL_CON",IF($L$11="y",R11,IF(R13&lt;$E$4,_xll.EVPRO($B$1,$B$4,"COMPARISON"),$B$4)))</f>
        <v>ACTUAL_CON</v>
      </c>
      <c r="S17" s="60" t="str">
        <f>IF(_epmOfflineCondition_,"ACTUAL_CON",IF($L$11="y",S11,IF(S13&lt;$E$4,_xll.EVPRO($B$1,$B$4,"COMPARISON"),$B$4)))</f>
        <v>ACTUAL_CON</v>
      </c>
      <c r="T17" s="60" t="str">
        <f>IF(_epmOfflineCondition_,"ACTUAL_CON",IF($L$11="y",T11,IF(T13&lt;$E$4,_xll.EVPRO($B$1,$B$4,"COMPARISON"),$B$4)))</f>
        <v>ACTUAL_CON</v>
      </c>
      <c r="U17" s="60" t="str">
        <f>IF(_epmOfflineCondition_,"ACTUAL_CON",IF($L$11="y",U11,IF(U13&lt;$E$4,_xll.EVPRO($B$1,$B$4,"COMPARISON"),$B$4)))</f>
        <v>ACTUAL_CON</v>
      </c>
      <c r="V17" s="60" t="str">
        <f>IF(_epmOfflineCondition_,"ACTUAL_CON",IF($L$11="y",V11,IF(V13&lt;$E$4,_xll.EVPRO($B$1,$B$4,"COMPARISON"),$B$4)))</f>
        <v>ACTUAL_CON</v>
      </c>
      <c r="W17" s="60" t="str">
        <f>IF(_epmOfflineCondition_,"ACTUAL_CON",IF($L$11="y",W11,IF(W13&lt;$E$4,_xll.EVPRO($B$1,$B$4,"COMPARISON"),$B$4)))</f>
        <v>ACTUAL_CON</v>
      </c>
      <c r="X17" s="60" t="str">
        <f>IF(_epmOfflineCondition_,"ACTUAL_CON",IF($L$11="y",X11,IF(X13&lt;$E$4,_xll.EVPRO($B$1,$B$4,"COMPARISON"),$B$4)))</f>
        <v>ACTUAL_CON</v>
      </c>
      <c r="Y17" s="60" t="str">
        <f>IF(_epmOfflineCondition_,"ACTUAL_CON",IF($L$11="y",Y11,IF(Y13&lt;$E$4,_xll.EVPRO($B$1,$B$4,"COMPARISON"),$B$4)))</f>
        <v>ACTUAL_CON</v>
      </c>
      <c r="Z17" s="60"/>
      <c r="AA17" s="64"/>
      <c r="AB17" s="64"/>
      <c r="AC17" s="60" t="str">
        <f>SetUp!$G$6</f>
        <v>BUDGET</v>
      </c>
      <c r="AD17" s="64"/>
      <c r="AE17" s="64"/>
      <c r="AF17" s="60" t="str">
        <f>SetUp!$J$6</f>
        <v>ACTUAL_CON</v>
      </c>
      <c r="AG17" s="64"/>
      <c r="AH17" s="64"/>
      <c r="AI17" s="11"/>
      <c r="AJ17" s="11"/>
      <c r="AK17" s="11"/>
      <c r="AL17" s="11"/>
      <c r="AM17" s="11"/>
      <c r="AN17" s="11"/>
      <c r="AO17" s="11"/>
    </row>
    <row r="18" spans="1:41" hidden="1" outlineLevel="1" x14ac:dyDescent="0.25">
      <c r="A18" s="65" t="s">
        <v>3</v>
      </c>
      <c r="B18" s="66" t="str">
        <f>IF(_epmOfflineCondition_,"'Summary'!$N$16:$AH$18",_xll.EVRNG(N16:AH18))</f>
        <v>'Summary'!$N$16:$AH$18</v>
      </c>
      <c r="C18" s="11"/>
      <c r="D18" s="11"/>
      <c r="E18" s="11"/>
      <c r="F18" s="11"/>
      <c r="G18" s="11"/>
      <c r="H18" s="11"/>
      <c r="I18" s="59"/>
      <c r="J18" s="59"/>
      <c r="K18" s="11"/>
      <c r="L18" s="59"/>
      <c r="M18" s="11" t="s">
        <v>601</v>
      </c>
      <c r="N18" s="64" t="s">
        <v>55</v>
      </c>
      <c r="O18" s="64" t="s">
        <v>55</v>
      </c>
      <c r="P18" s="64" t="s">
        <v>55</v>
      </c>
      <c r="Q18" s="64" t="s">
        <v>55</v>
      </c>
      <c r="R18" s="64" t="s">
        <v>55</v>
      </c>
      <c r="S18" s="64" t="s">
        <v>55</v>
      </c>
      <c r="T18" s="64" t="s">
        <v>55</v>
      </c>
      <c r="U18" s="64" t="s">
        <v>55</v>
      </c>
      <c r="V18" s="64" t="s">
        <v>55</v>
      </c>
      <c r="W18" s="64" t="s">
        <v>55</v>
      </c>
      <c r="X18" s="64" t="s">
        <v>55</v>
      </c>
      <c r="Y18" s="64" t="s">
        <v>55</v>
      </c>
      <c r="Z18" s="64"/>
      <c r="AA18" s="64"/>
      <c r="AB18" s="64"/>
      <c r="AC18" s="60" t="str">
        <f>IF(SetUp!$O$1=TRUE,"TRAILING12",IF(AC17="CURRENT","ROLLINGFORECAST","PERIODIC"))</f>
        <v>PERIODIC</v>
      </c>
      <c r="AD18" s="64"/>
      <c r="AE18" s="64"/>
      <c r="AF18" s="60" t="str">
        <f>IF(SetUp!$O$1=TRUE,"TRAILING12",IF(AF17="CURRENT","ROLLINGFORECAST","PERIODIC"))</f>
        <v>PERIODIC</v>
      </c>
      <c r="AG18" s="64"/>
      <c r="AH18" s="64"/>
      <c r="AI18" s="11"/>
      <c r="AJ18" s="11"/>
      <c r="AK18" s="11"/>
      <c r="AL18" s="11"/>
      <c r="AM18" s="11"/>
      <c r="AN18" s="11"/>
      <c r="AO18" s="11"/>
    </row>
    <row r="19" spans="1:41" hidden="1" outlineLevel="1" x14ac:dyDescent="0.25">
      <c r="A19" s="65" t="s">
        <v>4</v>
      </c>
      <c r="B19" s="66" t="str">
        <f>IF(_epmOfflineCondition_,"'Summary'!$G$33:$H$88",_xll.EVRNG(G33:H88))</f>
        <v>'Summary'!$G$33:$H$88</v>
      </c>
      <c r="C19" s="11"/>
      <c r="D19" s="11"/>
      <c r="E19" s="11"/>
      <c r="F19" s="11"/>
      <c r="G19" s="67" t="s">
        <v>499</v>
      </c>
      <c r="H19" s="67">
        <v>400000</v>
      </c>
      <c r="I19" s="68"/>
      <c r="J19" s="68"/>
      <c r="K19" s="67"/>
      <c r="L19" s="68"/>
      <c r="M19" s="67" t="str">
        <f>IF(_epmOfflineCondition_,"Total Revenue",_xll.EVDES(H19))</f>
        <v>Total Revenue</v>
      </c>
      <c r="N19" s="69">
        <f>IF(_epmOfflineCondition_,1290629.08,_xll.EVGTS($B$1,1,$B$3,$B$5,$B$7,$B$9,N$16,N$17,N$18,$G$19,$H$19))</f>
        <v>1290629.08</v>
      </c>
      <c r="O19" s="69">
        <f>IF(_epmOfflineCondition_,1640785.98,_xll.EVGTS($B$1,1,$B$3,$B$5,$B$7,$B$9,O$16,O$17,O$18,$G$19,$H$19))</f>
        <v>1640785.98</v>
      </c>
      <c r="P19" s="69">
        <f>IF(_epmOfflineCondition_,1688344.85,_xll.EVGTS($B$1,1,$B$3,$B$5,$B$7,$B$9,P$16,P$17,P$18,$G$19,$H$19))</f>
        <v>1688344.85</v>
      </c>
      <c r="Q19" s="69">
        <f>IF(_epmOfflineCondition_,1639654.71,_xll.EVGTS($B$1,1,$B$3,$B$5,$B$7,$B$9,Q$16,Q$17,Q$18,$G$19,$H$19))</f>
        <v>1639654.71</v>
      </c>
      <c r="R19" s="69">
        <f>IF(_epmOfflineCondition_,1462578.64,_xll.EVGTS($B$1,1,$B$3,$B$5,$B$7,$B$9,R$16,R$17,R$18,$G$19,$H$19))</f>
        <v>1462578.64</v>
      </c>
      <c r="S19" s="69">
        <f>IF(_epmOfflineCondition_,928601,_xll.EVGTS($B$1,1,$B$3,$B$5,$B$7,$B$9,S$16,S$17,S$18,$G$19,$H$19))</f>
        <v>928601</v>
      </c>
      <c r="T19" s="69">
        <f>IF(_epmOfflineCondition_,1089871.96,_xll.EVGTS($B$1,1,$B$3,$B$5,$B$7,$B$9,T$16,T$17,T$18,$G$19,$H$19))</f>
        <v>1089871.96</v>
      </c>
      <c r="U19" s="69">
        <f>IF(_epmOfflineCondition_,855762.92,_xll.EVGTS($B$1,1,$B$3,$B$5,$B$7,$B$9,U$16,U$17,U$18,$G$19,$H$19))</f>
        <v>855762.92</v>
      </c>
      <c r="V19" s="69">
        <f>IF(_epmOfflineCondition_,680607.2,_xll.EVGTS($B$1,1,$B$3,$B$5,$B$7,$B$9,V$16,V$17,V$18,$G$19,$H$19))</f>
        <v>680607.2</v>
      </c>
      <c r="W19" s="69">
        <f>IF(_epmOfflineCondition_,856828.92,_xll.EVGTS($B$1,1,$B$3,$B$5,$B$7,$B$9,W$16,W$17,W$18,$G$19,$H$19))</f>
        <v>856828.92</v>
      </c>
      <c r="X19" s="69">
        <f>IF(_epmOfflineCondition_,1188235.35,_xll.EVGTS($B$1,1,$B$3,$B$5,$B$7,$B$9,X$16,X$17,X$18,$G$19,$H$19))</f>
        <v>1188235.3500000001</v>
      </c>
      <c r="Y19" s="69">
        <f>IF(_epmOfflineCondition_,1410838.6,_xll.EVGTS($B$1,1,$B$3,$B$5,$B$7,$B$9,Y$16,Y$17,Y$18,$G$19,$H$19))</f>
        <v>1410838.6</v>
      </c>
      <c r="Z19" s="69">
        <f>SUM(N19:Y19)</f>
        <v>14732739.209999997</v>
      </c>
      <c r="AA19" s="67"/>
      <c r="AB19" s="67"/>
      <c r="AC19" s="69">
        <f>IF(_epmOfflineCondition_,14625381.3140649,_xll.EVGTS($B$1,1,$B$3,$B$5,$B$7,$B$9,AC$16,AC$17,AC$18,$G$19,$H$19))</f>
        <v>14625381.314064899</v>
      </c>
      <c r="AD19" s="67"/>
      <c r="AE19" s="67"/>
      <c r="AF19" s="69">
        <f>IF(_epmOfflineCondition_,11906524.42,_xll.EVGTS($B$1,1,$B$3,$B$5,$B$7,$B$9,AF$16,AF$17,AF$18,$G$19,$H$19))</f>
        <v>11906524.42</v>
      </c>
      <c r="AG19" s="67"/>
      <c r="AH19" s="67"/>
      <c r="AI19" s="11"/>
      <c r="AJ19" s="11"/>
      <c r="AK19" s="11"/>
      <c r="AL19" s="11"/>
      <c r="AM19" s="11"/>
      <c r="AN19" s="11"/>
      <c r="AO19" s="11"/>
    </row>
    <row r="20" spans="1:41" hidden="1" outlineLevel="1" x14ac:dyDescent="0.25">
      <c r="A20" s="65" t="s">
        <v>5</v>
      </c>
      <c r="B20" s="66"/>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c r="C22" s="11"/>
      <c r="D22" s="11"/>
      <c r="E22" s="11"/>
      <c r="F22" s="11"/>
      <c r="G22" s="11"/>
      <c r="H22" s="11"/>
      <c r="I22" s="59"/>
      <c r="J22" s="59"/>
      <c r="K22" s="11"/>
      <c r="L22" s="59"/>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IF(_epmOfflineCondition_,"'Summary'!$A$58:$B$79",_xll.EVRNG($A$58:$B$79))</f>
        <v>'Summary'!$A$58:$B$79</v>
      </c>
      <c r="C23" s="11"/>
      <c r="D23" s="11"/>
      <c r="E23" s="11"/>
      <c r="F23" s="11"/>
      <c r="G23" s="11"/>
      <c r="H23" s="11"/>
      <c r="I23" s="59"/>
      <c r="J23" s="59"/>
      <c r="K23" s="6"/>
      <c r="L23" s="59"/>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70" t="str">
        <f>IF(_epmOfflineCondition_,"Anglers Boutique Resorts LLC",IF(_xll.EVDES(B3,$B$1)="#NODATA","",_xll.EVDES(B3,$B$1)))</f>
        <v>Anglers Boutique Resorts LLC</v>
      </c>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71" t="str">
        <f>IF(_epmOfflineCondition_,"Consolidated Hotel &amp; F&amp;B Departments",IF(_xll.EVDES(B6,$B$1)="#NODATA","",_xll.EVDES(B6,$B$1)))</f>
        <v>Consolidated Hotel &amp; F&amp;B Departments</v>
      </c>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72" t="str">
        <f>IF(_epmOfflineCondition_,"For the Period ended 2022 TOTAL","For the Period ended"&amp;" "&amp;IF(_xll.EVDES($B$10,$B$1)="#NODATA","",_xll.EVDES($B$10,$B$1)))</f>
        <v>For the Period ended 2022 TOTAL</v>
      </c>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293</v>
      </c>
      <c r="C29" s="11"/>
      <c r="D29" s="11"/>
      <c r="E29" s="11"/>
      <c r="F29" s="11"/>
      <c r="G29" s="11"/>
      <c r="H29" s="11"/>
      <c r="I29" s="59"/>
      <c r="J29" s="59"/>
      <c r="K29" s="11"/>
      <c r="L29" s="59"/>
      <c r="M29" s="72" t="str">
        <f>IF(_epmOfflineCondition_,"Local Currency",_xll.EVDES(B9,B1))</f>
        <v>Local Currency</v>
      </c>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59"/>
      <c r="M30" s="11"/>
      <c r="N30" s="73"/>
      <c r="O30" s="74"/>
      <c r="P30" s="74"/>
      <c r="Q30" s="74"/>
      <c r="R30" s="74"/>
      <c r="S30" s="74"/>
      <c r="T30" s="74"/>
      <c r="U30" s="74"/>
      <c r="V30" s="74"/>
      <c r="W30" s="74"/>
      <c r="X30" s="74"/>
      <c r="Y30" s="74"/>
      <c r="Z30" s="74"/>
      <c r="AA30" s="75"/>
      <c r="AB30" s="11"/>
      <c r="AC30" s="74"/>
      <c r="AD30" s="74"/>
      <c r="AE30" s="74"/>
      <c r="AF30" s="74"/>
      <c r="AG30" s="74"/>
      <c r="AH30" s="74"/>
      <c r="AI30" s="73"/>
      <c r="AJ30" s="74"/>
      <c r="AK30" s="74"/>
      <c r="AL30" s="75"/>
      <c r="AM30" s="11"/>
      <c r="AN30" s="11"/>
      <c r="AO30" s="11"/>
    </row>
    <row r="31" spans="1:41" x14ac:dyDescent="0.25">
      <c r="A31" s="65" t="s">
        <v>15</v>
      </c>
      <c r="B31" s="66"/>
      <c r="C31" s="11"/>
      <c r="D31" s="11"/>
      <c r="E31" s="11"/>
      <c r="F31" s="11"/>
      <c r="G31" s="76"/>
      <c r="H31" s="11"/>
      <c r="I31" s="59"/>
      <c r="J31" s="59"/>
      <c r="K31" s="11"/>
      <c r="L31" s="59"/>
      <c r="M31" s="11"/>
      <c r="N31" s="77" t="str">
        <f>IF(_epmOfflineCondition_,"JAN",IF($D$10="FY",_xll.EVPRO($B$1,N$16,"PERIOD")&amp;" "&amp;LEFT(N$13,4),_xll.EVPRO($B$1,N$16,"PERIOD")))</f>
        <v>JAN</v>
      </c>
      <c r="O31" s="77" t="str">
        <f>IF(_epmOfflineCondition_,"FEB",IF($D$10="FY",_xll.EVPRO($B$1,O$16,"PERIOD")&amp;" "&amp;LEFT(O$13,4),_xll.EVPRO($B$1,O$16,"PERIOD")))</f>
        <v>FEB</v>
      </c>
      <c r="P31" s="77" t="str">
        <f>IF(_epmOfflineCondition_,"MAR",IF($D$10="FY",_xll.EVPRO($B$1,P$16,"PERIOD")&amp;" "&amp;LEFT(P$13,4),_xll.EVPRO($B$1,P$16,"PERIOD")))</f>
        <v>MAR</v>
      </c>
      <c r="Q31" s="77" t="str">
        <f>IF(_epmOfflineCondition_,"APR",IF($D$10="FY",_xll.EVPRO($B$1,Q$16,"PERIOD")&amp;" "&amp;LEFT(Q$13,4),_xll.EVPRO($B$1,Q$16,"PERIOD")))</f>
        <v>APR</v>
      </c>
      <c r="R31" s="77" t="str">
        <f>IF(_epmOfflineCondition_,"MAY",IF($D$10="FY",_xll.EVPRO($B$1,R$16,"PERIOD")&amp;" "&amp;LEFT(R$13,4),_xll.EVPRO($B$1,R$16,"PERIOD")))</f>
        <v>MAY</v>
      </c>
      <c r="S31" s="77" t="str">
        <f>IF(_epmOfflineCondition_,"JUN",IF($D$10="FY",_xll.EVPRO($B$1,S$16,"PERIOD")&amp;" "&amp;LEFT(S$13,4),_xll.EVPRO($B$1,S$16,"PERIOD")))</f>
        <v>JUN</v>
      </c>
      <c r="T31" s="77" t="str">
        <f>IF(_epmOfflineCondition_,"JUL",IF($D$10="FY",_xll.EVPRO($B$1,T$16,"PERIOD")&amp;" "&amp;LEFT(T$13,4),_xll.EVPRO($B$1,T$16,"PERIOD")))</f>
        <v>JUL</v>
      </c>
      <c r="U31" s="77" t="str">
        <f>IF(_epmOfflineCondition_,"AUG",IF($D$10="FY",_xll.EVPRO($B$1,U$16,"PERIOD")&amp;" "&amp;LEFT(U$13,4),_xll.EVPRO($B$1,U$16,"PERIOD")))</f>
        <v>AUG</v>
      </c>
      <c r="V31" s="77" t="str">
        <f>IF(_epmOfflineCondition_,"SEP",IF($D$10="FY",_xll.EVPRO($B$1,V$16,"PERIOD")&amp;" "&amp;LEFT(V$13,4),_xll.EVPRO($B$1,V$16,"PERIOD")))</f>
        <v>SEP</v>
      </c>
      <c r="W31" s="77" t="str">
        <f>IF(_epmOfflineCondition_,"OCT",IF($D$10="FY",_xll.EVPRO($B$1,W$16,"PERIOD")&amp;" "&amp;LEFT(W$13,4),_xll.EVPRO($B$1,W$16,"PERIOD")))</f>
        <v>OCT</v>
      </c>
      <c r="X31" s="77" t="str">
        <f>IF(_epmOfflineCondition_,"NOV",IF($D$10="FY",_xll.EVPRO($B$1,X$16,"PERIOD")&amp;" "&amp;LEFT(X$13,4),_xll.EVPRO($B$1,X$16,"PERIOD")))</f>
        <v>NOV</v>
      </c>
      <c r="Y31" s="77" t="str">
        <f>IF(_epmOfflineCondition_,"DEC",IF($D$10="FY",_xll.EVPRO($B$1,Y$16,"PERIOD")&amp;" "&amp;LEFT(Y$13,4),_xll.EVPRO($B$1,Y$16,"PERIOD")))</f>
        <v>DEC</v>
      </c>
      <c r="Z31" s="77" t="str">
        <f>Z14</f>
        <v>TOTAL</v>
      </c>
      <c r="AA31" s="78"/>
      <c r="AB31" s="11"/>
      <c r="AC31" s="630" t="str">
        <f>IF(_epmOfflineCondition_,"2022 TOTAL",IF(_xll.EVDES(AC16,$B$1)="#NODATA","",_xll.EVDES(AC16,$B$1)))</f>
        <v>2022 TOTAL</v>
      </c>
      <c r="AD31" s="631"/>
      <c r="AE31" s="77" t="s">
        <v>631</v>
      </c>
      <c r="AF31" s="630" t="str">
        <f>IF(_epmOfflineCondition_,"2021 TOTAL",IF(_xll.EVDES(AF16,$B$1)="#NODATA","",_xll.EVDES(AF16,$B$1)))</f>
        <v>2021 TOTAL</v>
      </c>
      <c r="AG31" s="631"/>
      <c r="AH31" s="77" t="s">
        <v>631</v>
      </c>
      <c r="AI31" s="79" t="str">
        <f>IF(_epmOfflineCondition_,"2022 vs 2022",_xll.EVPRO($B$1,Z$16,"YEAR")&amp;" vs "&amp;_xll.EVPRO($B$1,AC$16,"YEAR"))</f>
        <v>2022 vs 2022</v>
      </c>
      <c r="AJ31" s="80"/>
      <c r="AK31" s="79" t="str">
        <f>IF(_epmOfflineCondition_,"2022 vs 2021",_xll.EVPRO($B$1,Z$16,"YEAR")&amp;" vs "&amp;_xll.EVPRO($B$1,AF$16,"YEAR"))</f>
        <v>2022 vs 2021</v>
      </c>
      <c r="AL31" s="80"/>
      <c r="AM31" s="11"/>
      <c r="AN31" s="11"/>
      <c r="AO31" s="11"/>
    </row>
    <row r="32" spans="1:41" s="8" customFormat="1" ht="30" customHeight="1" x14ac:dyDescent="0.25">
      <c r="A32" s="81" t="s">
        <v>16</v>
      </c>
      <c r="B32" s="82"/>
      <c r="C32" s="83"/>
      <c r="D32" s="83"/>
      <c r="E32" s="83"/>
      <c r="F32" s="83"/>
      <c r="G32" s="83"/>
      <c r="H32" s="84"/>
      <c r="I32" s="85"/>
      <c r="J32" s="85"/>
      <c r="K32" s="83"/>
      <c r="L32" s="85"/>
      <c r="M32" s="86"/>
      <c r="N32" s="87" t="str">
        <f>IF(_epmOfflineCondition_,"Actual",IF(_xll.EVDES(N17,$B$1)="#NODATA","",_xll.EVDES(N17,$B$1)))</f>
        <v>Actual</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0"/>
      <c r="AA32" s="80" t="s">
        <v>58</v>
      </c>
      <c r="AB32" s="83"/>
      <c r="AC32" s="87" t="str">
        <f>IF(_epmOfflineCondition_,"Budget",IF(_xll.EVDES(AC17,$B$1)="#NODATA","",_xll.EVDES(AC17,$B$1)))</f>
        <v>Budget</v>
      </c>
      <c r="AD32" s="80" t="s">
        <v>58</v>
      </c>
      <c r="AE32" s="87" t="s">
        <v>57</v>
      </c>
      <c r="AF32" s="87" t="str">
        <f>IF(_epmOfflineCondition_,"Actual",IF(_xll.EVDES(AF17,$B$1)="#NODATA","",_xll.EVDES(AF17,$B$1)))</f>
        <v>Actual</v>
      </c>
      <c r="AG32" s="80" t="s">
        <v>58</v>
      </c>
      <c r="AH32" s="87" t="s">
        <v>57</v>
      </c>
      <c r="AI32" s="80" t="s">
        <v>750</v>
      </c>
      <c r="AJ32" s="80"/>
      <c r="AK32" s="80" t="s">
        <v>750</v>
      </c>
      <c r="AL32" s="80"/>
      <c r="AM32" s="83"/>
      <c r="AN32" s="83"/>
      <c r="AO32" s="83"/>
    </row>
    <row r="33" spans="1:41" x14ac:dyDescent="0.25">
      <c r="A33" s="65" t="s">
        <v>17</v>
      </c>
      <c r="B33" s="66"/>
      <c r="C33" s="11"/>
      <c r="D33" s="11"/>
      <c r="E33" s="11"/>
      <c r="F33" s="11"/>
      <c r="G33" s="88" t="s">
        <v>60</v>
      </c>
      <c r="H33" s="88" t="s">
        <v>211</v>
      </c>
      <c r="I33" s="89" t="str">
        <f>IF(_epmOfflineCondition_,"N",_xll.EVPRO($B$1,$H33,"STYLE"))</f>
        <v>N</v>
      </c>
      <c r="J33" s="89" t="str">
        <f>IF(_epmOfflineCondition_,"N",_xll.EVPRO($B$1,$H33,"CALC"))</f>
        <v>N</v>
      </c>
      <c r="K33" s="11"/>
      <c r="L33" s="59"/>
      <c r="M33" s="90" t="str">
        <f>IF(_epmOfflineCondition_,"Available rooms",IF(_xll.EVDES(H33,$B$1)="#NODATA","",_xll.EVDES(H33,$B$1)))</f>
        <v>Available rooms</v>
      </c>
      <c r="N33" s="138">
        <v>4092</v>
      </c>
      <c r="O33" s="138">
        <v>3696</v>
      </c>
      <c r="P33" s="138">
        <v>4092</v>
      </c>
      <c r="Q33" s="138">
        <v>3960</v>
      </c>
      <c r="R33" s="138">
        <v>4092</v>
      </c>
      <c r="S33" s="138">
        <v>3960</v>
      </c>
      <c r="T33" s="138">
        <v>4092</v>
      </c>
      <c r="U33" s="138">
        <v>4092</v>
      </c>
      <c r="V33" s="138">
        <v>3960</v>
      </c>
      <c r="W33" s="138">
        <v>4092</v>
      </c>
      <c r="X33" s="138">
        <v>3960</v>
      </c>
      <c r="Y33" s="138">
        <v>4092</v>
      </c>
      <c r="Z33" s="138">
        <f>SUM(N33:Y33)</f>
        <v>48180</v>
      </c>
      <c r="AA33" s="139"/>
      <c r="AB33" s="140"/>
      <c r="AC33" s="138">
        <v>48180</v>
      </c>
      <c r="AD33" s="139"/>
      <c r="AE33" s="141">
        <f>IF(AND($Z33="",AC33=""),"",$Z33-AC33)</f>
        <v>0</v>
      </c>
      <c r="AF33" s="138">
        <v>48180</v>
      </c>
      <c r="AG33" s="139"/>
      <c r="AH33" s="141">
        <f>IF(AND($Z33="",AF33=""),"",$Z33-AF33)</f>
        <v>0</v>
      </c>
      <c r="AI33" s="93"/>
      <c r="AJ33" s="94"/>
      <c r="AK33" s="93"/>
      <c r="AL33" s="94"/>
      <c r="AM33" s="11"/>
      <c r="AN33" s="11"/>
      <c r="AO33" s="11"/>
    </row>
    <row r="34" spans="1:41" x14ac:dyDescent="0.25">
      <c r="A34" s="11"/>
      <c r="B34" s="11"/>
      <c r="C34" s="11"/>
      <c r="D34" s="11"/>
      <c r="E34" s="11"/>
      <c r="F34" s="11"/>
      <c r="G34" s="88" t="s">
        <v>60</v>
      </c>
      <c r="H34" s="88" t="s">
        <v>257</v>
      </c>
      <c r="I34" s="89" t="str">
        <f>IF(_epmOfflineCondition_,"T2",_xll.EVPRO($B$1,$H34,"STYLE"))</f>
        <v>T2</v>
      </c>
      <c r="J34" s="89" t="str">
        <f>IF(_epmOfflineCondition_,"Y",_xll.EVPRO($B$1,$H34,"CALC"))</f>
        <v>Y</v>
      </c>
      <c r="K34" s="11"/>
      <c r="L34" s="59"/>
      <c r="M34" s="90" t="str">
        <f>IF(_epmOfflineCondition_,"Total Rooms Sold",IF(_xll.EVDES(H34,$B$1)="#NODATA","",_xll.EVDES(H34,$B$1)))</f>
        <v>Total Rooms Sold</v>
      </c>
      <c r="N34" s="138">
        <v>3760</v>
      </c>
      <c r="O34" s="138">
        <v>3567</v>
      </c>
      <c r="P34" s="138">
        <v>3855</v>
      </c>
      <c r="Q34" s="138">
        <v>3596</v>
      </c>
      <c r="R34" s="138">
        <v>3573</v>
      </c>
      <c r="S34" s="138">
        <v>3209</v>
      </c>
      <c r="T34" s="138">
        <v>3486</v>
      </c>
      <c r="U34" s="138">
        <v>3250</v>
      </c>
      <c r="V34" s="138">
        <v>2677</v>
      </c>
      <c r="W34" s="138">
        <v>3037</v>
      </c>
      <c r="X34" s="138">
        <v>3424</v>
      </c>
      <c r="Y34" s="138">
        <v>3533</v>
      </c>
      <c r="Z34" s="138">
        <f>SUM(N34:Y34)</f>
        <v>40967</v>
      </c>
      <c r="AA34" s="139"/>
      <c r="AB34" s="140"/>
      <c r="AC34" s="138">
        <v>39032</v>
      </c>
      <c r="AD34" s="139"/>
      <c r="AE34" s="141">
        <f>IF(AND($Z34="",AC34=""),"",$Z34-AC34)</f>
        <v>1935</v>
      </c>
      <c r="AF34" s="138">
        <v>40168</v>
      </c>
      <c r="AG34" s="139"/>
      <c r="AH34" s="141">
        <f>IF(AND($Z34="",AF34=""),"",$Z34-AF34)</f>
        <v>799</v>
      </c>
      <c r="AI34" s="95">
        <f>IFERROR((Z34-AC34)/AC34,0)</f>
        <v>4.9574707931953267E-2</v>
      </c>
      <c r="AJ34" s="96" t="s">
        <v>753</v>
      </c>
      <c r="AK34" s="95">
        <f>IFERROR((Z34-AF34)/AF34,0)</f>
        <v>1.9891455885281815E-2</v>
      </c>
      <c r="AL34" s="96" t="s">
        <v>753</v>
      </c>
      <c r="AM34" s="11"/>
      <c r="AN34" s="11"/>
      <c r="AO34" s="11"/>
    </row>
    <row r="35" spans="1:41" x14ac:dyDescent="0.25">
      <c r="A35" s="97" t="s">
        <v>92</v>
      </c>
      <c r="B35" s="98" t="s">
        <v>93</v>
      </c>
      <c r="C35" s="98" t="s">
        <v>94</v>
      </c>
      <c r="D35" s="98" t="s">
        <v>95</v>
      </c>
      <c r="E35" s="98" t="s">
        <v>96</v>
      </c>
      <c r="F35" s="99" t="s">
        <v>97</v>
      </c>
      <c r="G35" s="88" t="s">
        <v>60</v>
      </c>
      <c r="H35" s="88" t="s">
        <v>495</v>
      </c>
      <c r="I35" s="89" t="str">
        <f>IF(_epmOfflineCondition_,"T2",_xll.EVPRO($B$1,$H35,"STYLE"))</f>
        <v>T2</v>
      </c>
      <c r="J35" s="89" t="str">
        <f>IF(_epmOfflineCondition_,"Y",_xll.EVPRO($B$1,$H35,"CALC"))</f>
        <v>Y</v>
      </c>
      <c r="K35" s="11"/>
      <c r="L35" s="59"/>
      <c r="M35" s="90" t="str">
        <f>IF(_epmOfflineCondition_,"Total Occupancy",IF(_xll.EVDES(H35,$B$1)="#NODATA","",_xll.EVDES(H35,$B$1)))</f>
        <v>Total Occupancy</v>
      </c>
      <c r="N35" s="142">
        <v>0.91886608015640303</v>
      </c>
      <c r="O35" s="142">
        <v>0.96509740259740295</v>
      </c>
      <c r="P35" s="142">
        <v>0.94208211143694998</v>
      </c>
      <c r="Q35" s="142">
        <v>0.90808080808080804</v>
      </c>
      <c r="R35" s="142">
        <v>0.87316715542522005</v>
      </c>
      <c r="S35" s="142">
        <v>0.81035353535353505</v>
      </c>
      <c r="T35" s="142">
        <v>0.85190615835777095</v>
      </c>
      <c r="U35" s="142">
        <v>0.79423264907135904</v>
      </c>
      <c r="V35" s="142">
        <v>0.67601010101010095</v>
      </c>
      <c r="W35" s="142">
        <v>0.74217986314760498</v>
      </c>
      <c r="X35" s="142">
        <v>0.864646464646465</v>
      </c>
      <c r="Y35" s="142">
        <v>0.86339198435972597</v>
      </c>
      <c r="Z35" s="142">
        <f>IFERROR(Z34/Z33,"")</f>
        <v>0.85029057700290578</v>
      </c>
      <c r="AA35" s="139"/>
      <c r="AB35" s="140"/>
      <c r="AC35" s="142">
        <v>0.81012868410128702</v>
      </c>
      <c r="AD35" s="139"/>
      <c r="AE35" s="143">
        <f>IF(AND($Z35="",AC35=""),"",$Z35-AC35)</f>
        <v>4.0161892901618756E-2</v>
      </c>
      <c r="AF35" s="142">
        <v>0.83370693233706905</v>
      </c>
      <c r="AG35" s="139"/>
      <c r="AH35" s="143">
        <f>IF(AND($Z35="",AF35=""),"",$Z35-AF35)</f>
        <v>1.6583644665836728E-2</v>
      </c>
      <c r="AI35" s="95">
        <f>IFERROR((Z35-AC35)/AC35,0)</f>
        <v>4.9574707931953045E-2</v>
      </c>
      <c r="AJ35" s="96" t="s">
        <v>753</v>
      </c>
      <c r="AK35" s="95">
        <f>IFERROR((Z35-AF35)/AF35,0)</f>
        <v>1.9891455885282159E-2</v>
      </c>
      <c r="AL35" s="96" t="s">
        <v>753</v>
      </c>
      <c r="AM35" s="11"/>
      <c r="AN35" s="101"/>
      <c r="AO35" s="11"/>
    </row>
    <row r="36" spans="1:41" x14ac:dyDescent="0.25">
      <c r="A36" s="11"/>
      <c r="B36" s="11"/>
      <c r="C36" s="11"/>
      <c r="D36" s="11"/>
      <c r="E36" s="11"/>
      <c r="F36" s="11"/>
      <c r="G36" s="88" t="s">
        <v>60</v>
      </c>
      <c r="H36" s="88" t="s">
        <v>208</v>
      </c>
      <c r="I36" s="89" t="str">
        <f>IF(_epmOfflineCondition_,"T2",_xll.EVPRO($B$1,$H36,"STYLE"))</f>
        <v>T2</v>
      </c>
      <c r="J36" s="89" t="str">
        <f>IF(_epmOfflineCondition_,"Y",_xll.EVPRO($B$1,$H36,"CALC"))</f>
        <v>Y</v>
      </c>
      <c r="K36" s="11"/>
      <c r="L36" s="59"/>
      <c r="M36" s="90" t="str">
        <f>IF(_epmOfflineCondition_,"Average Daily Rate",IF(_xll.EVDES(H36,$B$1)="#NODATA","",_xll.EVDES(H36,$B$1)))</f>
        <v>Average Daily Rate</v>
      </c>
      <c r="N36" s="144">
        <v>272.61069148936201</v>
      </c>
      <c r="O36" s="144">
        <v>360.40741239136503</v>
      </c>
      <c r="P36" s="144">
        <v>335.71812191958497</v>
      </c>
      <c r="Q36" s="144">
        <v>354.76236095661801</v>
      </c>
      <c r="R36" s="144">
        <v>316.92944304506</v>
      </c>
      <c r="S36" s="144">
        <v>212.634742910564</v>
      </c>
      <c r="T36" s="144">
        <v>229.13469592656301</v>
      </c>
      <c r="U36" s="144">
        <v>193.21210461538499</v>
      </c>
      <c r="V36" s="144">
        <v>184.572379529324</v>
      </c>
      <c r="W36" s="144">
        <v>212.23753375041201</v>
      </c>
      <c r="X36" s="144">
        <v>262.93755257009298</v>
      </c>
      <c r="Y36" s="144">
        <v>319.73216529861298</v>
      </c>
      <c r="Z36" s="144">
        <f>IFERROR(Z$39/Z34,"")</f>
        <v>275.60042229111235</v>
      </c>
      <c r="AA36" s="139"/>
      <c r="AB36" s="140"/>
      <c r="AC36" s="144">
        <v>268.94628279360501</v>
      </c>
      <c r="AD36" s="139"/>
      <c r="AE36" s="145">
        <f>IF(AND($Z36="",AC36=""),"",$Z36-AC36)</f>
        <v>6.6541394975073445</v>
      </c>
      <c r="AF36" s="144">
        <v>233.74962880900199</v>
      </c>
      <c r="AG36" s="139"/>
      <c r="AH36" s="146">
        <f>IF(AND($Z36="",AF36=""),"",$Z36-AF36)</f>
        <v>41.850793482110362</v>
      </c>
      <c r="AI36" s="95">
        <f>IFERROR((Z36-AC36)/AC36,0)</f>
        <v>2.4741518746380555E-2</v>
      </c>
      <c r="AJ36" s="96" t="s">
        <v>753</v>
      </c>
      <c r="AK36" s="95">
        <f>IFERROR((Z36-AF36)/AF36,0)</f>
        <v>0.17904111204517401</v>
      </c>
      <c r="AL36" s="96" t="s">
        <v>753</v>
      </c>
      <c r="AM36" s="11"/>
      <c r="AN36" s="103"/>
      <c r="AO36" s="11"/>
    </row>
    <row r="37" spans="1:41" x14ac:dyDescent="0.25">
      <c r="A37" s="11" t="s">
        <v>105</v>
      </c>
      <c r="B37" s="11"/>
      <c r="C37" s="104" t="s">
        <v>101</v>
      </c>
      <c r="D37" s="11" t="s">
        <v>106</v>
      </c>
      <c r="E37" s="11"/>
      <c r="F37" s="11" t="s">
        <v>98</v>
      </c>
      <c r="G37" s="88" t="s">
        <v>60</v>
      </c>
      <c r="H37" s="88" t="s">
        <v>582</v>
      </c>
      <c r="I37" s="89" t="str">
        <f>IF(_epmOfflineCondition_,"N",_xll.EVPRO($B$1,$H37,"STYLE"))</f>
        <v>N</v>
      </c>
      <c r="J37" s="89" t="str">
        <f>IF(_epmOfflineCondition_,"Y",_xll.EVPRO($B$1,$H37,"CALC"))</f>
        <v>Y</v>
      </c>
      <c r="K37" s="11"/>
      <c r="L37" s="59"/>
      <c r="M37" s="90" t="str">
        <f>IF(_epmOfflineCondition_,"Revenue Per Available Room",IF(_xll.EVDES(H37,$B$1)="#NODATA","",_xll.EVDES(H37,$B$1)))</f>
        <v>Revenue Per Available Room</v>
      </c>
      <c r="N37" s="144">
        <v>250.49271749755599</v>
      </c>
      <c r="O37" s="144">
        <v>347.82825757575802</v>
      </c>
      <c r="P37" s="144">
        <v>316.27403714565003</v>
      </c>
      <c r="Q37" s="144">
        <v>322.15289141414098</v>
      </c>
      <c r="R37" s="144">
        <v>276.73238025415401</v>
      </c>
      <c r="S37" s="144">
        <v>172.30931565656601</v>
      </c>
      <c r="T37" s="144">
        <v>195.20125855327501</v>
      </c>
      <c r="U37" s="144">
        <v>153.45536168132901</v>
      </c>
      <c r="V37" s="144">
        <v>124.772792929293</v>
      </c>
      <c r="W37" s="144">
        <v>157.51842375366601</v>
      </c>
      <c r="X37" s="144">
        <v>227.34802525252499</v>
      </c>
      <c r="Y37" s="144">
        <v>276.05418866080203</v>
      </c>
      <c r="Z37" s="144">
        <f>IFERROR(Z$39/Z33,"")</f>
        <v>234.34044209215443</v>
      </c>
      <c r="AA37" s="139"/>
      <c r="AB37" s="140"/>
      <c r="AC37" s="144">
        <v>217.88109817351599</v>
      </c>
      <c r="AD37" s="139"/>
      <c r="AE37" s="145">
        <f>IF(AND($Z37="",AC37=""),"",$Z37-AC37)</f>
        <v>16.459343918638439</v>
      </c>
      <c r="AF37" s="144">
        <v>194.878685969282</v>
      </c>
      <c r="AG37" s="139"/>
      <c r="AH37" s="146">
        <f>IF(AND($Z37="",AF37=""),"",$Z37-AF37)</f>
        <v>39.46175612287243</v>
      </c>
      <c r="AI37" s="95">
        <f>IFERROR((Z37-AC37)/AC37,0)</f>
        <v>7.5542780243977647E-2</v>
      </c>
      <c r="AJ37" s="96" t="s">
        <v>753</v>
      </c>
      <c r="AK37" s="95">
        <f>IFERROR((Z37-AF37)/AF37,0)</f>
        <v>0.2024939563123524</v>
      </c>
      <c r="AL37" s="96" t="s">
        <v>753</v>
      </c>
      <c r="AM37" s="11"/>
      <c r="AN37" s="103"/>
      <c r="AO37" s="101"/>
    </row>
    <row r="38" spans="1:41" x14ac:dyDescent="0.25">
      <c r="A38" s="11" t="s">
        <v>102</v>
      </c>
      <c r="B38" s="11"/>
      <c r="C38" s="104" t="s">
        <v>101</v>
      </c>
      <c r="D38" s="11" t="s">
        <v>106</v>
      </c>
      <c r="E38" s="11"/>
      <c r="F38" s="11" t="s">
        <v>98</v>
      </c>
      <c r="G38" s="11"/>
      <c r="H38" s="11" t="s">
        <v>69</v>
      </c>
      <c r="I38" s="59" t="str">
        <f>IF(_epmOfflineCondition_,"B1",_xll.EVPRO($B$1,$H38,"STYLE"))</f>
        <v>B1</v>
      </c>
      <c r="J38" s="59" t="str">
        <f>IF(_epmOfflineCondition_,"Y",_xll.EVPRO($B$1,$H38,"CALC"))</f>
        <v>Y</v>
      </c>
      <c r="K38" s="11"/>
      <c r="L38" s="59"/>
      <c r="M38" s="105" t="str">
        <f>IF(_epmOfflineCondition_,"Revenues",IF(_xll.EVDES(H38,$B$1)="#NODATA","",_xll.EVDES(H38,$B$1)))</f>
        <v>Revenues</v>
      </c>
      <c r="N38" s="147"/>
      <c r="O38" s="148"/>
      <c r="P38" s="148"/>
      <c r="Q38" s="148"/>
      <c r="R38" s="148"/>
      <c r="S38" s="148"/>
      <c r="T38" s="148"/>
      <c r="U38" s="148"/>
      <c r="V38" s="148"/>
      <c r="W38" s="148"/>
      <c r="X38" s="148"/>
      <c r="Y38" s="148"/>
      <c r="Z38" s="148"/>
      <c r="AA38" s="149"/>
      <c r="AB38" s="140"/>
      <c r="AC38" s="147"/>
      <c r="AD38" s="148"/>
      <c r="AE38" s="149"/>
      <c r="AF38" s="147"/>
      <c r="AG38" s="148"/>
      <c r="AH38" s="149"/>
      <c r="AI38" s="11"/>
      <c r="AJ38" s="11"/>
      <c r="AK38" s="11"/>
      <c r="AL38" s="11"/>
      <c r="AM38" s="11"/>
      <c r="AN38" s="11"/>
      <c r="AO38" s="11"/>
    </row>
    <row r="39" spans="1:41" x14ac:dyDescent="0.25">
      <c r="A39" s="11" t="s">
        <v>108</v>
      </c>
      <c r="B39" s="11"/>
      <c r="C39" s="106" t="s">
        <v>101</v>
      </c>
      <c r="D39" s="11" t="s">
        <v>106</v>
      </c>
      <c r="E39" s="11"/>
      <c r="F39" s="11" t="s">
        <v>98</v>
      </c>
      <c r="G39" s="88" t="s">
        <v>60</v>
      </c>
      <c r="H39" s="88" t="s">
        <v>280</v>
      </c>
      <c r="I39" s="89" t="str">
        <f>IF(_epmOfflineCondition_,"T3",_xll.EVPRO($B$1,$H39,"STYLE"))</f>
        <v>T3</v>
      </c>
      <c r="J39" s="89" t="str">
        <f>IF(_epmOfflineCondition_,"Y",_xll.EVPRO($B$1,$H39,"CALC"))</f>
        <v>Y</v>
      </c>
      <c r="K39" s="107"/>
      <c r="L39" s="106"/>
      <c r="M39" s="90" t="str">
        <f>IF(_epmOfflineCondition_,"Rooms",IF(_xll.EVDES(G39,$B$1)="#NODATA","",_xll.EVDES(G39,$B$1)))</f>
        <v>Rooms</v>
      </c>
      <c r="N39" s="138">
        <v>1025016.2</v>
      </c>
      <c r="O39" s="138">
        <v>1285573.24</v>
      </c>
      <c r="P39" s="138">
        <v>1294193.3600000001</v>
      </c>
      <c r="Q39" s="138">
        <v>1275725.45</v>
      </c>
      <c r="R39" s="138">
        <v>1132388.8999999999</v>
      </c>
      <c r="S39" s="138">
        <v>682344.89</v>
      </c>
      <c r="T39" s="138">
        <v>798763.55</v>
      </c>
      <c r="U39" s="138">
        <v>627939.34</v>
      </c>
      <c r="V39" s="138">
        <v>494100.26</v>
      </c>
      <c r="W39" s="138">
        <v>644565.39</v>
      </c>
      <c r="X39" s="138">
        <v>900298.18</v>
      </c>
      <c r="Y39" s="138">
        <v>1129613.74</v>
      </c>
      <c r="Z39" s="138">
        <f>SUM(N39:Y39)</f>
        <v>11290522.5</v>
      </c>
      <c r="AA39" s="142">
        <f>IF(Z39=0,"",IFERROR(Z39/Z$19,""))</f>
        <v>0.76635595995186301</v>
      </c>
      <c r="AB39" s="140"/>
      <c r="AC39" s="138">
        <v>10497511.310000001</v>
      </c>
      <c r="AD39" s="142">
        <f>IF(AC39=0,"",IFERROR(AC39/AC$19,""))</f>
        <v>0.7177598371335987</v>
      </c>
      <c r="AE39" s="141">
        <f>IF(AND($Z39="",AC39=""),"",$Z39-AC39)</f>
        <v>793011.18999999948</v>
      </c>
      <c r="AF39" s="138">
        <v>9389255.0899999999</v>
      </c>
      <c r="AG39" s="142">
        <f>IF(AF39=0,"",IFERROR(AF39/AF$19,""))</f>
        <v>0.78858067718136005</v>
      </c>
      <c r="AH39" s="141">
        <f>IF(AND($Z39="",AF39=""),"",$Z39-AF39)</f>
        <v>1901267.4100000001</v>
      </c>
      <c r="AI39" s="95">
        <f>IFERROR((Z39-AC39)/AC39,0)</f>
        <v>7.5542780243977606E-2</v>
      </c>
      <c r="AJ39" s="96" t="s">
        <v>753</v>
      </c>
      <c r="AK39" s="95">
        <f>IFERROR((Z39-AF39)/AF39,0)</f>
        <v>0.20249395631235323</v>
      </c>
      <c r="AL39" s="96" t="s">
        <v>753</v>
      </c>
      <c r="AM39" s="11"/>
      <c r="AN39" s="108"/>
      <c r="AO39" s="11"/>
    </row>
    <row r="40" spans="1:41" x14ac:dyDescent="0.25">
      <c r="A40" s="11" t="s">
        <v>108</v>
      </c>
      <c r="B40" s="11"/>
      <c r="C40" s="109" t="s">
        <v>101</v>
      </c>
      <c r="D40" s="11" t="s">
        <v>107</v>
      </c>
      <c r="E40" s="11"/>
      <c r="F40" s="11" t="s">
        <v>99</v>
      </c>
      <c r="G40" s="88" t="s">
        <v>358</v>
      </c>
      <c r="H40" s="88" t="s">
        <v>280</v>
      </c>
      <c r="I40" s="89" t="str">
        <f>IF(_epmOfflineCondition_,"T3",_xll.EVPRO($B$1,$H40,"STYLE"))</f>
        <v>T3</v>
      </c>
      <c r="J40" s="89" t="str">
        <f>IF(_epmOfflineCondition_,"Y",_xll.EVPRO($B$1,$H40,"CALC"))</f>
        <v>Y</v>
      </c>
      <c r="K40" s="107"/>
      <c r="L40" s="106"/>
      <c r="M40" s="90" t="str">
        <f>IF(_epmOfflineCondition_,"Food &amp; Beverage",IF(_xll.EVDES(G40,$B$1)="#NODATA","",_xll.EVDES(G40,$B$1)))</f>
        <v>Food &amp; Beverage</v>
      </c>
      <c r="N40" s="138">
        <v>181406.37</v>
      </c>
      <c r="O40" s="138">
        <v>274883.40000000002</v>
      </c>
      <c r="P40" s="138">
        <v>307247.40000000002</v>
      </c>
      <c r="Q40" s="138">
        <v>278139.68</v>
      </c>
      <c r="R40" s="138">
        <v>249505.86</v>
      </c>
      <c r="S40" s="138">
        <v>177467.23</v>
      </c>
      <c r="T40" s="138">
        <v>199932.96</v>
      </c>
      <c r="U40" s="138">
        <v>143803.66</v>
      </c>
      <c r="V40" s="138">
        <v>115657.53</v>
      </c>
      <c r="W40" s="138">
        <v>140638.94</v>
      </c>
      <c r="X40" s="138">
        <v>202847.39</v>
      </c>
      <c r="Y40" s="138">
        <v>188909.88</v>
      </c>
      <c r="Z40" s="138">
        <f>SUM(N40:Y40)</f>
        <v>2460440.2999999998</v>
      </c>
      <c r="AA40" s="142">
        <f>IF(Z40=0,"",IFERROR(Z40/Z$19,""))</f>
        <v>0.16700494490053491</v>
      </c>
      <c r="AB40" s="140"/>
      <c r="AC40" s="138">
        <v>3051610.7012649002</v>
      </c>
      <c r="AD40" s="142">
        <f>IF(AC40=0,"",IFERROR(AC40/AC$19,""))</f>
        <v>0.20865170184179985</v>
      </c>
      <c r="AE40" s="141">
        <f>IF(AND($Z40="",AC40=""),"",$Z40-AC40)</f>
        <v>-591170.40126490034</v>
      </c>
      <c r="AF40" s="138">
        <v>1583944.63</v>
      </c>
      <c r="AG40" s="142">
        <f>IF(AF40=0,"",IFERROR(AF40/AF$19,""))</f>
        <v>0.13303165341343162</v>
      </c>
      <c r="AH40" s="141">
        <f>IF(AND($Z40="",AF40=""),"",$Z40-AF40)</f>
        <v>876495.66999999993</v>
      </c>
      <c r="AI40" s="95">
        <f>IFERROR((Z40-AC40)/AC40,0)</f>
        <v>-0.19372405563391776</v>
      </c>
      <c r="AJ40" s="96" t="s">
        <v>753</v>
      </c>
      <c r="AK40" s="95">
        <f>IFERROR((Z40-AF40)/AF40,0)</f>
        <v>0.55336256924587068</v>
      </c>
      <c r="AL40" s="96" t="s">
        <v>753</v>
      </c>
      <c r="AM40" s="11"/>
      <c r="AN40" s="108"/>
      <c r="AO40" s="11"/>
    </row>
    <row r="41" spans="1:41" x14ac:dyDescent="0.25">
      <c r="A41" s="11"/>
      <c r="B41" s="11"/>
      <c r="C41" s="11"/>
      <c r="D41" s="11"/>
      <c r="E41" s="11"/>
      <c r="F41" s="11"/>
      <c r="G41" s="88" t="s">
        <v>463</v>
      </c>
      <c r="H41" s="88" t="s">
        <v>280</v>
      </c>
      <c r="I41" s="89" t="str">
        <f>IF(_epmOfflineCondition_,"T3",_xll.EVPRO($B$1,$H41,"STYLE"))</f>
        <v>T3</v>
      </c>
      <c r="J41" s="89" t="str">
        <f>IF(_epmOfflineCondition_,"Y",_xll.EVPRO($B$1,$H41,"CALC"))</f>
        <v>Y</v>
      </c>
      <c r="K41" s="107"/>
      <c r="L41" s="106"/>
      <c r="M41" s="90" t="str">
        <f>IF(_epmOfflineCondition_,"Other Operated Departments",IF(_xll.EVDES(G41,$B$1)="#NODATA","",_xll.EVDES(G41,$B$1)))</f>
        <v>Other Operated Departments</v>
      </c>
      <c r="N41" s="138">
        <v>1627.99</v>
      </c>
      <c r="O41" s="138">
        <v>2405.7399999999998</v>
      </c>
      <c r="P41" s="138">
        <v>3553.93</v>
      </c>
      <c r="Q41" s="138">
        <v>3896.8</v>
      </c>
      <c r="R41" s="138">
        <v>2556.13</v>
      </c>
      <c r="S41" s="138">
        <v>1693.33</v>
      </c>
      <c r="T41" s="138">
        <v>1428.96</v>
      </c>
      <c r="U41" s="138">
        <v>2055.02</v>
      </c>
      <c r="V41" s="138">
        <v>688.75</v>
      </c>
      <c r="W41" s="138">
        <v>2507.38</v>
      </c>
      <c r="X41" s="138">
        <v>3265.13</v>
      </c>
      <c r="Y41" s="138">
        <v>2287.2600000000002</v>
      </c>
      <c r="Z41" s="138">
        <f>SUM(N41:Y41)</f>
        <v>27966.420000000006</v>
      </c>
      <c r="AA41" s="142">
        <f>IF(Z41=0,"",IFERROR(Z41/Z$19,""))</f>
        <v>1.8982498503073693E-3</v>
      </c>
      <c r="AB41" s="140"/>
      <c r="AC41" s="138">
        <v>17174.080000000002</v>
      </c>
      <c r="AD41" s="142">
        <f>IF(AC41=0,"",IFERROR(AC41/AC$19,""))</f>
        <v>1.1742654520387839E-3</v>
      </c>
      <c r="AE41" s="141">
        <f>IF(AND($Z41="",AC41=""),"",$Z41-AC41)</f>
        <v>10792.340000000004</v>
      </c>
      <c r="AF41" s="138">
        <v>19581.849999999999</v>
      </c>
      <c r="AG41" s="142">
        <f>IF(AF41=0,"",IFERROR(AF41/AF$19,""))</f>
        <v>1.6446319101405748E-3</v>
      </c>
      <c r="AH41" s="141">
        <f>IF(AND($Z41="",AF41=""),"",$Z41-AF41)</f>
        <v>8384.570000000007</v>
      </c>
      <c r="AI41" s="95">
        <f>IFERROR((Z41-AC41)/AC41,0)</f>
        <v>0.62840862509083473</v>
      </c>
      <c r="AJ41" s="96" t="s">
        <v>753</v>
      </c>
      <c r="AK41" s="95">
        <f>IFERROR((Z41-AF41)/AF41,0)</f>
        <v>0.42818068772868795</v>
      </c>
      <c r="AL41" s="96" t="s">
        <v>753</v>
      </c>
      <c r="AM41" s="11"/>
      <c r="AN41" s="108"/>
      <c r="AO41" s="11"/>
    </row>
    <row r="42" spans="1:41" x14ac:dyDescent="0.25">
      <c r="A42" s="11"/>
      <c r="B42" s="11"/>
      <c r="C42" s="11"/>
      <c r="D42" s="11"/>
      <c r="E42" s="11"/>
      <c r="F42" s="11"/>
      <c r="G42" s="88" t="s">
        <v>472</v>
      </c>
      <c r="H42" s="88" t="s">
        <v>280</v>
      </c>
      <c r="I42" s="89" t="str">
        <f>IF(_epmOfflineCondition_,"T3",_xll.EVPRO($B$1,$H42,"STYLE"))</f>
        <v>T3</v>
      </c>
      <c r="J42" s="89" t="str">
        <f>IF(_epmOfflineCondition_,"Y",_xll.EVPRO($B$1,$H42,"CALC"))</f>
        <v>Y</v>
      </c>
      <c r="K42" s="107"/>
      <c r="L42" s="106"/>
      <c r="M42" s="90" t="str">
        <f>IF(_epmOfflineCondition_,"Miscellaneous Income",IF(_xll.EVDES(G42,$B$1)="#NODATA","",_xll.EVDES(G42,$B$1)))</f>
        <v>Miscellaneous Income</v>
      </c>
      <c r="N42" s="138">
        <v>82578.52</v>
      </c>
      <c r="O42" s="138">
        <v>77923.600000000006</v>
      </c>
      <c r="P42" s="138">
        <v>83350.16</v>
      </c>
      <c r="Q42" s="138">
        <v>81892.78</v>
      </c>
      <c r="R42" s="138">
        <v>78127.75</v>
      </c>
      <c r="S42" s="138">
        <v>67095.55</v>
      </c>
      <c r="T42" s="138">
        <v>89746.49</v>
      </c>
      <c r="U42" s="138">
        <v>81964.899999999994</v>
      </c>
      <c r="V42" s="138">
        <v>70160.66</v>
      </c>
      <c r="W42" s="138">
        <v>69117.210000000006</v>
      </c>
      <c r="X42" s="138">
        <v>81824.649999999994</v>
      </c>
      <c r="Y42" s="138">
        <v>90027.72</v>
      </c>
      <c r="Z42" s="138">
        <f>SUM(N42:Y42)</f>
        <v>953809.99</v>
      </c>
      <c r="AA42" s="142">
        <f>IF(Z42=0,"",IFERROR(Z42/Z$19,""))</f>
        <v>6.4740845297294861E-2</v>
      </c>
      <c r="AB42" s="140"/>
      <c r="AC42" s="138">
        <v>1059085.2228000001</v>
      </c>
      <c r="AD42" s="142">
        <f>IF(AC42=0,"",IFERROR(AC42/AC$19,""))</f>
        <v>7.2414195572562734E-2</v>
      </c>
      <c r="AE42" s="141">
        <f>IF(AND($Z42="",AC42=""),"",$Z42-AC42)</f>
        <v>-105275.23280000011</v>
      </c>
      <c r="AF42" s="138">
        <v>913742.85</v>
      </c>
      <c r="AG42" s="142">
        <f>IF(AF42=0,"",IFERROR(AF42/AF$19,""))</f>
        <v>7.6743037495067765E-2</v>
      </c>
      <c r="AH42" s="141">
        <f>IF(AND($Z42="",AF42=""),"",$Z42-AF42)</f>
        <v>40067.140000000014</v>
      </c>
      <c r="AI42" s="110">
        <f>IFERROR((Z42-AC42)/AC42,0)</f>
        <v>-9.9402041057351731E-2</v>
      </c>
      <c r="AJ42" s="111" t="s">
        <v>753</v>
      </c>
      <c r="AK42" s="110">
        <f>IFERROR((Z42-AF42)/AF42,0)</f>
        <v>4.3849470340588725E-2</v>
      </c>
      <c r="AL42" s="111" t="s">
        <v>753</v>
      </c>
      <c r="AM42" s="11"/>
      <c r="AN42" s="108"/>
      <c r="AO42" s="11"/>
    </row>
    <row r="43" spans="1:41" x14ac:dyDescent="0.25">
      <c r="A43" s="11"/>
      <c r="B43" s="11"/>
      <c r="C43" s="11"/>
      <c r="D43" s="11"/>
      <c r="E43" s="11"/>
      <c r="F43" s="11"/>
      <c r="G43" s="107"/>
      <c r="H43" s="107"/>
      <c r="I43" s="107"/>
      <c r="J43" s="107"/>
      <c r="K43" s="107"/>
      <c r="L43" s="106"/>
      <c r="M43" s="106" t="str">
        <f>"Total "&amp;M38</f>
        <v>Total Revenues</v>
      </c>
      <c r="N43" s="150">
        <f t="shared" ref="N43:Y43" si="0">SUM(N39:N42)</f>
        <v>1290629.0799999998</v>
      </c>
      <c r="O43" s="150">
        <f t="shared" si="0"/>
        <v>1640785.9800000002</v>
      </c>
      <c r="P43" s="150">
        <f t="shared" si="0"/>
        <v>1688344.85</v>
      </c>
      <c r="Q43" s="150">
        <f t="shared" si="0"/>
        <v>1639654.71</v>
      </c>
      <c r="R43" s="150">
        <f t="shared" si="0"/>
        <v>1462578.6399999997</v>
      </c>
      <c r="S43" s="150">
        <f t="shared" si="0"/>
        <v>928601</v>
      </c>
      <c r="T43" s="150">
        <f t="shared" si="0"/>
        <v>1089871.96</v>
      </c>
      <c r="U43" s="150">
        <f t="shared" si="0"/>
        <v>855762.92</v>
      </c>
      <c r="V43" s="150">
        <f t="shared" si="0"/>
        <v>680607.20000000007</v>
      </c>
      <c r="W43" s="150">
        <f t="shared" si="0"/>
        <v>856828.92</v>
      </c>
      <c r="X43" s="150">
        <f t="shared" si="0"/>
        <v>1188235.3499999999</v>
      </c>
      <c r="Y43" s="150">
        <f t="shared" si="0"/>
        <v>1410838.6</v>
      </c>
      <c r="Z43" s="150">
        <f>SUM(N43:Y43)</f>
        <v>14732739.209999997</v>
      </c>
      <c r="AA43" s="151">
        <f>IF(Z43=0,"",IFERROR(Z43/Z$19,""))</f>
        <v>1</v>
      </c>
      <c r="AB43" s="140"/>
      <c r="AC43" s="150">
        <f>SUM(AC39:AC42)</f>
        <v>14625381.314064901</v>
      </c>
      <c r="AD43" s="151">
        <f>IF(AC43=0,"",IFERROR(AC43/AC$19,""))</f>
        <v>1.0000000000000002</v>
      </c>
      <c r="AE43" s="152">
        <f>IF(AND($Z43="",AC43=""),"",$Z43-AC43)</f>
        <v>107357.89593509585</v>
      </c>
      <c r="AF43" s="150">
        <f>SUM(AF39:AF42)</f>
        <v>11906524.419999998</v>
      </c>
      <c r="AG43" s="151">
        <f>IF(AF43=0,"",IFERROR(AF43/AF$19,""))</f>
        <v>0.99999999999999989</v>
      </c>
      <c r="AH43" s="152">
        <f>IF(AND($Z43="",AF43=""),"",$Z43-AF43)</f>
        <v>2826214.7899999991</v>
      </c>
      <c r="AI43" s="115">
        <f>IFERROR((Z43-AC43)/AC43,0)</f>
        <v>7.3405194455923115E-3</v>
      </c>
      <c r="AJ43" s="116" t="s">
        <v>753</v>
      </c>
      <c r="AK43" s="115">
        <f>IFERROR((Z43-AF43)/AF43,0)</f>
        <v>0.23736689988664211</v>
      </c>
      <c r="AL43" s="116" t="s">
        <v>753</v>
      </c>
      <c r="AM43" s="11"/>
      <c r="AN43" s="108"/>
      <c r="AO43" s="11"/>
    </row>
    <row r="44" spans="1:41" x14ac:dyDescent="0.25">
      <c r="A44" s="61" t="str">
        <f>IF(_epmOfflineCondition_,"Evdre:Ok",_xll.EVDRE($B$1,A47:B54))</f>
        <v>Evdre:Ok</v>
      </c>
      <c r="B44" s="11"/>
      <c r="C44" s="11"/>
      <c r="D44" s="11"/>
      <c r="E44" s="11"/>
      <c r="F44" s="11"/>
      <c r="G44" s="107"/>
      <c r="H44" s="107"/>
      <c r="I44" s="107"/>
      <c r="J44" s="107"/>
      <c r="K44" s="107"/>
      <c r="L44" s="11">
        <f>COUNTIF(N44:AH44,FALSE)</f>
        <v>0</v>
      </c>
      <c r="M44" s="117" t="str">
        <f>IF(L44=0,"","Revenue - database validation failed")</f>
        <v/>
      </c>
      <c r="N44" s="153" t="str">
        <f t="shared" ref="N44:Z44" si="1">IF(ROUND(N43,2)&lt;&gt;ROUND(N97,2),N43-N97,"")</f>
        <v/>
      </c>
      <c r="O44" s="154" t="str">
        <f t="shared" si="1"/>
        <v/>
      </c>
      <c r="P44" s="154" t="str">
        <f t="shared" si="1"/>
        <v/>
      </c>
      <c r="Q44" s="154" t="str">
        <f t="shared" si="1"/>
        <v/>
      </c>
      <c r="R44" s="154" t="str">
        <f t="shared" si="1"/>
        <v/>
      </c>
      <c r="S44" s="154" t="str">
        <f t="shared" si="1"/>
        <v/>
      </c>
      <c r="T44" s="154" t="str">
        <f t="shared" si="1"/>
        <v/>
      </c>
      <c r="U44" s="154" t="str">
        <f t="shared" si="1"/>
        <v/>
      </c>
      <c r="V44" s="154" t="str">
        <f t="shared" si="1"/>
        <v/>
      </c>
      <c r="W44" s="154" t="str">
        <f t="shared" si="1"/>
        <v/>
      </c>
      <c r="X44" s="154" t="str">
        <f t="shared" si="1"/>
        <v/>
      </c>
      <c r="Y44" s="154" t="str">
        <f t="shared" si="1"/>
        <v/>
      </c>
      <c r="Z44" s="154" t="str">
        <f t="shared" si="1"/>
        <v/>
      </c>
      <c r="AA44" s="155" t="b">
        <f>Z44=""</f>
        <v>1</v>
      </c>
      <c r="AB44" s="140"/>
      <c r="AC44" s="153" t="str">
        <f>IF(ROUND(AC43,2)&lt;&gt;ROUND(AC97,2),AC43-AC97,"")</f>
        <v/>
      </c>
      <c r="AD44" s="156" t="b">
        <f>AC44=""</f>
        <v>1</v>
      </c>
      <c r="AE44" s="157"/>
      <c r="AF44" s="154" t="str">
        <f>IF(ROUND(AF43,2)&lt;&gt;ROUND(AF97,2),AF43-AF97,"")</f>
        <v/>
      </c>
      <c r="AG44" s="156" t="b">
        <f>AF44=""</f>
        <v>1</v>
      </c>
      <c r="AH44" s="157"/>
      <c r="AI44" s="11"/>
      <c r="AJ44" s="11"/>
      <c r="AK44" s="11"/>
      <c r="AL44" s="11"/>
      <c r="AM44" s="11"/>
      <c r="AN44" s="11"/>
      <c r="AO44" s="11"/>
    </row>
    <row r="45" spans="1:41" x14ac:dyDescent="0.25">
      <c r="A45" s="11"/>
      <c r="B45" s="11"/>
      <c r="C45" s="11"/>
      <c r="D45" s="11"/>
      <c r="E45" s="11"/>
      <c r="F45" s="11"/>
      <c r="G45" s="11"/>
      <c r="H45" s="11" t="s">
        <v>564</v>
      </c>
      <c r="I45" s="59" t="str">
        <f>IF(_epmOfflineCondition_,"B1",_xll.EVPRO($B$1,$H45,"STYLE"))</f>
        <v>B1</v>
      </c>
      <c r="J45" s="59" t="str">
        <f>IF(_epmOfflineCondition_,"Y",_xll.EVPRO($B$1,$H45,"CALC"))</f>
        <v>Y</v>
      </c>
      <c r="K45" s="11"/>
      <c r="L45" s="59"/>
      <c r="M45" s="105" t="str">
        <f>IF(_epmOfflineCondition_,"Departmental Expense",IF(_xll.EVDES(H45,$B$1)="#NODATA","",_xll.EVDES(H45,$B$1)))</f>
        <v>Departmental Expense</v>
      </c>
      <c r="N45" s="158"/>
      <c r="O45" s="159"/>
      <c r="P45" s="159"/>
      <c r="Q45" s="159"/>
      <c r="R45" s="159"/>
      <c r="S45" s="159"/>
      <c r="T45" s="159"/>
      <c r="U45" s="159"/>
      <c r="V45" s="159"/>
      <c r="W45" s="159"/>
      <c r="X45" s="159"/>
      <c r="Y45" s="159"/>
      <c r="Z45" s="159"/>
      <c r="AA45" s="160"/>
      <c r="AB45" s="140"/>
      <c r="AC45" s="158"/>
      <c r="AD45" s="159"/>
      <c r="AE45" s="160"/>
      <c r="AF45" s="158"/>
      <c r="AG45" s="159"/>
      <c r="AH45" s="160"/>
      <c r="AI45" s="11"/>
      <c r="AJ45" s="11"/>
      <c r="AK45" s="11"/>
      <c r="AL45" s="11"/>
      <c r="AM45" s="11"/>
      <c r="AN45" s="11"/>
      <c r="AO45" s="11"/>
    </row>
    <row r="46" spans="1:41" x14ac:dyDescent="0.25">
      <c r="A46" s="62" t="s">
        <v>0</v>
      </c>
      <c r="B46" s="63" t="s">
        <v>1</v>
      </c>
      <c r="C46" s="11"/>
      <c r="D46" s="11"/>
      <c r="E46" s="11"/>
      <c r="F46" s="11"/>
      <c r="G46" s="88" t="s">
        <v>60</v>
      </c>
      <c r="H46" s="88" t="s">
        <v>464</v>
      </c>
      <c r="I46" s="89" t="str">
        <f>IF(_epmOfflineCondition_,"T3",_xll.EVPRO($B$1,$H46,"STYLE"))</f>
        <v>T3</v>
      </c>
      <c r="J46" s="89" t="str">
        <f>IF(_epmOfflineCondition_,"Y",_xll.EVPRO($B$1,$H46,"CALC"))</f>
        <v>Y</v>
      </c>
      <c r="K46" s="107"/>
      <c r="L46" s="106"/>
      <c r="M46" s="90" t="str">
        <f>IF(_epmOfflineCondition_,"Rooms",IF(_xll.EVDES(G46,$B$1)="#NODATA","",_xll.EVDES(G46,$B$1)))</f>
        <v>Rooms</v>
      </c>
      <c r="N46" s="138">
        <v>230899.16</v>
      </c>
      <c r="O46" s="138">
        <v>227599.08</v>
      </c>
      <c r="P46" s="138">
        <v>255558.03</v>
      </c>
      <c r="Q46" s="138">
        <v>258542.6</v>
      </c>
      <c r="R46" s="138">
        <v>254522.83</v>
      </c>
      <c r="S46" s="138">
        <v>208901.51</v>
      </c>
      <c r="T46" s="138">
        <v>265349.96999999997</v>
      </c>
      <c r="U46" s="138">
        <v>229144.91</v>
      </c>
      <c r="V46" s="138">
        <v>168226.04</v>
      </c>
      <c r="W46" s="138">
        <v>220017.23</v>
      </c>
      <c r="X46" s="138">
        <v>230515.69</v>
      </c>
      <c r="Y46" s="138">
        <v>275870.95</v>
      </c>
      <c r="Z46" s="138">
        <f>SUM(N46:Y46)</f>
        <v>2825148</v>
      </c>
      <c r="AA46" s="142">
        <f>IF(Z46=0,"",IFERROR(Z46/Z39,""))</f>
        <v>0.25022296355195256</v>
      </c>
      <c r="AB46" s="140"/>
      <c r="AC46" s="138">
        <v>2458172.9303767802</v>
      </c>
      <c r="AD46" s="142">
        <f>IF(AC46=0,"",IFERROR(AC46/AC39,""))</f>
        <v>0.23416720952089931</v>
      </c>
      <c r="AE46" s="141">
        <f>IF(AND($Z46="",AC46=""),"",$Z46-AC46)</f>
        <v>366975.06962321978</v>
      </c>
      <c r="AF46" s="138">
        <v>2489781.96</v>
      </c>
      <c r="AG46" s="142">
        <f>IF(AF46=0,"",IFERROR(AF46/AF39,""))</f>
        <v>0.26517353465577215</v>
      </c>
      <c r="AH46" s="141">
        <f>IF(AND($Z46="",AF46=""),"",$Z46-AF46)</f>
        <v>335366.04000000004</v>
      </c>
      <c r="AI46" s="620" t="str">
        <f>+IFERROR(ROUND(($AA46-AD46)*100,2)&amp;" pts.",0)</f>
        <v>1.61 pts.</v>
      </c>
      <c r="AJ46" s="621"/>
      <c r="AK46" s="620" t="str">
        <f>+IFERROR(ROUND(($AA46-AG46)*100,2)&amp;" pts.",0)</f>
        <v>-1.5 pts.</v>
      </c>
      <c r="AL46" s="621"/>
      <c r="AM46" s="11"/>
      <c r="AN46" s="11"/>
      <c r="AO46" s="11"/>
    </row>
    <row r="47" spans="1:41" x14ac:dyDescent="0.25">
      <c r="A47" s="65" t="s">
        <v>2</v>
      </c>
      <c r="B47" s="66" t="str">
        <f>IF(_epmOfflineCondition_,"'Summary'!$B$2:$B$10",_xll.EVRNG($B$2:$B$10))</f>
        <v>'Summary'!$B$2:$B$10</v>
      </c>
      <c r="C47" s="11"/>
      <c r="D47" s="11"/>
      <c r="E47" s="11"/>
      <c r="F47" s="11"/>
      <c r="G47" s="88" t="s">
        <v>358</v>
      </c>
      <c r="H47" s="88" t="s">
        <v>464</v>
      </c>
      <c r="I47" s="89" t="str">
        <f>IF(_epmOfflineCondition_,"T3",_xll.EVPRO($B$1,$H47,"STYLE"))</f>
        <v>T3</v>
      </c>
      <c r="J47" s="89" t="str">
        <f>IF(_epmOfflineCondition_,"Y",_xll.EVPRO($B$1,$H47,"CALC"))</f>
        <v>Y</v>
      </c>
      <c r="K47" s="107"/>
      <c r="L47" s="106"/>
      <c r="M47" s="90" t="str">
        <f>IF(_epmOfflineCondition_,"Food &amp; Beverage",IF(_xll.EVDES(G47,$B$1)="#NODATA","",_xll.EVDES(G47,$B$1)))</f>
        <v>Food &amp; Beverage</v>
      </c>
      <c r="N47" s="138">
        <v>167203.54</v>
      </c>
      <c r="O47" s="138">
        <v>239726.71</v>
      </c>
      <c r="P47" s="138">
        <v>246303.64</v>
      </c>
      <c r="Q47" s="138">
        <v>243014.06</v>
      </c>
      <c r="R47" s="138">
        <v>249444.43</v>
      </c>
      <c r="S47" s="138">
        <v>186607.58</v>
      </c>
      <c r="T47" s="138">
        <v>205117.24</v>
      </c>
      <c r="U47" s="138">
        <v>175978.63</v>
      </c>
      <c r="V47" s="138">
        <v>169111.76</v>
      </c>
      <c r="W47" s="138">
        <v>155640.19</v>
      </c>
      <c r="X47" s="138">
        <v>197101.9</v>
      </c>
      <c r="Y47" s="138">
        <v>211256.37</v>
      </c>
      <c r="Z47" s="138">
        <f>SUM(N47:Y47)</f>
        <v>2446506.0500000003</v>
      </c>
      <c r="AA47" s="142">
        <f>IF(Z47=0,"",IFERROR(Z47/Z40,""))</f>
        <v>0.99433668437311828</v>
      </c>
      <c r="AB47" s="140"/>
      <c r="AC47" s="138">
        <v>2384634.0466941502</v>
      </c>
      <c r="AD47" s="142">
        <f>IF(AC47=0,"",IFERROR(AC47/AC40,""))</f>
        <v>0.78143455379341586</v>
      </c>
      <c r="AE47" s="141">
        <f>IF(AND($Z47="",AC47=""),"",$Z47-AC47)</f>
        <v>61872.003305850085</v>
      </c>
      <c r="AF47" s="138">
        <v>1637165.84</v>
      </c>
      <c r="AG47" s="142">
        <f>IF(AF47=0,"",IFERROR(AF47/AF40,""))</f>
        <v>1.033600423267321</v>
      </c>
      <c r="AH47" s="141">
        <f>IF(AND($Z47="",AF47=""),"",$Z47-AF47)</f>
        <v>809340.2100000002</v>
      </c>
      <c r="AI47" s="620" t="str">
        <f>+IFERROR(ROUND(($AA47-AD47)*100,2)&amp;" pts.",0)</f>
        <v>21.29 pts.</v>
      </c>
      <c r="AJ47" s="621"/>
      <c r="AK47" s="620" t="str">
        <f>+IFERROR(ROUND(($AA47-AG47)*100,2)&amp;" pts.",0)</f>
        <v>-3.93 pts.</v>
      </c>
      <c r="AL47" s="621"/>
      <c r="AM47" s="11"/>
      <c r="AN47" s="11"/>
      <c r="AO47" s="11"/>
    </row>
    <row r="48" spans="1:41" x14ac:dyDescent="0.25">
      <c r="A48" s="65" t="s">
        <v>3</v>
      </c>
      <c r="B48" s="66" t="str">
        <f>IF(_epmOfflineCondition_,"'Summary'!$N$16:$AH$18",_xll.EVRNG(N16:AH18))</f>
        <v>'Summary'!$N$16:$AH$18</v>
      </c>
      <c r="C48" s="11"/>
      <c r="D48" s="11"/>
      <c r="E48" s="11"/>
      <c r="F48" s="11"/>
      <c r="G48" s="88" t="s">
        <v>463</v>
      </c>
      <c r="H48" s="88" t="s">
        <v>464</v>
      </c>
      <c r="I48" s="89" t="str">
        <f>IF(_epmOfflineCondition_,"T3",_xll.EVPRO($B$1,$H48,"STYLE"))</f>
        <v>T3</v>
      </c>
      <c r="J48" s="89" t="str">
        <f>IF(_epmOfflineCondition_,"Y",_xll.EVPRO($B$1,$H48,"CALC"))</f>
        <v>Y</v>
      </c>
      <c r="K48" s="107"/>
      <c r="L48" s="106"/>
      <c r="M48" s="90" t="str">
        <f>IF(_epmOfflineCondition_,"Other Operated Departments",IF(_xll.EVDES(G48,$B$1)="#NODATA","",_xll.EVDES(G48,$B$1)))</f>
        <v>Other Operated Departments</v>
      </c>
      <c r="N48" s="138">
        <v>47.08</v>
      </c>
      <c r="O48" s="138">
        <v>972.28</v>
      </c>
      <c r="P48" s="138">
        <v>900.28</v>
      </c>
      <c r="Q48" s="138">
        <v>1626.9</v>
      </c>
      <c r="R48" s="138">
        <v>1457.11</v>
      </c>
      <c r="S48" s="138">
        <v>522.07000000000005</v>
      </c>
      <c r="T48" s="138">
        <v>528.16</v>
      </c>
      <c r="U48" s="138">
        <v>736.46</v>
      </c>
      <c r="V48" s="138">
        <v>121</v>
      </c>
      <c r="W48" s="138">
        <v>1209.17</v>
      </c>
      <c r="X48" s="138">
        <v>1649.11</v>
      </c>
      <c r="Y48" s="138">
        <v>1629.66</v>
      </c>
      <c r="Z48" s="138">
        <f>SUM(N48:Y48)</f>
        <v>11399.279999999999</v>
      </c>
      <c r="AA48" s="142">
        <f>IF(Z48=0,"",IFERROR(Z48/Z41,""))</f>
        <v>0.40760597888467659</v>
      </c>
      <c r="AB48" s="140"/>
      <c r="AC48" s="138">
        <v>6746.6812</v>
      </c>
      <c r="AD48" s="142">
        <f>IF(AC48=0,"",IFERROR(AC48/AC41,""))</f>
        <v>0.39284090909090907</v>
      </c>
      <c r="AE48" s="141">
        <f>IF(AND($Z48="",AC48=""),"",$Z48-AC48)</f>
        <v>4652.5987999999988</v>
      </c>
      <c r="AF48" s="138">
        <v>9085.0499999999993</v>
      </c>
      <c r="AG48" s="142">
        <f>IF(AF48=0,"",IFERROR(AF48/AF41,""))</f>
        <v>0.46395258874927547</v>
      </c>
      <c r="AH48" s="141">
        <f>IF(AND($Z48="",AF48=""),"",$Z48-AF48)</f>
        <v>2314.2299999999996</v>
      </c>
      <c r="AI48" s="628" t="str">
        <f>+IFERROR(ROUND(($AA48-AD48)*100,2)&amp;" pts.",0)</f>
        <v>1.48 pts.</v>
      </c>
      <c r="AJ48" s="629"/>
      <c r="AK48" s="628" t="str">
        <f>+IFERROR(ROUND(($AA48-AG48)*100,2)&amp;" pts.",0)</f>
        <v>-5.63 pts.</v>
      </c>
      <c r="AL48" s="629"/>
      <c r="AM48" s="11"/>
      <c r="AN48" s="11"/>
      <c r="AO48" s="11"/>
    </row>
    <row r="49" spans="1:41" x14ac:dyDescent="0.25">
      <c r="A49" s="65" t="s">
        <v>4</v>
      </c>
      <c r="B49" s="66" t="str">
        <f>IF(_epmOfflineCondition_,"'Summary'!$G$93:$H$105",_xll.EVRNG(G93:H105))</f>
        <v>'Summary'!$G$93:$H$105</v>
      </c>
      <c r="C49" s="11"/>
      <c r="D49" s="11"/>
      <c r="E49" s="11"/>
      <c r="F49" s="11"/>
      <c r="G49" s="11"/>
      <c r="H49" s="11"/>
      <c r="I49" s="11"/>
      <c r="J49" s="11"/>
      <c r="K49" s="11"/>
      <c r="L49" s="11"/>
      <c r="M49" s="106" t="str">
        <f>"Total "&amp;M45</f>
        <v>Total Departmental Expense</v>
      </c>
      <c r="N49" s="150">
        <f t="shared" ref="N49:Y49" si="2">SUM(N46:N48)</f>
        <v>398149.78</v>
      </c>
      <c r="O49" s="150">
        <f t="shared" si="2"/>
        <v>468298.07</v>
      </c>
      <c r="P49" s="150">
        <f t="shared" si="2"/>
        <v>502761.95000000007</v>
      </c>
      <c r="Q49" s="150">
        <f t="shared" si="2"/>
        <v>503183.56000000006</v>
      </c>
      <c r="R49" s="150">
        <f t="shared" si="2"/>
        <v>505424.37</v>
      </c>
      <c r="S49" s="150">
        <f t="shared" si="2"/>
        <v>396031.16</v>
      </c>
      <c r="T49" s="150">
        <f t="shared" si="2"/>
        <v>470995.36999999994</v>
      </c>
      <c r="U49" s="150">
        <f t="shared" si="2"/>
        <v>405860.00000000006</v>
      </c>
      <c r="V49" s="150">
        <f t="shared" si="2"/>
        <v>337458.80000000005</v>
      </c>
      <c r="W49" s="150">
        <f t="shared" si="2"/>
        <v>376866.59</v>
      </c>
      <c r="X49" s="150">
        <f t="shared" si="2"/>
        <v>429266.69999999995</v>
      </c>
      <c r="Y49" s="150">
        <f t="shared" si="2"/>
        <v>488756.98</v>
      </c>
      <c r="Z49" s="150">
        <f>SUM(N49:Y49)</f>
        <v>5283053.33</v>
      </c>
      <c r="AA49" s="151">
        <f>IF(Z49=0,"",IFERROR(Z49/Z$43,""))</f>
        <v>0.35859274060957202</v>
      </c>
      <c r="AB49" s="140"/>
      <c r="AC49" s="150">
        <f>SUM(AC46:AC48)</f>
        <v>4849553.6582709309</v>
      </c>
      <c r="AD49" s="151">
        <f>IF(AC49=0,"",IFERROR(AC49/AC$43,""))</f>
        <v>0.33158476720242663</v>
      </c>
      <c r="AE49" s="152">
        <f>IF(AND($Z49="",AC49=""),"",$Z49-AC49)</f>
        <v>433499.6717290692</v>
      </c>
      <c r="AF49" s="150">
        <f>SUM(AF46:AF48)</f>
        <v>4136032.8499999996</v>
      </c>
      <c r="AG49" s="151">
        <f>IF(AF49=0,"",IFERROR(AF49/AF$43,""))</f>
        <v>0.34737533003774751</v>
      </c>
      <c r="AH49" s="152">
        <f>IF(AND($Z49="",AF49=""),"",$Z49-AF49)</f>
        <v>1147020.4800000004</v>
      </c>
      <c r="AI49" s="624" t="str">
        <f>+IFERROR(ROUND(($AA49-AD49)*100,2)&amp;" pts.",0)</f>
        <v>2.7 pts.</v>
      </c>
      <c r="AJ49" s="625"/>
      <c r="AK49" s="624" t="str">
        <f>+IFERROR(ROUND(($AA49-AG49)*100,2)&amp;" pts.",0)</f>
        <v>1.12 pts.</v>
      </c>
      <c r="AL49" s="625"/>
      <c r="AM49" s="11"/>
      <c r="AN49" s="11"/>
      <c r="AO49" s="11"/>
    </row>
    <row r="50" spans="1:41" x14ac:dyDescent="0.25">
      <c r="A50" s="65" t="s">
        <v>5</v>
      </c>
      <c r="B50" s="66"/>
      <c r="C50" s="11"/>
      <c r="D50" s="11"/>
      <c r="E50" s="11"/>
      <c r="F50" s="11"/>
      <c r="G50" s="11"/>
      <c r="H50" s="11"/>
      <c r="I50" s="11"/>
      <c r="J50" s="11"/>
      <c r="K50" s="11"/>
      <c r="L50" s="11">
        <f>COUNTIF(N50:AH50,FALSE)</f>
        <v>0</v>
      </c>
      <c r="M50" s="117" t="str">
        <f>IF(L50=0,"","Expense - database validation failed")</f>
        <v/>
      </c>
      <c r="N50" s="153" t="str">
        <f t="shared" ref="N50:Z50" si="3">IF(ROUND(N49,2)&lt;&gt;ROUND(N98,2),N49-N98,"")</f>
        <v/>
      </c>
      <c r="O50" s="154" t="str">
        <f t="shared" si="3"/>
        <v/>
      </c>
      <c r="P50" s="154" t="str">
        <f t="shared" si="3"/>
        <v/>
      </c>
      <c r="Q50" s="154" t="str">
        <f t="shared" si="3"/>
        <v/>
      </c>
      <c r="R50" s="154" t="str">
        <f t="shared" si="3"/>
        <v/>
      </c>
      <c r="S50" s="154" t="str">
        <f t="shared" si="3"/>
        <v/>
      </c>
      <c r="T50" s="154" t="str">
        <f t="shared" si="3"/>
        <v/>
      </c>
      <c r="U50" s="154" t="str">
        <f t="shared" si="3"/>
        <v/>
      </c>
      <c r="V50" s="154" t="str">
        <f t="shared" si="3"/>
        <v/>
      </c>
      <c r="W50" s="154" t="str">
        <f t="shared" si="3"/>
        <v/>
      </c>
      <c r="X50" s="154" t="str">
        <f t="shared" si="3"/>
        <v/>
      </c>
      <c r="Y50" s="154" t="str">
        <f t="shared" si="3"/>
        <v/>
      </c>
      <c r="Z50" s="154" t="str">
        <f t="shared" si="3"/>
        <v/>
      </c>
      <c r="AA50" s="161" t="b">
        <f>Z50=""</f>
        <v>1</v>
      </c>
      <c r="AB50" s="140"/>
      <c r="AC50" s="153" t="str">
        <f>IF(ROUND(AC49,2)&lt;&gt;ROUND(AC98,2),AC49-AC98,"")</f>
        <v/>
      </c>
      <c r="AD50" s="156" t="b">
        <f>AC50=""</f>
        <v>1</v>
      </c>
      <c r="AE50" s="157"/>
      <c r="AF50" s="153" t="str">
        <f>IF(ROUND(AF49,2)&lt;&gt;ROUND(AF98,2),AF49-AF98,"")</f>
        <v/>
      </c>
      <c r="AG50" s="156" t="b">
        <f>AF50=""</f>
        <v>1</v>
      </c>
      <c r="AH50" s="157"/>
      <c r="AI50" s="11"/>
      <c r="AJ50" s="11"/>
      <c r="AK50" s="11"/>
      <c r="AL50" s="11"/>
      <c r="AM50" s="11"/>
      <c r="AN50" s="11"/>
      <c r="AO50" s="11"/>
    </row>
    <row r="51" spans="1:41" x14ac:dyDescent="0.25">
      <c r="A51" s="65" t="s">
        <v>6</v>
      </c>
      <c r="B51" s="66"/>
      <c r="C51" s="11"/>
      <c r="D51" s="11"/>
      <c r="E51" s="11"/>
      <c r="F51" s="11"/>
      <c r="G51" s="88"/>
      <c r="H51" s="88"/>
      <c r="I51" s="122"/>
      <c r="J51" s="122"/>
      <c r="K51" s="11"/>
      <c r="L51" s="11"/>
      <c r="M51" s="106" t="s">
        <v>471</v>
      </c>
      <c r="N51" s="162">
        <f t="shared" ref="N51:Y51" si="4">N43-N49</f>
        <v>892479.29999999981</v>
      </c>
      <c r="O51" s="162">
        <f t="shared" si="4"/>
        <v>1172487.9100000001</v>
      </c>
      <c r="P51" s="162">
        <f t="shared" si="4"/>
        <v>1185582.8999999999</v>
      </c>
      <c r="Q51" s="162">
        <f t="shared" si="4"/>
        <v>1136471.1499999999</v>
      </c>
      <c r="R51" s="162">
        <f t="shared" si="4"/>
        <v>957154.26999999967</v>
      </c>
      <c r="S51" s="162">
        <f t="shared" si="4"/>
        <v>532569.84000000008</v>
      </c>
      <c r="T51" s="162">
        <f t="shared" si="4"/>
        <v>618876.59000000008</v>
      </c>
      <c r="U51" s="162">
        <f t="shared" si="4"/>
        <v>449902.92</v>
      </c>
      <c r="V51" s="162">
        <f t="shared" si="4"/>
        <v>343148.4</v>
      </c>
      <c r="W51" s="162">
        <f t="shared" si="4"/>
        <v>479962.33</v>
      </c>
      <c r="X51" s="162">
        <f t="shared" si="4"/>
        <v>758968.64999999991</v>
      </c>
      <c r="Y51" s="162">
        <f t="shared" si="4"/>
        <v>922081.62000000011</v>
      </c>
      <c r="Z51" s="162">
        <f>SUM(N51:Y51)</f>
        <v>9449685.879999999</v>
      </c>
      <c r="AA51" s="163">
        <f>IF(Z51=0,"",IFERROR(Z51/Z43,""))</f>
        <v>0.64140725939042809</v>
      </c>
      <c r="AB51" s="140"/>
      <c r="AC51" s="162">
        <f>AC43-AC49</f>
        <v>9775827.6557939705</v>
      </c>
      <c r="AD51" s="163">
        <f>IF(AC51=0,"",IFERROR(AC51/AC43,""))</f>
        <v>0.66841523279757331</v>
      </c>
      <c r="AE51" s="164">
        <f>IF(AND($Z51="",AC51=""),"",$Z51-AC51)</f>
        <v>-326141.77579397149</v>
      </c>
      <c r="AF51" s="162">
        <f>AF43-AF49</f>
        <v>7770491.5699999984</v>
      </c>
      <c r="AG51" s="163">
        <f>IF(AF51=0,"",IFERROR(AF51/AF43,""))</f>
        <v>0.65262466996225243</v>
      </c>
      <c r="AH51" s="164">
        <f>IF(AND($Z51="",AF51=""),"",$Z51-AF51)</f>
        <v>1679194.3100000005</v>
      </c>
      <c r="AI51" s="626" t="str">
        <f>+IFERROR(ROUND(($AA51-AD51)*100,2)&amp;" pts.",0)</f>
        <v>-2.7 pts.</v>
      </c>
      <c r="AJ51" s="627"/>
      <c r="AK51" s="626" t="str">
        <f>+IFERROR(ROUND(($AA51-AG51)*100,2)&amp;" pts.",0)</f>
        <v>-1.12 pts.</v>
      </c>
      <c r="AL51" s="627"/>
      <c r="AM51" s="11"/>
      <c r="AN51" s="11"/>
      <c r="AO51" s="11"/>
    </row>
    <row r="52" spans="1:41" x14ac:dyDescent="0.25">
      <c r="A52" s="65" t="s">
        <v>7</v>
      </c>
      <c r="B52" s="66"/>
      <c r="C52" s="11"/>
      <c r="D52" s="11"/>
      <c r="E52" s="11"/>
      <c r="F52" s="11"/>
      <c r="G52" s="11"/>
      <c r="H52" s="11"/>
      <c r="I52" s="11"/>
      <c r="J52" s="11"/>
      <c r="K52" s="11"/>
      <c r="L52" s="11">
        <f>COUNTIF(N52:AH52,FALSE)</f>
        <v>0</v>
      </c>
      <c r="M52" s="117" t="str">
        <f>IF(L52=0,"","Profit - database validation failed")</f>
        <v/>
      </c>
      <c r="N52" s="153" t="str">
        <f t="shared" ref="N52:Z52" si="5">IF(ROUND(N51,2)&lt;&gt;ROUND(N99,2),N51-N99,"")</f>
        <v/>
      </c>
      <c r="O52" s="154" t="str">
        <f t="shared" si="5"/>
        <v/>
      </c>
      <c r="P52" s="154" t="str">
        <f t="shared" si="5"/>
        <v/>
      </c>
      <c r="Q52" s="154" t="str">
        <f t="shared" si="5"/>
        <v/>
      </c>
      <c r="R52" s="154" t="str">
        <f t="shared" si="5"/>
        <v/>
      </c>
      <c r="S52" s="154" t="str">
        <f t="shared" si="5"/>
        <v/>
      </c>
      <c r="T52" s="154" t="str">
        <f t="shared" si="5"/>
        <v/>
      </c>
      <c r="U52" s="154" t="str">
        <f t="shared" si="5"/>
        <v/>
      </c>
      <c r="V52" s="154" t="str">
        <f t="shared" si="5"/>
        <v/>
      </c>
      <c r="W52" s="154" t="str">
        <f t="shared" si="5"/>
        <v/>
      </c>
      <c r="X52" s="154" t="str">
        <f t="shared" si="5"/>
        <v/>
      </c>
      <c r="Y52" s="154" t="str">
        <f t="shared" si="5"/>
        <v/>
      </c>
      <c r="Z52" s="154" t="str">
        <f t="shared" si="5"/>
        <v/>
      </c>
      <c r="AA52" s="161" t="b">
        <f>Z52=""</f>
        <v>1</v>
      </c>
      <c r="AB52" s="140"/>
      <c r="AC52" s="153" t="str">
        <f>IF(ROUND(AC51,2)&lt;&gt;ROUND(AC99,2),AC51-AC99,"")</f>
        <v/>
      </c>
      <c r="AD52" s="156" t="b">
        <f>AC52=""</f>
        <v>1</v>
      </c>
      <c r="AE52" s="157"/>
      <c r="AF52" s="153" t="str">
        <f>IF(ROUND(AF51,2)&lt;&gt;ROUND(AF99,2),AF51-AF99,"")</f>
        <v/>
      </c>
      <c r="AG52" s="156" t="b">
        <f>AF52=""</f>
        <v>1</v>
      </c>
      <c r="AH52" s="157"/>
      <c r="AI52" s="11"/>
      <c r="AJ52" s="11"/>
      <c r="AK52" s="11"/>
      <c r="AL52" s="11"/>
      <c r="AM52" s="11"/>
      <c r="AN52" s="11"/>
      <c r="AO52" s="11"/>
    </row>
    <row r="53" spans="1:41" x14ac:dyDescent="0.25">
      <c r="A53" s="65" t="s">
        <v>47</v>
      </c>
      <c r="B53" s="66" t="str">
        <f>IF(_epmOfflineCondition_,"'Summary'!$A$58:$B$79",_xll.EVRNG($A$58:$B$79))</f>
        <v>'Summary'!$A$58:$B$79</v>
      </c>
      <c r="C53" s="11"/>
      <c r="D53" s="11"/>
      <c r="E53" s="11"/>
      <c r="F53" s="11"/>
      <c r="G53" s="11"/>
      <c r="H53" s="11" t="s">
        <v>565</v>
      </c>
      <c r="I53" s="59" t="str">
        <f>IF(_epmOfflineCondition_,"B1",_xll.EVPRO($B$1,$H53,"STYLE"))</f>
        <v>B1</v>
      </c>
      <c r="J53" s="59" t="str">
        <f>IF(_epmOfflineCondition_,"Y",_xll.EVPRO($B$1,$H53,"CALC"))</f>
        <v>Y</v>
      </c>
      <c r="K53" s="11"/>
      <c r="L53" s="11"/>
      <c r="M53" s="105" t="str">
        <f>IF(_epmOfflineCondition_,"Undistributed Expenses",IF(_xll.EVDES(H53,$B$1)="#NODATA","",_xll.EVDES(H53,$B$1)))</f>
        <v>Undistributed Expenses</v>
      </c>
      <c r="N53" s="158"/>
      <c r="O53" s="159"/>
      <c r="P53" s="159"/>
      <c r="Q53" s="159"/>
      <c r="R53" s="159"/>
      <c r="S53" s="159"/>
      <c r="T53" s="159"/>
      <c r="U53" s="159"/>
      <c r="V53" s="159"/>
      <c r="W53" s="159"/>
      <c r="X53" s="159"/>
      <c r="Y53" s="159"/>
      <c r="Z53" s="159"/>
      <c r="AA53" s="160"/>
      <c r="AB53" s="140"/>
      <c r="AC53" s="158"/>
      <c r="AD53" s="159"/>
      <c r="AE53" s="160"/>
      <c r="AF53" s="158"/>
      <c r="AG53" s="159"/>
      <c r="AH53" s="160"/>
      <c r="AI53" s="11"/>
      <c r="AJ53" s="11"/>
      <c r="AK53" s="11"/>
      <c r="AL53" s="11"/>
      <c r="AM53" s="11"/>
      <c r="AN53" s="11"/>
      <c r="AO53" s="11"/>
    </row>
    <row r="54" spans="1:41" x14ac:dyDescent="0.25">
      <c r="A54" s="65" t="s">
        <v>8</v>
      </c>
      <c r="B54" s="66"/>
      <c r="C54" s="11"/>
      <c r="D54" s="11"/>
      <c r="E54" s="11"/>
      <c r="F54" s="11"/>
      <c r="G54" s="88" t="s">
        <v>497</v>
      </c>
      <c r="H54" s="88" t="s">
        <v>464</v>
      </c>
      <c r="I54" s="122" t="str">
        <f>IF(_epmOfflineCondition_,"T3",_xll.EVPRO($B$1,$H54,"STYLE"))</f>
        <v>T3</v>
      </c>
      <c r="J54" s="122" t="str">
        <f>IF(_epmOfflineCondition_,"Y",_xll.EVPRO($B$1,$H54,"CALC"))</f>
        <v>Y</v>
      </c>
      <c r="K54" s="11"/>
      <c r="L54" s="11"/>
      <c r="M54" s="90" t="str">
        <f>IF(_epmOfflineCondition_,"Administrative &amp; General",IF(_xll.EVDES(G54,$B$1)="#NODATA","",_xll.EVDES(G54,$B$1)))</f>
        <v>Administrative &amp; General</v>
      </c>
      <c r="N54" s="138">
        <v>107060.05</v>
      </c>
      <c r="O54" s="138">
        <v>120453.12</v>
      </c>
      <c r="P54" s="138">
        <v>109582.12</v>
      </c>
      <c r="Q54" s="138">
        <v>108068.42</v>
      </c>
      <c r="R54" s="138">
        <v>108433.43</v>
      </c>
      <c r="S54" s="138">
        <v>104276.28</v>
      </c>
      <c r="T54" s="138">
        <v>102826.72</v>
      </c>
      <c r="U54" s="138">
        <v>116885.43</v>
      </c>
      <c r="V54" s="138">
        <v>95335.97</v>
      </c>
      <c r="W54" s="138">
        <v>104313.33</v>
      </c>
      <c r="X54" s="138">
        <v>115643.89</v>
      </c>
      <c r="Y54" s="138">
        <v>153285.04999999999</v>
      </c>
      <c r="Z54" s="138">
        <f t="shared" ref="Z54:Z59" si="6">SUM(N54:Y54)</f>
        <v>1346163.8099999998</v>
      </c>
      <c r="AA54" s="142">
        <f t="shared" ref="AA54:AA59" si="7">IF(Z54=0,"",IFERROR(Z54/Z$43,""))</f>
        <v>9.1372268986223373E-2</v>
      </c>
      <c r="AB54" s="140"/>
      <c r="AC54" s="138">
        <v>1248195.4240520799</v>
      </c>
      <c r="AD54" s="142">
        <f t="shared" ref="AD54:AD59" si="8">IF(AC54=0,"",IFERROR(AC54/AC$43,""))</f>
        <v>8.5344470496076463E-2</v>
      </c>
      <c r="AE54" s="141">
        <f t="shared" ref="AE54:AE59" si="9">IF(AND($Z54="",AC54=""),"",$Z54-AC54)</f>
        <v>97968.385947919916</v>
      </c>
      <c r="AF54" s="138">
        <v>1087440.93</v>
      </c>
      <c r="AG54" s="142">
        <f t="shared" ref="AG54:AG59" si="10">IF(AF54=0,"",IFERROR(AF54/AF$43,""))</f>
        <v>9.1331516372096785E-2</v>
      </c>
      <c r="AH54" s="141">
        <f t="shared" ref="AH54:AH59" si="11">IF(AND($Z54="",AF54=""),"",$Z54-AF54)</f>
        <v>258722.87999999989</v>
      </c>
      <c r="AI54" s="620" t="str">
        <f t="shared" ref="AI54:AI59" si="12">+IFERROR(ROUND(($AA54-AD54)*100,2)&amp;" pts.",0)</f>
        <v>0.6 pts.</v>
      </c>
      <c r="AJ54" s="621"/>
      <c r="AK54" s="620" t="str">
        <f t="shared" ref="AK54:AK59" si="13">+IFERROR(ROUND(($AA54-AG54)*100,2)&amp;" pts.",0)</f>
        <v>0 pts.</v>
      </c>
      <c r="AL54" s="621"/>
      <c r="AM54" s="11"/>
      <c r="AN54" s="11"/>
      <c r="AO54" s="11"/>
    </row>
    <row r="55" spans="1:41" x14ac:dyDescent="0.25">
      <c r="A55" s="11"/>
      <c r="B55" s="11"/>
      <c r="C55" s="11"/>
      <c r="D55" s="11" t="s">
        <v>569</v>
      </c>
      <c r="E55" s="11"/>
      <c r="F55" s="11"/>
      <c r="G55" s="88" t="s">
        <v>500</v>
      </c>
      <c r="H55" s="88" t="s">
        <v>464</v>
      </c>
      <c r="I55" s="122" t="str">
        <f>IF(_epmOfflineCondition_,"T3",_xll.EVPRO($B$1,$H55,"STYLE"))</f>
        <v>T3</v>
      </c>
      <c r="J55" s="122" t="str">
        <f>IF(_epmOfflineCondition_,"Y",_xll.EVPRO($B$1,$H55,"CALC"))</f>
        <v>Y</v>
      </c>
      <c r="K55" s="11"/>
      <c r="L55" s="11"/>
      <c r="M55" s="90" t="str">
        <f>IF(_epmOfflineCondition_,"Information &amp; Telecom Systems",IF(_xll.EVDES(G55,$B$1)="#NODATA","",_xll.EVDES(G55,$B$1)))</f>
        <v>Information &amp; Telecom Systems</v>
      </c>
      <c r="N55" s="138">
        <v>20914.95</v>
      </c>
      <c r="O55" s="138">
        <v>17596.64</v>
      </c>
      <c r="P55" s="138">
        <v>23807.919999999998</v>
      </c>
      <c r="Q55" s="138">
        <v>19520.82</v>
      </c>
      <c r="R55" s="138">
        <v>13888.12</v>
      </c>
      <c r="S55" s="138">
        <v>15060.57</v>
      </c>
      <c r="T55" s="138">
        <v>18290.52</v>
      </c>
      <c r="U55" s="138">
        <v>15520.03</v>
      </c>
      <c r="V55" s="138">
        <v>10518.95</v>
      </c>
      <c r="W55" s="138">
        <v>14656.36</v>
      </c>
      <c r="X55" s="138">
        <v>17034.439999999999</v>
      </c>
      <c r="Y55" s="138">
        <v>22983.8</v>
      </c>
      <c r="Z55" s="138">
        <f t="shared" si="6"/>
        <v>209793.12</v>
      </c>
      <c r="AA55" s="142">
        <f t="shared" si="7"/>
        <v>1.4239926262836497E-2</v>
      </c>
      <c r="AB55" s="140"/>
      <c r="AC55" s="138">
        <v>220124.93965069999</v>
      </c>
      <c r="AD55" s="142">
        <f t="shared" si="8"/>
        <v>1.5050885506760139E-2</v>
      </c>
      <c r="AE55" s="141">
        <f t="shared" si="9"/>
        <v>-10331.819650699996</v>
      </c>
      <c r="AF55" s="138">
        <v>182107.04</v>
      </c>
      <c r="AG55" s="142">
        <f t="shared" si="10"/>
        <v>1.5294726956096903E-2</v>
      </c>
      <c r="AH55" s="141">
        <f t="shared" si="11"/>
        <v>27686.079999999987</v>
      </c>
      <c r="AI55" s="620" t="str">
        <f t="shared" si="12"/>
        <v>-0.08 pts.</v>
      </c>
      <c r="AJ55" s="621"/>
      <c r="AK55" s="620" t="str">
        <f t="shared" si="13"/>
        <v>-0.11 pts.</v>
      </c>
      <c r="AL55" s="621"/>
      <c r="AM55" s="11"/>
      <c r="AN55" s="11"/>
      <c r="AO55" s="11"/>
    </row>
    <row r="56" spans="1:41" x14ac:dyDescent="0.25">
      <c r="A56" s="11"/>
      <c r="B56" s="11"/>
      <c r="C56" s="11"/>
      <c r="D56" s="11"/>
      <c r="E56" s="11"/>
      <c r="F56" s="11"/>
      <c r="G56" s="88" t="s">
        <v>512</v>
      </c>
      <c r="H56" s="88" t="s">
        <v>464</v>
      </c>
      <c r="I56" s="122" t="str">
        <f>IF(_epmOfflineCondition_,"T3",_xll.EVPRO($B$1,$H56,"STYLE"))</f>
        <v>T3</v>
      </c>
      <c r="J56" s="122" t="str">
        <f>IF(_epmOfflineCondition_,"Y",_xll.EVPRO($B$1,$H56,"CALC"))</f>
        <v>Y</v>
      </c>
      <c r="K56" s="11"/>
      <c r="L56" s="11"/>
      <c r="M56" s="90" t="str">
        <f>IF(_epmOfflineCondition_,"Sales &amp; Marketing",IF(_xll.EVDES(G56,$B$1)="#NODATA","",_xll.EVDES(G56,$B$1)))</f>
        <v>Sales &amp; Marketing</v>
      </c>
      <c r="N56" s="138">
        <v>85678.399999999994</v>
      </c>
      <c r="O56" s="138">
        <v>100758.93</v>
      </c>
      <c r="P56" s="138">
        <v>105947.09</v>
      </c>
      <c r="Q56" s="138">
        <v>106767.86</v>
      </c>
      <c r="R56" s="138">
        <v>99954.69</v>
      </c>
      <c r="S56" s="138">
        <v>90766.02</v>
      </c>
      <c r="T56" s="138">
        <v>90042.44</v>
      </c>
      <c r="U56" s="138">
        <v>85081.08</v>
      </c>
      <c r="V56" s="138">
        <v>68218.84</v>
      </c>
      <c r="W56" s="138">
        <v>84386.77</v>
      </c>
      <c r="X56" s="138">
        <v>97884.99</v>
      </c>
      <c r="Y56" s="138">
        <v>132309.01</v>
      </c>
      <c r="Z56" s="138">
        <f t="shared" si="6"/>
        <v>1147796.1199999999</v>
      </c>
      <c r="AA56" s="142">
        <f t="shared" si="7"/>
        <v>7.7907855670242332E-2</v>
      </c>
      <c r="AB56" s="140"/>
      <c r="AC56" s="138">
        <v>1014077.94426315</v>
      </c>
      <c r="AD56" s="142">
        <f t="shared" si="8"/>
        <v>6.9336855052656576E-2</v>
      </c>
      <c r="AE56" s="141">
        <f t="shared" si="9"/>
        <v>133718.17573684989</v>
      </c>
      <c r="AF56" s="138">
        <v>819586.28</v>
      </c>
      <c r="AG56" s="142">
        <f t="shared" si="10"/>
        <v>6.8835056401790856E-2</v>
      </c>
      <c r="AH56" s="141">
        <f t="shared" si="11"/>
        <v>328209.83999999985</v>
      </c>
      <c r="AI56" s="620" t="str">
        <f t="shared" si="12"/>
        <v>0.86 pts.</v>
      </c>
      <c r="AJ56" s="621"/>
      <c r="AK56" s="620" t="str">
        <f t="shared" si="13"/>
        <v>0.91 pts.</v>
      </c>
      <c r="AL56" s="621"/>
      <c r="AM56" s="11"/>
      <c r="AN56" s="11"/>
      <c r="AO56" s="11"/>
    </row>
    <row r="57" spans="1:41" x14ac:dyDescent="0.25">
      <c r="A57" s="62" t="s">
        <v>23</v>
      </c>
      <c r="B57" s="63" t="s">
        <v>24</v>
      </c>
      <c r="C57" s="11"/>
      <c r="D57" s="11"/>
      <c r="E57" s="11"/>
      <c r="F57" s="11"/>
      <c r="G57" s="88" t="s">
        <v>513</v>
      </c>
      <c r="H57" s="88" t="s">
        <v>464</v>
      </c>
      <c r="I57" s="122" t="str">
        <f>IF(_epmOfflineCondition_,"T3",_xll.EVPRO($B$1,$H57,"STYLE"))</f>
        <v>T3</v>
      </c>
      <c r="J57" s="122" t="str">
        <f>IF(_epmOfflineCondition_,"Y",_xll.EVPRO($B$1,$H57,"CALC"))</f>
        <v>Y</v>
      </c>
      <c r="K57" s="11"/>
      <c r="L57" s="11"/>
      <c r="M57" s="90" t="str">
        <f>IF(_epmOfflineCondition_,"Property Operation &amp; Maintenance",IF(_xll.EVDES(G57,$B$1)="#NODATA","",_xll.EVDES(G57,$B$1)))</f>
        <v>Property Operation &amp; Maintenance</v>
      </c>
      <c r="N57" s="138">
        <v>47934.71</v>
      </c>
      <c r="O57" s="138">
        <v>57509.65</v>
      </c>
      <c r="P57" s="138">
        <v>50816.51</v>
      </c>
      <c r="Q57" s="138">
        <v>71066.649999999994</v>
      </c>
      <c r="R57" s="138">
        <v>57639.97</v>
      </c>
      <c r="S57" s="138">
        <v>59045.03</v>
      </c>
      <c r="T57" s="138">
        <v>63315.53</v>
      </c>
      <c r="U57" s="138">
        <v>54919.21</v>
      </c>
      <c r="V57" s="138">
        <v>41685.980000000003</v>
      </c>
      <c r="W57" s="138">
        <v>60401.64</v>
      </c>
      <c r="X57" s="138">
        <v>61510.92</v>
      </c>
      <c r="Y57" s="138">
        <v>53033.82</v>
      </c>
      <c r="Z57" s="138">
        <f t="shared" si="6"/>
        <v>678879.62</v>
      </c>
      <c r="AA57" s="142">
        <f t="shared" si="7"/>
        <v>4.6079660429962914E-2</v>
      </c>
      <c r="AB57" s="140"/>
      <c r="AC57" s="138">
        <v>654506.47628455597</v>
      </c>
      <c r="AD57" s="142">
        <f t="shared" si="8"/>
        <v>4.4751412782320539E-2</v>
      </c>
      <c r="AE57" s="141">
        <f t="shared" si="9"/>
        <v>24373.143715444021</v>
      </c>
      <c r="AF57" s="138">
        <v>642150.76</v>
      </c>
      <c r="AG57" s="142">
        <f t="shared" si="10"/>
        <v>5.3932679037834629E-2</v>
      </c>
      <c r="AH57" s="141">
        <f t="shared" si="11"/>
        <v>36728.859999999986</v>
      </c>
      <c r="AI57" s="620" t="str">
        <f t="shared" si="12"/>
        <v>0.13 pts.</v>
      </c>
      <c r="AJ57" s="621"/>
      <c r="AK57" s="620" t="str">
        <f t="shared" si="13"/>
        <v>-0.79 pts.</v>
      </c>
      <c r="AL57" s="621"/>
      <c r="AM57" s="11"/>
      <c r="AN57" s="11"/>
      <c r="AO57" s="11"/>
    </row>
    <row r="58" spans="1:41" x14ac:dyDescent="0.25">
      <c r="A58" s="65" t="s">
        <v>25</v>
      </c>
      <c r="B58" s="66"/>
      <c r="C58" s="11"/>
      <c r="D58" s="11"/>
      <c r="E58" s="11"/>
      <c r="F58" s="11"/>
      <c r="G58" s="88" t="s">
        <v>514</v>
      </c>
      <c r="H58" s="88" t="s">
        <v>464</v>
      </c>
      <c r="I58" s="122" t="str">
        <f>IF(_epmOfflineCondition_,"T3",_xll.EVPRO($B$1,$H58,"STYLE"))</f>
        <v>T3</v>
      </c>
      <c r="J58" s="122" t="str">
        <f>IF(_epmOfflineCondition_,"Y",_xll.EVPRO($B$1,$H58,"CALC"))</f>
        <v>Y</v>
      </c>
      <c r="K58" s="11"/>
      <c r="L58" s="11"/>
      <c r="M58" s="90" t="str">
        <f>IF(_epmOfflineCondition_,"Utilities",IF(_xll.EVDES(G58,$B$1)="#NODATA","",_xll.EVDES(G58,$B$1)))</f>
        <v>Utilities</v>
      </c>
      <c r="N58" s="138">
        <v>17547.52</v>
      </c>
      <c r="O58" s="138">
        <v>10544.45</v>
      </c>
      <c r="P58" s="138">
        <v>16235.95</v>
      </c>
      <c r="Q58" s="138">
        <v>19111.87</v>
      </c>
      <c r="R58" s="138">
        <v>16173.2</v>
      </c>
      <c r="S58" s="138">
        <v>17326.150000000001</v>
      </c>
      <c r="T58" s="138">
        <v>19955.82</v>
      </c>
      <c r="U58" s="138">
        <v>19600.5</v>
      </c>
      <c r="V58" s="138">
        <v>19475.310000000001</v>
      </c>
      <c r="W58" s="138">
        <v>15449.43</v>
      </c>
      <c r="X58" s="138">
        <v>16503.62</v>
      </c>
      <c r="Y58" s="138">
        <v>16114.62</v>
      </c>
      <c r="Z58" s="138">
        <f t="shared" si="6"/>
        <v>204038.43999999997</v>
      </c>
      <c r="AA58" s="142">
        <f t="shared" si="7"/>
        <v>1.3849321371378568E-2</v>
      </c>
      <c r="AB58" s="140"/>
      <c r="AC58" s="138">
        <v>205663.00000000099</v>
      </c>
      <c r="AD58" s="142">
        <f t="shared" si="8"/>
        <v>1.4062060713741494E-2</v>
      </c>
      <c r="AE58" s="141">
        <f t="shared" si="9"/>
        <v>-1624.5600000010163</v>
      </c>
      <c r="AF58" s="138">
        <v>189825.35</v>
      </c>
      <c r="AG58" s="142">
        <f t="shared" si="10"/>
        <v>1.5942969023029142E-2</v>
      </c>
      <c r="AH58" s="141">
        <f t="shared" si="11"/>
        <v>14213.089999999967</v>
      </c>
      <c r="AI58" s="620" t="str">
        <f t="shared" si="12"/>
        <v>-0.02 pts.</v>
      </c>
      <c r="AJ58" s="621"/>
      <c r="AK58" s="620" t="str">
        <f t="shared" si="13"/>
        <v>-0.21 pts.</v>
      </c>
      <c r="AL58" s="621"/>
      <c r="AM58" s="11"/>
      <c r="AN58" s="11"/>
      <c r="AO58" s="11"/>
    </row>
    <row r="59" spans="1:41" x14ac:dyDescent="0.25">
      <c r="A59" s="65" t="s">
        <v>26</v>
      </c>
      <c r="B59" s="66"/>
      <c r="C59" s="11"/>
      <c r="D59" s="11"/>
      <c r="E59" s="11"/>
      <c r="F59" s="11"/>
      <c r="G59" s="11"/>
      <c r="H59" s="11"/>
      <c r="I59" s="11"/>
      <c r="J59" s="11"/>
      <c r="K59" s="11"/>
      <c r="L59" s="11"/>
      <c r="M59" s="106" t="str">
        <f>"Total "&amp;M53</f>
        <v>Total Undistributed Expenses</v>
      </c>
      <c r="N59" s="150">
        <f t="shared" ref="N59:Y59" si="14">SUM(N54:N58)</f>
        <v>279135.63</v>
      </c>
      <c r="O59" s="150">
        <f t="shared" si="14"/>
        <v>306862.79000000004</v>
      </c>
      <c r="P59" s="150">
        <f t="shared" si="14"/>
        <v>306389.58999999997</v>
      </c>
      <c r="Q59" s="150">
        <f t="shared" si="14"/>
        <v>324535.62</v>
      </c>
      <c r="R59" s="150">
        <f t="shared" si="14"/>
        <v>296089.40999999997</v>
      </c>
      <c r="S59" s="150">
        <f t="shared" si="14"/>
        <v>286474.05000000005</v>
      </c>
      <c r="T59" s="150">
        <f t="shared" si="14"/>
        <v>294431.02999999997</v>
      </c>
      <c r="U59" s="150">
        <f t="shared" si="14"/>
        <v>292006.25</v>
      </c>
      <c r="V59" s="150">
        <f t="shared" si="14"/>
        <v>235235.05000000002</v>
      </c>
      <c r="W59" s="150">
        <f t="shared" si="14"/>
        <v>279207.53000000003</v>
      </c>
      <c r="X59" s="150">
        <f t="shared" si="14"/>
        <v>308577.86</v>
      </c>
      <c r="Y59" s="150">
        <f t="shared" si="14"/>
        <v>377726.3</v>
      </c>
      <c r="Z59" s="150">
        <f t="shared" si="6"/>
        <v>3586671.11</v>
      </c>
      <c r="AA59" s="151">
        <f t="shared" si="7"/>
        <v>0.24344903272064372</v>
      </c>
      <c r="AB59" s="140"/>
      <c r="AC59" s="150">
        <f>SUM(AC54:AC58)</f>
        <v>3342567.7842504866</v>
      </c>
      <c r="AD59" s="151">
        <f t="shared" si="8"/>
        <v>0.22854568455155519</v>
      </c>
      <c r="AE59" s="152">
        <f t="shared" si="9"/>
        <v>244103.32574951323</v>
      </c>
      <c r="AF59" s="150">
        <f>SUM(AF54:AF58)</f>
        <v>2921110.36</v>
      </c>
      <c r="AG59" s="151">
        <f t="shared" si="10"/>
        <v>0.2453369477908483</v>
      </c>
      <c r="AH59" s="152">
        <f t="shared" si="11"/>
        <v>665560.75</v>
      </c>
      <c r="AI59" s="624" t="str">
        <f t="shared" si="12"/>
        <v>1.49 pts.</v>
      </c>
      <c r="AJ59" s="625"/>
      <c r="AK59" s="624" t="str">
        <f t="shared" si="13"/>
        <v>-0.19 pts.</v>
      </c>
      <c r="AL59" s="625"/>
      <c r="AM59" s="11"/>
      <c r="AN59" s="11"/>
      <c r="AO59" s="11"/>
    </row>
    <row r="60" spans="1:41" x14ac:dyDescent="0.25">
      <c r="A60" s="65" t="s">
        <v>27</v>
      </c>
      <c r="B60" s="66"/>
      <c r="C60" s="11"/>
      <c r="D60" s="11"/>
      <c r="E60" s="11"/>
      <c r="F60" s="11"/>
      <c r="G60" s="106"/>
      <c r="H60" s="106"/>
      <c r="I60" s="106"/>
      <c r="J60" s="106"/>
      <c r="K60" s="11"/>
      <c r="L60" s="11">
        <f>COUNTIF(N60:AH60,FALSE)</f>
        <v>0</v>
      </c>
      <c r="M60" s="117" t="str">
        <f>IF(L60=0,"","Expense - database validation failed")</f>
        <v/>
      </c>
      <c r="N60" s="153" t="str">
        <f t="shared" ref="N60:Z60" si="15">IF(ROUND(N59,2)&lt;&gt;ROUND(N100,2),N59-N100,"")</f>
        <v/>
      </c>
      <c r="O60" s="154" t="str">
        <f t="shared" si="15"/>
        <v/>
      </c>
      <c r="P60" s="154" t="str">
        <f t="shared" si="15"/>
        <v/>
      </c>
      <c r="Q60" s="154" t="str">
        <f t="shared" si="15"/>
        <v/>
      </c>
      <c r="R60" s="154" t="str">
        <f t="shared" si="15"/>
        <v/>
      </c>
      <c r="S60" s="154" t="str">
        <f t="shared" si="15"/>
        <v/>
      </c>
      <c r="T60" s="154" t="str">
        <f t="shared" si="15"/>
        <v/>
      </c>
      <c r="U60" s="154" t="str">
        <f t="shared" si="15"/>
        <v/>
      </c>
      <c r="V60" s="154" t="str">
        <f t="shared" si="15"/>
        <v/>
      </c>
      <c r="W60" s="154" t="str">
        <f t="shared" si="15"/>
        <v/>
      </c>
      <c r="X60" s="154" t="str">
        <f t="shared" si="15"/>
        <v/>
      </c>
      <c r="Y60" s="154" t="str">
        <f t="shared" si="15"/>
        <v/>
      </c>
      <c r="Z60" s="154" t="str">
        <f t="shared" si="15"/>
        <v/>
      </c>
      <c r="AA60" s="161" t="b">
        <f>Z60=""</f>
        <v>1</v>
      </c>
      <c r="AB60" s="140"/>
      <c r="AC60" s="153" t="str">
        <f>IF(ROUND(AC59,2)&lt;&gt;ROUND(AC100,2),AC59-AC100,"")</f>
        <v/>
      </c>
      <c r="AD60" s="156" t="b">
        <f>AC60=""</f>
        <v>1</v>
      </c>
      <c r="AE60" s="157"/>
      <c r="AF60" s="153" t="str">
        <f>IF(ROUND(AF59,2)&lt;&gt;ROUND(AF100,2),AF59-AF100,"")</f>
        <v/>
      </c>
      <c r="AG60" s="156" t="b">
        <f>AF60=""</f>
        <v>1</v>
      </c>
      <c r="AH60" s="157"/>
      <c r="AI60" s="11"/>
      <c r="AJ60" s="11"/>
      <c r="AK60" s="11"/>
      <c r="AL60" s="11"/>
      <c r="AM60" s="11"/>
      <c r="AN60" s="11"/>
      <c r="AO60" s="11"/>
    </row>
    <row r="61" spans="1:41" ht="15.75" thickBot="1" x14ac:dyDescent="0.3">
      <c r="A61" s="65" t="s">
        <v>28</v>
      </c>
      <c r="B61" s="66"/>
      <c r="C61" s="11"/>
      <c r="D61" s="11"/>
      <c r="E61" s="11"/>
      <c r="F61" s="88" t="s">
        <v>567</v>
      </c>
      <c r="G61" s="11"/>
      <c r="H61" s="11"/>
      <c r="I61" s="11"/>
      <c r="J61" s="11"/>
      <c r="K61" s="11"/>
      <c r="L61" s="11"/>
      <c r="M61" s="106" t="str">
        <f>IF(_epmOfflineCondition_,"Gross Operating Profit",IF(_xll.EVDES(F61,$B$1)="#NODATA","",_xll.EVDES(F61,$B$1)))</f>
        <v>Gross Operating Profit</v>
      </c>
      <c r="N61" s="165">
        <f t="shared" ref="N61:Y61" si="16">N43-N49-N59</f>
        <v>613343.66999999981</v>
      </c>
      <c r="O61" s="165">
        <f t="shared" si="16"/>
        <v>865625.12000000011</v>
      </c>
      <c r="P61" s="165">
        <f t="shared" si="16"/>
        <v>879193.30999999994</v>
      </c>
      <c r="Q61" s="165">
        <f t="shared" si="16"/>
        <v>811935.52999999991</v>
      </c>
      <c r="R61" s="165">
        <f t="shared" si="16"/>
        <v>661064.85999999964</v>
      </c>
      <c r="S61" s="165">
        <f t="shared" si="16"/>
        <v>246095.79000000004</v>
      </c>
      <c r="T61" s="165">
        <f t="shared" si="16"/>
        <v>324445.56000000011</v>
      </c>
      <c r="U61" s="165">
        <f t="shared" si="16"/>
        <v>157896.66999999998</v>
      </c>
      <c r="V61" s="165">
        <f t="shared" si="16"/>
        <v>107913.35</v>
      </c>
      <c r="W61" s="165">
        <f t="shared" si="16"/>
        <v>200754.8</v>
      </c>
      <c r="X61" s="165">
        <f t="shared" si="16"/>
        <v>450390.78999999992</v>
      </c>
      <c r="Y61" s="165">
        <f t="shared" si="16"/>
        <v>544355.32000000007</v>
      </c>
      <c r="Z61" s="165">
        <f>SUM(N61:Y61)</f>
        <v>5863014.7699999996</v>
      </c>
      <c r="AA61" s="166">
        <f>IF(Z61=0,"",IFERROR(Z61/Z$43,""))</f>
        <v>0.39795822666978442</v>
      </c>
      <c r="AB61" s="140"/>
      <c r="AC61" s="165">
        <f>AC43-AC49-AC59</f>
        <v>6433259.8715434838</v>
      </c>
      <c r="AD61" s="166">
        <f>IF(AC61=0,"",IFERROR(AC61/AC$43,""))</f>
        <v>0.43986954824601815</v>
      </c>
      <c r="AE61" s="167">
        <f>IF(AND($Z61="",AC61=""),"",$Z61-AC61)</f>
        <v>-570245.10154348426</v>
      </c>
      <c r="AF61" s="165">
        <f>AF43-AF49-AF59</f>
        <v>4849381.209999999</v>
      </c>
      <c r="AG61" s="166">
        <f>IF(AF61=0,"",IFERROR(AF61/AF$43,""))</f>
        <v>0.40728772217140424</v>
      </c>
      <c r="AH61" s="167">
        <f>IF(AND($Z61="",AF61=""),"",$Z61-AF61)</f>
        <v>1013633.5600000005</v>
      </c>
      <c r="AI61" s="622" t="str">
        <f>+IFERROR(ROUND(($AA61-AD61)*100,2)&amp;" pts.",0)</f>
        <v>-4.19 pts.</v>
      </c>
      <c r="AJ61" s="623"/>
      <c r="AK61" s="622" t="str">
        <f>+IFERROR(ROUND(($AA61-AG61)*100,2)&amp;" pts.",0)</f>
        <v>-0.93 pts.</v>
      </c>
      <c r="AL61" s="623"/>
      <c r="AM61" s="11"/>
      <c r="AN61" s="11"/>
      <c r="AO61" s="11"/>
    </row>
    <row r="62" spans="1:41" ht="15.75" thickTop="1" x14ac:dyDescent="0.25">
      <c r="A62" s="65" t="s">
        <v>29</v>
      </c>
      <c r="B62" s="66"/>
      <c r="C62" s="11"/>
      <c r="D62" s="11"/>
      <c r="E62" s="11"/>
      <c r="F62" s="11"/>
      <c r="G62" s="11"/>
      <c r="H62" s="11"/>
      <c r="I62" s="11"/>
      <c r="J62" s="11"/>
      <c r="K62" s="11"/>
      <c r="L62" s="11">
        <f>COUNTIF(N62:AH62,FALSE)</f>
        <v>0</v>
      </c>
      <c r="M62" s="117" t="str">
        <f>IF(L62=0,"","GOP - database validation failed")</f>
        <v/>
      </c>
      <c r="N62" s="153" t="str">
        <f t="shared" ref="N62:Z62" si="17">IF(ROUND(N61,2)&lt;&gt;ROUND(N101,2),N61-N101,"")</f>
        <v/>
      </c>
      <c r="O62" s="154" t="str">
        <f t="shared" si="17"/>
        <v/>
      </c>
      <c r="P62" s="154" t="str">
        <f t="shared" si="17"/>
        <v/>
      </c>
      <c r="Q62" s="154" t="str">
        <f t="shared" si="17"/>
        <v/>
      </c>
      <c r="R62" s="154" t="str">
        <f t="shared" si="17"/>
        <v/>
      </c>
      <c r="S62" s="154" t="str">
        <f t="shared" si="17"/>
        <v/>
      </c>
      <c r="T62" s="154" t="str">
        <f t="shared" si="17"/>
        <v/>
      </c>
      <c r="U62" s="154" t="str">
        <f t="shared" si="17"/>
        <v/>
      </c>
      <c r="V62" s="154" t="str">
        <f t="shared" si="17"/>
        <v/>
      </c>
      <c r="W62" s="154" t="str">
        <f t="shared" si="17"/>
        <v/>
      </c>
      <c r="X62" s="154" t="str">
        <f t="shared" si="17"/>
        <v/>
      </c>
      <c r="Y62" s="154" t="str">
        <f t="shared" si="17"/>
        <v/>
      </c>
      <c r="Z62" s="154" t="str">
        <f t="shared" si="17"/>
        <v/>
      </c>
      <c r="AA62" s="161" t="b">
        <f>Z62=""</f>
        <v>1</v>
      </c>
      <c r="AB62" s="140"/>
      <c r="AC62" s="153" t="str">
        <f>IF(ROUND(AC61,2)&lt;&gt;ROUND(AC101,2),AC61-AC101,"")</f>
        <v/>
      </c>
      <c r="AD62" s="156" t="b">
        <f>AC62=""</f>
        <v>1</v>
      </c>
      <c r="AE62" s="157"/>
      <c r="AF62" s="153" t="str">
        <f>IF(ROUND(AF61,2)&lt;&gt;ROUND(AF101,2),AF61-AF101,"")</f>
        <v/>
      </c>
      <c r="AG62" s="156" t="b">
        <f>AF62=""</f>
        <v>1</v>
      </c>
      <c r="AH62" s="157"/>
      <c r="AI62" s="11"/>
      <c r="AJ62" s="11"/>
      <c r="AK62" s="11"/>
      <c r="AL62" s="11"/>
      <c r="AM62" s="11"/>
      <c r="AN62" s="11"/>
      <c r="AO62" s="11"/>
    </row>
    <row r="63" spans="1:41" x14ac:dyDescent="0.25">
      <c r="A63" s="65" t="s">
        <v>30</v>
      </c>
      <c r="B63" s="66" t="s">
        <v>78</v>
      </c>
      <c r="C63" s="11"/>
      <c r="D63" s="11"/>
      <c r="E63" s="11"/>
      <c r="F63" s="11"/>
      <c r="G63" s="88" t="s">
        <v>516</v>
      </c>
      <c r="H63" s="88" t="s">
        <v>79</v>
      </c>
      <c r="I63" s="122" t="str">
        <f>IF(_epmOfflineCondition_,"T3",_xll.EVPRO($B$1,$H63,"STYLE"))</f>
        <v>T3</v>
      </c>
      <c r="J63" s="122" t="str">
        <f>IF(_epmOfflineCondition_,"Y",_xll.EVPRO($B$1,$H63,"CALC"))</f>
        <v>Y</v>
      </c>
      <c r="K63" s="11"/>
      <c r="L63" s="11"/>
      <c r="M63" s="90" t="str">
        <f>IF(_epmOfflineCondition_,"Management Fees",IF(_xll.EVDES(G63,$B$1)="#NODATA","",_xll.EVDES(G63,$B$1)))</f>
        <v>Management Fees</v>
      </c>
      <c r="N63" s="138">
        <v>52049.120000000003</v>
      </c>
      <c r="O63" s="138">
        <v>47893.5</v>
      </c>
      <c r="P63" s="138">
        <v>53508.480000000003</v>
      </c>
      <c r="Q63" s="138">
        <v>52877.47</v>
      </c>
      <c r="R63" s="138">
        <v>46796.98</v>
      </c>
      <c r="S63" s="138">
        <v>29500</v>
      </c>
      <c r="T63" s="138">
        <v>34409.599999999999</v>
      </c>
      <c r="U63" s="138">
        <v>27342.99</v>
      </c>
      <c r="V63" s="138">
        <v>21409.22</v>
      </c>
      <c r="W63" s="138">
        <v>26877.56</v>
      </c>
      <c r="X63" s="138">
        <v>37917.160000000003</v>
      </c>
      <c r="Y63" s="138">
        <v>50147.15</v>
      </c>
      <c r="Z63" s="138">
        <f>SUM(N63:Y63)</f>
        <v>480729.23</v>
      </c>
      <c r="AA63" s="142">
        <f>IF(Z63=0,"",IFERROR(Z63/Z$43,""))</f>
        <v>3.2629996577533939E-2</v>
      </c>
      <c r="AB63" s="140"/>
      <c r="AC63" s="138">
        <v>470004.49825350201</v>
      </c>
      <c r="AD63" s="142">
        <f>IF(AC63=0,"",IFERROR(AC63/AC$43,""))</f>
        <v>3.2136221829752176E-2</v>
      </c>
      <c r="AE63" s="141">
        <f>IF(AND($Z63="",AC63=""),"",$Z63-AC63)</f>
        <v>10724.731746497971</v>
      </c>
      <c r="AF63" s="138">
        <v>370108.84</v>
      </c>
      <c r="AG63" s="142">
        <f>IF(AF63=0,"",IFERROR(AF63/AF$43,""))</f>
        <v>3.108454045399758E-2</v>
      </c>
      <c r="AH63" s="141">
        <f>IF(AND($Z63="",AF63=""),"",$Z63-AF63)</f>
        <v>110620.38999999996</v>
      </c>
      <c r="AI63" s="620" t="str">
        <f>+IFERROR(ROUND(($AA63-AD63)*100,2)&amp;" pts.",0)</f>
        <v>0.05 pts.</v>
      </c>
      <c r="AJ63" s="621"/>
      <c r="AK63" s="620" t="str">
        <f>+IFERROR(ROUND(($AA63-AG63)*100,2)&amp;" pts.",0)</f>
        <v>0.15 pts.</v>
      </c>
      <c r="AL63" s="621"/>
      <c r="AM63" s="11"/>
      <c r="AN63" s="11"/>
      <c r="AO63" s="11"/>
    </row>
    <row r="64" spans="1:41" x14ac:dyDescent="0.25">
      <c r="A64" s="65" t="s">
        <v>31</v>
      </c>
      <c r="B64" s="66" t="s">
        <v>78</v>
      </c>
      <c r="C64" s="11"/>
      <c r="D64" s="11"/>
      <c r="E64" s="11"/>
      <c r="F64" s="88" t="s">
        <v>574</v>
      </c>
      <c r="G64" s="11"/>
      <c r="H64" s="11"/>
      <c r="I64" s="11"/>
      <c r="J64" s="11"/>
      <c r="K64" s="11"/>
      <c r="L64" s="11"/>
      <c r="M64" s="106" t="str">
        <f>IF(_epmOfflineCondition_,"Income Before Non-Operataing Inc. &amp; Exp.",IF(_xll.EVDES(F64,$B$1)="#NODATA","",_xll.EVDES(F64,$B$1)))</f>
        <v>Income Before Non-Operataing Inc. &amp; Exp.</v>
      </c>
      <c r="N64" s="162">
        <f t="shared" ref="N64:Y64" si="18">N61-N63</f>
        <v>561294.54999999981</v>
      </c>
      <c r="O64" s="162">
        <f t="shared" si="18"/>
        <v>817731.62000000011</v>
      </c>
      <c r="P64" s="162">
        <f t="shared" si="18"/>
        <v>825684.83</v>
      </c>
      <c r="Q64" s="162">
        <f t="shared" si="18"/>
        <v>759058.05999999994</v>
      </c>
      <c r="R64" s="162">
        <f t="shared" si="18"/>
        <v>614267.87999999966</v>
      </c>
      <c r="S64" s="162">
        <f t="shared" si="18"/>
        <v>216595.79000000004</v>
      </c>
      <c r="T64" s="162">
        <f t="shared" si="18"/>
        <v>290035.96000000014</v>
      </c>
      <c r="U64" s="162">
        <f t="shared" si="18"/>
        <v>130553.67999999998</v>
      </c>
      <c r="V64" s="162">
        <f t="shared" si="18"/>
        <v>86504.13</v>
      </c>
      <c r="W64" s="162">
        <f t="shared" si="18"/>
        <v>173877.24</v>
      </c>
      <c r="X64" s="162">
        <f t="shared" si="18"/>
        <v>412473.62999999989</v>
      </c>
      <c r="Y64" s="162">
        <f t="shared" si="18"/>
        <v>494208.17000000004</v>
      </c>
      <c r="Z64" s="162">
        <f>SUM(N64:Y64)</f>
        <v>5382285.5399999991</v>
      </c>
      <c r="AA64" s="163">
        <f>IF(Z64=0,"",IFERROR(Z64/Z$43,""))</f>
        <v>0.36532823009225046</v>
      </c>
      <c r="AB64" s="140"/>
      <c r="AC64" s="162">
        <f>AC61-AC63</f>
        <v>5963255.3732899819</v>
      </c>
      <c r="AD64" s="163">
        <f>IF(AC64=0,"",IFERROR(AC64/AC$43,""))</f>
        <v>0.40773332641626603</v>
      </c>
      <c r="AE64" s="164">
        <f>IF(AND($Z64="",AC64=""),"",$Z64-AC64)</f>
        <v>-580969.83328998275</v>
      </c>
      <c r="AF64" s="162">
        <f>AF61-AF63</f>
        <v>4479272.3699999992</v>
      </c>
      <c r="AG64" s="163">
        <f>IF(AF64=0,"",IFERROR(AF64/AF$43,""))</f>
        <v>0.37620318171740663</v>
      </c>
      <c r="AH64" s="164">
        <f>IF(AND($Z64="",AF64=""),"",$Z64-AF64)</f>
        <v>903013.16999999993</v>
      </c>
      <c r="AI64" s="626" t="str">
        <f>+IFERROR(ROUND(($AA64-AD64)*100,2)&amp;" pts.",0)</f>
        <v>-4.24 pts.</v>
      </c>
      <c r="AJ64" s="627"/>
      <c r="AK64" s="626" t="str">
        <f>+IFERROR(ROUND(($AA64-AG64)*100,2)&amp;" pts.",0)</f>
        <v>-1.09 pts.</v>
      </c>
      <c r="AL64" s="627"/>
      <c r="AM64" s="11"/>
      <c r="AN64" s="11"/>
      <c r="AO64" s="11"/>
    </row>
    <row r="65" spans="1:41" x14ac:dyDescent="0.25">
      <c r="A65" s="65" t="s">
        <v>32</v>
      </c>
      <c r="B65" s="66"/>
      <c r="C65" s="11"/>
      <c r="D65" s="11"/>
      <c r="E65" s="11"/>
      <c r="F65" s="11"/>
      <c r="G65" s="11"/>
      <c r="H65" s="11"/>
      <c r="I65" s="11"/>
      <c r="J65" s="11"/>
      <c r="K65" s="11"/>
      <c r="L65" s="11"/>
      <c r="M65" s="117"/>
      <c r="N65" s="168"/>
      <c r="O65" s="169"/>
      <c r="P65" s="169"/>
      <c r="Q65" s="169"/>
      <c r="R65" s="169"/>
      <c r="S65" s="169"/>
      <c r="T65" s="169"/>
      <c r="U65" s="169"/>
      <c r="V65" s="169"/>
      <c r="W65" s="169"/>
      <c r="X65" s="169"/>
      <c r="Y65" s="169"/>
      <c r="Z65" s="169"/>
      <c r="AA65" s="161"/>
      <c r="AB65" s="140"/>
      <c r="AC65" s="168"/>
      <c r="AD65" s="156"/>
      <c r="AE65" s="157"/>
      <c r="AF65" s="168"/>
      <c r="AG65" s="156"/>
      <c r="AH65" s="157"/>
      <c r="AI65" s="11"/>
      <c r="AJ65" s="11"/>
      <c r="AK65" s="11"/>
      <c r="AL65" s="11"/>
      <c r="AM65" s="11"/>
      <c r="AN65" s="11"/>
      <c r="AO65" s="11"/>
    </row>
    <row r="66" spans="1:41" x14ac:dyDescent="0.25">
      <c r="A66" s="65" t="s">
        <v>33</v>
      </c>
      <c r="B66" s="66"/>
      <c r="C66" s="11"/>
      <c r="D66" s="11"/>
      <c r="E66" s="11"/>
      <c r="F66" s="11"/>
      <c r="G66" s="11"/>
      <c r="H66" s="11" t="s">
        <v>575</v>
      </c>
      <c r="I66" s="59" t="str">
        <f>IF(_epmOfflineCondition_,"B1",_xll.EVPRO($B$1,$H66,"STYLE"))</f>
        <v>B1</v>
      </c>
      <c r="J66" s="59" t="str">
        <f>IF(_epmOfflineCondition_,"Y",_xll.EVPRO($B$1,$H66,"CALC"))</f>
        <v>Y</v>
      </c>
      <c r="K66" s="11"/>
      <c r="L66" s="11"/>
      <c r="M66" s="105" t="str">
        <f>IF(_epmOfflineCondition_,"Non-Operating Income &amp; Expenses",IF(_xll.EVDES(H66,$B$1)="#NODATA","",_xll.EVDES(H66,$B$1)))</f>
        <v>Non-Operating Income &amp; Expenses</v>
      </c>
      <c r="N66" s="158"/>
      <c r="O66" s="159"/>
      <c r="P66" s="159"/>
      <c r="Q66" s="159"/>
      <c r="R66" s="159"/>
      <c r="S66" s="159"/>
      <c r="T66" s="159"/>
      <c r="U66" s="159"/>
      <c r="V66" s="159"/>
      <c r="W66" s="159"/>
      <c r="X66" s="159"/>
      <c r="Y66" s="159"/>
      <c r="Z66" s="159"/>
      <c r="AA66" s="160"/>
      <c r="AB66" s="140"/>
      <c r="AC66" s="158"/>
      <c r="AD66" s="159"/>
      <c r="AE66" s="160"/>
      <c r="AF66" s="158"/>
      <c r="AG66" s="159"/>
      <c r="AH66" s="160"/>
      <c r="AI66" s="11"/>
      <c r="AJ66" s="11"/>
      <c r="AK66" s="11"/>
      <c r="AL66" s="11"/>
      <c r="AM66" s="11"/>
      <c r="AN66" s="11"/>
      <c r="AO66" s="11"/>
    </row>
    <row r="67" spans="1:41" x14ac:dyDescent="0.25">
      <c r="A67" s="65" t="s">
        <v>34</v>
      </c>
      <c r="B67" s="66"/>
      <c r="C67" s="11"/>
      <c r="D67" s="11"/>
      <c r="E67" s="11"/>
      <c r="F67" s="11"/>
      <c r="G67" s="88" t="s">
        <v>519</v>
      </c>
      <c r="H67" s="88" t="s">
        <v>525</v>
      </c>
      <c r="I67" s="122" t="str">
        <f>IF(_epmOfflineCondition_,"T3",_xll.EVPRO($B$1,$H67,"STYLE"))</f>
        <v>T3</v>
      </c>
      <c r="J67" s="122" t="str">
        <f>IF(_epmOfflineCondition_,"Y",_xll.EVPRO($B$1,$H67,"CALC"))</f>
        <v>Y</v>
      </c>
      <c r="K67" s="11"/>
      <c r="L67" s="11"/>
      <c r="M67" s="90" t="str">
        <f>IF(_epmOfflineCondition_,"Income ",IF(_xll.EVDES(H67,$B$1)="#NODATA","",REPLACE(_xll.EVDES(H67,$B$1),1,6,"")))</f>
        <v xml:space="preserve">Income </v>
      </c>
      <c r="N67" s="138"/>
      <c r="O67" s="138"/>
      <c r="P67" s="138"/>
      <c r="Q67" s="138"/>
      <c r="R67" s="138"/>
      <c r="S67" s="138"/>
      <c r="T67" s="138"/>
      <c r="U67" s="138"/>
      <c r="V67" s="138"/>
      <c r="W67" s="138"/>
      <c r="X67" s="138"/>
      <c r="Y67" s="138"/>
      <c r="Z67" s="138">
        <f t="shared" ref="Z67:Z72" si="19">SUM(N67:Y67)</f>
        <v>0</v>
      </c>
      <c r="AA67" s="142" t="str">
        <f t="shared" ref="AA67:AA72" si="20">IF(Z67=0,"",IFERROR(Z67/Z$43,""))</f>
        <v/>
      </c>
      <c r="AB67" s="140"/>
      <c r="AC67" s="138"/>
      <c r="AD67" s="142" t="str">
        <f t="shared" ref="AD67:AD72" si="21">IF(AC67=0,"",IFERROR(AC67/AC$43,""))</f>
        <v/>
      </c>
      <c r="AE67" s="141">
        <f t="shared" ref="AE67:AE72" si="22">IF(AND($Z67="",AC67=""),"",$Z67-AC67)</f>
        <v>0</v>
      </c>
      <c r="AF67" s="138"/>
      <c r="AG67" s="142" t="str">
        <f t="shared" ref="AG67:AG72" si="23">IF(AF67=0,"",IFERROR(AF67/AF$43,""))</f>
        <v/>
      </c>
      <c r="AH67" s="141">
        <f t="shared" ref="AH67:AH72" si="24">IF(AND($Z67="",AF67=""),"",$Z67-AF67)</f>
        <v>0</v>
      </c>
      <c r="AI67" s="620">
        <f t="shared" ref="AI67:AI72" si="25">+IFERROR(ROUND(($AA67-AD67)*100,2)&amp;" pts.",0)</f>
        <v>0</v>
      </c>
      <c r="AJ67" s="621"/>
      <c r="AK67" s="620">
        <f t="shared" ref="AK67:AK72" si="26">+IFERROR(ROUND(($AA67-AG67)*100,2)&amp;" pts.",0)</f>
        <v>0</v>
      </c>
      <c r="AL67" s="621"/>
      <c r="AM67" s="11"/>
      <c r="AN67" s="11"/>
      <c r="AO67" s="11"/>
    </row>
    <row r="68" spans="1:41" x14ac:dyDescent="0.25">
      <c r="A68" s="65" t="s">
        <v>35</v>
      </c>
      <c r="B68" s="66"/>
      <c r="C68" s="11"/>
      <c r="D68" s="11"/>
      <c r="E68" s="11"/>
      <c r="F68" s="11"/>
      <c r="G68" s="88" t="s">
        <v>519</v>
      </c>
      <c r="H68" s="88" t="s">
        <v>520</v>
      </c>
      <c r="I68" s="122" t="str">
        <f>IF(_epmOfflineCondition_,"T3",_xll.EVPRO($B$1,$H68,"STYLE"))</f>
        <v>T3</v>
      </c>
      <c r="J68" s="122" t="str">
        <f>IF(_epmOfflineCondition_,"Y",_xll.EVPRO($B$1,$H68,"CALC"))</f>
        <v>Y</v>
      </c>
      <c r="K68" s="11"/>
      <c r="L68" s="11"/>
      <c r="M68" s="90" t="str">
        <f>IF(_epmOfflineCondition_,"Rent",IF(_xll.EVDES(H68,$B$1)="#NODATA","",REPLACE(_xll.EVDES(H68,$B$1),1,6,"")))</f>
        <v>Rent</v>
      </c>
      <c r="N68" s="138">
        <v>743.81</v>
      </c>
      <c r="O68" s="138">
        <v>1522.35</v>
      </c>
      <c r="P68" s="138">
        <v>1703.45</v>
      </c>
      <c r="Q68" s="138">
        <v>887.71</v>
      </c>
      <c r="R68" s="138">
        <v>2051.56</v>
      </c>
      <c r="S68" s="138">
        <v>2177.39</v>
      </c>
      <c r="T68" s="138">
        <v>1264.1500000000001</v>
      </c>
      <c r="U68" s="138">
        <v>1751.19</v>
      </c>
      <c r="V68" s="138">
        <v>623.38</v>
      </c>
      <c r="W68" s="138">
        <v>1382.23</v>
      </c>
      <c r="X68" s="138">
        <v>1798.74</v>
      </c>
      <c r="Y68" s="138">
        <v>2196.06</v>
      </c>
      <c r="Z68" s="138">
        <f t="shared" si="19"/>
        <v>18102.019999999997</v>
      </c>
      <c r="AA68" s="142">
        <f t="shared" si="20"/>
        <v>1.2286934386046191E-3</v>
      </c>
      <c r="AB68" s="140"/>
      <c r="AC68" s="138">
        <v>13040</v>
      </c>
      <c r="AD68" s="142">
        <f t="shared" si="21"/>
        <v>8.916006851363064E-4</v>
      </c>
      <c r="AE68" s="141">
        <f t="shared" si="22"/>
        <v>5062.0199999999968</v>
      </c>
      <c r="AF68" s="138">
        <v>14804.99</v>
      </c>
      <c r="AG68" s="142">
        <f t="shared" si="23"/>
        <v>1.2434350678466085E-3</v>
      </c>
      <c r="AH68" s="141">
        <f t="shared" si="24"/>
        <v>3297.029999999997</v>
      </c>
      <c r="AI68" s="620" t="str">
        <f t="shared" si="25"/>
        <v>0.03 pts.</v>
      </c>
      <c r="AJ68" s="621"/>
      <c r="AK68" s="620" t="str">
        <f t="shared" si="26"/>
        <v>0 pts.</v>
      </c>
      <c r="AL68" s="621"/>
      <c r="AM68" s="11"/>
      <c r="AN68" s="11"/>
      <c r="AO68" s="11"/>
    </row>
    <row r="69" spans="1:41" x14ac:dyDescent="0.25">
      <c r="A69" s="65" t="s">
        <v>36</v>
      </c>
      <c r="B69" s="66"/>
      <c r="C69" s="11"/>
      <c r="D69" s="11"/>
      <c r="E69" s="11"/>
      <c r="F69" s="11"/>
      <c r="G69" s="88" t="s">
        <v>519</v>
      </c>
      <c r="H69" s="88" t="s">
        <v>521</v>
      </c>
      <c r="I69" s="122" t="str">
        <f>IF(_epmOfflineCondition_,"T3",_xll.EVPRO($B$1,$H69,"STYLE"))</f>
        <v>T3</v>
      </c>
      <c r="J69" s="122" t="str">
        <f>IF(_epmOfflineCondition_,"Y",_xll.EVPRO($B$1,$H69,"CALC"))</f>
        <v>Y</v>
      </c>
      <c r="K69" s="11"/>
      <c r="L69" s="11"/>
      <c r="M69" s="90" t="str">
        <f>IF(_epmOfflineCondition_,"Property &amp; Other Taxes",IF(_xll.EVDES(H69,$B$1)="#NODATA","",REPLACE(_xll.EVDES(H69,$B$1),1,6,"")))</f>
        <v>Property &amp; Other Taxes</v>
      </c>
      <c r="N69" s="138">
        <v>38863.879999999997</v>
      </c>
      <c r="O69" s="138">
        <v>38863.879999999997</v>
      </c>
      <c r="P69" s="138">
        <v>38863.879999999997</v>
      </c>
      <c r="Q69" s="138">
        <v>55453.08</v>
      </c>
      <c r="R69" s="138">
        <v>38863.879999999997</v>
      </c>
      <c r="S69" s="138">
        <v>38863.879999999997</v>
      </c>
      <c r="T69" s="138">
        <v>38863.879999999997</v>
      </c>
      <c r="U69" s="138">
        <v>38863.879999999997</v>
      </c>
      <c r="V69" s="138">
        <v>38863.879999999997</v>
      </c>
      <c r="W69" s="138">
        <v>38863.879999999997</v>
      </c>
      <c r="X69" s="138">
        <v>38863.879999999997</v>
      </c>
      <c r="Y69" s="138">
        <v>38863.879999999997</v>
      </c>
      <c r="Z69" s="138">
        <f t="shared" si="19"/>
        <v>482955.76</v>
      </c>
      <c r="AA69" s="142">
        <f t="shared" si="20"/>
        <v>3.2781124617490609E-2</v>
      </c>
      <c r="AB69" s="140"/>
      <c r="AC69" s="138">
        <v>488717.441666667</v>
      </c>
      <c r="AD69" s="142">
        <f t="shared" si="21"/>
        <v>3.3415705968409752E-2</v>
      </c>
      <c r="AE69" s="141">
        <f t="shared" si="22"/>
        <v>-5761.6816666669911</v>
      </c>
      <c r="AF69" s="138">
        <v>497560.59</v>
      </c>
      <c r="AG69" s="142">
        <f t="shared" si="23"/>
        <v>4.178890265947148E-2</v>
      </c>
      <c r="AH69" s="141">
        <f t="shared" si="24"/>
        <v>-14604.830000000016</v>
      </c>
      <c r="AI69" s="620" t="str">
        <f t="shared" si="25"/>
        <v>-0.06 pts.</v>
      </c>
      <c r="AJ69" s="621"/>
      <c r="AK69" s="620" t="str">
        <f t="shared" si="26"/>
        <v>-0.9 pts.</v>
      </c>
      <c r="AL69" s="621"/>
      <c r="AM69" s="11"/>
      <c r="AN69" s="11"/>
      <c r="AO69" s="11"/>
    </row>
    <row r="70" spans="1:41" x14ac:dyDescent="0.25">
      <c r="A70" s="65" t="s">
        <v>37</v>
      </c>
      <c r="B70" s="66"/>
      <c r="C70" s="11"/>
      <c r="D70" s="11"/>
      <c r="E70" s="11"/>
      <c r="F70" s="11"/>
      <c r="G70" s="88" t="s">
        <v>519</v>
      </c>
      <c r="H70" s="88" t="s">
        <v>537</v>
      </c>
      <c r="I70" s="122" t="str">
        <f>IF(_epmOfflineCondition_,"T3",_xll.EVPRO($B$1,$H70,"STYLE"))</f>
        <v>T3</v>
      </c>
      <c r="J70" s="122" t="str">
        <f>IF(_epmOfflineCondition_,"Y",_xll.EVPRO($B$1,$H70,"CALC"))</f>
        <v>Y</v>
      </c>
      <c r="K70" s="11"/>
      <c r="L70" s="11"/>
      <c r="M70" s="90" t="str">
        <f>IF(_epmOfflineCondition_,"Insurance",IF(_xll.EVDES(H70,$B$1)="#NODATA","",REPLACE(_xll.EVDES(H70,$B$1),1,6,"")))</f>
        <v>Insurance</v>
      </c>
      <c r="N70" s="138">
        <v>70497.47</v>
      </c>
      <c r="O70" s="138">
        <v>66001.94</v>
      </c>
      <c r="P70" s="138">
        <v>70972.639999999999</v>
      </c>
      <c r="Q70" s="138">
        <v>70972.639999999999</v>
      </c>
      <c r="R70" s="138">
        <v>70972.639999999999</v>
      </c>
      <c r="S70" s="138">
        <v>71364.89</v>
      </c>
      <c r="T70" s="138">
        <v>71071.53</v>
      </c>
      <c r="U70" s="138">
        <v>106367.59</v>
      </c>
      <c r="V70" s="138">
        <v>100189.18</v>
      </c>
      <c r="W70" s="138">
        <v>104943.07</v>
      </c>
      <c r="X70" s="138">
        <v>106943.25</v>
      </c>
      <c r="Y70" s="138">
        <v>104943.16</v>
      </c>
      <c r="Z70" s="138">
        <f t="shared" si="19"/>
        <v>1015240.0000000001</v>
      </c>
      <c r="AA70" s="142">
        <f t="shared" si="20"/>
        <v>6.8910471130235962E-2</v>
      </c>
      <c r="AB70" s="140"/>
      <c r="AC70" s="138">
        <v>849487.88</v>
      </c>
      <c r="AD70" s="142">
        <f t="shared" si="21"/>
        <v>5.8083126980290528E-2</v>
      </c>
      <c r="AE70" s="141">
        <f t="shared" si="22"/>
        <v>165752.12000000011</v>
      </c>
      <c r="AF70" s="138">
        <v>831744.09</v>
      </c>
      <c r="AG70" s="142">
        <f t="shared" si="23"/>
        <v>6.9856161265908698E-2</v>
      </c>
      <c r="AH70" s="141">
        <f t="shared" si="24"/>
        <v>183495.91000000015</v>
      </c>
      <c r="AI70" s="620" t="str">
        <f t="shared" si="25"/>
        <v>1.08 pts.</v>
      </c>
      <c r="AJ70" s="621"/>
      <c r="AK70" s="620" t="str">
        <f t="shared" si="26"/>
        <v>-0.09 pts.</v>
      </c>
      <c r="AL70" s="621"/>
      <c r="AM70" s="11"/>
      <c r="AN70" s="11"/>
      <c r="AO70" s="11"/>
    </row>
    <row r="71" spans="1:41" x14ac:dyDescent="0.25">
      <c r="A71" s="65" t="s">
        <v>38</v>
      </c>
      <c r="B71" s="66"/>
      <c r="C71" s="11"/>
      <c r="D71" s="11"/>
      <c r="E71" s="11"/>
      <c r="F71" s="11"/>
      <c r="G71" s="11"/>
      <c r="H71" s="11"/>
      <c r="I71" s="11"/>
      <c r="J71" s="11"/>
      <c r="K71" s="11"/>
      <c r="L71" s="11"/>
      <c r="M71" s="104" t="s">
        <v>586</v>
      </c>
      <c r="N71" s="138">
        <f t="shared" ref="N71:Y71" si="27">N95</f>
        <v>0</v>
      </c>
      <c r="O71" s="138">
        <f t="shared" si="27"/>
        <v>0</v>
      </c>
      <c r="P71" s="138">
        <f t="shared" si="27"/>
        <v>0</v>
      </c>
      <c r="Q71" s="138">
        <f t="shared" si="27"/>
        <v>0</v>
      </c>
      <c r="R71" s="138">
        <f t="shared" si="27"/>
        <v>0</v>
      </c>
      <c r="S71" s="138">
        <f t="shared" si="27"/>
        <v>0</v>
      </c>
      <c r="T71" s="138">
        <f t="shared" si="27"/>
        <v>0</v>
      </c>
      <c r="U71" s="138">
        <f t="shared" si="27"/>
        <v>0</v>
      </c>
      <c r="V71" s="138">
        <f t="shared" si="27"/>
        <v>0</v>
      </c>
      <c r="W71" s="138">
        <f t="shared" si="27"/>
        <v>0</v>
      </c>
      <c r="X71" s="138">
        <f t="shared" si="27"/>
        <v>0</v>
      </c>
      <c r="Y71" s="138">
        <f t="shared" si="27"/>
        <v>0</v>
      </c>
      <c r="Z71" s="138">
        <f t="shared" si="19"/>
        <v>0</v>
      </c>
      <c r="AA71" s="142" t="str">
        <f t="shared" si="20"/>
        <v/>
      </c>
      <c r="AB71" s="140"/>
      <c r="AC71" s="138">
        <f>AC95</f>
        <v>0</v>
      </c>
      <c r="AD71" s="142" t="str">
        <f t="shared" si="21"/>
        <v/>
      </c>
      <c r="AE71" s="141">
        <f t="shared" si="22"/>
        <v>0</v>
      </c>
      <c r="AF71" s="138">
        <f>AF95</f>
        <v>0</v>
      </c>
      <c r="AG71" s="142" t="str">
        <f t="shared" si="23"/>
        <v/>
      </c>
      <c r="AH71" s="141">
        <f t="shared" si="24"/>
        <v>0</v>
      </c>
      <c r="AI71" s="620">
        <f t="shared" si="25"/>
        <v>0</v>
      </c>
      <c r="AJ71" s="621"/>
      <c r="AK71" s="620">
        <f t="shared" si="26"/>
        <v>0</v>
      </c>
      <c r="AL71" s="621"/>
      <c r="AM71" s="11"/>
      <c r="AN71" s="11"/>
      <c r="AO71" s="11"/>
    </row>
    <row r="72" spans="1:41" x14ac:dyDescent="0.25">
      <c r="A72" s="65" t="s">
        <v>39</v>
      </c>
      <c r="B72" s="66"/>
      <c r="C72" s="11"/>
      <c r="D72" s="11"/>
      <c r="E72" s="11"/>
      <c r="F72" s="11"/>
      <c r="G72" s="11"/>
      <c r="H72" s="11"/>
      <c r="I72" s="11"/>
      <c r="J72" s="11"/>
      <c r="K72" s="11"/>
      <c r="L72" s="59"/>
      <c r="M72" s="106" t="str">
        <f>"Total "&amp;M66</f>
        <v>Total Non-Operating Income &amp; Expenses</v>
      </c>
      <c r="N72" s="150">
        <f t="shared" ref="N72:Y72" si="28">SUM(N67:N71)</f>
        <v>110105.16</v>
      </c>
      <c r="O72" s="150">
        <f t="shared" si="28"/>
        <v>106388.17</v>
      </c>
      <c r="P72" s="150">
        <f t="shared" si="28"/>
        <v>111539.97</v>
      </c>
      <c r="Q72" s="150">
        <f t="shared" si="28"/>
        <v>127313.43</v>
      </c>
      <c r="R72" s="150">
        <f t="shared" si="28"/>
        <v>111888.07999999999</v>
      </c>
      <c r="S72" s="150">
        <f t="shared" si="28"/>
        <v>112406.16</v>
      </c>
      <c r="T72" s="150">
        <f t="shared" si="28"/>
        <v>111199.56</v>
      </c>
      <c r="U72" s="150">
        <f t="shared" si="28"/>
        <v>146982.66</v>
      </c>
      <c r="V72" s="150">
        <f t="shared" si="28"/>
        <v>139676.44</v>
      </c>
      <c r="W72" s="150">
        <f t="shared" si="28"/>
        <v>145189.18</v>
      </c>
      <c r="X72" s="150">
        <f t="shared" si="28"/>
        <v>147605.87</v>
      </c>
      <c r="Y72" s="150">
        <f t="shared" si="28"/>
        <v>146003.1</v>
      </c>
      <c r="Z72" s="150">
        <f t="shared" si="19"/>
        <v>1516297.7800000003</v>
      </c>
      <c r="AA72" s="151">
        <f t="shared" si="20"/>
        <v>0.1029202891863312</v>
      </c>
      <c r="AB72" s="140"/>
      <c r="AC72" s="150">
        <f>SUM(AC67:AC71)</f>
        <v>1351245.321666667</v>
      </c>
      <c r="AD72" s="151">
        <f t="shared" si="21"/>
        <v>9.2390433633836588E-2</v>
      </c>
      <c r="AE72" s="152">
        <f t="shared" si="22"/>
        <v>165052.45833333326</v>
      </c>
      <c r="AF72" s="150">
        <f>SUM(AF67:AF71)</f>
        <v>1344109.67</v>
      </c>
      <c r="AG72" s="151">
        <f t="shared" si="23"/>
        <v>0.11288849899322678</v>
      </c>
      <c r="AH72" s="152">
        <f t="shared" si="24"/>
        <v>172188.11000000034</v>
      </c>
      <c r="AI72" s="624" t="str">
        <f t="shared" si="25"/>
        <v>1.05 pts.</v>
      </c>
      <c r="AJ72" s="625"/>
      <c r="AK72" s="624" t="str">
        <f t="shared" si="26"/>
        <v>-1 pts.</v>
      </c>
      <c r="AL72" s="625"/>
      <c r="AM72" s="11"/>
      <c r="AN72" s="11"/>
      <c r="AO72" s="11"/>
    </row>
    <row r="73" spans="1:41" x14ac:dyDescent="0.25">
      <c r="A73" s="65" t="s">
        <v>40</v>
      </c>
      <c r="B73" s="66"/>
      <c r="C73" s="11"/>
      <c r="D73" s="11"/>
      <c r="E73" s="11"/>
      <c r="F73" s="11"/>
      <c r="G73" s="11"/>
      <c r="H73" s="11"/>
      <c r="I73" s="59"/>
      <c r="J73" s="59"/>
      <c r="K73" s="11"/>
      <c r="L73" s="59"/>
      <c r="M73" s="11"/>
      <c r="N73" s="170"/>
      <c r="O73" s="171"/>
      <c r="P73" s="171"/>
      <c r="Q73" s="171"/>
      <c r="R73" s="171"/>
      <c r="S73" s="171"/>
      <c r="T73" s="171"/>
      <c r="U73" s="171"/>
      <c r="V73" s="171"/>
      <c r="W73" s="171"/>
      <c r="X73" s="171"/>
      <c r="Y73" s="171"/>
      <c r="Z73" s="171"/>
      <c r="AA73" s="172"/>
      <c r="AB73" s="140"/>
      <c r="AC73" s="170"/>
      <c r="AD73" s="171"/>
      <c r="AE73" s="172"/>
      <c r="AF73" s="170"/>
      <c r="AG73" s="171"/>
      <c r="AH73" s="172"/>
      <c r="AI73" s="11"/>
      <c r="AJ73" s="11"/>
      <c r="AK73" s="11"/>
      <c r="AL73" s="11"/>
      <c r="AM73" s="11"/>
      <c r="AN73" s="11"/>
      <c r="AO73" s="11"/>
    </row>
    <row r="74" spans="1:41" ht="15.75" thickBot="1" x14ac:dyDescent="0.3">
      <c r="A74" s="65" t="s">
        <v>41</v>
      </c>
      <c r="B74" s="66"/>
      <c r="C74" s="11"/>
      <c r="D74" s="11"/>
      <c r="E74" s="11"/>
      <c r="F74" s="88" t="s">
        <v>570</v>
      </c>
      <c r="G74" s="11"/>
      <c r="H74" s="11"/>
      <c r="I74" s="11"/>
      <c r="J74" s="11"/>
      <c r="K74" s="11"/>
      <c r="L74" s="11"/>
      <c r="M74" s="106" t="str">
        <f>IF(_epmOfflineCondition_,"EBITDA",IF(_xll.EVDES(F74,$B$1)="#NODATA","",_xll.EVDES(F74,$B$1)))</f>
        <v>EBITDA</v>
      </c>
      <c r="N74" s="165">
        <f t="shared" ref="N74:Y74" si="29">N64-N72</f>
        <v>451189.38999999978</v>
      </c>
      <c r="O74" s="165">
        <f t="shared" si="29"/>
        <v>711343.45000000007</v>
      </c>
      <c r="P74" s="165">
        <f t="shared" si="29"/>
        <v>714144.86</v>
      </c>
      <c r="Q74" s="165">
        <f t="shared" si="29"/>
        <v>631744.62999999989</v>
      </c>
      <c r="R74" s="165">
        <f t="shared" si="29"/>
        <v>502379.7999999997</v>
      </c>
      <c r="S74" s="165">
        <f t="shared" si="29"/>
        <v>104189.63000000003</v>
      </c>
      <c r="T74" s="165">
        <f t="shared" si="29"/>
        <v>178836.40000000014</v>
      </c>
      <c r="U74" s="165">
        <f t="shared" si="29"/>
        <v>-16428.980000000025</v>
      </c>
      <c r="V74" s="165">
        <f t="shared" si="29"/>
        <v>-53172.31</v>
      </c>
      <c r="W74" s="165">
        <f t="shared" si="29"/>
        <v>28688.059999999998</v>
      </c>
      <c r="X74" s="165">
        <f t="shared" si="29"/>
        <v>264867.75999999989</v>
      </c>
      <c r="Y74" s="165">
        <f t="shared" si="29"/>
        <v>348205.07000000007</v>
      </c>
      <c r="Z74" s="165">
        <f>SUM(N74:Y74)</f>
        <v>3865987.7599999988</v>
      </c>
      <c r="AA74" s="166">
        <f>IF(Z74=0,"",IFERROR(Z74/Z$43,""))</f>
        <v>0.26240794090591923</v>
      </c>
      <c r="AB74" s="140"/>
      <c r="AC74" s="165">
        <f>AC64-AC72</f>
        <v>4612010.0516233146</v>
      </c>
      <c r="AD74" s="166">
        <f>IF(AC74=0,"",IFERROR(AC74/AC$43,""))</f>
        <v>0.31534289278242938</v>
      </c>
      <c r="AE74" s="167">
        <f>IF(AND($Z74="",AC74=""),"",$Z74-AC74)</f>
        <v>-746022.29162331577</v>
      </c>
      <c r="AF74" s="165">
        <f>AF64-AF72</f>
        <v>3135162.6999999993</v>
      </c>
      <c r="AG74" s="166">
        <f>IF(AF74=0,"",IFERROR(AF74/AF$43,""))</f>
        <v>0.26331468272417985</v>
      </c>
      <c r="AH74" s="167">
        <f>IF(AND($Z74="",AF74=""),"",$Z74-AF74)</f>
        <v>730825.05999999959</v>
      </c>
      <c r="AI74" s="622" t="str">
        <f>+IFERROR(ROUND(($AA74-AD74)*100,2)&amp;" pts.",0)</f>
        <v>-5.29 pts.</v>
      </c>
      <c r="AJ74" s="623"/>
      <c r="AK74" s="622" t="str">
        <f>+IFERROR(ROUND(($AA74-AG74)*100,2)&amp;" pts.",0)</f>
        <v>-0.09 pts.</v>
      </c>
      <c r="AL74" s="623"/>
      <c r="AM74" s="11"/>
      <c r="AN74" s="11"/>
      <c r="AO74" s="11"/>
    </row>
    <row r="75" spans="1:41" ht="15.75" thickTop="1" x14ac:dyDescent="0.25">
      <c r="A75" s="65" t="s">
        <v>42</v>
      </c>
      <c r="B75" s="66"/>
      <c r="C75" s="11"/>
      <c r="D75" s="11"/>
      <c r="E75" s="11"/>
      <c r="F75" s="11"/>
      <c r="G75" s="11"/>
      <c r="H75" s="59"/>
      <c r="I75" s="59"/>
      <c r="J75" s="11"/>
      <c r="K75" s="11"/>
      <c r="L75" s="11">
        <f>COUNTIF(N75:AH75,FALSE)</f>
        <v>0</v>
      </c>
      <c r="M75" s="117" t="str">
        <f>IF(L75=0,"","EBITDA- database validation failed")</f>
        <v/>
      </c>
      <c r="N75" s="153" t="str">
        <f t="shared" ref="N75:Z75" si="30">IF(ROUND(N74,2)&lt;&gt;ROUND(N103,2),N74-N103,"")</f>
        <v/>
      </c>
      <c r="O75" s="154" t="str">
        <f t="shared" si="30"/>
        <v/>
      </c>
      <c r="P75" s="154" t="str">
        <f t="shared" si="30"/>
        <v/>
      </c>
      <c r="Q75" s="154" t="str">
        <f t="shared" si="30"/>
        <v/>
      </c>
      <c r="R75" s="154" t="str">
        <f t="shared" si="30"/>
        <v/>
      </c>
      <c r="S75" s="154" t="str">
        <f t="shared" si="30"/>
        <v/>
      </c>
      <c r="T75" s="154" t="str">
        <f t="shared" si="30"/>
        <v/>
      </c>
      <c r="U75" s="154" t="str">
        <f t="shared" si="30"/>
        <v/>
      </c>
      <c r="V75" s="154" t="str">
        <f t="shared" si="30"/>
        <v/>
      </c>
      <c r="W75" s="154" t="str">
        <f t="shared" si="30"/>
        <v/>
      </c>
      <c r="X75" s="154" t="str">
        <f t="shared" si="30"/>
        <v/>
      </c>
      <c r="Y75" s="154" t="str">
        <f t="shared" si="30"/>
        <v/>
      </c>
      <c r="Z75" s="154" t="str">
        <f t="shared" si="30"/>
        <v/>
      </c>
      <c r="AA75" s="161" t="b">
        <f>Z75=""</f>
        <v>1</v>
      </c>
      <c r="AB75" s="140"/>
      <c r="AC75" s="153" t="str">
        <f>IF(ROUND(AC74,2)&lt;&gt;ROUND(AC103,2),AC74-AC103,"")</f>
        <v/>
      </c>
      <c r="AD75" s="156" t="b">
        <f>AC75=""</f>
        <v>1</v>
      </c>
      <c r="AE75" s="157"/>
      <c r="AF75" s="153" t="str">
        <f>IF(ROUND(AF74,2)&lt;&gt;ROUND(AF103,2),AF74-AF103,"")</f>
        <v/>
      </c>
      <c r="AG75" s="156" t="b">
        <f>AF75=""</f>
        <v>1</v>
      </c>
      <c r="AH75" s="157"/>
      <c r="AI75" s="11"/>
      <c r="AJ75" s="11"/>
      <c r="AK75" s="11"/>
      <c r="AL75" s="11"/>
      <c r="AM75" s="11"/>
      <c r="AN75" s="11"/>
      <c r="AO75" s="11"/>
    </row>
    <row r="76" spans="1:41" x14ac:dyDescent="0.25">
      <c r="A76" s="65" t="s">
        <v>43</v>
      </c>
      <c r="B76" s="66"/>
      <c r="C76" s="11"/>
      <c r="D76" s="11"/>
      <c r="E76" s="11"/>
      <c r="F76" s="11"/>
      <c r="G76" s="11"/>
      <c r="H76" s="11" t="s">
        <v>576</v>
      </c>
      <c r="I76" s="59" t="str">
        <f>IF(_epmOfflineCondition_,"B1",_xll.EVPRO($B$1,$H76,"STYLE"))</f>
        <v>B1</v>
      </c>
      <c r="J76" s="59" t="str">
        <f>IF(_epmOfflineCondition_,"Y",_xll.EVPRO($B$1,$H76,"CALC"))</f>
        <v>Y</v>
      </c>
      <c r="K76" s="11"/>
      <c r="L76" s="11"/>
      <c r="M76" s="105" t="str">
        <f>IF(_epmOfflineCondition_,"Interest, Depreciation &amp; Amortization",IF(_xll.EVDES(H76,$B$1)="#NODATA","",_xll.EVDES(H76,$B$1)))</f>
        <v>Interest, Depreciation &amp; Amortization</v>
      </c>
      <c r="N76" s="158"/>
      <c r="O76" s="159"/>
      <c r="P76" s="159"/>
      <c r="Q76" s="159"/>
      <c r="R76" s="159"/>
      <c r="S76" s="159"/>
      <c r="T76" s="159"/>
      <c r="U76" s="159"/>
      <c r="V76" s="159"/>
      <c r="W76" s="159"/>
      <c r="X76" s="159"/>
      <c r="Y76" s="159"/>
      <c r="Z76" s="159"/>
      <c r="AA76" s="160"/>
      <c r="AB76" s="140"/>
      <c r="AC76" s="158"/>
      <c r="AD76" s="159"/>
      <c r="AE76" s="160"/>
      <c r="AF76" s="158"/>
      <c r="AG76" s="159"/>
      <c r="AH76" s="160"/>
      <c r="AI76" s="11"/>
      <c r="AJ76" s="11"/>
      <c r="AK76" s="11"/>
      <c r="AL76" s="11"/>
      <c r="AM76" s="11"/>
      <c r="AN76" s="11"/>
      <c r="AO76" s="11"/>
    </row>
    <row r="77" spans="1:41" x14ac:dyDescent="0.25">
      <c r="A77" s="65" t="s">
        <v>44</v>
      </c>
      <c r="B77" s="66"/>
      <c r="C77" s="11"/>
      <c r="D77" s="11"/>
      <c r="E77" s="11"/>
      <c r="F77" s="11"/>
      <c r="G77" s="88" t="s">
        <v>519</v>
      </c>
      <c r="H77" s="88" t="s">
        <v>571</v>
      </c>
      <c r="I77" s="122" t="str">
        <f>IF(_epmOfflineCondition_,"T3",_xll.EVPRO($B$1,$H77,"STYLE"))</f>
        <v>T3</v>
      </c>
      <c r="J77" s="122" t="str">
        <f>IF(_epmOfflineCondition_,"Y",_xll.EVPRO($B$1,$H77,"CALC"))</f>
        <v>Y</v>
      </c>
      <c r="K77" s="11"/>
      <c r="L77" s="11"/>
      <c r="M77" s="90" t="str">
        <f>IF(_epmOfflineCondition_,"Total Interest Expense",IF(_xll.EVDES(H77,$B$1)="#NODATA","",_xll.EVDES(H77,$B$1)))</f>
        <v>Total Interest Expense</v>
      </c>
      <c r="N77" s="138">
        <v>147259.98000000001</v>
      </c>
      <c r="O77" s="138">
        <v>133009.01999999999</v>
      </c>
      <c r="P77" s="138">
        <v>146087.5</v>
      </c>
      <c r="Q77" s="138">
        <v>141375</v>
      </c>
      <c r="R77" s="138">
        <v>146087.5</v>
      </c>
      <c r="S77" s="138">
        <v>147582.5</v>
      </c>
      <c r="T77" s="138">
        <v>175405.75</v>
      </c>
      <c r="U77" s="138">
        <v>192096.67</v>
      </c>
      <c r="V77" s="138">
        <v>196787.5</v>
      </c>
      <c r="W77" s="138">
        <v>223362.75</v>
      </c>
      <c r="X77" s="138">
        <v>234195</v>
      </c>
      <c r="Y77" s="138">
        <v>254796.75</v>
      </c>
      <c r="Z77" s="138">
        <f>SUM(N77:Y77)</f>
        <v>2138045.92</v>
      </c>
      <c r="AA77" s="142">
        <f>IF(Z77=0,"",IFERROR(Z77/Z$43,""))</f>
        <v>0.14512209097876241</v>
      </c>
      <c r="AB77" s="140"/>
      <c r="AC77" s="138">
        <v>1720066</v>
      </c>
      <c r="AD77" s="142">
        <f>IF(AC77=0,"",IFERROR(AC77/AC$43,""))</f>
        <v>0.11760828405518912</v>
      </c>
      <c r="AE77" s="141">
        <f>IF(AND($Z77="",AC77=""),"",$Z77-AC77)</f>
        <v>417979.91999999993</v>
      </c>
      <c r="AF77" s="138">
        <v>1738282.45</v>
      </c>
      <c r="AG77" s="142">
        <f>IF(AF77=0,"",IFERROR(AF77/AF$43,""))</f>
        <v>0.14599411118496664</v>
      </c>
      <c r="AH77" s="141">
        <f>IF(AND($Z77="",AF77=""),"",$Z77-AF77)</f>
        <v>399763.47</v>
      </c>
      <c r="AI77" s="620" t="str">
        <f>+IFERROR(ROUND(($AA77-AD77)*100,2)&amp;" pts.",0)</f>
        <v>2.75 pts.</v>
      </c>
      <c r="AJ77" s="621"/>
      <c r="AK77" s="620" t="str">
        <f>+IFERROR(ROUND(($AA77-AG77)*100,2)&amp;" pts.",0)</f>
        <v>-0.09 pts.</v>
      </c>
      <c r="AL77" s="621"/>
      <c r="AM77" s="11"/>
      <c r="AN77" s="11"/>
      <c r="AO77" s="11"/>
    </row>
    <row r="78" spans="1:41" x14ac:dyDescent="0.25">
      <c r="A78" s="65" t="s">
        <v>45</v>
      </c>
      <c r="B78" s="66"/>
      <c r="C78" s="11"/>
      <c r="D78" s="11"/>
      <c r="E78" s="11"/>
      <c r="F78" s="11"/>
      <c r="G78" s="88" t="s">
        <v>519</v>
      </c>
      <c r="H78" s="88" t="s">
        <v>572</v>
      </c>
      <c r="I78" s="122" t="str">
        <f>IF(_epmOfflineCondition_,"T3",_xll.EVPRO($B$1,$H78,"STYLE"))</f>
        <v>T3</v>
      </c>
      <c r="J78" s="122" t="str">
        <f>IF(_epmOfflineCondition_,"Y",_xll.EVPRO($B$1,$H78,"CALC"))</f>
        <v>Y</v>
      </c>
      <c r="K78" s="11"/>
      <c r="L78" s="11"/>
      <c r="M78" s="90" t="str">
        <f>IF(_epmOfflineCondition_,"Depreciation",IF(_xll.EVDES(H78,$B$1)="#NODATA","",_xll.EVDES(H78,$B$1)))</f>
        <v>Depreciation</v>
      </c>
      <c r="N78" s="138">
        <v>41703.129999999997</v>
      </c>
      <c r="O78" s="138">
        <v>41703.129999999997</v>
      </c>
      <c r="P78" s="138">
        <v>41703.129999999997</v>
      </c>
      <c r="Q78" s="138">
        <v>41703.129999999997</v>
      </c>
      <c r="R78" s="138">
        <v>41703.129999999997</v>
      </c>
      <c r="S78" s="138">
        <v>41703.129999999997</v>
      </c>
      <c r="T78" s="138">
        <v>41703.129999999997</v>
      </c>
      <c r="U78" s="138">
        <v>41703.129999999997</v>
      </c>
      <c r="V78" s="138">
        <v>41703.18</v>
      </c>
      <c r="W78" s="138">
        <v>41723.11</v>
      </c>
      <c r="X78" s="138">
        <v>41723.1</v>
      </c>
      <c r="Y78" s="138">
        <v>41278.69</v>
      </c>
      <c r="Z78" s="138">
        <f>SUM(N78:Y78)</f>
        <v>500053.11999999994</v>
      </c>
      <c r="AA78" s="142">
        <f>IF(Z78=0,"",IFERROR(Z78/Z$43,""))</f>
        <v>3.3941625713471112E-2</v>
      </c>
      <c r="AB78" s="140"/>
      <c r="AC78" s="138">
        <v>476664</v>
      </c>
      <c r="AD78" s="142">
        <f>IF(AC78=0,"",IFERROR(AC78/AC$43,""))</f>
        <v>3.2591560504586836E-2</v>
      </c>
      <c r="AE78" s="141">
        <f>IF(AND($Z78="",AC78=""),"",$Z78-AC78)</f>
        <v>23389.119999999937</v>
      </c>
      <c r="AF78" s="138">
        <v>482435.68</v>
      </c>
      <c r="AG78" s="142">
        <f>IF(AF78=0,"",IFERROR(AF78/AF$43,""))</f>
        <v>4.0518598289659417E-2</v>
      </c>
      <c r="AH78" s="141">
        <f>IF(AND($Z78="",AF78=""),"",$Z78-AF78)</f>
        <v>17617.439999999944</v>
      </c>
      <c r="AI78" s="620" t="str">
        <f>+IFERROR(ROUND(($AA78-AD78)*100,2)&amp;" pts.",0)</f>
        <v>0.14 pts.</v>
      </c>
      <c r="AJ78" s="621"/>
      <c r="AK78" s="620" t="str">
        <f>+IFERROR(ROUND(($AA78-AG78)*100,2)&amp;" pts.",0)</f>
        <v>-0.66 pts.</v>
      </c>
      <c r="AL78" s="621"/>
      <c r="AM78" s="11"/>
      <c r="AN78" s="11"/>
      <c r="AO78" s="11"/>
    </row>
    <row r="79" spans="1:41" x14ac:dyDescent="0.25">
      <c r="A79" s="65" t="s">
        <v>46</v>
      </c>
      <c r="B79" s="66"/>
      <c r="C79" s="11"/>
      <c r="D79" s="11"/>
      <c r="E79" s="11"/>
      <c r="F79" s="11"/>
      <c r="G79" s="88" t="s">
        <v>519</v>
      </c>
      <c r="H79" s="88" t="s">
        <v>573</v>
      </c>
      <c r="I79" s="122" t="str">
        <f>IF(_epmOfflineCondition_,"T3",_xll.EVPRO($B$1,$H79,"STYLE"))</f>
        <v>T3</v>
      </c>
      <c r="J79" s="122" t="str">
        <f>IF(_epmOfflineCondition_,"Y",_xll.EVPRO($B$1,$H79,"CALC"))</f>
        <v>Y</v>
      </c>
      <c r="K79" s="11"/>
      <c r="L79" s="11"/>
      <c r="M79" s="90" t="str">
        <f>IF(_epmOfflineCondition_,"Amortization",IF(_xll.EVDES(H79,$B$1)="#NODATA","",_xll.EVDES(H79,$B$1)))</f>
        <v>Amortization</v>
      </c>
      <c r="N79" s="138"/>
      <c r="O79" s="138"/>
      <c r="P79" s="138"/>
      <c r="Q79" s="138"/>
      <c r="R79" s="138"/>
      <c r="S79" s="138"/>
      <c r="T79" s="138"/>
      <c r="U79" s="138"/>
      <c r="V79" s="138"/>
      <c r="W79" s="138"/>
      <c r="X79" s="138"/>
      <c r="Y79" s="138"/>
      <c r="Z79" s="138">
        <f>SUM(N79:Y79)</f>
        <v>0</v>
      </c>
      <c r="AA79" s="142" t="str">
        <f>IF(Z79=0,"",IFERROR(Z79/Z$43,""))</f>
        <v/>
      </c>
      <c r="AB79" s="140"/>
      <c r="AC79" s="138"/>
      <c r="AD79" s="142" t="str">
        <f>IF(AC79=0,"",IFERROR(AC79/AC$43,""))</f>
        <v/>
      </c>
      <c r="AE79" s="141">
        <f>IF(AND($Z79="",AC79=""),"",$Z79-AC79)</f>
        <v>0</v>
      </c>
      <c r="AF79" s="138"/>
      <c r="AG79" s="142" t="str">
        <f>IF(AF79=0,"",IFERROR(AF79/AF$43,""))</f>
        <v/>
      </c>
      <c r="AH79" s="141">
        <f>IF(AND($Z79="",AF79=""),"",$Z79-AF79)</f>
        <v>0</v>
      </c>
      <c r="AI79" s="620">
        <f>+IFERROR(ROUND(($AA79-AD79)*100,2)&amp;" pts.",0)</f>
        <v>0</v>
      </c>
      <c r="AJ79" s="621"/>
      <c r="AK79" s="620">
        <f>+IFERROR(ROUND(($AA79-AG79)*100,2)&amp;" pts.",0)</f>
        <v>0</v>
      </c>
      <c r="AL79" s="621"/>
      <c r="AM79" s="11"/>
      <c r="AN79" s="11"/>
      <c r="AO79" s="11"/>
    </row>
    <row r="80" spans="1:41" x14ac:dyDescent="0.25">
      <c r="A80" s="11"/>
      <c r="B80" s="11"/>
      <c r="C80" s="11"/>
      <c r="D80" s="11"/>
      <c r="E80" s="11"/>
      <c r="F80" s="11"/>
      <c r="G80" s="11"/>
      <c r="H80" s="11"/>
      <c r="I80" s="11"/>
      <c r="J80" s="11"/>
      <c r="K80" s="11"/>
      <c r="L80" s="11"/>
      <c r="M80" s="106" t="str">
        <f>"Total "&amp;M76</f>
        <v>Total Interest, Depreciation &amp; Amortization</v>
      </c>
      <c r="N80" s="150">
        <f t="shared" ref="N80:Y80" si="31">SUM(N77:N79)</f>
        <v>188963.11000000002</v>
      </c>
      <c r="O80" s="150">
        <f t="shared" si="31"/>
        <v>174712.15</v>
      </c>
      <c r="P80" s="150">
        <f t="shared" si="31"/>
        <v>187790.63</v>
      </c>
      <c r="Q80" s="150">
        <f t="shared" si="31"/>
        <v>183078.13</v>
      </c>
      <c r="R80" s="150">
        <f t="shared" si="31"/>
        <v>187790.63</v>
      </c>
      <c r="S80" s="150">
        <f t="shared" si="31"/>
        <v>189285.63</v>
      </c>
      <c r="T80" s="150">
        <f t="shared" si="31"/>
        <v>217108.88</v>
      </c>
      <c r="U80" s="150">
        <f t="shared" si="31"/>
        <v>233799.80000000002</v>
      </c>
      <c r="V80" s="150">
        <f t="shared" si="31"/>
        <v>238490.68</v>
      </c>
      <c r="W80" s="150">
        <f t="shared" si="31"/>
        <v>265085.86</v>
      </c>
      <c r="X80" s="150">
        <f t="shared" si="31"/>
        <v>275918.09999999998</v>
      </c>
      <c r="Y80" s="150">
        <f t="shared" si="31"/>
        <v>296075.44</v>
      </c>
      <c r="Z80" s="150">
        <f>SUM(N80:Y80)</f>
        <v>2638099.04</v>
      </c>
      <c r="AA80" s="151">
        <f>IF(Z80=0,"",IFERROR(Z80/Z$43,""))</f>
        <v>0.17906371669223353</v>
      </c>
      <c r="AB80" s="140"/>
      <c r="AC80" s="150">
        <f>SUM(AC77:AC79)</f>
        <v>2196730</v>
      </c>
      <c r="AD80" s="151">
        <f>IF(AC80=0,"",IFERROR(AC80/AC$43,""))</f>
        <v>0.15019984455977595</v>
      </c>
      <c r="AE80" s="152">
        <f>IF(AND($Z80="",AC80=""),"",$Z80-AC80)</f>
        <v>441369.04000000004</v>
      </c>
      <c r="AF80" s="150">
        <f>SUM(AF77:AF79)</f>
        <v>2220718.13</v>
      </c>
      <c r="AG80" s="151">
        <f>IF(AF80=0,"",IFERROR(AF80/AF$43,""))</f>
        <v>0.18651270947462603</v>
      </c>
      <c r="AH80" s="152">
        <f>IF(AND($Z80="",AF80=""),"",$Z80-AF80)</f>
        <v>417380.91000000015</v>
      </c>
      <c r="AI80" s="624" t="str">
        <f>+IFERROR(ROUND(($AA80-AD80)*100,2)&amp;" pts.",0)</f>
        <v>2.89 pts.</v>
      </c>
      <c r="AJ80" s="625"/>
      <c r="AK80" s="624" t="str">
        <f>+IFERROR(ROUND(($AA80-AG80)*100,2)&amp;" pts.",0)</f>
        <v>-0.74 pts.</v>
      </c>
      <c r="AL80" s="625"/>
      <c r="AM80" s="11"/>
      <c r="AN80" s="11"/>
      <c r="AO80" s="11"/>
    </row>
    <row r="81" spans="1:41" x14ac:dyDescent="0.25">
      <c r="A81" s="11"/>
      <c r="B81" s="11"/>
      <c r="C81" s="11"/>
      <c r="D81" s="11"/>
      <c r="E81" s="11"/>
      <c r="F81" s="11"/>
      <c r="G81" s="11"/>
      <c r="H81" s="59"/>
      <c r="I81" s="59"/>
      <c r="J81" s="11"/>
      <c r="K81" s="11"/>
      <c r="L81" s="59"/>
      <c r="M81" s="11"/>
      <c r="N81" s="170"/>
      <c r="O81" s="171"/>
      <c r="P81" s="171"/>
      <c r="Q81" s="171"/>
      <c r="R81" s="171"/>
      <c r="S81" s="171"/>
      <c r="T81" s="171"/>
      <c r="U81" s="171"/>
      <c r="V81" s="171"/>
      <c r="W81" s="171"/>
      <c r="X81" s="171"/>
      <c r="Y81" s="171"/>
      <c r="Z81" s="171"/>
      <c r="AA81" s="172"/>
      <c r="AB81" s="140"/>
      <c r="AC81" s="170"/>
      <c r="AD81" s="171"/>
      <c r="AE81" s="172"/>
      <c r="AF81" s="170"/>
      <c r="AG81" s="171"/>
      <c r="AH81" s="172"/>
      <c r="AI81" s="11"/>
      <c r="AJ81" s="11"/>
      <c r="AK81" s="11"/>
      <c r="AL81" s="11"/>
      <c r="AM81" s="11"/>
      <c r="AN81" s="11"/>
      <c r="AO81" s="11"/>
    </row>
    <row r="82" spans="1:41" x14ac:dyDescent="0.25">
      <c r="A82" s="11"/>
      <c r="B82" s="11"/>
      <c r="C82" s="11"/>
      <c r="D82" s="11"/>
      <c r="E82" s="11"/>
      <c r="F82" s="88" t="s">
        <v>577</v>
      </c>
      <c r="G82" s="11"/>
      <c r="H82" s="11"/>
      <c r="I82" s="11"/>
      <c r="J82" s="11"/>
      <c r="K82" s="11"/>
      <c r="L82" s="11"/>
      <c r="M82" s="106" t="str">
        <f>IF(_epmOfflineCondition_,"Income Before Income Taxes",IF(_xll.EVDES(F82,$B$1)="#NODATA","",_xll.EVDES(F82,$B$1)))</f>
        <v>Income Before Income Taxes</v>
      </c>
      <c r="N82" s="162">
        <f t="shared" ref="N82:Y82" si="32">N74-N80</f>
        <v>262226.2799999998</v>
      </c>
      <c r="O82" s="162">
        <f t="shared" si="32"/>
        <v>536631.30000000005</v>
      </c>
      <c r="P82" s="162">
        <f t="shared" si="32"/>
        <v>526354.23</v>
      </c>
      <c r="Q82" s="162">
        <f t="shared" si="32"/>
        <v>448666.49999999988</v>
      </c>
      <c r="R82" s="162">
        <f t="shared" si="32"/>
        <v>314589.16999999969</v>
      </c>
      <c r="S82" s="162">
        <f t="shared" si="32"/>
        <v>-85095.999999999971</v>
      </c>
      <c r="T82" s="162">
        <f t="shared" si="32"/>
        <v>-38272.479999999865</v>
      </c>
      <c r="U82" s="162">
        <f t="shared" si="32"/>
        <v>-250228.78000000003</v>
      </c>
      <c r="V82" s="162">
        <f t="shared" si="32"/>
        <v>-291662.99</v>
      </c>
      <c r="W82" s="162">
        <f t="shared" si="32"/>
        <v>-236397.8</v>
      </c>
      <c r="X82" s="162">
        <f t="shared" si="32"/>
        <v>-11050.340000000084</v>
      </c>
      <c r="Y82" s="162">
        <f t="shared" si="32"/>
        <v>52129.630000000063</v>
      </c>
      <c r="Z82" s="162">
        <f>SUM(N82:Y82)</f>
        <v>1227888.7199999995</v>
      </c>
      <c r="AA82" s="163">
        <f>IF(Z82=0,"",IFERROR(Z82/Z$43,""))</f>
        <v>8.3344224213685772E-2</v>
      </c>
      <c r="AB82" s="140"/>
      <c r="AC82" s="162">
        <f>AC74-AC80</f>
        <v>2415280.0516233146</v>
      </c>
      <c r="AD82" s="163">
        <f>IF(AC82=0,"",IFERROR(AC82/AC$43,""))</f>
        <v>0.16514304822265344</v>
      </c>
      <c r="AE82" s="164">
        <f>IF(AND($Z82="",AC82=""),"",$Z82-AC82)</f>
        <v>-1187391.3316233151</v>
      </c>
      <c r="AF82" s="162">
        <f>AF74-AF80</f>
        <v>914444.56999999937</v>
      </c>
      <c r="AG82" s="163">
        <f>IF(AF82=0,"",IFERROR(AF82/AF$43,""))</f>
        <v>7.6801973249553832E-2</v>
      </c>
      <c r="AH82" s="164">
        <f>IF(AND($Z82="",AF82=""),"",$Z82-AF82)</f>
        <v>313444.15000000014</v>
      </c>
      <c r="AI82" s="626" t="str">
        <f>+IFERROR(ROUND(($AA82-AD82)*100,2)&amp;" pts.",0)</f>
        <v>-8.18 pts.</v>
      </c>
      <c r="AJ82" s="627"/>
      <c r="AK82" s="626" t="str">
        <f>+IFERROR(ROUND(($AA82-AG82)*100,2)&amp;" pts.",0)</f>
        <v>0.65 pts.</v>
      </c>
      <c r="AL82" s="627"/>
      <c r="AM82" s="11"/>
      <c r="AN82" s="11"/>
      <c r="AO82" s="11"/>
    </row>
    <row r="83" spans="1:41" x14ac:dyDescent="0.25">
      <c r="A83" s="11"/>
      <c r="B83" s="11"/>
      <c r="C83" s="11"/>
      <c r="D83" s="11"/>
      <c r="E83" s="11"/>
      <c r="F83" s="11"/>
      <c r="G83" s="88" t="s">
        <v>519</v>
      </c>
      <c r="H83" s="88" t="s">
        <v>578</v>
      </c>
      <c r="I83" s="122" t="str">
        <f>IF(_epmOfflineCondition_,"T3",_xll.EVPRO($B$1,$H83,"STYLE"))</f>
        <v>T3</v>
      </c>
      <c r="J83" s="122" t="str">
        <f>IF(_epmOfflineCondition_,"Y",_xll.EVPRO($B$1,$H83,"CALC"))</f>
        <v>Y</v>
      </c>
      <c r="K83" s="11"/>
      <c r="L83" s="11"/>
      <c r="M83" s="90" t="str">
        <f>IF(_epmOfflineCondition_,"Total Income Taxes",IF(_xll.EVDES(H83,$B$1)="#NODATA","",_xll.EVDES(H83,$B$1)))</f>
        <v>Total Income Taxes</v>
      </c>
      <c r="N83" s="138"/>
      <c r="O83" s="138"/>
      <c r="P83" s="138"/>
      <c r="Q83" s="138"/>
      <c r="R83" s="138"/>
      <c r="S83" s="138"/>
      <c r="T83" s="138"/>
      <c r="U83" s="138"/>
      <c r="V83" s="138"/>
      <c r="W83" s="138"/>
      <c r="X83" s="138"/>
      <c r="Y83" s="138"/>
      <c r="Z83" s="138">
        <f>SUM(N83:Y83)</f>
        <v>0</v>
      </c>
      <c r="AA83" s="142" t="str">
        <f>IF(Z83=0,"",IFERROR(Z83/Z$43,""))</f>
        <v/>
      </c>
      <c r="AB83" s="140"/>
      <c r="AC83" s="138"/>
      <c r="AD83" s="142" t="str">
        <f>IF(AC83=0,"",IFERROR(AC83/AC$43,""))</f>
        <v/>
      </c>
      <c r="AE83" s="141">
        <f>IF(AND($Z83="",AC83=""),"",$Z83-AC83)</f>
        <v>0</v>
      </c>
      <c r="AF83" s="138"/>
      <c r="AG83" s="142" t="str">
        <f>IF(AF83=0,"",IFERROR(AF83/AF$43,""))</f>
        <v/>
      </c>
      <c r="AH83" s="141">
        <f>IF(AND($Z83="",AF83=""),"",$Z83-AF83)</f>
        <v>0</v>
      </c>
      <c r="AI83" s="620">
        <f>+IFERROR(ROUND(($AA83-AD83)*100,2)&amp;" pts.",0)</f>
        <v>0</v>
      </c>
      <c r="AJ83" s="621"/>
      <c r="AK83" s="620">
        <f>+IFERROR(ROUND(($AA83-AG83)*100,2)&amp;" pts.",0)</f>
        <v>0</v>
      </c>
      <c r="AL83" s="621"/>
      <c r="AM83" s="11"/>
      <c r="AN83" s="11"/>
      <c r="AO83" s="11"/>
    </row>
    <row r="84" spans="1:41" ht="15.75" thickBot="1" x14ac:dyDescent="0.3">
      <c r="A84" s="11"/>
      <c r="B84" s="11"/>
      <c r="C84" s="11"/>
      <c r="D84" s="11"/>
      <c r="E84" s="11"/>
      <c r="F84" s="88" t="s">
        <v>579</v>
      </c>
      <c r="G84" s="11"/>
      <c r="H84" s="11"/>
      <c r="I84" s="11"/>
      <c r="J84" s="11"/>
      <c r="K84" s="11"/>
      <c r="L84" s="11"/>
      <c r="M84" s="106" t="str">
        <f>IF(_epmOfflineCondition_,"Net Income",IF(_xll.EVDES(F84,$B$1)="#NODATA","",_xll.EVDES(F84,$B$1)))</f>
        <v>Net Income</v>
      </c>
      <c r="N84" s="165">
        <f t="shared" ref="N84:Y84" si="33">N82-N83</f>
        <v>262226.2799999998</v>
      </c>
      <c r="O84" s="165">
        <f t="shared" si="33"/>
        <v>536631.30000000005</v>
      </c>
      <c r="P84" s="165">
        <f t="shared" si="33"/>
        <v>526354.23</v>
      </c>
      <c r="Q84" s="165">
        <f t="shared" si="33"/>
        <v>448666.49999999988</v>
      </c>
      <c r="R84" s="165">
        <f t="shared" si="33"/>
        <v>314589.16999999969</v>
      </c>
      <c r="S84" s="165">
        <f t="shared" si="33"/>
        <v>-85095.999999999971</v>
      </c>
      <c r="T84" s="165">
        <f t="shared" si="33"/>
        <v>-38272.479999999865</v>
      </c>
      <c r="U84" s="165">
        <f t="shared" si="33"/>
        <v>-250228.78000000003</v>
      </c>
      <c r="V84" s="165">
        <f t="shared" si="33"/>
        <v>-291662.99</v>
      </c>
      <c r="W84" s="165">
        <f t="shared" si="33"/>
        <v>-236397.8</v>
      </c>
      <c r="X84" s="165">
        <f t="shared" si="33"/>
        <v>-11050.340000000084</v>
      </c>
      <c r="Y84" s="165">
        <f t="shared" si="33"/>
        <v>52129.630000000063</v>
      </c>
      <c r="Z84" s="165">
        <f>SUM(N84:Y84)</f>
        <v>1227888.7199999995</v>
      </c>
      <c r="AA84" s="166">
        <f>IF(Z84=0,"",IFERROR(Z84/Z$43,""))</f>
        <v>8.3344224213685772E-2</v>
      </c>
      <c r="AB84" s="140"/>
      <c r="AC84" s="165">
        <f>AC82-AC83</f>
        <v>2415280.0516233146</v>
      </c>
      <c r="AD84" s="166">
        <f>IF(AC84=0,"",IFERROR(AC84/AC$43,""))</f>
        <v>0.16514304822265344</v>
      </c>
      <c r="AE84" s="167">
        <f>IF(AND($Z84="",AC84=""),"",$Z84-AC84)</f>
        <v>-1187391.3316233151</v>
      </c>
      <c r="AF84" s="165">
        <f>AF82-AF83</f>
        <v>914444.56999999937</v>
      </c>
      <c r="AG84" s="166">
        <f>IF(AF84=0,"",IFERROR(AF84/AF$43,""))</f>
        <v>7.6801973249553832E-2</v>
      </c>
      <c r="AH84" s="167">
        <f>IF(AND($Z84="",AF84=""),"",$Z84-AF84)</f>
        <v>313444.15000000014</v>
      </c>
      <c r="AI84" s="622" t="str">
        <f>+IFERROR(ROUND(($AA84-AD84)*100,2)&amp;" pts.",0)</f>
        <v>-8.18 pts.</v>
      </c>
      <c r="AJ84" s="623"/>
      <c r="AK84" s="622" t="str">
        <f>+IFERROR(ROUND(($AA84-AG84)*100,2)&amp;" pts.",0)</f>
        <v>0.65 pts.</v>
      </c>
      <c r="AL84" s="623"/>
      <c r="AM84" s="11"/>
      <c r="AN84" s="11"/>
      <c r="AO84" s="11"/>
    </row>
    <row r="85" spans="1:41" ht="15.75" thickTop="1" x14ac:dyDescent="0.25">
      <c r="A85" s="11"/>
      <c r="B85" s="11"/>
      <c r="C85" s="11"/>
      <c r="D85" s="11"/>
      <c r="E85" s="11"/>
      <c r="F85" s="11"/>
      <c r="G85" s="11"/>
      <c r="H85" s="59"/>
      <c r="I85" s="59"/>
      <c r="J85" s="11"/>
      <c r="K85" s="11"/>
      <c r="L85" s="11">
        <f>COUNTIF(N85:AH85,FALSE)</f>
        <v>0</v>
      </c>
      <c r="M85" s="117" t="str">
        <f>IF(L85=0,"","Net Income - database validation failed")</f>
        <v/>
      </c>
      <c r="N85" s="153" t="str">
        <f t="shared" ref="N85:Z85" si="34">IF(ROUND(N84,2)&lt;&gt;ROUND(N105,2),N84-N105,"")</f>
        <v/>
      </c>
      <c r="O85" s="153" t="str">
        <f t="shared" si="34"/>
        <v/>
      </c>
      <c r="P85" s="153" t="str">
        <f t="shared" si="34"/>
        <v/>
      </c>
      <c r="Q85" s="153" t="str">
        <f t="shared" si="34"/>
        <v/>
      </c>
      <c r="R85" s="153" t="str">
        <f t="shared" si="34"/>
        <v/>
      </c>
      <c r="S85" s="153" t="str">
        <f t="shared" si="34"/>
        <v/>
      </c>
      <c r="T85" s="153" t="str">
        <f t="shared" si="34"/>
        <v/>
      </c>
      <c r="U85" s="153" t="str">
        <f t="shared" si="34"/>
        <v/>
      </c>
      <c r="V85" s="153" t="str">
        <f t="shared" si="34"/>
        <v/>
      </c>
      <c r="W85" s="153" t="str">
        <f t="shared" si="34"/>
        <v/>
      </c>
      <c r="X85" s="153" t="str">
        <f t="shared" si="34"/>
        <v/>
      </c>
      <c r="Y85" s="153" t="str">
        <f t="shared" si="34"/>
        <v/>
      </c>
      <c r="Z85" s="153" t="str">
        <f t="shared" si="34"/>
        <v/>
      </c>
      <c r="AA85" s="161" t="b">
        <f>Z85=""</f>
        <v>1</v>
      </c>
      <c r="AB85" s="140"/>
      <c r="AC85" s="153" t="str">
        <f>IF(ROUND(AC84,2)&lt;&gt;ROUND(AC105,2),AC84-AC105,"")</f>
        <v/>
      </c>
      <c r="AD85" s="156" t="b">
        <f>AC85=""</f>
        <v>1</v>
      </c>
      <c r="AE85" s="157"/>
      <c r="AF85" s="153" t="str">
        <f>IF(ROUND(AF84,2)&lt;&gt;ROUND(AF105,2),AF84-AF105,"")</f>
        <v/>
      </c>
      <c r="AG85" s="156" t="b">
        <f>AF85=""</f>
        <v>1</v>
      </c>
      <c r="AH85" s="157"/>
      <c r="AI85" s="11"/>
      <c r="AJ85" s="11"/>
      <c r="AK85" s="11"/>
      <c r="AL85" s="11"/>
      <c r="AM85" s="11"/>
      <c r="AN85" s="11"/>
      <c r="AO85" s="11"/>
    </row>
    <row r="86" spans="1:41" x14ac:dyDescent="0.25">
      <c r="A86" s="11"/>
      <c r="B86" s="11"/>
      <c r="C86" s="11"/>
      <c r="D86" s="11"/>
      <c r="E86" s="11"/>
      <c r="F86" s="88" t="s">
        <v>570</v>
      </c>
      <c r="G86" s="11"/>
      <c r="H86" s="11"/>
      <c r="I86" s="11"/>
      <c r="J86" s="11"/>
      <c r="K86" s="11"/>
      <c r="L86" s="11"/>
      <c r="M86" s="106" t="str">
        <f>IF(_epmOfflineCondition_,"EBITDA",IF(_xll.EVDES(F86,$B$1)="#NODATA","",_xll.EVDES(F86,$B$1)))</f>
        <v>EBITDA</v>
      </c>
      <c r="N86" s="162">
        <f t="shared" ref="N86:Y86" si="35">N74</f>
        <v>451189.38999999978</v>
      </c>
      <c r="O86" s="162">
        <f t="shared" si="35"/>
        <v>711343.45000000007</v>
      </c>
      <c r="P86" s="162">
        <f t="shared" si="35"/>
        <v>714144.86</v>
      </c>
      <c r="Q86" s="162">
        <f t="shared" si="35"/>
        <v>631744.62999999989</v>
      </c>
      <c r="R86" s="162">
        <f t="shared" si="35"/>
        <v>502379.7999999997</v>
      </c>
      <c r="S86" s="162">
        <f t="shared" si="35"/>
        <v>104189.63000000003</v>
      </c>
      <c r="T86" s="162">
        <f t="shared" si="35"/>
        <v>178836.40000000014</v>
      </c>
      <c r="U86" s="162">
        <f t="shared" si="35"/>
        <v>-16428.980000000025</v>
      </c>
      <c r="V86" s="162">
        <f t="shared" si="35"/>
        <v>-53172.31</v>
      </c>
      <c r="W86" s="162">
        <f t="shared" si="35"/>
        <v>28688.059999999998</v>
      </c>
      <c r="X86" s="162">
        <f t="shared" si="35"/>
        <v>264867.75999999989</v>
      </c>
      <c r="Y86" s="162">
        <f t="shared" si="35"/>
        <v>348205.07000000007</v>
      </c>
      <c r="Z86" s="162">
        <f>SUM(N86:Y86)</f>
        <v>3865987.7599999988</v>
      </c>
      <c r="AA86" s="163">
        <f>IF(Z86=0,"",IFERROR(Z86/Z$43,""))</f>
        <v>0.26240794090591923</v>
      </c>
      <c r="AB86" s="140"/>
      <c r="AC86" s="162">
        <f>AC74</f>
        <v>4612010.0516233146</v>
      </c>
      <c r="AD86" s="163">
        <f>IF(AC86=0,"",IFERROR(AC86/AC$43,""))</f>
        <v>0.31534289278242938</v>
      </c>
      <c r="AE86" s="164">
        <f>IF(AND($Z86="",AC86=""),"",$Z86-AC86)</f>
        <v>-746022.29162331577</v>
      </c>
      <c r="AF86" s="162">
        <f>AF74</f>
        <v>3135162.6999999993</v>
      </c>
      <c r="AG86" s="163">
        <f>IF(AF86=0,"",IFERROR(AF86/AF$43,""))</f>
        <v>0.26331468272417985</v>
      </c>
      <c r="AH86" s="164">
        <f>IF(AND($Z86="",AF86=""),"",$Z86-AF86)</f>
        <v>730825.05999999959</v>
      </c>
      <c r="AI86" s="11"/>
      <c r="AJ86" s="11"/>
      <c r="AK86" s="11"/>
      <c r="AL86" s="11"/>
      <c r="AM86" s="11"/>
      <c r="AN86" s="11"/>
      <c r="AO86" s="11"/>
    </row>
    <row r="87" spans="1:41" x14ac:dyDescent="0.25">
      <c r="A87" s="11"/>
      <c r="B87" s="11"/>
      <c r="C87" s="11"/>
      <c r="D87" s="11"/>
      <c r="E87" s="11"/>
      <c r="F87" s="11"/>
      <c r="G87" s="88" t="s">
        <v>519</v>
      </c>
      <c r="H87" s="88" t="s">
        <v>580</v>
      </c>
      <c r="I87" s="122" t="str">
        <f>IF(_epmOfflineCondition_,"T3",_xll.EVPRO($B$1,$H87,"STYLE"))</f>
        <v>T3</v>
      </c>
      <c r="J87" s="122" t="str">
        <f>IF(_epmOfflineCondition_,"Y",_xll.EVPRO($B$1,$H87,"CALC"))</f>
        <v>Y</v>
      </c>
      <c r="K87" s="11"/>
      <c r="L87" s="59"/>
      <c r="M87" s="90" t="str">
        <f>IF(_epmOfflineCondition_,"FF&amp;E ProForma Calculation",IF(_xll.EVDES(H87,$B$1)="#NODATA","",_xll.EVDES(H87,$B$1)))</f>
        <v>FF&amp;E ProForma Calculation</v>
      </c>
      <c r="N87" s="138">
        <v>65378.5</v>
      </c>
      <c r="O87" s="138">
        <v>58945.85</v>
      </c>
      <c r="P87" s="138">
        <v>65856.600000000006</v>
      </c>
      <c r="Q87" s="138">
        <v>65079.97</v>
      </c>
      <c r="R87" s="138">
        <v>58000</v>
      </c>
      <c r="S87" s="138">
        <v>36938</v>
      </c>
      <c r="T87" s="138">
        <v>42350.27</v>
      </c>
      <c r="U87" s="138">
        <v>33649.22</v>
      </c>
      <c r="V87" s="138">
        <v>26349.8</v>
      </c>
      <c r="W87" s="138">
        <v>33080.07</v>
      </c>
      <c r="X87" s="138">
        <v>46850.18</v>
      </c>
      <c r="Y87" s="138">
        <v>61719.57</v>
      </c>
      <c r="Z87" s="138">
        <f>SUM(N87:Y87)</f>
        <v>594198.03</v>
      </c>
      <c r="AA87" s="142">
        <f>IF(Z87=0,"",IFERROR(Z87/Z$43,""))</f>
        <v>4.0331809416451356E-2</v>
      </c>
      <c r="AB87" s="140"/>
      <c r="AC87" s="138">
        <v>585015.252562596</v>
      </c>
      <c r="AD87" s="142">
        <f>IF(AC87=0,"",IFERROR(AC87/AC$43,""))</f>
        <v>3.9999999999999994E-2</v>
      </c>
      <c r="AE87" s="141">
        <f>IF(AND($Z87="",AC87=""),"",$Z87-AC87)</f>
        <v>9182.7774374040309</v>
      </c>
      <c r="AF87" s="138">
        <v>221000.97</v>
      </c>
      <c r="AG87" s="142">
        <f>IF(AF87=0,"",IFERROR(AF87/AF$43,""))</f>
        <v>1.8561333450824103E-2</v>
      </c>
      <c r="AH87" s="141">
        <f>IF(AND($Z87="",AF87=""),"",$Z87-AF87)</f>
        <v>373197.06000000006</v>
      </c>
      <c r="AI87" s="11"/>
      <c r="AJ87" s="11"/>
      <c r="AK87" s="11"/>
      <c r="AL87" s="11"/>
      <c r="AM87" s="11"/>
      <c r="AN87" s="11"/>
      <c r="AO87" s="11"/>
    </row>
    <row r="88" spans="1:41" ht="15.75" thickBot="1" x14ac:dyDescent="0.3">
      <c r="A88" s="11"/>
      <c r="B88" s="11"/>
      <c r="C88" s="11"/>
      <c r="D88" s="11"/>
      <c r="E88" s="11"/>
      <c r="F88" s="11"/>
      <c r="G88" s="11"/>
      <c r="H88" s="11"/>
      <c r="I88" s="11"/>
      <c r="J88" s="11"/>
      <c r="K88" s="11"/>
      <c r="L88" s="11"/>
      <c r="M88" s="106" t="s">
        <v>581</v>
      </c>
      <c r="N88" s="165">
        <f t="shared" ref="N88:Y88" si="36">N86-N87</f>
        <v>385810.88999999978</v>
      </c>
      <c r="O88" s="165">
        <f t="shared" si="36"/>
        <v>652397.60000000009</v>
      </c>
      <c r="P88" s="165">
        <f t="shared" si="36"/>
        <v>648288.26</v>
      </c>
      <c r="Q88" s="165">
        <f t="shared" si="36"/>
        <v>566664.65999999992</v>
      </c>
      <c r="R88" s="165">
        <f t="shared" si="36"/>
        <v>444379.7999999997</v>
      </c>
      <c r="S88" s="165">
        <f t="shared" si="36"/>
        <v>67251.630000000034</v>
      </c>
      <c r="T88" s="165">
        <f t="shared" si="36"/>
        <v>136486.13000000015</v>
      </c>
      <c r="U88" s="165">
        <f t="shared" si="36"/>
        <v>-50078.200000000026</v>
      </c>
      <c r="V88" s="165">
        <f t="shared" si="36"/>
        <v>-79522.11</v>
      </c>
      <c r="W88" s="165">
        <f t="shared" si="36"/>
        <v>-4392.010000000002</v>
      </c>
      <c r="X88" s="165">
        <f t="shared" si="36"/>
        <v>218017.5799999999</v>
      </c>
      <c r="Y88" s="165">
        <f t="shared" si="36"/>
        <v>286485.50000000006</v>
      </c>
      <c r="Z88" s="165">
        <f>SUM(N88:Y88)</f>
        <v>3271789.7300000004</v>
      </c>
      <c r="AA88" s="166">
        <f>IF(Z88=0,"",IFERROR(Z88/Z$43,""))</f>
        <v>0.222076131489468</v>
      </c>
      <c r="AB88" s="140"/>
      <c r="AC88" s="165">
        <f>AC86-AC87</f>
        <v>4026994.7990607186</v>
      </c>
      <c r="AD88" s="166">
        <f>IF(AC88=0,"",IFERROR(AC88/AC$43,""))</f>
        <v>0.2753428927824294</v>
      </c>
      <c r="AE88" s="167">
        <f>IF(AND($Z88="",AC88=""),"",$Z88-AC88)</f>
        <v>-755205.06906071818</v>
      </c>
      <c r="AF88" s="165">
        <f>AF86-AF87</f>
        <v>2914161.7299999991</v>
      </c>
      <c r="AG88" s="166">
        <f>IF(AF88=0,"",IFERROR(AF88/AF$43,""))</f>
        <v>0.24475334927335576</v>
      </c>
      <c r="AH88" s="167">
        <f>IF(AND($Z88="",AF88=""),"",$Z88-AF88)</f>
        <v>357628.0000000014</v>
      </c>
      <c r="AI88" s="11"/>
      <c r="AJ88" s="11"/>
      <c r="AK88" s="11"/>
      <c r="AL88" s="11"/>
      <c r="AM88" s="11"/>
      <c r="AN88" s="11"/>
      <c r="AO88" s="11"/>
    </row>
    <row r="89" spans="1:41" ht="15.75" thickTop="1" x14ac:dyDescent="0.25">
      <c r="A89" s="11"/>
      <c r="B89" s="11"/>
      <c r="C89" s="11"/>
      <c r="D89" s="11"/>
      <c r="E89" s="11"/>
      <c r="F89" s="11"/>
      <c r="G89" s="11"/>
      <c r="H89" s="59"/>
      <c r="I89" s="59"/>
      <c r="J89" s="11"/>
      <c r="K89" s="11"/>
      <c r="L89" s="59"/>
      <c r="M89" s="53" t="s">
        <v>754</v>
      </c>
      <c r="N89" s="11"/>
      <c r="O89" s="11"/>
      <c r="P89" s="11"/>
      <c r="Q89" s="11"/>
      <c r="R89" s="11"/>
      <c r="S89" s="11"/>
      <c r="T89" s="11"/>
      <c r="U89" s="11"/>
      <c r="V89" s="11"/>
      <c r="W89" s="11"/>
      <c r="X89" s="11"/>
      <c r="Y89" s="11"/>
      <c r="Z89" s="11"/>
      <c r="AA89" s="11"/>
      <c r="AB89" s="11"/>
      <c r="AC89" s="11"/>
      <c r="AD89" s="132">
        <f>+IF(AND(AE43&gt;0,AE61&gt;0),+AE61/+AE43)+IF(AND(AE43&gt;0,AE61&lt;0),AE61/+AE43)+IF(AND(AE43&lt;0,AE61&lt;0),+(1-(AE61/+AE43)))+IF(AND(AE43&lt;0,AE61&gt;0),+(1-(AE61/+AE43)))</f>
        <v>-5.3116270263738299</v>
      </c>
      <c r="AE89" s="133" t="str">
        <f>IF(AE43&lt;0,"Flex","")</f>
        <v/>
      </c>
      <c r="AF89" s="11"/>
      <c r="AG89" s="132">
        <f>+IF(AND(AH43&gt;0,AH61&gt;0),+AH61/+AH43)+IF(AND(AH43&gt;0,AH61&lt;0),AH61/+AH43)+IF(AND(AH43&lt;0,AH61&lt;0),+(1-(AH61/+AH43)))+IF(AND(AH43&lt;0,AH61&gt;0),+(1-(AH61/+AH43)))</f>
        <v>0.35865411347592618</v>
      </c>
      <c r="AH89" s="133" t="str">
        <f>IF(AH43&lt;0,"Flex","")</f>
        <v/>
      </c>
      <c r="AI89" s="11"/>
      <c r="AJ89" s="11"/>
      <c r="AK89" s="11"/>
      <c r="AL89" s="11"/>
      <c r="AM89" s="11"/>
      <c r="AN89" s="11"/>
      <c r="AO89" s="11"/>
    </row>
    <row r="90" spans="1:41" x14ac:dyDescent="0.25">
      <c r="A90" s="11"/>
      <c r="B90" s="11"/>
      <c r="C90" s="11"/>
      <c r="D90" s="11"/>
      <c r="E90" s="11"/>
      <c r="F90" s="11"/>
      <c r="G90" s="11"/>
      <c r="H90" s="59"/>
      <c r="I90" s="59"/>
      <c r="J90" s="11"/>
      <c r="K90" s="11"/>
      <c r="L90" s="59"/>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hidden="1" outlineLevel="1" x14ac:dyDescent="0.25">
      <c r="A91" s="11"/>
      <c r="B91" s="11"/>
      <c r="C91" s="11"/>
      <c r="D91" s="11"/>
      <c r="E91" s="11"/>
      <c r="F91" s="11"/>
      <c r="G91" s="11"/>
      <c r="H91" s="59"/>
      <c r="I91" s="59"/>
      <c r="J91" s="11"/>
      <c r="K91" s="11"/>
      <c r="L91" s="59"/>
      <c r="M91" s="53" t="str">
        <f>M66</f>
        <v>Non-Operating Income &amp; Expenses</v>
      </c>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hidden="1" outlineLevel="1" x14ac:dyDescent="0.25">
      <c r="A92" s="11"/>
      <c r="B92" s="11"/>
      <c r="C92" s="11"/>
      <c r="D92" s="11"/>
      <c r="E92" s="11"/>
      <c r="F92" s="11"/>
      <c r="G92" s="11"/>
      <c r="H92" s="59"/>
      <c r="I92" s="59"/>
      <c r="J92" s="11"/>
      <c r="K92" s="11"/>
      <c r="L92" s="59"/>
      <c r="M92" s="53" t="s">
        <v>587</v>
      </c>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hidden="1" outlineLevel="1" x14ac:dyDescent="0.25">
      <c r="A93" s="11"/>
      <c r="B93" s="11"/>
      <c r="C93" s="11"/>
      <c r="D93" s="11"/>
      <c r="E93" s="11"/>
      <c r="F93" s="11"/>
      <c r="G93" s="88" t="s">
        <v>519</v>
      </c>
      <c r="H93" s="88" t="s">
        <v>542</v>
      </c>
      <c r="I93" s="122" t="str">
        <f>IF(_epmOfflineCondition_,"T3",_xll.EVPRO($B$1,$H93,"STYLE"))</f>
        <v>T3</v>
      </c>
      <c r="J93" s="122" t="str">
        <f>IF(_epmOfflineCondition_,"Y",_xll.EVPRO($B$1,$H93,"CALC"))</f>
        <v>Y</v>
      </c>
      <c r="K93" s="11"/>
      <c r="L93" s="11"/>
      <c r="M93" s="134" t="str">
        <f>IF(_epmOfflineCondition_,"Total Other",IF(_xll.EVDES(H93,$B$1)="#NODATA","",_xll.EVDES(H93,$B$1)))</f>
        <v>Total Other</v>
      </c>
      <c r="N93" s="173"/>
      <c r="O93" s="173"/>
      <c r="P93" s="173"/>
      <c r="Q93" s="173"/>
      <c r="R93" s="173"/>
      <c r="S93" s="173"/>
      <c r="T93" s="173"/>
      <c r="U93" s="173"/>
      <c r="V93" s="173"/>
      <c r="W93" s="173"/>
      <c r="X93" s="173"/>
      <c r="Y93" s="173"/>
      <c r="Z93" s="173">
        <f>SUM(N93:Y93)</f>
        <v>0</v>
      </c>
      <c r="AA93" s="174"/>
      <c r="AB93" s="140"/>
      <c r="AC93" s="173"/>
      <c r="AD93" s="174"/>
      <c r="AE93" s="173">
        <f>IF(AND($Z93="",AC93=""),"",$Z93-AC93)</f>
        <v>0</v>
      </c>
      <c r="AF93" s="173"/>
      <c r="AG93" s="174"/>
      <c r="AH93" s="173">
        <f>IF(AND($Z93="",AF93=""),"",$Z93-AF93)</f>
        <v>0</v>
      </c>
      <c r="AI93" s="11"/>
      <c r="AJ93" s="11"/>
      <c r="AK93" s="11"/>
      <c r="AL93" s="11"/>
      <c r="AM93" s="11"/>
      <c r="AN93" s="11"/>
      <c r="AO93" s="11"/>
    </row>
    <row r="94" spans="1:41" hidden="1" outlineLevel="1" x14ac:dyDescent="0.25">
      <c r="A94" s="11"/>
      <c r="B94" s="11"/>
      <c r="C94" s="11"/>
      <c r="D94" s="11"/>
      <c r="E94" s="11"/>
      <c r="F94" s="11"/>
      <c r="G94" s="88" t="s">
        <v>583</v>
      </c>
      <c r="H94" s="88" t="s">
        <v>584</v>
      </c>
      <c r="I94" s="122" t="str">
        <f>IF(_epmOfflineCondition_,"T1",_xll.EVPRO($B$1,$H94,"STYLE"))</f>
        <v>T1</v>
      </c>
      <c r="J94" s="122" t="str">
        <f>IF(_epmOfflineCondition_,"Y",_xll.EVPRO($B$1,$H94,"CALC"))</f>
        <v>Y</v>
      </c>
      <c r="K94" s="11"/>
      <c r="L94" s="11"/>
      <c r="M94" s="135" t="str">
        <f>IF(_epmOfflineCondition_,"Net Income-Development &amp; Renovation Projects",IF(_xll.EVDES(H94,$B$1)="#NODATA","",_xll.EVDES(H94,$B$1))&amp;"-"&amp;_xll.EVDES(G94))</f>
        <v>Net Income-Development &amp; Renovation Projects</v>
      </c>
      <c r="N94" s="175">
        <f>IF(_epmOfflineCondition_,0,_xll.EVGTS($B$1,1,$B$3,$B$5,$B$7,$B$9,N$16,N$17,N$18,$G$94,$H$94))</f>
        <v>0</v>
      </c>
      <c r="O94" s="175">
        <f>IF(_epmOfflineCondition_,0,_xll.EVGTS($B$1,1,$B$3,$B$5,$B$7,$B$9,O$16,O$17,O$18,$G$94,$H$94))</f>
        <v>0</v>
      </c>
      <c r="P94" s="175">
        <f>IF(_epmOfflineCondition_,0,_xll.EVGTS($B$1,1,$B$3,$B$5,$B$7,$B$9,P$16,P$17,P$18,$G$94,$H$94))</f>
        <v>0</v>
      </c>
      <c r="Q94" s="175">
        <f>IF(_epmOfflineCondition_,0,_xll.EVGTS($B$1,1,$B$3,$B$5,$B$7,$B$9,Q$16,Q$17,Q$18,$G$94,$H$94))</f>
        <v>0</v>
      </c>
      <c r="R94" s="175">
        <f>IF(_epmOfflineCondition_,0,_xll.EVGTS($B$1,1,$B$3,$B$5,$B$7,$B$9,R$16,R$17,R$18,$G$94,$H$94))</f>
        <v>0</v>
      </c>
      <c r="S94" s="175">
        <f>IF(_epmOfflineCondition_,0,_xll.EVGTS($B$1,1,$B$3,$B$5,$B$7,$B$9,S$16,S$17,S$18,$G$94,$H$94))</f>
        <v>0</v>
      </c>
      <c r="T94" s="175">
        <f>IF(_epmOfflineCondition_,0,_xll.EVGTS($B$1,1,$B$3,$B$5,$B$7,$B$9,T$16,T$17,T$18,$G$94,$H$94))</f>
        <v>0</v>
      </c>
      <c r="U94" s="175">
        <f>IF(_epmOfflineCondition_,0,_xll.EVGTS($B$1,1,$B$3,$B$5,$B$7,$B$9,U$16,U$17,U$18,$G$94,$H$94))</f>
        <v>0</v>
      </c>
      <c r="V94" s="175">
        <f>IF(_epmOfflineCondition_,0,_xll.EVGTS($B$1,1,$B$3,$B$5,$B$7,$B$9,V$16,V$17,V$18,$G$94,$H$94))</f>
        <v>0</v>
      </c>
      <c r="W94" s="175">
        <f>IF(_epmOfflineCondition_,0,_xll.EVGTS($B$1,1,$B$3,$B$5,$B$7,$B$9,W$16,W$17,W$18,$G$94,$H$94))</f>
        <v>0</v>
      </c>
      <c r="X94" s="175">
        <f>IF(_epmOfflineCondition_,0,_xll.EVGTS($B$1,1,$B$3,$B$5,$B$7,$B$9,X$16,X$17,X$18,$G$94,$H$94))</f>
        <v>0</v>
      </c>
      <c r="Y94" s="175">
        <f>IF(_epmOfflineCondition_,0,_xll.EVGTS($B$1,1,$B$3,$B$5,$B$7,$B$9,Y$16,Y$17,Y$18,$G$94,$H$94))</f>
        <v>0</v>
      </c>
      <c r="Z94" s="173">
        <f>SUM(N94:Y94)</f>
        <v>0</v>
      </c>
      <c r="AA94" s="176"/>
      <c r="AB94" s="140"/>
      <c r="AC94" s="175">
        <f>IF(_epmOfflineCondition_,0,_xll.EVGTS($B$1,1,$B$3,$B$5,$B$7,$B$9,AC$16,AC$17,AC$18,$G$94,$H$94))</f>
        <v>0</v>
      </c>
      <c r="AD94" s="176"/>
      <c r="AE94" s="173">
        <f>IF(AND($Z94="",AC94=""),"",$Z94-AC94)</f>
        <v>0</v>
      </c>
      <c r="AF94" s="175">
        <f>IF(_epmOfflineCondition_,0,_xll.EVGTS($B$1,1,$B$3,$B$5,$B$7,$B$9,AF$16,AF$17,AF$18,$G$94,$H$94))</f>
        <v>0</v>
      </c>
      <c r="AG94" s="176"/>
      <c r="AH94" s="173">
        <f>IF(AND($Z94="",AF94=""),"",$Z94-AF94)</f>
        <v>0</v>
      </c>
      <c r="AI94" s="11"/>
      <c r="AJ94" s="11"/>
      <c r="AK94" s="11"/>
      <c r="AL94" s="11"/>
      <c r="AM94" s="11"/>
      <c r="AN94" s="11"/>
      <c r="AO94" s="11"/>
    </row>
    <row r="95" spans="1:41" hidden="1" outlineLevel="1" x14ac:dyDescent="0.25">
      <c r="A95" s="11"/>
      <c r="B95" s="11"/>
      <c r="C95" s="11"/>
      <c r="D95" s="11"/>
      <c r="E95" s="11"/>
      <c r="F95" s="11"/>
      <c r="G95" s="11"/>
      <c r="H95" s="11"/>
      <c r="I95" s="11"/>
      <c r="J95" s="11"/>
      <c r="K95" s="11"/>
      <c r="L95" s="11"/>
      <c r="M95" s="134" t="s">
        <v>585</v>
      </c>
      <c r="N95" s="173">
        <f t="shared" ref="N95:Y95" si="37">IFERROR(N93-N94,"")</f>
        <v>0</v>
      </c>
      <c r="O95" s="173">
        <f t="shared" si="37"/>
        <v>0</v>
      </c>
      <c r="P95" s="173">
        <f t="shared" si="37"/>
        <v>0</v>
      </c>
      <c r="Q95" s="173">
        <f t="shared" si="37"/>
        <v>0</v>
      </c>
      <c r="R95" s="173">
        <f t="shared" si="37"/>
        <v>0</v>
      </c>
      <c r="S95" s="173">
        <f t="shared" si="37"/>
        <v>0</v>
      </c>
      <c r="T95" s="173">
        <f t="shared" si="37"/>
        <v>0</v>
      </c>
      <c r="U95" s="173">
        <f t="shared" si="37"/>
        <v>0</v>
      </c>
      <c r="V95" s="173">
        <f t="shared" si="37"/>
        <v>0</v>
      </c>
      <c r="W95" s="173">
        <f t="shared" si="37"/>
        <v>0</v>
      </c>
      <c r="X95" s="173">
        <f t="shared" si="37"/>
        <v>0</v>
      </c>
      <c r="Y95" s="173">
        <f t="shared" si="37"/>
        <v>0</v>
      </c>
      <c r="Z95" s="173">
        <f>SUM(N95:Y95)</f>
        <v>0</v>
      </c>
      <c r="AA95" s="174"/>
      <c r="AB95" s="140"/>
      <c r="AC95" s="173">
        <f>IFERROR(AC93-AC94,"")</f>
        <v>0</v>
      </c>
      <c r="AD95" s="174"/>
      <c r="AE95" s="173">
        <f>IF(AND($Z95="",AC95=""),"",$Z95-AC95)</f>
        <v>0</v>
      </c>
      <c r="AF95" s="173">
        <f>IFERROR(AF93-AF94,"")</f>
        <v>0</v>
      </c>
      <c r="AG95" s="174"/>
      <c r="AH95" s="173">
        <f>IF(AND($Z95="",AF95=""),"",$Z95-AF95)</f>
        <v>0</v>
      </c>
      <c r="AI95" s="11"/>
      <c r="AJ95" s="11"/>
      <c r="AK95" s="11"/>
      <c r="AL95" s="11"/>
      <c r="AM95" s="11"/>
      <c r="AN95" s="11"/>
      <c r="AO95" s="11"/>
    </row>
    <row r="96" spans="1:41" hidden="1" outlineLevel="1" x14ac:dyDescent="0.25">
      <c r="A96" s="11"/>
      <c r="B96" s="11"/>
      <c r="C96" s="11"/>
      <c r="D96" s="11"/>
      <c r="E96" s="11"/>
      <c r="F96" s="11"/>
      <c r="G96" s="11"/>
      <c r="H96" s="11"/>
      <c r="I96" s="11"/>
      <c r="J96" s="11"/>
      <c r="K96" s="11"/>
      <c r="L96" s="11"/>
      <c r="M96" s="11"/>
      <c r="N96" s="140"/>
      <c r="O96" s="140"/>
      <c r="P96" s="140"/>
      <c r="Q96" s="140"/>
      <c r="R96" s="140"/>
      <c r="S96" s="140"/>
      <c r="T96" s="140"/>
      <c r="U96" s="140"/>
      <c r="V96" s="140"/>
      <c r="W96" s="140"/>
      <c r="X96" s="140"/>
      <c r="Y96" s="140"/>
      <c r="Z96" s="140"/>
      <c r="AA96" s="140"/>
      <c r="AB96" s="140"/>
      <c r="AC96" s="140"/>
      <c r="AD96" s="140"/>
      <c r="AE96" s="140"/>
      <c r="AF96" s="140"/>
      <c r="AG96" s="140"/>
      <c r="AH96" s="140"/>
      <c r="AI96" s="11"/>
      <c r="AJ96" s="11"/>
      <c r="AK96" s="11"/>
      <c r="AL96" s="11"/>
      <c r="AM96" s="11"/>
      <c r="AN96" s="11"/>
      <c r="AO96" s="11"/>
    </row>
    <row r="97" spans="1:41" hidden="1" outlineLevel="1" x14ac:dyDescent="0.25">
      <c r="A97" s="11"/>
      <c r="B97" s="11"/>
      <c r="C97" s="11"/>
      <c r="D97" s="11"/>
      <c r="E97" s="11"/>
      <c r="F97" s="11"/>
      <c r="G97" s="88" t="s">
        <v>499</v>
      </c>
      <c r="H97" s="88">
        <v>400000</v>
      </c>
      <c r="I97" s="122" t="str">
        <f>IF(_epmOfflineCondition_,"T3",_xll.EVPRO($B$1,$H97,"STYLE"))</f>
        <v>T3</v>
      </c>
      <c r="J97" s="122" t="str">
        <f>IF(_epmOfflineCondition_,"Y",_xll.EVPRO($B$1,$H97,"CALC"))</f>
        <v>Y</v>
      </c>
      <c r="K97" s="11"/>
      <c r="L97" s="59"/>
      <c r="M97" s="90" t="str">
        <f>IF(_epmOfflineCondition_,"Total Revenue",IF(_xll.EVDES(H97,$B$1)="#NODATA","",_xll.EVDES(H97,$B$1)))</f>
        <v>Total Revenue</v>
      </c>
      <c r="N97" s="138">
        <v>1290629.08</v>
      </c>
      <c r="O97" s="138">
        <v>1640785.98</v>
      </c>
      <c r="P97" s="138">
        <v>1688344.85</v>
      </c>
      <c r="Q97" s="138">
        <v>1639654.71</v>
      </c>
      <c r="R97" s="138">
        <v>1462578.64</v>
      </c>
      <c r="S97" s="138">
        <v>928601</v>
      </c>
      <c r="T97" s="138">
        <v>1089871.96</v>
      </c>
      <c r="U97" s="138">
        <v>855762.92</v>
      </c>
      <c r="V97" s="138">
        <v>680607.2</v>
      </c>
      <c r="W97" s="138">
        <v>856828.92</v>
      </c>
      <c r="X97" s="138">
        <v>1188235.3500000001</v>
      </c>
      <c r="Y97" s="138">
        <v>1410838.6</v>
      </c>
      <c r="Z97" s="138">
        <f t="shared" ref="Z97:Z105" si="38">SUM(N97:Y97)</f>
        <v>14732739.209999997</v>
      </c>
      <c r="AA97" s="142">
        <f t="shared" ref="AA97:AA105" si="39">IF(N97=0,"",IFERROR(N97/N$43,""))</f>
        <v>1.0000000000000002</v>
      </c>
      <c r="AB97" s="140"/>
      <c r="AC97" s="138">
        <v>14625381.314064899</v>
      </c>
      <c r="AD97" s="142">
        <f t="shared" ref="AD97:AD105" si="40">IF(AC97=0,"",IFERROR(AC97/AC$43,""))</f>
        <v>0.99999999999999989</v>
      </c>
      <c r="AE97" s="141">
        <f t="shared" ref="AE97:AE105" si="41">IF(AND($Z97="",AC97=""),"",$Z97-AC97)</f>
        <v>107357.89593509771</v>
      </c>
      <c r="AF97" s="138">
        <v>11906524.42</v>
      </c>
      <c r="AG97" s="142">
        <f t="shared" ref="AG97:AG105" si="42">IF(AF97=0,"",IFERROR(AF97/AF$43,""))</f>
        <v>1.0000000000000002</v>
      </c>
      <c r="AH97" s="141">
        <f t="shared" ref="AH97:AH105" si="43">IF(AND($Z97="",AF97=""),"",$Z97-AF97)</f>
        <v>2826214.7899999972</v>
      </c>
      <c r="AI97" s="11"/>
      <c r="AJ97" s="11"/>
      <c r="AK97" s="11"/>
      <c r="AL97" s="11"/>
      <c r="AM97" s="11"/>
      <c r="AN97" s="11"/>
      <c r="AO97" s="11"/>
    </row>
    <row r="98" spans="1:41" hidden="1" outlineLevel="1" x14ac:dyDescent="0.25">
      <c r="A98" s="11"/>
      <c r="B98" s="11"/>
      <c r="C98" s="11"/>
      <c r="D98" s="11"/>
      <c r="E98" s="11"/>
      <c r="F98" s="11"/>
      <c r="G98" s="88" t="s">
        <v>563</v>
      </c>
      <c r="H98" s="88" t="s">
        <v>464</v>
      </c>
      <c r="I98" s="122" t="str">
        <f>IF(_epmOfflineCondition_,"T3",_xll.EVPRO($B$1,$H98,"STYLE"))</f>
        <v>T3</v>
      </c>
      <c r="J98" s="122" t="str">
        <f>IF(_epmOfflineCondition_,"Y",_xll.EVPRO($B$1,$H98,"CALC"))</f>
        <v>Y</v>
      </c>
      <c r="K98" s="11"/>
      <c r="L98" s="59"/>
      <c r="M98" s="90" t="str">
        <f>IF(_epmOfflineCondition_,"Departmental Expenses (Incl COS)",IF(_xll.EVDES(H98,$B$1)="#NODATA","",_xll.EVDES(H98,$B$1)))</f>
        <v>Departmental Expenses (Incl COS)</v>
      </c>
      <c r="N98" s="138">
        <v>398149.78</v>
      </c>
      <c r="O98" s="138">
        <v>468298.07</v>
      </c>
      <c r="P98" s="138">
        <v>502761.95</v>
      </c>
      <c r="Q98" s="138">
        <v>503183.56</v>
      </c>
      <c r="R98" s="138">
        <v>505424.37</v>
      </c>
      <c r="S98" s="138">
        <v>396031.16</v>
      </c>
      <c r="T98" s="138">
        <v>470995.37</v>
      </c>
      <c r="U98" s="138">
        <v>405860</v>
      </c>
      <c r="V98" s="138">
        <v>337458.8</v>
      </c>
      <c r="W98" s="138">
        <v>376866.59</v>
      </c>
      <c r="X98" s="138">
        <v>429266.7</v>
      </c>
      <c r="Y98" s="138">
        <v>488756.98</v>
      </c>
      <c r="Z98" s="138">
        <f t="shared" si="38"/>
        <v>5283053.33</v>
      </c>
      <c r="AA98" s="142">
        <f t="shared" si="39"/>
        <v>0.30849280104551813</v>
      </c>
      <c r="AB98" s="140"/>
      <c r="AC98" s="138">
        <v>4849553.6582709299</v>
      </c>
      <c r="AD98" s="142">
        <f t="shared" si="40"/>
        <v>0.33158476720242658</v>
      </c>
      <c r="AE98" s="141">
        <f t="shared" si="41"/>
        <v>433499.67172907013</v>
      </c>
      <c r="AF98" s="138">
        <v>4136032.85</v>
      </c>
      <c r="AG98" s="142">
        <f t="shared" si="42"/>
        <v>0.34737533003774757</v>
      </c>
      <c r="AH98" s="141">
        <f t="shared" si="43"/>
        <v>1147020.48</v>
      </c>
      <c r="AI98" s="11"/>
      <c r="AJ98" s="11"/>
      <c r="AK98" s="11"/>
      <c r="AL98" s="11"/>
      <c r="AM98" s="11"/>
      <c r="AN98" s="11"/>
      <c r="AO98" s="11"/>
    </row>
    <row r="99" spans="1:41" hidden="1" outlineLevel="1" x14ac:dyDescent="0.25">
      <c r="A99" s="11"/>
      <c r="B99" s="11"/>
      <c r="C99" s="11"/>
      <c r="D99" s="11"/>
      <c r="E99" s="11"/>
      <c r="F99" s="11"/>
      <c r="G99" s="88" t="s">
        <v>563</v>
      </c>
      <c r="H99" s="88" t="s">
        <v>56</v>
      </c>
      <c r="I99" s="122" t="str">
        <f>IF(_epmOfflineCondition_,"T2",_xll.EVPRO($B$1,$H99,"STYLE"))</f>
        <v>T2</v>
      </c>
      <c r="J99" s="122" t="str">
        <f>IF(_epmOfflineCondition_,"Y",_xll.EVPRO($B$1,$H99,"CALC"))</f>
        <v>Y</v>
      </c>
      <c r="K99" s="11"/>
      <c r="L99" s="59" t="s">
        <v>591</v>
      </c>
      <c r="M99" s="90" t="str">
        <f>IF(_epmOfflineCondition_,"Gross Operating Income",IF(_xll.EVDES(H99,$B$1)="#NODATA","",_xll.EVDES(H99,$B$1)))</f>
        <v>Gross Operating Income</v>
      </c>
      <c r="N99" s="138">
        <v>892479.3</v>
      </c>
      <c r="O99" s="138">
        <v>1172487.9099999999</v>
      </c>
      <c r="P99" s="138">
        <v>1185582.8999999999</v>
      </c>
      <c r="Q99" s="138">
        <v>1136471.1499999999</v>
      </c>
      <c r="R99" s="138">
        <v>957154.26999999897</v>
      </c>
      <c r="S99" s="138">
        <v>532569.84</v>
      </c>
      <c r="T99" s="138">
        <v>618876.59</v>
      </c>
      <c r="U99" s="138">
        <v>449902.92</v>
      </c>
      <c r="V99" s="138">
        <v>343148.4</v>
      </c>
      <c r="W99" s="138">
        <v>479962.33</v>
      </c>
      <c r="X99" s="138">
        <v>758968.65</v>
      </c>
      <c r="Y99" s="138">
        <v>922081.62000000104</v>
      </c>
      <c r="Z99" s="138">
        <f t="shared" si="38"/>
        <v>9449685.879999999</v>
      </c>
      <c r="AA99" s="142">
        <f t="shared" si="39"/>
        <v>0.69150719895448209</v>
      </c>
      <c r="AB99" s="140"/>
      <c r="AC99" s="138">
        <v>9775827.6557939705</v>
      </c>
      <c r="AD99" s="142">
        <f t="shared" si="40"/>
        <v>0.66841523279757331</v>
      </c>
      <c r="AE99" s="141">
        <f t="shared" si="41"/>
        <v>-326141.77579397149</v>
      </c>
      <c r="AF99" s="138">
        <v>7770491.5700000003</v>
      </c>
      <c r="AG99" s="142">
        <f t="shared" si="42"/>
        <v>0.65262466996225266</v>
      </c>
      <c r="AH99" s="141">
        <f t="shared" si="43"/>
        <v>1679194.3099999987</v>
      </c>
      <c r="AI99" s="11"/>
      <c r="AJ99" s="11"/>
      <c r="AK99" s="11"/>
      <c r="AL99" s="11"/>
      <c r="AM99" s="11"/>
      <c r="AN99" s="11"/>
      <c r="AO99" s="11"/>
    </row>
    <row r="100" spans="1:41" hidden="1" outlineLevel="1" x14ac:dyDescent="0.25">
      <c r="A100" s="11"/>
      <c r="B100" s="11"/>
      <c r="C100" s="11"/>
      <c r="D100" s="11"/>
      <c r="E100" s="11"/>
      <c r="F100" s="11"/>
      <c r="G100" s="88" t="s">
        <v>566</v>
      </c>
      <c r="H100" s="88" t="s">
        <v>464</v>
      </c>
      <c r="I100" s="122" t="str">
        <f>IF(_epmOfflineCondition_,"T3",_xll.EVPRO($B$1,$H100,"STYLE"))</f>
        <v>T3</v>
      </c>
      <c r="J100" s="122" t="str">
        <f>IF(_epmOfflineCondition_,"Y",_xll.EVPRO($B$1,$H100,"CALC"))</f>
        <v>Y</v>
      </c>
      <c r="K100" s="11"/>
      <c r="L100" s="59"/>
      <c r="M100" s="90" t="str">
        <f>IF(_epmOfflineCondition_,"Departmental Expenses (Incl COS)",IF(_xll.EVDES(H100,$B$1)="#NODATA","",_xll.EVDES(H100,$B$1)))</f>
        <v>Departmental Expenses (Incl COS)</v>
      </c>
      <c r="N100" s="138">
        <v>279135.63</v>
      </c>
      <c r="O100" s="138">
        <v>306862.78999999998</v>
      </c>
      <c r="P100" s="138">
        <v>306389.59000000003</v>
      </c>
      <c r="Q100" s="138">
        <v>324535.62</v>
      </c>
      <c r="R100" s="138">
        <v>296089.40999999997</v>
      </c>
      <c r="S100" s="138">
        <v>286474.05</v>
      </c>
      <c r="T100" s="138">
        <v>294431.03000000003</v>
      </c>
      <c r="U100" s="138">
        <v>292006.25</v>
      </c>
      <c r="V100" s="138">
        <v>235235.05</v>
      </c>
      <c r="W100" s="138">
        <v>279207.53000000003</v>
      </c>
      <c r="X100" s="138">
        <v>308577.86</v>
      </c>
      <c r="Y100" s="138">
        <v>377726.3</v>
      </c>
      <c r="Z100" s="138">
        <f t="shared" si="38"/>
        <v>3586671.11</v>
      </c>
      <c r="AA100" s="142">
        <f t="shared" si="39"/>
        <v>0.21627873904716299</v>
      </c>
      <c r="AB100" s="140"/>
      <c r="AC100" s="138">
        <v>3342567.7842504899</v>
      </c>
      <c r="AD100" s="142">
        <f t="shared" si="40"/>
        <v>0.22854568455155541</v>
      </c>
      <c r="AE100" s="141">
        <f t="shared" si="41"/>
        <v>244103.32574950997</v>
      </c>
      <c r="AF100" s="138">
        <v>2921110.36</v>
      </c>
      <c r="AG100" s="142">
        <f t="shared" si="42"/>
        <v>0.2453369477908483</v>
      </c>
      <c r="AH100" s="141">
        <f t="shared" si="43"/>
        <v>665560.75</v>
      </c>
      <c r="AI100" s="11"/>
      <c r="AJ100" s="11"/>
      <c r="AK100" s="11"/>
      <c r="AL100" s="11"/>
      <c r="AM100" s="11"/>
      <c r="AN100" s="11"/>
      <c r="AO100" s="11"/>
    </row>
    <row r="101" spans="1:41" hidden="1" outlineLevel="1" x14ac:dyDescent="0.25">
      <c r="A101" s="11"/>
      <c r="B101" s="11"/>
      <c r="C101" s="11"/>
      <c r="D101" s="11"/>
      <c r="E101" s="11"/>
      <c r="F101" s="11"/>
      <c r="G101" s="88" t="s">
        <v>568</v>
      </c>
      <c r="H101" s="88" t="s">
        <v>567</v>
      </c>
      <c r="I101" s="122" t="str">
        <f>IF(_epmOfflineCondition_,"T3",_xll.EVPRO($B$1,$H101,"STYLE"))</f>
        <v>T3</v>
      </c>
      <c r="J101" s="122" t="str">
        <f>IF(_epmOfflineCondition_,"Y",_xll.EVPRO($B$1,$H101,"CALC"))</f>
        <v>Y</v>
      </c>
      <c r="K101" s="11"/>
      <c r="L101" s="59"/>
      <c r="M101" s="90" t="str">
        <f>IF(_epmOfflineCondition_,"Gross Operating Profit",IF(_xll.EVDES(H101,$B$1)="#NODATA","",_xll.EVDES(H101,$B$1)))</f>
        <v>Gross Operating Profit</v>
      </c>
      <c r="N101" s="138">
        <v>613343.67000000004</v>
      </c>
      <c r="O101" s="138">
        <v>865625.12</v>
      </c>
      <c r="P101" s="138">
        <v>879193.31000000099</v>
      </c>
      <c r="Q101" s="138">
        <v>811935.53</v>
      </c>
      <c r="R101" s="138">
        <v>661064.86</v>
      </c>
      <c r="S101" s="138">
        <v>246095.79</v>
      </c>
      <c r="T101" s="138">
        <v>324445.56</v>
      </c>
      <c r="U101" s="138">
        <v>157896.67000000001</v>
      </c>
      <c r="V101" s="138">
        <v>107913.35</v>
      </c>
      <c r="W101" s="138">
        <v>200754.8</v>
      </c>
      <c r="X101" s="138">
        <v>450390.78999999899</v>
      </c>
      <c r="Y101" s="138">
        <v>544355.320000001</v>
      </c>
      <c r="Z101" s="138">
        <f t="shared" si="38"/>
        <v>5863014.7700000005</v>
      </c>
      <c r="AA101" s="142">
        <f t="shared" si="39"/>
        <v>0.4752284599073191</v>
      </c>
      <c r="AB101" s="140"/>
      <c r="AC101" s="138">
        <v>6433259.8715434801</v>
      </c>
      <c r="AD101" s="142">
        <f t="shared" si="40"/>
        <v>0.43986954824601793</v>
      </c>
      <c r="AE101" s="141">
        <f t="shared" si="41"/>
        <v>-570245.1015434796</v>
      </c>
      <c r="AF101" s="138">
        <v>4849381.21</v>
      </c>
      <c r="AG101" s="142">
        <f t="shared" si="42"/>
        <v>0.4072877221714043</v>
      </c>
      <c r="AH101" s="141">
        <f t="shared" si="43"/>
        <v>1013633.5600000005</v>
      </c>
      <c r="AI101" s="11"/>
      <c r="AJ101" s="11"/>
      <c r="AK101" s="11"/>
      <c r="AL101" s="11"/>
      <c r="AM101" s="11"/>
      <c r="AN101" s="11"/>
      <c r="AO101" s="11"/>
    </row>
    <row r="102" spans="1:41" hidden="1" outlineLevel="1" x14ac:dyDescent="0.25">
      <c r="A102" s="11"/>
      <c r="B102" s="11"/>
      <c r="C102" s="11"/>
      <c r="D102" s="11"/>
      <c r="E102" s="11"/>
      <c r="F102" s="11"/>
      <c r="G102" s="88" t="s">
        <v>568</v>
      </c>
      <c r="H102" s="88" t="s">
        <v>574</v>
      </c>
      <c r="I102" s="122" t="str">
        <f>IF(_epmOfflineCondition_,"T3",_xll.EVPRO($B$1,$H102,"STYLE"))</f>
        <v>T3</v>
      </c>
      <c r="J102" s="122" t="str">
        <f>IF(_epmOfflineCondition_,"Y",_xll.EVPRO($B$1,$H102,"CALC"))</f>
        <v>Y</v>
      </c>
      <c r="K102" s="11"/>
      <c r="L102" s="59"/>
      <c r="M102" s="90" t="str">
        <f>IF(_epmOfflineCondition_,"Income Before Non-Operataing Inc. &amp; Exp.",IF(_xll.EVDES(H102,$B$1)="#NODATA","",_xll.EVDES(H102,$B$1)))</f>
        <v>Income Before Non-Operataing Inc. &amp; Exp.</v>
      </c>
      <c r="N102" s="138">
        <v>561294.55000000005</v>
      </c>
      <c r="O102" s="138">
        <v>817731.62</v>
      </c>
      <c r="P102" s="138">
        <v>825684.83000000101</v>
      </c>
      <c r="Q102" s="138">
        <v>759058.06</v>
      </c>
      <c r="R102" s="138">
        <v>614267.88</v>
      </c>
      <c r="S102" s="138">
        <v>216595.79</v>
      </c>
      <c r="T102" s="138">
        <v>290035.96000000002</v>
      </c>
      <c r="U102" s="138">
        <v>130553.68</v>
      </c>
      <c r="V102" s="138">
        <v>86504.130000000107</v>
      </c>
      <c r="W102" s="138">
        <v>173877.24</v>
      </c>
      <c r="X102" s="138">
        <v>412473.62999999902</v>
      </c>
      <c r="Y102" s="138">
        <v>494208.17000000097</v>
      </c>
      <c r="Z102" s="138">
        <f t="shared" si="38"/>
        <v>5382285.540000001</v>
      </c>
      <c r="AA102" s="142">
        <f t="shared" si="39"/>
        <v>0.43489997141548997</v>
      </c>
      <c r="AB102" s="140"/>
      <c r="AC102" s="138">
        <v>5963255.37328998</v>
      </c>
      <c r="AD102" s="142">
        <f t="shared" si="40"/>
        <v>0.40773332641626586</v>
      </c>
      <c r="AE102" s="141">
        <f t="shared" si="41"/>
        <v>-580969.83328997903</v>
      </c>
      <c r="AF102" s="138">
        <v>4479272.37</v>
      </c>
      <c r="AG102" s="142">
        <f t="shared" si="42"/>
        <v>0.37620318171740674</v>
      </c>
      <c r="AH102" s="141">
        <f t="shared" si="43"/>
        <v>903013.17000000086</v>
      </c>
      <c r="AI102" s="11"/>
      <c r="AJ102" s="11"/>
      <c r="AK102" s="11"/>
      <c r="AL102" s="11"/>
      <c r="AM102" s="11"/>
      <c r="AN102" s="11"/>
      <c r="AO102" s="11"/>
    </row>
    <row r="103" spans="1:41" hidden="1" outlineLevel="1" x14ac:dyDescent="0.25">
      <c r="A103" s="11"/>
      <c r="B103" s="11"/>
      <c r="C103" s="11"/>
      <c r="D103" s="11"/>
      <c r="E103" s="11"/>
      <c r="F103" s="11"/>
      <c r="G103" s="88" t="s">
        <v>499</v>
      </c>
      <c r="H103" s="88" t="s">
        <v>570</v>
      </c>
      <c r="I103" s="122" t="str">
        <f>IF(_epmOfflineCondition_,"T3",_xll.EVPRO($B$1,$H103,"STYLE"))</f>
        <v>T3</v>
      </c>
      <c r="J103" s="122" t="str">
        <f>IF(_epmOfflineCondition_,"Y",_xll.EVPRO($B$1,$H103,"CALC"))</f>
        <v>Y</v>
      </c>
      <c r="K103" s="11"/>
      <c r="L103" s="59"/>
      <c r="M103" s="90" t="str">
        <f>IF(_epmOfflineCondition_,"EBITDA",IF(_xll.EVDES(H103,$B$1)="#NODATA","",_xll.EVDES(H103,$B$1)))</f>
        <v>EBITDA</v>
      </c>
      <c r="N103" s="138">
        <v>451189.39</v>
      </c>
      <c r="O103" s="138">
        <v>711343.45</v>
      </c>
      <c r="P103" s="138">
        <v>714144.86</v>
      </c>
      <c r="Q103" s="138">
        <v>631744.63</v>
      </c>
      <c r="R103" s="138">
        <v>502379.8</v>
      </c>
      <c r="S103" s="138">
        <v>104189.63</v>
      </c>
      <c r="T103" s="138">
        <v>178836.4</v>
      </c>
      <c r="U103" s="138">
        <v>-16428.979999999901</v>
      </c>
      <c r="V103" s="138">
        <v>-53172.309999999801</v>
      </c>
      <c r="W103" s="138">
        <v>28688.059999999899</v>
      </c>
      <c r="X103" s="138">
        <v>264867.76</v>
      </c>
      <c r="Y103" s="138">
        <v>348205.07</v>
      </c>
      <c r="Z103" s="138">
        <f t="shared" si="38"/>
        <v>3865987.7599999993</v>
      </c>
      <c r="AA103" s="142">
        <f t="shared" si="39"/>
        <v>0.34958873699018161</v>
      </c>
      <c r="AB103" s="140"/>
      <c r="AC103" s="138">
        <v>4612010.05162331</v>
      </c>
      <c r="AD103" s="142">
        <f t="shared" si="40"/>
        <v>0.31534289278242911</v>
      </c>
      <c r="AE103" s="141">
        <f t="shared" si="41"/>
        <v>-746022.29162331065</v>
      </c>
      <c r="AF103" s="138">
        <v>3135162.7</v>
      </c>
      <c r="AG103" s="142">
        <f t="shared" si="42"/>
        <v>0.26331468272417996</v>
      </c>
      <c r="AH103" s="141">
        <f t="shared" si="43"/>
        <v>730825.05999999912</v>
      </c>
      <c r="AI103" s="11"/>
      <c r="AJ103" s="11"/>
      <c r="AK103" s="11"/>
      <c r="AL103" s="11"/>
      <c r="AM103" s="11"/>
      <c r="AN103" s="11"/>
      <c r="AO103" s="11"/>
    </row>
    <row r="104" spans="1:41" hidden="1" outlineLevel="1" x14ac:dyDescent="0.25">
      <c r="A104" s="11"/>
      <c r="B104" s="11"/>
      <c r="C104" s="11"/>
      <c r="D104" s="11"/>
      <c r="E104" s="11"/>
      <c r="F104" s="11"/>
      <c r="G104" s="88" t="s">
        <v>499</v>
      </c>
      <c r="H104" s="88" t="s">
        <v>577</v>
      </c>
      <c r="I104" s="122" t="str">
        <f>IF(_epmOfflineCondition_,"T3",_xll.EVPRO($B$1,$H104,"STYLE"))</f>
        <v>T3</v>
      </c>
      <c r="J104" s="122" t="str">
        <f>IF(_epmOfflineCondition_,"Y",_xll.EVPRO($B$1,$H104,"CALC"))</f>
        <v>Y</v>
      </c>
      <c r="K104" s="11"/>
      <c r="L104" s="59"/>
      <c r="M104" s="90" t="str">
        <f>IF(_epmOfflineCondition_,"Income Before Income Taxes",IF(_xll.EVDES(H104,$B$1)="#NODATA","",_xll.EVDES(H104,$B$1)))</f>
        <v>Income Before Income Taxes</v>
      </c>
      <c r="N104" s="138">
        <v>262226.28000000003</v>
      </c>
      <c r="O104" s="138">
        <v>536631.30000000005</v>
      </c>
      <c r="P104" s="138">
        <v>526354.23</v>
      </c>
      <c r="Q104" s="138">
        <v>448666.5</v>
      </c>
      <c r="R104" s="138">
        <v>314589.17</v>
      </c>
      <c r="S104" s="138">
        <v>-85096</v>
      </c>
      <c r="T104" s="138">
        <v>-38272.4800000002</v>
      </c>
      <c r="U104" s="138">
        <v>-250228.78</v>
      </c>
      <c r="V104" s="138">
        <v>-291662.99</v>
      </c>
      <c r="W104" s="138">
        <v>-236397.8</v>
      </c>
      <c r="X104" s="138">
        <v>-11050.3400000002</v>
      </c>
      <c r="Y104" s="138">
        <v>52129.629999999903</v>
      </c>
      <c r="Z104" s="138">
        <f t="shared" si="38"/>
        <v>1227888.7199999993</v>
      </c>
      <c r="AA104" s="142">
        <f t="shared" si="39"/>
        <v>0.20317710492002866</v>
      </c>
      <c r="AB104" s="140"/>
      <c r="AC104" s="138">
        <v>2415280.05162331</v>
      </c>
      <c r="AD104" s="142">
        <f t="shared" si="40"/>
        <v>0.16514304822265313</v>
      </c>
      <c r="AE104" s="141">
        <f t="shared" si="41"/>
        <v>-1187391.3316233107</v>
      </c>
      <c r="AF104" s="138">
        <v>914444.57000000204</v>
      </c>
      <c r="AG104" s="142">
        <f t="shared" si="42"/>
        <v>7.6801973249554067E-2</v>
      </c>
      <c r="AH104" s="141">
        <f t="shared" si="43"/>
        <v>313444.14999999723</v>
      </c>
      <c r="AI104" s="11"/>
      <c r="AJ104" s="11"/>
      <c r="AK104" s="11"/>
      <c r="AL104" s="11"/>
      <c r="AM104" s="11"/>
      <c r="AN104" s="11"/>
      <c r="AO104" s="11"/>
    </row>
    <row r="105" spans="1:41" hidden="1" outlineLevel="1" x14ac:dyDescent="0.25">
      <c r="A105" s="11"/>
      <c r="B105" s="11"/>
      <c r="C105" s="11"/>
      <c r="D105" s="11"/>
      <c r="E105" s="11"/>
      <c r="F105" s="11"/>
      <c r="G105" s="88" t="s">
        <v>499</v>
      </c>
      <c r="H105" s="88" t="s">
        <v>579</v>
      </c>
      <c r="I105" s="136" t="str">
        <f>IF(_epmOfflineCondition_,"T1",_xll.EVPRO($B$1,$H105,"STYLE"))</f>
        <v>T1</v>
      </c>
      <c r="J105" s="136" t="str">
        <f>IF(_epmOfflineCondition_,"Y",_xll.EVPRO($B$1,$H105,"CALC"))</f>
        <v>Y</v>
      </c>
      <c r="K105" s="11"/>
      <c r="L105" s="59"/>
      <c r="M105" s="90" t="str">
        <f>IF(_epmOfflineCondition_,"Net Income",IF(_xll.EVDES(H105,$B$1)="#NODATA","",_xll.EVDES(H105,$B$1)))</f>
        <v>Net Income</v>
      </c>
      <c r="N105" s="138">
        <v>262226.28000000003</v>
      </c>
      <c r="O105" s="138">
        <v>536631.30000000005</v>
      </c>
      <c r="P105" s="138">
        <v>526354.23</v>
      </c>
      <c r="Q105" s="138">
        <v>448666.5</v>
      </c>
      <c r="R105" s="138">
        <v>314589.17</v>
      </c>
      <c r="S105" s="138">
        <v>-85096</v>
      </c>
      <c r="T105" s="138">
        <v>-38272.4800000002</v>
      </c>
      <c r="U105" s="138">
        <v>-250228.78</v>
      </c>
      <c r="V105" s="138">
        <v>-291662.99</v>
      </c>
      <c r="W105" s="138">
        <v>-236397.8</v>
      </c>
      <c r="X105" s="138">
        <v>-11050.3400000002</v>
      </c>
      <c r="Y105" s="138">
        <v>52129.63</v>
      </c>
      <c r="Z105" s="138">
        <f t="shared" si="38"/>
        <v>1227888.7199999993</v>
      </c>
      <c r="AA105" s="142">
        <f t="shared" si="39"/>
        <v>0.20317710492002866</v>
      </c>
      <c r="AB105" s="140"/>
      <c r="AC105" s="138">
        <v>2415280.05162331</v>
      </c>
      <c r="AD105" s="142">
        <f t="shared" si="40"/>
        <v>0.16514304822265313</v>
      </c>
      <c r="AE105" s="141">
        <f t="shared" si="41"/>
        <v>-1187391.3316233107</v>
      </c>
      <c r="AF105" s="138">
        <v>914444.570000001</v>
      </c>
      <c r="AG105" s="142">
        <f t="shared" si="42"/>
        <v>7.680197324955397E-2</v>
      </c>
      <c r="AH105" s="141">
        <f t="shared" si="43"/>
        <v>313444.14999999828</v>
      </c>
      <c r="AI105" s="11"/>
      <c r="AJ105" s="11"/>
      <c r="AK105" s="11"/>
      <c r="AL105" s="11"/>
      <c r="AM105" s="11"/>
      <c r="AN105" s="11"/>
      <c r="AO105" s="11"/>
    </row>
    <row r="106" spans="1:41" collapsed="1" x14ac:dyDescent="0.25">
      <c r="A106" s="11"/>
      <c r="B106" s="11"/>
      <c r="C106" s="11"/>
      <c r="D106" s="11"/>
      <c r="E106" s="11"/>
      <c r="F106" s="11"/>
      <c r="G106" s="11"/>
      <c r="H106" s="11"/>
      <c r="I106" s="59"/>
      <c r="J106" s="59"/>
      <c r="K106" s="11"/>
      <c r="L106" s="59"/>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c r="B107" s="11"/>
      <c r="C107" s="11"/>
      <c r="D107" s="11"/>
      <c r="E107" s="11"/>
      <c r="F107" s="11"/>
      <c r="G107" s="11"/>
      <c r="H107" s="11"/>
      <c r="I107" s="59"/>
      <c r="J107" s="59"/>
      <c r="K107" s="11"/>
      <c r="L107" s="59"/>
      <c r="M107" s="619" t="s">
        <v>826</v>
      </c>
      <c r="N107" s="619"/>
      <c r="O107" s="619"/>
      <c r="P107" s="619"/>
      <c r="Q107" s="619"/>
      <c r="R107" s="619"/>
      <c r="S107" s="619"/>
      <c r="T107" s="619"/>
      <c r="U107" s="619"/>
      <c r="V107" s="619"/>
      <c r="W107" s="619"/>
      <c r="X107" s="619"/>
      <c r="Y107" s="619"/>
      <c r="Z107" s="619"/>
      <c r="AA107" s="619"/>
      <c r="AB107" s="619"/>
      <c r="AC107" s="619"/>
      <c r="AD107" s="619"/>
      <c r="AE107" s="619"/>
      <c r="AF107" s="619"/>
      <c r="AG107" s="619"/>
      <c r="AH107" s="619"/>
      <c r="AI107" s="11"/>
      <c r="AJ107" s="11"/>
      <c r="AK107" s="11"/>
      <c r="AL107" s="11"/>
      <c r="AM107" s="11"/>
      <c r="AN107" s="11"/>
      <c r="AO107" s="11"/>
    </row>
    <row r="108" spans="1:41" x14ac:dyDescent="0.25">
      <c r="A108" s="11"/>
      <c r="B108" s="11"/>
      <c r="C108" s="11"/>
      <c r="D108" s="11"/>
      <c r="E108" s="11"/>
      <c r="F108" s="11"/>
      <c r="G108" s="11"/>
      <c r="H108" s="11"/>
      <c r="I108" s="59"/>
      <c r="J108" s="59"/>
      <c r="K108" s="11"/>
      <c r="L108" s="59"/>
      <c r="M108" s="619"/>
      <c r="N108" s="619"/>
      <c r="O108" s="619"/>
      <c r="P108" s="619"/>
      <c r="Q108" s="619"/>
      <c r="R108" s="619"/>
      <c r="S108" s="619"/>
      <c r="T108" s="619"/>
      <c r="U108" s="619"/>
      <c r="V108" s="619"/>
      <c r="W108" s="619"/>
      <c r="X108" s="619"/>
      <c r="Y108" s="619"/>
      <c r="Z108" s="619"/>
      <c r="AA108" s="619"/>
      <c r="AB108" s="619"/>
      <c r="AC108" s="619"/>
      <c r="AD108" s="619"/>
      <c r="AE108" s="619"/>
      <c r="AF108" s="619"/>
      <c r="AG108" s="619"/>
      <c r="AH108" s="619"/>
      <c r="AI108" s="11"/>
      <c r="AJ108" s="11"/>
      <c r="AK108" s="11"/>
      <c r="AL108" s="11"/>
      <c r="AM108" s="11"/>
      <c r="AN108" s="11"/>
      <c r="AO108" s="11"/>
    </row>
    <row r="109" spans="1:41" x14ac:dyDescent="0.25">
      <c r="A109" s="11"/>
      <c r="B109" s="11"/>
      <c r="C109" s="11"/>
      <c r="D109" s="11"/>
      <c r="E109" s="11"/>
      <c r="F109" s="11"/>
      <c r="G109" s="11"/>
      <c r="H109" s="11"/>
      <c r="I109" s="59"/>
      <c r="J109" s="59"/>
      <c r="K109" s="11"/>
      <c r="L109" s="59"/>
      <c r="M109" s="619"/>
      <c r="N109" s="619"/>
      <c r="O109" s="619"/>
      <c r="P109" s="619"/>
      <c r="Q109" s="619"/>
      <c r="R109" s="619"/>
      <c r="S109" s="619"/>
      <c r="T109" s="619"/>
      <c r="U109" s="619"/>
      <c r="V109" s="619"/>
      <c r="W109" s="619"/>
      <c r="X109" s="619"/>
      <c r="Y109" s="619"/>
      <c r="Z109" s="619"/>
      <c r="AA109" s="619"/>
      <c r="AB109" s="619"/>
      <c r="AC109" s="619"/>
      <c r="AD109" s="619"/>
      <c r="AE109" s="619"/>
      <c r="AF109" s="619"/>
      <c r="AG109" s="619"/>
      <c r="AH109" s="619"/>
      <c r="AI109" s="11"/>
      <c r="AJ109" s="11"/>
      <c r="AK109" s="11"/>
      <c r="AL109" s="11"/>
      <c r="AM109" s="11"/>
      <c r="AN109" s="11"/>
      <c r="AO109" s="11"/>
    </row>
    <row r="110" spans="1:41" x14ac:dyDescent="0.25">
      <c r="A110" s="11"/>
      <c r="B110" s="11"/>
      <c r="C110" s="11"/>
      <c r="D110" s="11"/>
      <c r="E110" s="11"/>
      <c r="F110" s="11"/>
      <c r="G110" s="11"/>
      <c r="H110" s="11"/>
      <c r="I110" s="59"/>
      <c r="J110" s="59"/>
      <c r="K110" s="11"/>
      <c r="L110" s="59"/>
      <c r="M110" s="619"/>
      <c r="N110" s="619"/>
      <c r="O110" s="619"/>
      <c r="P110" s="619"/>
      <c r="Q110" s="619"/>
      <c r="R110" s="619"/>
      <c r="S110" s="619"/>
      <c r="T110" s="619"/>
      <c r="U110" s="619"/>
      <c r="V110" s="619"/>
      <c r="W110" s="619"/>
      <c r="X110" s="619"/>
      <c r="Y110" s="619"/>
      <c r="Z110" s="619"/>
      <c r="AA110" s="619"/>
      <c r="AB110" s="619"/>
      <c r="AC110" s="619"/>
      <c r="AD110" s="619"/>
      <c r="AE110" s="619"/>
      <c r="AF110" s="619"/>
      <c r="AG110" s="619"/>
      <c r="AH110" s="619"/>
      <c r="AI110" s="11"/>
      <c r="AJ110" s="11"/>
      <c r="AK110" s="11"/>
      <c r="AL110" s="11"/>
      <c r="AM110" s="11"/>
      <c r="AN110" s="11"/>
      <c r="AO110" s="11"/>
    </row>
    <row r="111" spans="1:41" x14ac:dyDescent="0.25">
      <c r="A111" s="11"/>
      <c r="B111" s="11"/>
      <c r="C111" s="11"/>
      <c r="D111" s="11"/>
      <c r="E111" s="11"/>
      <c r="F111" s="11"/>
      <c r="G111" s="11"/>
      <c r="H111" s="11"/>
      <c r="I111" s="59"/>
      <c r="J111" s="59"/>
      <c r="K111" s="11"/>
      <c r="L111" s="59"/>
      <c r="M111" s="619"/>
      <c r="N111" s="619"/>
      <c r="O111" s="619"/>
      <c r="P111" s="619"/>
      <c r="Q111" s="619"/>
      <c r="R111" s="619"/>
      <c r="S111" s="619"/>
      <c r="T111" s="619"/>
      <c r="U111" s="619"/>
      <c r="V111" s="619"/>
      <c r="W111" s="619"/>
      <c r="X111" s="619"/>
      <c r="Y111" s="619"/>
      <c r="Z111" s="619"/>
      <c r="AA111" s="619"/>
      <c r="AB111" s="619"/>
      <c r="AC111" s="619"/>
      <c r="AD111" s="619"/>
      <c r="AE111" s="619"/>
      <c r="AF111" s="619"/>
      <c r="AG111" s="619"/>
      <c r="AH111" s="619"/>
      <c r="AI111" s="11"/>
      <c r="AJ111" s="11"/>
      <c r="AK111" s="11"/>
      <c r="AL111" s="11"/>
      <c r="AM111" s="11"/>
      <c r="AN111" s="11"/>
      <c r="AO111" s="11"/>
    </row>
    <row r="112" spans="1:41" x14ac:dyDescent="0.25">
      <c r="A112" s="11"/>
      <c r="B112" s="11"/>
      <c r="C112" s="11"/>
      <c r="D112" s="11"/>
      <c r="E112" s="11"/>
      <c r="F112" s="11"/>
      <c r="G112" s="11"/>
      <c r="H112" s="11"/>
      <c r="I112" s="59"/>
      <c r="J112" s="59"/>
      <c r="K112" s="11"/>
      <c r="L112" s="59"/>
      <c r="M112" s="619"/>
      <c r="N112" s="619"/>
      <c r="O112" s="619"/>
      <c r="P112" s="619"/>
      <c r="Q112" s="619"/>
      <c r="R112" s="619"/>
      <c r="S112" s="619"/>
      <c r="T112" s="619"/>
      <c r="U112" s="619"/>
      <c r="V112" s="619"/>
      <c r="W112" s="619"/>
      <c r="X112" s="619"/>
      <c r="Y112" s="619"/>
      <c r="Z112" s="619"/>
      <c r="AA112" s="619"/>
      <c r="AB112" s="619"/>
      <c r="AC112" s="619"/>
      <c r="AD112" s="619"/>
      <c r="AE112" s="619"/>
      <c r="AF112" s="619"/>
      <c r="AG112" s="619"/>
      <c r="AH112" s="619"/>
      <c r="AI112" s="11"/>
      <c r="AJ112" s="11"/>
      <c r="AK112" s="11"/>
      <c r="AL112" s="11"/>
      <c r="AM112" s="11"/>
      <c r="AN112" s="11"/>
      <c r="AO112" s="11"/>
    </row>
    <row r="113" spans="1:41" x14ac:dyDescent="0.25">
      <c r="A113" s="11"/>
      <c r="B113" s="11"/>
      <c r="C113" s="11"/>
      <c r="D113" s="11"/>
      <c r="E113" s="11"/>
      <c r="F113" s="11"/>
      <c r="G113" s="11"/>
      <c r="H113" s="11"/>
      <c r="I113" s="59"/>
      <c r="J113" s="59"/>
      <c r="K113" s="11"/>
      <c r="L113" s="59"/>
      <c r="M113" s="619"/>
      <c r="N113" s="619"/>
      <c r="O113" s="619"/>
      <c r="P113" s="619"/>
      <c r="Q113" s="619"/>
      <c r="R113" s="619"/>
      <c r="S113" s="619"/>
      <c r="T113" s="619"/>
      <c r="U113" s="619"/>
      <c r="V113" s="619"/>
      <c r="W113" s="619"/>
      <c r="X113" s="619"/>
      <c r="Y113" s="619"/>
      <c r="Z113" s="619"/>
      <c r="AA113" s="619"/>
      <c r="AB113" s="619"/>
      <c r="AC113" s="619"/>
      <c r="AD113" s="619"/>
      <c r="AE113" s="619"/>
      <c r="AF113" s="619"/>
      <c r="AG113" s="619"/>
      <c r="AH113" s="619"/>
      <c r="AI113" s="11"/>
      <c r="AJ113" s="11"/>
      <c r="AK113" s="11"/>
      <c r="AL113" s="11"/>
      <c r="AM113" s="11"/>
      <c r="AN113" s="11"/>
      <c r="AO113" s="11"/>
    </row>
    <row r="114" spans="1:41" x14ac:dyDescent="0.25">
      <c r="A114" s="11"/>
      <c r="B114" s="11"/>
      <c r="C114" s="11"/>
      <c r="D114" s="11"/>
      <c r="E114" s="11"/>
      <c r="F114" s="11"/>
      <c r="G114" s="11"/>
      <c r="H114" s="11"/>
      <c r="I114" s="59"/>
      <c r="J114" s="59"/>
      <c r="K114" s="11"/>
      <c r="L114" s="59"/>
      <c r="M114" s="11"/>
      <c r="N114" s="137"/>
      <c r="O114" s="137"/>
      <c r="P114" s="137"/>
      <c r="Q114" s="137"/>
      <c r="R114" s="137"/>
      <c r="S114" s="137"/>
      <c r="T114" s="137"/>
      <c r="U114" s="137"/>
      <c r="V114" s="137"/>
      <c r="W114" s="137"/>
      <c r="X114" s="137"/>
      <c r="Y114" s="137"/>
      <c r="Z114" s="137"/>
      <c r="AA114" s="11"/>
      <c r="AB114" s="11"/>
      <c r="AC114" s="11"/>
      <c r="AD114" s="11"/>
      <c r="AE114" s="11"/>
      <c r="AF114" s="11"/>
      <c r="AG114" s="11"/>
      <c r="AH114" s="11"/>
      <c r="AI114" s="11"/>
      <c r="AJ114" s="11"/>
      <c r="AK114" s="11"/>
      <c r="AL114" s="11"/>
      <c r="AM114" s="11"/>
      <c r="AN114" s="11"/>
      <c r="AO114" s="11"/>
    </row>
  </sheetData>
  <sheetProtection algorithmName="SHA-512" hashValue="aYUvYtT0wRykwOn6bQZcFcWb6H5loa0ltwWLC1Ko0IUlAp1VJVl+njUBLA/0RfcfF7K5FYAy068FUaWNzLTsWg==" saltValue="ZN9B+fppou9tfm5nI0ijLg==" spinCount="100000" sheet="1" scenarios="1"/>
  <mergeCells count="59">
    <mergeCell ref="AI46:AJ46"/>
    <mergeCell ref="AK46:AL46"/>
    <mergeCell ref="AI47:AJ47"/>
    <mergeCell ref="AK47:AL47"/>
    <mergeCell ref="AC31:AD31"/>
    <mergeCell ref="AF31:AG31"/>
    <mergeCell ref="AI48:AJ48"/>
    <mergeCell ref="AK48:AL48"/>
    <mergeCell ref="AI54:AJ54"/>
    <mergeCell ref="AK54:AL54"/>
    <mergeCell ref="AI55:AJ55"/>
    <mergeCell ref="AK55:AL55"/>
    <mergeCell ref="AI59:AJ59"/>
    <mergeCell ref="AK59:AL59"/>
    <mergeCell ref="AI49:AJ49"/>
    <mergeCell ref="AK49:AL49"/>
    <mergeCell ref="AI51:AJ51"/>
    <mergeCell ref="AK51:AL51"/>
    <mergeCell ref="AI56:AJ56"/>
    <mergeCell ref="AK56:AL56"/>
    <mergeCell ref="AI57:AJ57"/>
    <mergeCell ref="AK57:AL57"/>
    <mergeCell ref="AI58:AJ58"/>
    <mergeCell ref="AK58:AL58"/>
    <mergeCell ref="AI61:AJ61"/>
    <mergeCell ref="AK61:AL61"/>
    <mergeCell ref="AI63:AJ63"/>
    <mergeCell ref="AK63:AL63"/>
    <mergeCell ref="AI64:AJ64"/>
    <mergeCell ref="AK64:AL64"/>
    <mergeCell ref="AI67:AJ67"/>
    <mergeCell ref="AK67:AL67"/>
    <mergeCell ref="AI68:AJ68"/>
    <mergeCell ref="AK68:AL68"/>
    <mergeCell ref="AI69:AJ69"/>
    <mergeCell ref="AK69:AL69"/>
    <mergeCell ref="AI70:AJ70"/>
    <mergeCell ref="AK70:AL70"/>
    <mergeCell ref="AI71:AJ71"/>
    <mergeCell ref="AK71:AL71"/>
    <mergeCell ref="AI72:AJ72"/>
    <mergeCell ref="AK72:AL72"/>
    <mergeCell ref="AI74:AJ74"/>
    <mergeCell ref="AK74:AL74"/>
    <mergeCell ref="AI77:AJ77"/>
    <mergeCell ref="AK77:AL77"/>
    <mergeCell ref="AI78:AJ78"/>
    <mergeCell ref="AK78:AL78"/>
    <mergeCell ref="AI79:AJ79"/>
    <mergeCell ref="AK79:AL79"/>
    <mergeCell ref="AI80:AJ80"/>
    <mergeCell ref="AK80:AL80"/>
    <mergeCell ref="AI82:AJ82"/>
    <mergeCell ref="AK82:AL82"/>
    <mergeCell ref="M107:AH113"/>
    <mergeCell ref="AI83:AJ83"/>
    <mergeCell ref="AK83:AL83"/>
    <mergeCell ref="AI84:AJ84"/>
    <mergeCell ref="AK84:AL84"/>
  </mergeCells>
  <dataValidations disablePrompts="1" count="2">
    <dataValidation type="list" allowBlank="1" sqref="B28" xr:uid="{00000000-0002-0000-0100-000000000000}">
      <formula1>"ACCOUNT,BUSINESSUNIT,CATEGORY,DATASRC,DEPARTMENT,INTCO,MEASURES,RPTCURRENCY,TIME"</formula1>
    </dataValidation>
    <dataValidation type="list" allowBlank="1" sqref="B29" xr:uid="{00000000-0002-0000-0100-000001000000}">
      <formula1>"SELF,ALL,BAS,DEP,BASMEMBERS,MEMBERS,NOEXPAND,GDEP"</formula1>
    </dataValidation>
  </dataValidations>
  <pageMargins left="0.25" right="0.25" top="0.5" bottom="0.5" header="0.3" footer="0.3"/>
  <pageSetup scale="48"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tint="0.39997558519241921"/>
    <pageSetUpPr fitToPage="1"/>
  </sheetPr>
  <dimension ref="A1:AO130"/>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60</v>
      </c>
      <c r="C6" s="11" t="str">
        <f>IF(_epmOfflineCondition_,"Rooms",_xll.EVDES(B6,$B$1))</f>
        <v>Rooms</v>
      </c>
      <c r="D6" s="11"/>
      <c r="E6" s="58" t="str">
        <f>IF(_epmOfflineCondition_,"D_ROOMS",_xll.EVPRO($B$1,$B$6,$F$6))</f>
        <v>D_ROOMS</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IF(_epmOfflineCondition_,"'Rooms'!$B$2:$B$10",_xll.EVRNG($B$2:$B$10))</f>
        <v>'Rooms'!$B$2:$B$10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IF(_epmOfflineCondition_,"'Rooms'!$O$16:$AN$18",_xll.EVRNG($O$16:$AN$18))</f>
        <v>'Rooms'!$O$16:$AN$18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IF(_epmOfflineCondition_,"'Rooms'!$H$35:$H$51",_xll.EVRNG(H35:H51))</f>
        <v>'Rooms'!$H$35:$H$51</v>
      </c>
      <c r="C19" s="11"/>
      <c r="D19" s="11"/>
      <c r="E19" s="11"/>
      <c r="F19" s="11"/>
      <c r="G19" s="67" t="str">
        <f>$B$6</f>
        <v>D_ROOMS_CON</v>
      </c>
      <c r="H19" s="67">
        <v>400000</v>
      </c>
      <c r="I19" s="68"/>
      <c r="J19" s="68"/>
      <c r="K19" s="67"/>
      <c r="L19" s="68"/>
      <c r="M19" s="68"/>
      <c r="N19" s="67" t="str">
        <f>IF(_epmOfflineCondition_,"Total Revenue",_xll.EVDES(H19))</f>
        <v>Total Revenue</v>
      </c>
      <c r="O19" s="69">
        <f>IF(_epmOfflineCondition_,1025016.2,_xll.EVGTS($B$1,1,$B$3,$B$5,$B$7,$B$9,O$16,O$17,O$18,$G$19,$H$19))</f>
        <v>1025016.2</v>
      </c>
      <c r="P19" s="69">
        <f>IF(_epmOfflineCondition_,1285573.24,_xll.EVGTS($B$1,1,$B$3,$B$5,$B$7,$B$9,P$16,P$17,P$18,$G$19,$H$19))</f>
        <v>1285573.24</v>
      </c>
      <c r="Q19" s="69">
        <f>IF(_epmOfflineCondition_,1294193.36,_xll.EVGTS($B$1,1,$B$3,$B$5,$B$7,$B$9,Q$16,Q$17,Q$18,$G$19,$H$19))</f>
        <v>1294193.3600000001</v>
      </c>
      <c r="R19" s="69">
        <f>IF(_epmOfflineCondition_,1275725.45,_xll.EVGTS($B$1,1,$B$3,$B$5,$B$7,$B$9,R$16,R$17,R$18,$G$19,$H$19))</f>
        <v>1275725.45</v>
      </c>
      <c r="S19" s="69">
        <f>IF(_epmOfflineCondition_,1132388.9,_xll.EVGTS($B$1,1,$B$3,$B$5,$B$7,$B$9,S$16,S$17,S$18,$G$19,$H$19))</f>
        <v>1132388.8999999999</v>
      </c>
      <c r="T19" s="69">
        <f>IF(_epmOfflineCondition_,682344.89,_xll.EVGTS($B$1,1,$B$3,$B$5,$B$7,$B$9,T$16,T$17,T$18,$G$19,$H$19))</f>
        <v>682344.89</v>
      </c>
      <c r="U19" s="69">
        <f>IF(_epmOfflineCondition_,798763.55,_xll.EVGTS($B$1,1,$B$3,$B$5,$B$7,$B$9,U$16,U$17,U$18,$G$19,$H$19))</f>
        <v>798763.55</v>
      </c>
      <c r="V19" s="69">
        <f>IF(_epmOfflineCondition_,627939.34,_xll.EVGTS($B$1,1,$B$3,$B$5,$B$7,$B$9,V$16,V$17,V$18,$G$19,$H$19))</f>
        <v>627939.34</v>
      </c>
      <c r="W19" s="69">
        <f>IF(_epmOfflineCondition_,494100.26,_xll.EVGTS($B$1,1,$B$3,$B$5,$B$7,$B$9,W$16,W$17,W$18,$G$19,$H$19))</f>
        <v>494100.26</v>
      </c>
      <c r="X19" s="69">
        <f>IF(_epmOfflineCondition_,644565.39,_xll.EVGTS($B$1,1,$B$3,$B$5,$B$7,$B$9,X$16,X$17,X$18,$G$19,$H$19))</f>
        <v>644565.39</v>
      </c>
      <c r="Y19" s="69">
        <f>IF(_epmOfflineCondition_,900298.18,_xll.EVGTS($B$1,1,$B$3,$B$5,$B$7,$B$9,Y$16,Y$17,Y$18,$G$19,$H$19))</f>
        <v>900298.18</v>
      </c>
      <c r="Z19" s="69">
        <f>IF(_epmOfflineCondition_,1129613.74,_xll.EVGTS($B$1,1,$B$3,$B$5,$B$7,$B$9,Z$16,Z$17,Z$18,$G$19,$H$19))</f>
        <v>1129613.74</v>
      </c>
      <c r="AA19" s="69">
        <f>SUM(O19:Z19)</f>
        <v>11290522.5</v>
      </c>
      <c r="AB19" s="67"/>
      <c r="AC19" s="67"/>
      <c r="AD19" s="69">
        <f>IF(_epmOfflineCondition_,10497511.31,_xll.EVGTS($B$1,1,$B$3,$B$5,$B$7,$B$9,AD$16,AD$17,AD$18,$G$19,$H$19))</f>
        <v>10497511.310000001</v>
      </c>
      <c r="AE19" s="67"/>
      <c r="AF19" s="67"/>
      <c r="AG19" s="69">
        <f>IF(_epmOfflineCondition_,9389255.09,_xll.EVGTS($B$1,1,$B$3,$B$5,$B$7,$B$9,AG$16,AG$17,AG$18,$G$19,$H$19))</f>
        <v>9389255.0899999999</v>
      </c>
      <c r="AH19" s="67"/>
      <c r="AI19" s="67"/>
      <c r="AJ19" s="11"/>
      <c r="AK19" s="11"/>
      <c r="AL19" s="11"/>
      <c r="AM19" s="11"/>
      <c r="AN19" s="11"/>
      <c r="AO19" s="11"/>
    </row>
    <row r="20" spans="1:41" hidden="1" outlineLevel="1" x14ac:dyDescent="0.2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IF(_epmOfflineCondition_,3762,_xll.EVGTS($B$1,1,$B$3,$B$5,$B$7,$B$9,O$16,O$17,O$18,$G$20,$H$20))</f>
        <v>3762</v>
      </c>
      <c r="P20" s="69">
        <f>IF(_epmOfflineCondition_,3568,_xll.EVGTS($B$1,1,$B$3,$B$5,$B$7,$B$9,P$16,P$17,P$18,$G$20,$H$20))</f>
        <v>3568</v>
      </c>
      <c r="Q20" s="69">
        <f>IF(_epmOfflineCondition_,3855,_xll.EVGTS($B$1,1,$B$3,$B$5,$B$7,$B$9,Q$16,Q$17,Q$18,$G$20,$H$20))</f>
        <v>3855</v>
      </c>
      <c r="R20" s="69">
        <f>IF(_epmOfflineCondition_,3602,_xll.EVGTS($B$1,1,$B$3,$B$5,$B$7,$B$9,R$16,R$17,R$18,$G$20,$H$20))</f>
        <v>3602</v>
      </c>
      <c r="S20" s="69">
        <f>IF(_epmOfflineCondition_,3580,_xll.EVGTS($B$1,1,$B$3,$B$5,$B$7,$B$9,S$16,S$17,S$18,$G$20,$H$20))</f>
        <v>3580</v>
      </c>
      <c r="T20" s="69">
        <f>IF(_epmOfflineCondition_,3259,_xll.EVGTS($B$1,1,$B$3,$B$5,$B$7,$B$9,T$16,T$17,T$18,$G$20,$H$20))</f>
        <v>3259</v>
      </c>
      <c r="U20" s="69">
        <f>IF(_epmOfflineCondition_,3548,_xll.EVGTS($B$1,1,$B$3,$B$5,$B$7,$B$9,U$16,U$17,U$18,$G$20,$H$20))</f>
        <v>3548</v>
      </c>
      <c r="V20" s="69">
        <f>IF(_epmOfflineCondition_,3348,_xll.EVGTS($B$1,1,$B$3,$B$5,$B$7,$B$9,V$16,V$17,V$18,$G$20,$H$20))</f>
        <v>3348</v>
      </c>
      <c r="W20" s="69">
        <f>IF(_epmOfflineCondition_,2744,_xll.EVGTS($B$1,1,$B$3,$B$5,$B$7,$B$9,W$16,W$17,W$18,$G$20,$H$20))</f>
        <v>2744</v>
      </c>
      <c r="X20" s="69">
        <f>IF(_epmOfflineCondition_,3076,_xll.EVGTS($B$1,1,$B$3,$B$5,$B$7,$B$9,X$16,X$17,X$18,$G$20,$H$20))</f>
        <v>3076</v>
      </c>
      <c r="Y20" s="69">
        <f>IF(_epmOfflineCondition_,3431,_xll.EVGTS($B$1,1,$B$3,$B$5,$B$7,$B$9,Y$16,Y$17,Y$18,$G$20,$H$20))</f>
        <v>3431</v>
      </c>
      <c r="Z20" s="69">
        <f>IF(_epmOfflineCondition_,3541,_xll.EVGTS($B$1,1,$B$3,$B$5,$B$7,$B$9,Z$16,Z$17,Z$18,$G$20,$H$20))</f>
        <v>3541</v>
      </c>
      <c r="AA20" s="69">
        <f>SUM(O20:Z20)</f>
        <v>41314</v>
      </c>
      <c r="AB20" s="67"/>
      <c r="AC20" s="67"/>
      <c r="AD20" s="69">
        <f>IF(_epmOfflineCondition_,39032,_xll.EVGTS($B$1,1,$B$3,$B$5,$B$7,$B$9,AD$16,AD$17,AD$18,$G$20,$H$20))</f>
        <v>39032</v>
      </c>
      <c r="AE20" s="67"/>
      <c r="AF20" s="67"/>
      <c r="AG20" s="69">
        <f>IF(_epmOfflineCondition_,40219,_xll.EVGTS($B$1,1,$B$3,$B$5,$B$7,$B$9,AG$16,AG$17,AG$18,$G$20,$H$20))</f>
        <v>40219</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IF(_epmOfflineCondition_,"'Rooms'!$A$36:$F$41",_xll.EVRNG(A36:F41))</f>
        <v>'Rooms'!$A$36:$F$41</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IF(_epmOfflineCondition_,"'Rooms'!$A$89:$B$110",_xll.EVRNG($A$89:$B$110))</f>
        <v>'Rooms'!$A$89:$B$110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IF(_epmOfflineCondition_,"Rooms Department",IF(_xll.EVDES(B6,$B$1)="#NODATA","",_xll.EVDES(B6,$B$1)&amp;" Department"))</f>
        <v>Rooms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118</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4"/>
      <c r="AM30" s="75"/>
      <c r="AN30" s="74"/>
      <c r="AO30" s="11"/>
    </row>
    <row r="31" spans="1:4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77"/>
      <c r="AM31" s="80" t="str">
        <f>IF(_epmOfflineCondition_,"2021",_xll.EVPRO($B$1,AG$16,"YEAR"))</f>
        <v>2021</v>
      </c>
      <c r="AN31" s="77"/>
      <c r="AO31" s="11"/>
    </row>
    <row r="32" spans="1:41" s="8" customFormat="1" ht="30" customHeight="1" x14ac:dyDescent="0.25">
      <c r="A32" s="81" t="s">
        <v>16</v>
      </c>
      <c r="B32" s="82"/>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
        <v>747</v>
      </c>
      <c r="AM32" s="87" t="str">
        <f>AG32</f>
        <v>Actual</v>
      </c>
      <c r="AN32" s="8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33" t="s">
        <v>364</v>
      </c>
      <c r="M33" s="133" t="s">
        <v>782</v>
      </c>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70</v>
      </c>
      <c r="I34" s="59" t="str">
        <f>IF(_epmOfflineCondition_,"B1",_xll.EVPRO($B$1,$H34,"STYLE"))</f>
        <v>B1</v>
      </c>
      <c r="J34" s="59" t="str">
        <f>IF(_epmOfflineCondition_,"Y",_xll.EVPRO($B$1,$H34,"CALC"))</f>
        <v>Y</v>
      </c>
      <c r="K34" s="11"/>
      <c r="L34" s="59"/>
      <c r="M34" s="59"/>
      <c r="N34" s="53" t="str">
        <f>IF(_epmOfflineCondition_,"Transient Rooms Revenue",IF(_xll.EVDES(H34,$B$1)="#NODATA","",_xll.EVDES(H34,$B$1)))</f>
        <v>Transient Rooms Revenue</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25">
      <c r="A35" s="97" t="s">
        <v>92</v>
      </c>
      <c r="B35" s="98" t="s">
        <v>93</v>
      </c>
      <c r="C35" s="98" t="s">
        <v>94</v>
      </c>
      <c r="D35" s="98" t="s">
        <v>95</v>
      </c>
      <c r="E35" s="98" t="s">
        <v>96</v>
      </c>
      <c r="F35" s="99" t="s">
        <v>97</v>
      </c>
      <c r="G35" s="11"/>
      <c r="H35" s="88" t="s">
        <v>83</v>
      </c>
      <c r="I35" s="122" t="str">
        <f>IF(_epmOfflineCondition_,"T5",_xll.EVPRO($B$1,$H35,"STYLE"))</f>
        <v>T5</v>
      </c>
      <c r="J35" s="122" t="str">
        <f>IF(_epmOfflineCondition_,"Y",_xll.EVPRO($B$1,$H35,"CALC"))</f>
        <v>Y</v>
      </c>
      <c r="K35" s="179" t="str">
        <f t="shared" ref="K35:K51" si="0">IF(AND(I35&gt;="T5"),"&gt;","")</f>
        <v>&gt;</v>
      </c>
      <c r="L35" s="90" t="str">
        <f>IF(_epmOfflineCondition_,"",_xll.EVPRO($B$1,H35,"JDEID"))</f>
        <v/>
      </c>
      <c r="M35" s="90" t="str">
        <f>IF(_epmOfflineCondition_,"",IF(AND(I35="N",J35="N"),_xll.EVPRO($B$1,H35,"PSFTID"),""))</f>
        <v/>
      </c>
      <c r="N35" s="90" t="str">
        <f>IF(_epmOfflineCondition_,"Retail",IF(_xll.EVDES(H35,$B$1)="#NODATA","",_xll.EVDES(H35,$B$1)))</f>
        <v>Retail</v>
      </c>
      <c r="O35" s="138">
        <v>320663.46000000002</v>
      </c>
      <c r="P35" s="138">
        <v>380049.56</v>
      </c>
      <c r="Q35" s="138">
        <v>374209.73</v>
      </c>
      <c r="R35" s="138">
        <v>374498.39</v>
      </c>
      <c r="S35" s="138">
        <v>385882.59</v>
      </c>
      <c r="T35" s="138">
        <v>291325.88</v>
      </c>
      <c r="U35" s="138">
        <v>395004.58</v>
      </c>
      <c r="V35" s="138">
        <v>327119.71000000002</v>
      </c>
      <c r="W35" s="138">
        <v>242212.1</v>
      </c>
      <c r="X35" s="138">
        <v>297016.98</v>
      </c>
      <c r="Y35" s="138">
        <v>398206.37</v>
      </c>
      <c r="Z35" s="138">
        <v>584498.5</v>
      </c>
      <c r="AA35" s="210">
        <f t="shared" ref="AA35:AA51" si="1">IF($I35="B1","",SUM(O35:Z35))</f>
        <v>4370687.8500000006</v>
      </c>
      <c r="AB35" s="142">
        <f t="shared" ref="AB35:AB51" si="2">IF(AA35=0,"",IFERROR(AA35/AA$19,""))</f>
        <v>0.38711121208075183</v>
      </c>
      <c r="AC35" s="140"/>
      <c r="AD35" s="138">
        <v>2960493.98</v>
      </c>
      <c r="AE35" s="142">
        <f t="shared" ref="AE35:AE51" si="3">IF(AD35=0,"",IFERROR(AD35/AD$19,""))</f>
        <v>0.28201865114256303</v>
      </c>
      <c r="AF35" s="141">
        <f t="shared" ref="AF35:AF51" si="4">IF(AND($AA35="",AD35=""),"",$AA35-AD35)</f>
        <v>1410193.8700000006</v>
      </c>
      <c r="AG35" s="138">
        <v>2615675.67</v>
      </c>
      <c r="AH35" s="142">
        <f t="shared" ref="AH35:AH51" si="5">IF(AG35=0,"",IFERROR(AG35/AG$19,""))</f>
        <v>0.27858180919866776</v>
      </c>
      <c r="AI35" s="141">
        <f t="shared" ref="AI35:AI51" si="6">IF(AND($AA35="",AG35=""),"",$AA35-AG35)</f>
        <v>1755012.1800000006</v>
      </c>
      <c r="AJ35" s="211">
        <f t="shared" ref="AJ35:AJ51" si="7">IFERROR(AA35/AA$20,0)</f>
        <v>105.7919313065789</v>
      </c>
      <c r="AK35" s="212">
        <f t="shared" ref="AK35:AK51" si="8">IFERROR(AD35/AD$20,0)</f>
        <v>75.847867903258859</v>
      </c>
      <c r="AL35" s="213">
        <f t="shared" ref="AL35:AL51" si="9">AJ35-AK35</f>
        <v>29.944063403320044</v>
      </c>
      <c r="AM35" s="214">
        <f t="shared" ref="AM35:AM51" si="10">IFERROR(AG35/AG$20,0)</f>
        <v>65.035820632039588</v>
      </c>
      <c r="AN35" s="213">
        <f t="shared" ref="AN35:AN51" si="11">AJ35-AM35</f>
        <v>40.756110674539315</v>
      </c>
      <c r="AO35" s="11"/>
    </row>
    <row r="36" spans="1:41" x14ac:dyDescent="0.25">
      <c r="A36" s="11"/>
      <c r="B36" s="11"/>
      <c r="C36" s="11"/>
      <c r="D36" s="11"/>
      <c r="E36" s="11"/>
      <c r="F36" s="11"/>
      <c r="G36" s="11"/>
      <c r="H36" s="185" t="s">
        <v>84</v>
      </c>
      <c r="I36" s="122" t="str">
        <f>IF(_epmOfflineCondition_,"T5",_xll.EVPRO($B$1,$H36,"STYLE"))</f>
        <v>T5</v>
      </c>
      <c r="J36" s="122" t="str">
        <f>IF(_epmOfflineCondition_,"Y",_xll.EVPRO($B$1,$H36,"CALC"))</f>
        <v>Y</v>
      </c>
      <c r="K36" s="179" t="str">
        <f t="shared" si="0"/>
        <v>&gt;</v>
      </c>
      <c r="L36" s="90" t="str">
        <f>IF(_epmOfflineCondition_,"",_xll.EVPRO($B$1,H36,"JDEID"))</f>
        <v/>
      </c>
      <c r="M36" s="90" t="str">
        <f>IF(_epmOfflineCondition_,"",IF(AND(I36="N",J36="N"),_xll.EVPRO($B$1,H36,"PSFTID"),""))</f>
        <v/>
      </c>
      <c r="N36" s="90" t="str">
        <f>IF(_epmOfflineCondition_,"Discount",IF(_xll.EVDES(H36,$B$1)="#NODATA","",_xll.EVDES(H36,$B$1)))</f>
        <v>Discount</v>
      </c>
      <c r="O36" s="138">
        <v>482466.24</v>
      </c>
      <c r="P36" s="138">
        <v>660209.51</v>
      </c>
      <c r="Q36" s="138">
        <v>532320.76</v>
      </c>
      <c r="R36" s="138">
        <v>586474.84</v>
      </c>
      <c r="S36" s="138">
        <v>339133.16</v>
      </c>
      <c r="T36" s="138">
        <v>243720.13</v>
      </c>
      <c r="U36" s="138">
        <v>272202.03000000003</v>
      </c>
      <c r="V36" s="138">
        <v>226541.94</v>
      </c>
      <c r="W36" s="138">
        <v>182294.06</v>
      </c>
      <c r="X36" s="138">
        <v>234902.66</v>
      </c>
      <c r="Y36" s="138">
        <v>298459.63</v>
      </c>
      <c r="Z36" s="138">
        <v>409039.49</v>
      </c>
      <c r="AA36" s="210">
        <f t="shared" si="1"/>
        <v>4467764.45</v>
      </c>
      <c r="AB36" s="142">
        <f t="shared" si="2"/>
        <v>0.39570927297651637</v>
      </c>
      <c r="AC36" s="140"/>
      <c r="AD36" s="138">
        <v>5269966.78</v>
      </c>
      <c r="AE36" s="142">
        <f t="shared" si="3"/>
        <v>0.5020205860583159</v>
      </c>
      <c r="AF36" s="141">
        <f t="shared" si="4"/>
        <v>-802202.33000000007</v>
      </c>
      <c r="AG36" s="138">
        <v>5390759.8700000001</v>
      </c>
      <c r="AH36" s="142">
        <f t="shared" si="5"/>
        <v>0.5741413795159761</v>
      </c>
      <c r="AI36" s="141">
        <f t="shared" si="6"/>
        <v>-922995.41999999993</v>
      </c>
      <c r="AJ36" s="211">
        <f t="shared" si="7"/>
        <v>108.14165779154766</v>
      </c>
      <c r="AK36" s="212">
        <f t="shared" si="8"/>
        <v>135.0165705062513</v>
      </c>
      <c r="AL36" s="213">
        <f t="shared" si="9"/>
        <v>-26.87491271470364</v>
      </c>
      <c r="AM36" s="214">
        <f t="shared" si="10"/>
        <v>134.03515428031528</v>
      </c>
      <c r="AN36" s="213">
        <f t="shared" si="11"/>
        <v>-25.893496488767624</v>
      </c>
      <c r="AO36" s="11"/>
    </row>
    <row r="37" spans="1:41" x14ac:dyDescent="0.25">
      <c r="A37" s="11" t="s">
        <v>105</v>
      </c>
      <c r="B37" s="11"/>
      <c r="C37" s="104" t="s">
        <v>101</v>
      </c>
      <c r="D37" s="11" t="s">
        <v>103</v>
      </c>
      <c r="E37" s="11"/>
      <c r="F37" s="11" t="s">
        <v>98</v>
      </c>
      <c r="G37" s="11"/>
      <c r="H37" s="185" t="s">
        <v>85</v>
      </c>
      <c r="I37" s="122" t="str">
        <f>IF(_epmOfflineCondition_,"T5",_xll.EVPRO($B$1,$H37,"STYLE"))</f>
        <v>T5</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IF(_epmOfflineCondition_,"Negotiated",IF(_xll.EVDES(H37,$B$1)="#NODATA","",_xll.EVDES(H37,$B$1)))</f>
        <v>Negotiated</v>
      </c>
      <c r="O37" s="138">
        <v>58478.879999999997</v>
      </c>
      <c r="P37" s="138">
        <v>107021.88</v>
      </c>
      <c r="Q37" s="138">
        <v>39965.03</v>
      </c>
      <c r="R37" s="138">
        <v>41565.24</v>
      </c>
      <c r="S37" s="138">
        <v>27446.42</v>
      </c>
      <c r="T37" s="138">
        <v>13993.34</v>
      </c>
      <c r="U37" s="138">
        <v>29584.51</v>
      </c>
      <c r="V37" s="138">
        <v>13800.39</v>
      </c>
      <c r="W37" s="138">
        <v>15330.3</v>
      </c>
      <c r="X37" s="138">
        <v>16608.53</v>
      </c>
      <c r="Y37" s="138">
        <v>45299.68</v>
      </c>
      <c r="Z37" s="138">
        <v>22596.43</v>
      </c>
      <c r="AA37" s="210">
        <f t="shared" si="1"/>
        <v>431690.63</v>
      </c>
      <c r="AB37" s="142">
        <f t="shared" si="2"/>
        <v>3.8234778771310186E-2</v>
      </c>
      <c r="AC37" s="140"/>
      <c r="AD37" s="138">
        <v>636269.17000000004</v>
      </c>
      <c r="AE37" s="142">
        <f t="shared" si="3"/>
        <v>6.0611429815168261E-2</v>
      </c>
      <c r="AF37" s="141">
        <f t="shared" si="4"/>
        <v>-204578.54000000004</v>
      </c>
      <c r="AG37" s="138">
        <v>402231.83</v>
      </c>
      <c r="AH37" s="142">
        <f t="shared" si="5"/>
        <v>4.2839589098862159E-2</v>
      </c>
      <c r="AI37" s="141">
        <f t="shared" si="6"/>
        <v>29458.799999999988</v>
      </c>
      <c r="AJ37" s="211">
        <f t="shared" si="7"/>
        <v>10.449015587936293</v>
      </c>
      <c r="AK37" s="212">
        <f t="shared" si="8"/>
        <v>16.301218743595001</v>
      </c>
      <c r="AL37" s="213">
        <f t="shared" si="9"/>
        <v>-5.8522031556587084</v>
      </c>
      <c r="AM37" s="214">
        <f t="shared" si="10"/>
        <v>10.00104005569507</v>
      </c>
      <c r="AN37" s="213">
        <f t="shared" si="11"/>
        <v>0.44797553224122311</v>
      </c>
      <c r="AO37" s="11"/>
    </row>
    <row r="38" spans="1:41" x14ac:dyDescent="0.25">
      <c r="A38" s="11" t="s">
        <v>104</v>
      </c>
      <c r="B38" s="11"/>
      <c r="C38" s="104" t="s">
        <v>101</v>
      </c>
      <c r="D38" s="11" t="s">
        <v>106</v>
      </c>
      <c r="E38" s="11"/>
      <c r="F38" s="11" t="s">
        <v>98</v>
      </c>
      <c r="G38" s="11"/>
      <c r="H38" s="88" t="s">
        <v>86</v>
      </c>
      <c r="I38" s="122" t="str">
        <f>IF(_epmOfflineCondition_,"T5",_xll.EVPRO($B$1,$H38,"STYLE"))</f>
        <v>T5</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IF(_epmOfflineCondition_,"Qualified",IF(_xll.EVDES(H38,$B$1)="#NODATA","",_xll.EVDES(H38,$B$1)))</f>
        <v>Qualified</v>
      </c>
      <c r="O38" s="138">
        <v>20835.150000000001</v>
      </c>
      <c r="P38" s="138">
        <v>17518.96</v>
      </c>
      <c r="Q38" s="138">
        <v>20307.509999999998</v>
      </c>
      <c r="R38" s="138">
        <v>14852.5</v>
      </c>
      <c r="S38" s="138">
        <v>19974.36</v>
      </c>
      <c r="T38" s="138">
        <v>11796.7</v>
      </c>
      <c r="U38" s="138">
        <v>10201.450000000001</v>
      </c>
      <c r="V38" s="138">
        <v>12682.95</v>
      </c>
      <c r="W38" s="138">
        <v>8238.5499999999993</v>
      </c>
      <c r="X38" s="138">
        <v>13482.09</v>
      </c>
      <c r="Y38" s="138">
        <v>10567.45</v>
      </c>
      <c r="Z38" s="138">
        <v>10275.799999999999</v>
      </c>
      <c r="AA38" s="210">
        <f t="shared" si="1"/>
        <v>170733.46999999997</v>
      </c>
      <c r="AB38" s="142">
        <f t="shared" si="2"/>
        <v>1.5121839578283464E-2</v>
      </c>
      <c r="AC38" s="140"/>
      <c r="AD38" s="138">
        <v>494959.42</v>
      </c>
      <c r="AE38" s="142">
        <f t="shared" si="3"/>
        <v>4.7150167823920161E-2</v>
      </c>
      <c r="AF38" s="141">
        <f t="shared" si="4"/>
        <v>-324225.95</v>
      </c>
      <c r="AG38" s="138">
        <v>299652.34000000003</v>
      </c>
      <c r="AH38" s="142">
        <f t="shared" si="5"/>
        <v>3.1914389067897828E-2</v>
      </c>
      <c r="AI38" s="141">
        <f t="shared" si="6"/>
        <v>-128918.87000000005</v>
      </c>
      <c r="AJ38" s="211">
        <f t="shared" si="7"/>
        <v>4.1325814493876161</v>
      </c>
      <c r="AK38" s="212">
        <f t="shared" si="8"/>
        <v>12.680862369337978</v>
      </c>
      <c r="AL38" s="213">
        <f t="shared" si="9"/>
        <v>-8.5482809199503613</v>
      </c>
      <c r="AM38" s="214">
        <f t="shared" si="10"/>
        <v>7.4505169198637464</v>
      </c>
      <c r="AN38" s="213">
        <f t="shared" si="11"/>
        <v>-3.3179354704761304</v>
      </c>
      <c r="AO38" s="11"/>
    </row>
    <row r="39" spans="1:41" x14ac:dyDescent="0.25">
      <c r="A39" s="11" t="s">
        <v>100</v>
      </c>
      <c r="B39" s="11"/>
      <c r="C39" s="53" t="s">
        <v>101</v>
      </c>
      <c r="D39" s="11" t="s">
        <v>106</v>
      </c>
      <c r="E39" s="11"/>
      <c r="F39" s="11" t="s">
        <v>98</v>
      </c>
      <c r="G39" s="11"/>
      <c r="H39" s="88" t="s">
        <v>65</v>
      </c>
      <c r="I39" s="122" t="str">
        <f>IF(_epmOfflineCondition_,"T5",_xll.EVPRO($B$1,$H39,"STYLE"))</f>
        <v>T5</v>
      </c>
      <c r="J39" s="122" t="str">
        <f>IF(_epmOfflineCondition_,"Y",_xll.EVPRO($B$1,$H39,"CALC"))</f>
        <v>Y</v>
      </c>
      <c r="K39" s="179" t="str">
        <f t="shared" si="0"/>
        <v>&gt;</v>
      </c>
      <c r="L39" s="90" t="str">
        <f>IF(_epmOfflineCondition_,"402200",_xll.EVPRO($B$1,H39,"JDEID"))</f>
        <v>402200</v>
      </c>
      <c r="M39" s="90" t="str">
        <f>IF(_epmOfflineCondition_,"",IF(AND(I39="N",J39="N"),_xll.EVPRO($B$1,H39,"PSFTID"),""))</f>
        <v/>
      </c>
      <c r="N39" s="90" t="str">
        <f>IF(_epmOfflineCondition_,"Wholesale",IF(_xll.EVDES(H39,$B$1)="#NODATA","",_xll.EVDES(H39,$B$1)))</f>
        <v>Wholesale</v>
      </c>
      <c r="O39" s="215">
        <v>26345.67</v>
      </c>
      <c r="P39" s="215">
        <v>42111.02</v>
      </c>
      <c r="Q39" s="215">
        <v>103952.2</v>
      </c>
      <c r="R39" s="215">
        <v>86180.479999999996</v>
      </c>
      <c r="S39" s="215">
        <v>60526.28</v>
      </c>
      <c r="T39" s="215">
        <v>30429.35</v>
      </c>
      <c r="U39" s="215">
        <v>37264.699999999997</v>
      </c>
      <c r="V39" s="215">
        <v>31712.959999999999</v>
      </c>
      <c r="W39" s="215">
        <v>12568.74</v>
      </c>
      <c r="X39" s="215">
        <v>21450.58</v>
      </c>
      <c r="Y39" s="215">
        <v>8393.18</v>
      </c>
      <c r="Z39" s="215">
        <v>8032.88</v>
      </c>
      <c r="AA39" s="216">
        <f t="shared" si="1"/>
        <v>468968.04000000004</v>
      </c>
      <c r="AB39" s="217">
        <f t="shared" si="2"/>
        <v>4.1536433765576398E-2</v>
      </c>
      <c r="AC39" s="140"/>
      <c r="AD39" s="215">
        <v>299603.65999999997</v>
      </c>
      <c r="AE39" s="217">
        <f t="shared" si="3"/>
        <v>2.8540446507030241E-2</v>
      </c>
      <c r="AF39" s="218">
        <f t="shared" si="4"/>
        <v>169364.38000000006</v>
      </c>
      <c r="AG39" s="215">
        <v>281620.14</v>
      </c>
      <c r="AH39" s="217">
        <f t="shared" si="5"/>
        <v>2.9993874625894312E-2</v>
      </c>
      <c r="AI39" s="218">
        <f t="shared" si="6"/>
        <v>187347.90000000002</v>
      </c>
      <c r="AJ39" s="219">
        <f t="shared" si="7"/>
        <v>11.351310451662876</v>
      </c>
      <c r="AK39" s="220">
        <f t="shared" si="8"/>
        <v>7.675846997335519</v>
      </c>
      <c r="AL39" s="221">
        <f t="shared" si="9"/>
        <v>3.6754634543273568</v>
      </c>
      <c r="AM39" s="222">
        <f t="shared" si="10"/>
        <v>7.0021666376588181</v>
      </c>
      <c r="AN39" s="221">
        <f t="shared" si="11"/>
        <v>4.3491438140040577</v>
      </c>
      <c r="AO39" s="11"/>
    </row>
    <row r="40" spans="1:41" x14ac:dyDescent="0.25">
      <c r="A40" s="11" t="s">
        <v>102</v>
      </c>
      <c r="B40" s="11"/>
      <c r="C40" s="106" t="s">
        <v>101</v>
      </c>
      <c r="D40" s="11" t="s">
        <v>106</v>
      </c>
      <c r="E40" s="11"/>
      <c r="F40" s="11" t="s">
        <v>98</v>
      </c>
      <c r="G40" s="11"/>
      <c r="H40" s="88" t="s">
        <v>66</v>
      </c>
      <c r="I40" s="188" t="str">
        <f>IF(_epmOfflineCondition_,"T4",_xll.EVPRO($B$1,$H40,"STYLE"))</f>
        <v>T4</v>
      </c>
      <c r="J40" s="188" t="str">
        <f>IF(_epmOfflineCondition_,"Y",_xll.EVPRO($B$1,$H40,"CALC"))</f>
        <v>Y</v>
      </c>
      <c r="K40" s="189" t="str">
        <f t="shared" si="0"/>
        <v/>
      </c>
      <c r="L40" s="190" t="str">
        <f>IF(_epmOfflineCondition_,"402000",_xll.EVPRO($B$1,H40,"JDEID"))</f>
        <v>402000</v>
      </c>
      <c r="M40" s="190" t="str">
        <f>IF(_epmOfflineCondition_,"",IF(AND(I40="N",J40="N"),_xll.EVPRO($B$1,H40,"PSFTID"),""))</f>
        <v/>
      </c>
      <c r="N40" s="190" t="str">
        <f>IF(_epmOfflineCondition_,"Total Transient Room Rev",IF(_xll.EVDES(H40,$B$1)="#NODATA","",_xll.EVDES(H40,$B$1)))</f>
        <v>Total Transient Room Rev</v>
      </c>
      <c r="O40" s="223">
        <v>908789.4</v>
      </c>
      <c r="P40" s="223">
        <v>1206910.93</v>
      </c>
      <c r="Q40" s="223">
        <v>1070755.23</v>
      </c>
      <c r="R40" s="223">
        <v>1103571.45</v>
      </c>
      <c r="S40" s="223">
        <v>832962.81</v>
      </c>
      <c r="T40" s="223">
        <v>591265.4</v>
      </c>
      <c r="U40" s="223">
        <v>744257.27</v>
      </c>
      <c r="V40" s="223">
        <v>611857.94999999995</v>
      </c>
      <c r="W40" s="223">
        <v>460643.75</v>
      </c>
      <c r="X40" s="223">
        <v>583460.84</v>
      </c>
      <c r="Y40" s="223">
        <v>760926.31</v>
      </c>
      <c r="Z40" s="223">
        <v>1034443.1</v>
      </c>
      <c r="AA40" s="223">
        <f t="shared" si="1"/>
        <v>9909844.4399999995</v>
      </c>
      <c r="AB40" s="224">
        <f t="shared" si="2"/>
        <v>0.87771353717243816</v>
      </c>
      <c r="AC40" s="225"/>
      <c r="AD40" s="223">
        <v>9661293.0099999998</v>
      </c>
      <c r="AE40" s="224">
        <f t="shared" si="3"/>
        <v>0.92034128134699755</v>
      </c>
      <c r="AF40" s="226">
        <f t="shared" si="4"/>
        <v>248551.4299999997</v>
      </c>
      <c r="AG40" s="223">
        <v>8989939.8499999996</v>
      </c>
      <c r="AH40" s="224">
        <f t="shared" si="5"/>
        <v>0.95747104150729812</v>
      </c>
      <c r="AI40" s="226">
        <f t="shared" si="6"/>
        <v>919904.58999999985</v>
      </c>
      <c r="AJ40" s="227">
        <f t="shared" si="7"/>
        <v>239.86649658711332</v>
      </c>
      <c r="AK40" s="228">
        <f t="shared" si="8"/>
        <v>247.52236651977864</v>
      </c>
      <c r="AL40" s="229">
        <f t="shared" si="9"/>
        <v>-7.6558699326653255</v>
      </c>
      <c r="AM40" s="230">
        <f t="shared" si="10"/>
        <v>223.52469852557249</v>
      </c>
      <c r="AN40" s="229">
        <f t="shared" si="11"/>
        <v>16.341798061540828</v>
      </c>
      <c r="AO40" s="11"/>
    </row>
    <row r="41" spans="1:41" x14ac:dyDescent="0.25">
      <c r="A41" s="11" t="s">
        <v>102</v>
      </c>
      <c r="B41" s="11"/>
      <c r="C41" s="196" t="s">
        <v>101</v>
      </c>
      <c r="D41" s="11" t="s">
        <v>107</v>
      </c>
      <c r="E41" s="11"/>
      <c r="F41" s="11" t="s">
        <v>99</v>
      </c>
      <c r="G41" s="11"/>
      <c r="H41" s="88" t="s">
        <v>71</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IF(_epmOfflineCondition_,"Group Rooms Revenue",IF(_xll.EVDES(H41,$B$1)="#NODATA","",_xll.EVDES(H41,$B$1)))</f>
        <v>Group Rooms Revenue</v>
      </c>
      <c r="O41" s="231"/>
      <c r="P41" s="231"/>
      <c r="Q41" s="231"/>
      <c r="R41" s="231"/>
      <c r="S41" s="231"/>
      <c r="T41" s="231"/>
      <c r="U41" s="231"/>
      <c r="V41" s="231"/>
      <c r="W41" s="231"/>
      <c r="X41" s="231"/>
      <c r="Y41" s="231"/>
      <c r="Z41" s="231"/>
      <c r="AA41" s="232" t="str">
        <f t="shared" si="1"/>
        <v/>
      </c>
      <c r="AB41" s="233" t="str">
        <f t="shared" si="2"/>
        <v/>
      </c>
      <c r="AC41" s="140"/>
      <c r="AD41" s="231"/>
      <c r="AE41" s="233" t="str">
        <f t="shared" si="3"/>
        <v/>
      </c>
      <c r="AF41" s="234" t="str">
        <f t="shared" si="4"/>
        <v/>
      </c>
      <c r="AG41" s="231"/>
      <c r="AH41" s="233" t="str">
        <f t="shared" si="5"/>
        <v/>
      </c>
      <c r="AI41" s="234" t="str">
        <f t="shared" si="6"/>
        <v/>
      </c>
      <c r="AJ41" s="235">
        <f t="shared" si="7"/>
        <v>0</v>
      </c>
      <c r="AK41" s="236">
        <f t="shared" si="8"/>
        <v>0</v>
      </c>
      <c r="AL41" s="237">
        <f t="shared" si="9"/>
        <v>0</v>
      </c>
      <c r="AM41" s="238">
        <f t="shared" si="10"/>
        <v>0</v>
      </c>
      <c r="AN41" s="237">
        <f t="shared" si="11"/>
        <v>0</v>
      </c>
      <c r="AO41" s="11"/>
    </row>
    <row r="42" spans="1:41" x14ac:dyDescent="0.25">
      <c r="A42" s="11"/>
      <c r="B42" s="11"/>
      <c r="C42" s="11"/>
      <c r="D42" s="11"/>
      <c r="E42" s="11"/>
      <c r="F42" s="11"/>
      <c r="G42" s="11"/>
      <c r="H42" s="88" t="s">
        <v>87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IF(_epmOfflineCondition_,"Corporate",IF(_xll.EVDES(H42,$B$1)="#NODATA","",_xll.EVDES(H42,$B$1)))</f>
        <v>Corporate</v>
      </c>
      <c r="O42" s="138">
        <v>107355</v>
      </c>
      <c r="P42" s="138">
        <v>77003</v>
      </c>
      <c r="Q42" s="138">
        <v>179795.48</v>
      </c>
      <c r="R42" s="138">
        <v>152948</v>
      </c>
      <c r="S42" s="138">
        <v>252561</v>
      </c>
      <c r="T42" s="138">
        <v>79926.350000000006</v>
      </c>
      <c r="U42" s="138">
        <v>46797</v>
      </c>
      <c r="V42" s="138">
        <v>9983</v>
      </c>
      <c r="W42" s="138">
        <v>18387</v>
      </c>
      <c r="X42" s="138">
        <v>50679</v>
      </c>
      <c r="Y42" s="138">
        <v>101210</v>
      </c>
      <c r="Z42" s="138">
        <v>75577</v>
      </c>
      <c r="AA42" s="210">
        <f t="shared" si="1"/>
        <v>1152221.83</v>
      </c>
      <c r="AB42" s="142">
        <f t="shared" si="2"/>
        <v>0.10205212646270358</v>
      </c>
      <c r="AC42" s="140"/>
      <c r="AD42" s="138">
        <v>514195.3</v>
      </c>
      <c r="AE42" s="142">
        <f t="shared" si="3"/>
        <v>4.8982590712731505E-2</v>
      </c>
      <c r="AF42" s="141">
        <f t="shared" si="4"/>
        <v>638026.53</v>
      </c>
      <c r="AG42" s="138">
        <v>269957.84999999998</v>
      </c>
      <c r="AH42" s="142">
        <f t="shared" si="5"/>
        <v>2.8751785675470445E-2</v>
      </c>
      <c r="AI42" s="141">
        <f t="shared" si="6"/>
        <v>882263.9800000001</v>
      </c>
      <c r="AJ42" s="211">
        <f t="shared" si="7"/>
        <v>27.889379629181391</v>
      </c>
      <c r="AK42" s="212">
        <f t="shared" si="8"/>
        <v>13.173685693789711</v>
      </c>
      <c r="AL42" s="213">
        <f t="shared" si="9"/>
        <v>14.71569393539168</v>
      </c>
      <c r="AM42" s="214">
        <f t="shared" si="10"/>
        <v>6.712196971580596</v>
      </c>
      <c r="AN42" s="213">
        <f t="shared" si="11"/>
        <v>21.177182657600795</v>
      </c>
      <c r="AO42" s="11"/>
    </row>
    <row r="43" spans="1:41" x14ac:dyDescent="0.25">
      <c r="A43" s="11"/>
      <c r="B43" s="11"/>
      <c r="C43" s="11"/>
      <c r="D43" s="11"/>
      <c r="E43" s="11"/>
      <c r="F43" s="11"/>
      <c r="G43" s="11"/>
      <c r="H43" s="88" t="s">
        <v>88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IF(_epmOfflineCondition_,"Association/Convention",IF(_xll.EVDES(H43,$B$1)="#NODATA","",_xll.EVDES(H43,$B$1)))</f>
        <v>Association/Convention</v>
      </c>
      <c r="O43" s="138">
        <v>5736</v>
      </c>
      <c r="P43" s="138"/>
      <c r="Q43" s="138">
        <v>14109</v>
      </c>
      <c r="R43" s="138">
        <v>19872</v>
      </c>
      <c r="S43" s="138">
        <v>27508</v>
      </c>
      <c r="T43" s="138">
        <v>2879</v>
      </c>
      <c r="U43" s="138"/>
      <c r="V43" s="138"/>
      <c r="W43" s="138"/>
      <c r="X43" s="138"/>
      <c r="Y43" s="138"/>
      <c r="Z43" s="138"/>
      <c r="AA43" s="210">
        <f t="shared" si="1"/>
        <v>70104</v>
      </c>
      <c r="AB43" s="142">
        <f t="shared" si="2"/>
        <v>6.2091014831244526E-3</v>
      </c>
      <c r="AC43" s="140"/>
      <c r="AD43" s="138">
        <v>46287.5</v>
      </c>
      <c r="AE43" s="142">
        <f t="shared" si="3"/>
        <v>4.4093784358113734E-3</v>
      </c>
      <c r="AF43" s="141">
        <f t="shared" si="4"/>
        <v>23816.5</v>
      </c>
      <c r="AG43" s="138">
        <v>13852</v>
      </c>
      <c r="AH43" s="142">
        <f t="shared" si="5"/>
        <v>1.4753034045004311E-3</v>
      </c>
      <c r="AI43" s="141">
        <f t="shared" si="6"/>
        <v>56252</v>
      </c>
      <c r="AJ43" s="211">
        <f t="shared" si="7"/>
        <v>1.6968582078714238</v>
      </c>
      <c r="AK43" s="212">
        <f t="shared" si="8"/>
        <v>1.1858859397417503</v>
      </c>
      <c r="AL43" s="213">
        <f t="shared" si="9"/>
        <v>0.51097226812967356</v>
      </c>
      <c r="AM43" s="214">
        <f t="shared" si="10"/>
        <v>0.34441433153484674</v>
      </c>
      <c r="AN43" s="213">
        <f t="shared" si="11"/>
        <v>1.3524438763365771</v>
      </c>
      <c r="AO43" s="11"/>
    </row>
    <row r="44" spans="1:41" x14ac:dyDescent="0.25">
      <c r="A44" s="61" t="str">
        <f>IF(_epmOfflineCondition_,"Evdre:Ok",_xll.EVDRE($B$1,A47:B54,A57:B63))</f>
        <v>Evdre:Ok</v>
      </c>
      <c r="B44" s="11"/>
      <c r="C44" s="11"/>
      <c r="D44" s="11"/>
      <c r="E44" s="11"/>
      <c r="F44" s="11"/>
      <c r="G44" s="11"/>
      <c r="H44" s="88" t="s">
        <v>89</v>
      </c>
      <c r="I44" s="122" t="str">
        <f>IF(_epmOfflineCondition_,"T5",_xll.EVPRO($B$1,$H44,"STYLE"))</f>
        <v>T5</v>
      </c>
      <c r="J44" s="122" t="str">
        <f>IF(_epmOfflineCondition_,"Y",_xll.EVPRO($B$1,$H44,"CALC"))</f>
        <v>Y</v>
      </c>
      <c r="K44" s="179" t="str">
        <f t="shared" si="0"/>
        <v>&gt;</v>
      </c>
      <c r="L44" s="90" t="str">
        <f>IF(_epmOfflineCondition_,"401800",_xll.EVPRO($B$1,H44,"JDEID"))</f>
        <v>401800</v>
      </c>
      <c r="M44" s="90" t="str">
        <f>IF(_epmOfflineCondition_,"",IF(AND(I44="N",J44="N"),_xll.EVPRO($B$1,H44,"PSFTID"),""))</f>
        <v/>
      </c>
      <c r="N44" s="90" t="str">
        <f>IF(_epmOfflineCondition_,"Government",IF(_xll.EVDES(H44,$B$1)="#NODATA","",_xll.EVDES(H44,$B$1)))</f>
        <v>Government</v>
      </c>
      <c r="O44" s="138"/>
      <c r="P44" s="138"/>
      <c r="Q44" s="138"/>
      <c r="R44" s="138"/>
      <c r="S44" s="138"/>
      <c r="T44" s="138"/>
      <c r="U44" s="138"/>
      <c r="V44" s="138"/>
      <c r="W44" s="138"/>
      <c r="X44" s="138"/>
      <c r="Y44" s="138"/>
      <c r="Z44" s="138"/>
      <c r="AA44" s="210">
        <f t="shared" si="1"/>
        <v>0</v>
      </c>
      <c r="AB44" s="142" t="str">
        <f t="shared" si="2"/>
        <v/>
      </c>
      <c r="AC44" s="140"/>
      <c r="AD44" s="138"/>
      <c r="AE44" s="142" t="str">
        <f t="shared" si="3"/>
        <v/>
      </c>
      <c r="AF44" s="141">
        <f t="shared" si="4"/>
        <v>0</v>
      </c>
      <c r="AG44" s="138"/>
      <c r="AH44" s="142" t="str">
        <f t="shared" si="5"/>
        <v/>
      </c>
      <c r="AI44" s="141">
        <f t="shared" si="6"/>
        <v>0</v>
      </c>
      <c r="AJ44" s="211">
        <f t="shared" si="7"/>
        <v>0</v>
      </c>
      <c r="AK44" s="212">
        <f t="shared" si="8"/>
        <v>0</v>
      </c>
      <c r="AL44" s="213">
        <f t="shared" si="9"/>
        <v>0</v>
      </c>
      <c r="AM44" s="214">
        <f t="shared" si="10"/>
        <v>0</v>
      </c>
      <c r="AN44" s="213">
        <f t="shared" si="11"/>
        <v>0</v>
      </c>
      <c r="AO44" s="11"/>
    </row>
    <row r="45" spans="1:41" x14ac:dyDescent="0.25">
      <c r="A45" s="11"/>
      <c r="B45" s="11"/>
      <c r="C45" s="11"/>
      <c r="D45" s="11"/>
      <c r="E45" s="11"/>
      <c r="F45" s="11"/>
      <c r="G45" s="11"/>
      <c r="H45" s="88" t="s">
        <v>90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IF(_epmOfflineCondition_,"Tour/Wholesalers",IF(_xll.EVDES(H45,$B$1)="#NODATA","",_xll.EVDES(H45,$B$1)))</f>
        <v>Tour/Wholesalers</v>
      </c>
      <c r="O45" s="138"/>
      <c r="P45" s="138"/>
      <c r="Q45" s="138"/>
      <c r="R45" s="138"/>
      <c r="S45" s="138"/>
      <c r="T45" s="138"/>
      <c r="U45" s="138"/>
      <c r="V45" s="138"/>
      <c r="W45" s="138"/>
      <c r="X45" s="138"/>
      <c r="Y45" s="138"/>
      <c r="Z45" s="138"/>
      <c r="AA45" s="210">
        <f t="shared" si="1"/>
        <v>0</v>
      </c>
      <c r="AB45" s="142" t="str">
        <f t="shared" si="2"/>
        <v/>
      </c>
      <c r="AC45" s="140"/>
      <c r="AD45" s="138">
        <v>42801</v>
      </c>
      <c r="AE45" s="142">
        <f t="shared" si="3"/>
        <v>4.0772520968115058E-3</v>
      </c>
      <c r="AF45" s="141">
        <f t="shared" si="4"/>
        <v>-42801</v>
      </c>
      <c r="AG45" s="138"/>
      <c r="AH45" s="142" t="str">
        <f t="shared" si="5"/>
        <v/>
      </c>
      <c r="AI45" s="141">
        <f t="shared" si="6"/>
        <v>0</v>
      </c>
      <c r="AJ45" s="211">
        <f t="shared" si="7"/>
        <v>0</v>
      </c>
      <c r="AK45" s="212">
        <f t="shared" si="8"/>
        <v>1.0965617954498872</v>
      </c>
      <c r="AL45" s="213">
        <f t="shared" si="9"/>
        <v>-1.0965617954498872</v>
      </c>
      <c r="AM45" s="214">
        <f t="shared" si="10"/>
        <v>0</v>
      </c>
      <c r="AN45" s="213">
        <f t="shared" si="11"/>
        <v>0</v>
      </c>
      <c r="AO45" s="11"/>
    </row>
    <row r="46" spans="1:41" x14ac:dyDescent="0.25">
      <c r="A46" s="62" t="s">
        <v>0</v>
      </c>
      <c r="B46" s="63" t="s">
        <v>1</v>
      </c>
      <c r="C46" s="11"/>
      <c r="D46" s="11"/>
      <c r="E46" s="11"/>
      <c r="F46" s="11"/>
      <c r="G46" s="11"/>
      <c r="H46" s="88" t="s">
        <v>68</v>
      </c>
      <c r="I46" s="122" t="str">
        <f>IF(_epmOfflineCondition_,"T5",_xll.EVPRO($B$1,$H46,"STYLE"))</f>
        <v>T5</v>
      </c>
      <c r="J46" s="122" t="str">
        <f>IF(_epmOfflineCondition_,"Y",_xll.EVPRO($B$1,$H46,"CALC"))</f>
        <v>Y</v>
      </c>
      <c r="K46" s="179" t="str">
        <f t="shared" si="0"/>
        <v>&gt;</v>
      </c>
      <c r="L46" s="90" t="str">
        <f>IF(_epmOfflineCondition_,"401200",_xll.EVPRO($B$1,H46,"JDEID"))</f>
        <v>401200</v>
      </c>
      <c r="M46" s="90" t="str">
        <f>IF(_epmOfflineCondition_,"",IF(AND(I46="N",J46="N"),_xll.EVPRO($B$1,H46,"PSFTID"),""))</f>
        <v/>
      </c>
      <c r="N46" s="90" t="str">
        <f>IF(_epmOfflineCondition_,"SMERF",IF(_xll.EVDES(H46,$B$1)="#NODATA","",_xll.EVDES(H46,$B$1)))</f>
        <v>SMERF</v>
      </c>
      <c r="O46" s="215"/>
      <c r="P46" s="215"/>
      <c r="Q46" s="215">
        <v>20398.47</v>
      </c>
      <c r="R46" s="215"/>
      <c r="S46" s="215">
        <v>7672</v>
      </c>
      <c r="T46" s="215">
        <v>3582</v>
      </c>
      <c r="U46" s="215">
        <v>1495</v>
      </c>
      <c r="V46" s="215">
        <v>498</v>
      </c>
      <c r="W46" s="215">
        <v>10815</v>
      </c>
      <c r="X46" s="215">
        <v>6454</v>
      </c>
      <c r="Y46" s="215">
        <v>27128</v>
      </c>
      <c r="Z46" s="215">
        <v>10413</v>
      </c>
      <c r="AA46" s="216">
        <f t="shared" si="1"/>
        <v>88455.47</v>
      </c>
      <c r="AB46" s="217">
        <f t="shared" si="2"/>
        <v>7.8344886164479991E-3</v>
      </c>
      <c r="AC46" s="140"/>
      <c r="AD46" s="215">
        <v>184064.35</v>
      </c>
      <c r="AE46" s="217">
        <f t="shared" si="3"/>
        <v>1.7534093992797994E-2</v>
      </c>
      <c r="AF46" s="218">
        <f t="shared" si="4"/>
        <v>-95608.88</v>
      </c>
      <c r="AG46" s="215">
        <v>70398</v>
      </c>
      <c r="AH46" s="217">
        <f t="shared" si="5"/>
        <v>7.4977193957566661E-3</v>
      </c>
      <c r="AI46" s="218">
        <f t="shared" si="6"/>
        <v>18057.47</v>
      </c>
      <c r="AJ46" s="219">
        <f t="shared" si="7"/>
        <v>2.1410531538945636</v>
      </c>
      <c r="AK46" s="220">
        <f t="shared" si="8"/>
        <v>4.7157294015167048</v>
      </c>
      <c r="AL46" s="221">
        <f t="shared" si="9"/>
        <v>-2.5746762476221412</v>
      </c>
      <c r="AM46" s="222">
        <f t="shared" si="10"/>
        <v>1.7503667420870732</v>
      </c>
      <c r="AN46" s="221">
        <f t="shared" si="11"/>
        <v>0.39068641180749042</v>
      </c>
      <c r="AO46" s="11"/>
    </row>
    <row r="47" spans="1:41" x14ac:dyDescent="0.25">
      <c r="A47" s="65" t="s">
        <v>2</v>
      </c>
      <c r="B47" s="66" t="str">
        <f>IF(_epmOfflineCondition_,"'Rooms'!$B$2:$B$10",_xll.EVRNG($B$2:$B$10))</f>
        <v>'Rooms'!$B$2:$B$10</v>
      </c>
      <c r="C47" s="11"/>
      <c r="D47" s="11"/>
      <c r="E47" s="11"/>
      <c r="F47" s="11"/>
      <c r="G47" s="11"/>
      <c r="H47" s="88" t="s">
        <v>64</v>
      </c>
      <c r="I47" s="188" t="str">
        <f>IF(_epmOfflineCondition_,"T4",_xll.EVPRO($B$1,$H47,"STYLE"))</f>
        <v>T4</v>
      </c>
      <c r="J47" s="188" t="str">
        <f>IF(_epmOfflineCondition_,"Y",_xll.EVPRO($B$1,$H47,"CALC"))</f>
        <v>Y</v>
      </c>
      <c r="K47" s="189" t="str">
        <f t="shared" si="0"/>
        <v/>
      </c>
      <c r="L47" s="190" t="str">
        <f>IF(_epmOfflineCondition_,"401000",_xll.EVPRO($B$1,H47,"JDEID"))</f>
        <v>401000</v>
      </c>
      <c r="M47" s="190" t="str">
        <f>IF(_epmOfflineCondition_,"",IF(AND(I47="N",J47="N"),_xll.EVPRO($B$1,H47,"PSFTID"),""))</f>
        <v/>
      </c>
      <c r="N47" s="190" t="str">
        <f>IF(_epmOfflineCondition_,"Total Group Room Rev",IF(_xll.EVDES(H47,$B$1)="#NODATA","",_xll.EVDES(H47,$B$1)))</f>
        <v>Total Group Room Rev</v>
      </c>
      <c r="O47" s="223">
        <v>113091</v>
      </c>
      <c r="P47" s="223">
        <v>77003</v>
      </c>
      <c r="Q47" s="223">
        <v>214302.95</v>
      </c>
      <c r="R47" s="223">
        <v>172820</v>
      </c>
      <c r="S47" s="223">
        <v>287741</v>
      </c>
      <c r="T47" s="223">
        <v>86387.35</v>
      </c>
      <c r="U47" s="223">
        <v>48292</v>
      </c>
      <c r="V47" s="223">
        <v>10481</v>
      </c>
      <c r="W47" s="223">
        <v>29202</v>
      </c>
      <c r="X47" s="223">
        <v>57133</v>
      </c>
      <c r="Y47" s="223">
        <v>128338</v>
      </c>
      <c r="Z47" s="223">
        <v>85990</v>
      </c>
      <c r="AA47" s="223">
        <f t="shared" si="1"/>
        <v>1310781.2999999998</v>
      </c>
      <c r="AB47" s="224">
        <f t="shared" si="2"/>
        <v>0.11609571656227601</v>
      </c>
      <c r="AC47" s="225"/>
      <c r="AD47" s="223">
        <v>787348.15</v>
      </c>
      <c r="AE47" s="224">
        <f t="shared" si="3"/>
        <v>7.5003315238152388E-2</v>
      </c>
      <c r="AF47" s="226">
        <f t="shared" si="4"/>
        <v>523433.14999999979</v>
      </c>
      <c r="AG47" s="223">
        <v>354207.85</v>
      </c>
      <c r="AH47" s="224">
        <f t="shared" si="5"/>
        <v>3.7724808475727546E-2</v>
      </c>
      <c r="AI47" s="226">
        <f t="shared" si="6"/>
        <v>956573.44999999984</v>
      </c>
      <c r="AJ47" s="227">
        <f t="shared" si="7"/>
        <v>31.727290990947374</v>
      </c>
      <c r="AK47" s="228">
        <f t="shared" si="8"/>
        <v>20.171862830498053</v>
      </c>
      <c r="AL47" s="229">
        <f t="shared" si="9"/>
        <v>11.555428160449321</v>
      </c>
      <c r="AM47" s="230">
        <f t="shared" si="10"/>
        <v>8.8069780452025164</v>
      </c>
      <c r="AN47" s="229">
        <f t="shared" si="11"/>
        <v>22.920312945744858</v>
      </c>
      <c r="AO47" s="11"/>
    </row>
    <row r="48" spans="1:41" x14ac:dyDescent="0.25">
      <c r="A48" s="65" t="s">
        <v>3</v>
      </c>
      <c r="B48" s="66" t="str">
        <f>IF(_epmOfflineCondition_,"'Rooms'!$O$16:$AN$18",_xll.EVRNG($O$16:$AN$18))</f>
        <v>'Rooms'!$O$16:$AN$18</v>
      </c>
      <c r="C48" s="11"/>
      <c r="D48" s="11"/>
      <c r="E48" s="11"/>
      <c r="F48" s="11"/>
      <c r="G48" s="11"/>
      <c r="H48" s="88" t="s">
        <v>119</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IF(_epmOfflineCondition_,"Contract Rooms Revenue",IF(_xll.EVDES(H48,$B$1)="#NODATA","",_xll.EVDES(H48,$B$1)))</f>
        <v>Contract Rooms Revenue</v>
      </c>
      <c r="O48" s="231"/>
      <c r="P48" s="231"/>
      <c r="Q48" s="231"/>
      <c r="R48" s="231"/>
      <c r="S48" s="231"/>
      <c r="T48" s="231"/>
      <c r="U48" s="231"/>
      <c r="V48" s="231"/>
      <c r="W48" s="231"/>
      <c r="X48" s="231"/>
      <c r="Y48" s="231"/>
      <c r="Z48" s="231"/>
      <c r="AA48" s="232">
        <f t="shared" si="1"/>
        <v>0</v>
      </c>
      <c r="AB48" s="233" t="str">
        <f t="shared" si="2"/>
        <v/>
      </c>
      <c r="AC48" s="140"/>
      <c r="AD48" s="231"/>
      <c r="AE48" s="233" t="str">
        <f t="shared" si="3"/>
        <v/>
      </c>
      <c r="AF48" s="234">
        <f t="shared" si="4"/>
        <v>0</v>
      </c>
      <c r="AG48" s="231"/>
      <c r="AH48" s="233" t="str">
        <f t="shared" si="5"/>
        <v/>
      </c>
      <c r="AI48" s="234">
        <f t="shared" si="6"/>
        <v>0</v>
      </c>
      <c r="AJ48" s="235">
        <f t="shared" si="7"/>
        <v>0</v>
      </c>
      <c r="AK48" s="236">
        <f t="shared" si="8"/>
        <v>0</v>
      </c>
      <c r="AL48" s="237">
        <f t="shared" si="9"/>
        <v>0</v>
      </c>
      <c r="AM48" s="238">
        <f t="shared" si="10"/>
        <v>0</v>
      </c>
      <c r="AN48" s="237">
        <f t="shared" si="11"/>
        <v>0</v>
      </c>
      <c r="AO48" s="11"/>
    </row>
    <row r="49" spans="1:41" x14ac:dyDescent="0.25">
      <c r="A49" s="65" t="s">
        <v>4</v>
      </c>
      <c r="B49" s="66" t="str">
        <f>IF(_epmOfflineCondition_,"'Rooms'!$H$55:$H$56,'Rooms'!$H$58:$H$68,'Rooms'!$H$71:$H$94",_xll.EVRNG(H55:H56,H58:H68,H71:H94))</f>
        <v>'Rooms'!$H$55:$H$56,'Rooms'!$H$58:$H$68,'Rooms'!$H$71:$H$94</v>
      </c>
      <c r="C49" s="11"/>
      <c r="D49" s="11"/>
      <c r="E49" s="11"/>
      <c r="F49" s="11"/>
      <c r="G49" s="11"/>
      <c r="H49" s="88" t="s">
        <v>67</v>
      </c>
      <c r="I49" s="122" t="str">
        <f>IF(_epmOfflineCondition_,"T5",_xll.EVPRO($B$1,$H49,"STYLE"))</f>
        <v>T5</v>
      </c>
      <c r="J49" s="122" t="str">
        <f>IF(_epmOfflineCondition_,"Y",_xll.EVPRO($B$1,$H49,"CALC"))</f>
        <v>Y</v>
      </c>
      <c r="K49" s="179" t="str">
        <f t="shared" si="0"/>
        <v>&gt;</v>
      </c>
      <c r="L49" s="90" t="str">
        <f>IF(_epmOfflineCondition_,"403000",_xll.EVPRO($B$1,H49,"JDEID"))</f>
        <v>403000</v>
      </c>
      <c r="M49" s="90" t="str">
        <f>IF(_epmOfflineCondition_,"",IF(AND(I49="N",J49="N"),_xll.EVPRO($B$1,H49,"PSFTID"),""))</f>
        <v/>
      </c>
      <c r="N49" s="90" t="str">
        <f>IF(_epmOfflineCondition_,"Other Rooms Revenue",IF(_xll.EVDES(H49,$B$1)="#NODATA","",_xll.EVDES(H49,$B$1)))</f>
        <v>Other Rooms Revenue</v>
      </c>
      <c r="O49" s="138">
        <v>8082.15</v>
      </c>
      <c r="P49" s="138">
        <v>7137.03</v>
      </c>
      <c r="Q49" s="138">
        <v>12816.25</v>
      </c>
      <c r="R49" s="138">
        <v>7475.72</v>
      </c>
      <c r="S49" s="138">
        <v>12153.86</v>
      </c>
      <c r="T49" s="138">
        <v>5725.29</v>
      </c>
      <c r="U49" s="138">
        <v>7778.88</v>
      </c>
      <c r="V49" s="138">
        <v>6899.82</v>
      </c>
      <c r="W49" s="138">
        <v>4271.71</v>
      </c>
      <c r="X49" s="138">
        <v>8149.67</v>
      </c>
      <c r="Y49" s="138">
        <v>13848.62</v>
      </c>
      <c r="Z49" s="138">
        <v>10719.86</v>
      </c>
      <c r="AA49" s="210">
        <f t="shared" si="1"/>
        <v>105058.86</v>
      </c>
      <c r="AB49" s="142">
        <f t="shared" si="2"/>
        <v>9.3050485484617741E-3</v>
      </c>
      <c r="AC49" s="140"/>
      <c r="AD49" s="138">
        <v>98591.85</v>
      </c>
      <c r="AE49" s="142">
        <f t="shared" si="3"/>
        <v>9.391926056424511E-3</v>
      </c>
      <c r="AF49" s="141">
        <f t="shared" si="4"/>
        <v>6467.0099999999948</v>
      </c>
      <c r="AG49" s="138">
        <v>86577.83</v>
      </c>
      <c r="AH49" s="142">
        <f t="shared" si="5"/>
        <v>9.2209476864900056E-3</v>
      </c>
      <c r="AI49" s="141">
        <f t="shared" si="6"/>
        <v>18481.03</v>
      </c>
      <c r="AJ49" s="211">
        <f t="shared" si="7"/>
        <v>2.5429360507334078</v>
      </c>
      <c r="AK49" s="212">
        <f t="shared" si="8"/>
        <v>2.5259236011477761</v>
      </c>
      <c r="AL49" s="213">
        <f t="shared" si="9"/>
        <v>1.7012449585631639E-2</v>
      </c>
      <c r="AM49" s="214">
        <f t="shared" si="10"/>
        <v>2.1526599368457693</v>
      </c>
      <c r="AN49" s="213">
        <f t="shared" si="11"/>
        <v>0.3902761138876385</v>
      </c>
      <c r="AO49" s="11"/>
    </row>
    <row r="50" spans="1:41" x14ac:dyDescent="0.25">
      <c r="A50" s="65" t="s">
        <v>5</v>
      </c>
      <c r="B50" s="66"/>
      <c r="C50" s="11"/>
      <c r="D50" s="11"/>
      <c r="E50" s="11"/>
      <c r="F50" s="11"/>
      <c r="G50" s="11"/>
      <c r="H50" s="88" t="s">
        <v>91</v>
      </c>
      <c r="I50" s="122" t="str">
        <f>IF(_epmOfflineCondition_,"N",_xll.EVPRO($B$1,$H50,"STYLE"))</f>
        <v>N</v>
      </c>
      <c r="J50" s="122" t="str">
        <f>IF(_epmOfflineCondition_,"N",_xll.EVPRO($B$1,$H50,"CALC"))</f>
        <v>N</v>
      </c>
      <c r="K50" s="179" t="str">
        <f t="shared" si="0"/>
        <v/>
      </c>
      <c r="L50" s="90" t="str">
        <f>IF(_epmOfflineCondition_,"403990",_xll.EVPRO($B$1,H50,"JDEID"))</f>
        <v>403990</v>
      </c>
      <c r="M50" s="90" t="str">
        <f>IF(_epmOfflineCondition_,"200529",IF(AND(I50="N",J50="N"),_xll.EVPRO($B$1,H50,"PSFTID"),""))</f>
        <v>200529</v>
      </c>
      <c r="N50" s="90" t="str">
        <f>IF(_epmOfflineCondition_,"Rooms: Allowances",IF(_xll.EVDES(H50,$B$1)="#NODATA","",_xll.EVDES(H50,$B$1)))</f>
        <v>Rooms: Allowances</v>
      </c>
      <c r="O50" s="215">
        <v>-4946.3500000000004</v>
      </c>
      <c r="P50" s="215">
        <v>-5477.72</v>
      </c>
      <c r="Q50" s="215">
        <v>-3681.07</v>
      </c>
      <c r="R50" s="215">
        <v>-8141.72</v>
      </c>
      <c r="S50" s="215">
        <v>-468.77</v>
      </c>
      <c r="T50" s="215">
        <v>-1033.1500000000001</v>
      </c>
      <c r="U50" s="215">
        <v>-1564.6</v>
      </c>
      <c r="V50" s="215">
        <v>-1299.43</v>
      </c>
      <c r="W50" s="215">
        <v>-17.2</v>
      </c>
      <c r="X50" s="215">
        <v>-4178.12</v>
      </c>
      <c r="Y50" s="215">
        <v>-2814.75</v>
      </c>
      <c r="Z50" s="215">
        <v>-1539.22</v>
      </c>
      <c r="AA50" s="216">
        <f t="shared" si="1"/>
        <v>-35162.100000000006</v>
      </c>
      <c r="AB50" s="217">
        <f t="shared" si="2"/>
        <v>-3.1143022831760007E-3</v>
      </c>
      <c r="AC50" s="140"/>
      <c r="AD50" s="215">
        <v>-49721.7</v>
      </c>
      <c r="AE50" s="217">
        <f t="shared" si="3"/>
        <v>-4.7365226415745573E-3</v>
      </c>
      <c r="AF50" s="218">
        <f t="shared" si="4"/>
        <v>14559.599999999991</v>
      </c>
      <c r="AG50" s="215">
        <v>-41470.44</v>
      </c>
      <c r="AH50" s="217">
        <f t="shared" si="5"/>
        <v>-4.4167976695156548E-3</v>
      </c>
      <c r="AI50" s="218">
        <f t="shared" si="6"/>
        <v>6308.3399999999965</v>
      </c>
      <c r="AJ50" s="219">
        <f t="shared" si="7"/>
        <v>-0.8510940601248973</v>
      </c>
      <c r="AK50" s="220">
        <f t="shared" si="8"/>
        <v>-1.2738701578192251</v>
      </c>
      <c r="AL50" s="221">
        <f t="shared" si="9"/>
        <v>0.42277609769432778</v>
      </c>
      <c r="AM50" s="222">
        <f t="shared" si="10"/>
        <v>-1.0311156418608121</v>
      </c>
      <c r="AN50" s="221">
        <f t="shared" si="11"/>
        <v>0.18002158173591476</v>
      </c>
      <c r="AO50" s="11"/>
    </row>
    <row r="51" spans="1:41" x14ac:dyDescent="0.25">
      <c r="A51" s="65" t="s">
        <v>6</v>
      </c>
      <c r="B51" s="66"/>
      <c r="C51" s="11"/>
      <c r="D51" s="11"/>
      <c r="E51" s="11"/>
      <c r="F51" s="11"/>
      <c r="G51" s="11"/>
      <c r="H51" s="88" t="s">
        <v>72</v>
      </c>
      <c r="I51" s="188" t="str">
        <f>IF(_epmOfflineCondition_,"T4",_xll.EVPRO($B$1,$H51,"STYLE"))</f>
        <v>T4</v>
      </c>
      <c r="J51" s="188" t="str">
        <f>IF(_epmOfflineCondition_,"Y",_xll.EVPRO($B$1,$H51,"CALC"))</f>
        <v>Y</v>
      </c>
      <c r="K51" s="189" t="str">
        <f t="shared" si="0"/>
        <v/>
      </c>
      <c r="L51" s="190" t="str">
        <f>IF(_epmOfflineCondition_,"",_xll.EVPRO($B$1,H51,"JDEID"))</f>
        <v/>
      </c>
      <c r="M51" s="190" t="str">
        <f>IF(_epmOfflineCondition_,"",IF(AND(I51="N",J51="N"),_xll.EVPRO($B$1,H51,"PSFTID"),""))</f>
        <v/>
      </c>
      <c r="N51" s="190" t="str">
        <f>IF(_epmOfflineCondition_,"Total Rooms Revenue",IF(_xll.EVDES(H51,$B$1)="#NODATA","",_xll.EVDES(H51,$B$1)))</f>
        <v>Total Rooms Revenue</v>
      </c>
      <c r="O51" s="223">
        <v>1025016.2</v>
      </c>
      <c r="P51" s="223">
        <v>1285573.24</v>
      </c>
      <c r="Q51" s="223">
        <v>1294193.3600000001</v>
      </c>
      <c r="R51" s="223">
        <v>1275725.45</v>
      </c>
      <c r="S51" s="223">
        <v>1132388.8999999999</v>
      </c>
      <c r="T51" s="223">
        <v>682344.89</v>
      </c>
      <c r="U51" s="223">
        <v>798763.55</v>
      </c>
      <c r="V51" s="223">
        <v>627939.34</v>
      </c>
      <c r="W51" s="223">
        <v>494100.26</v>
      </c>
      <c r="X51" s="223">
        <v>644565.39</v>
      </c>
      <c r="Y51" s="223">
        <v>900298.18</v>
      </c>
      <c r="Z51" s="223">
        <v>1129613.74</v>
      </c>
      <c r="AA51" s="223">
        <f t="shared" si="1"/>
        <v>11290522.5</v>
      </c>
      <c r="AB51" s="224">
        <f t="shared" si="2"/>
        <v>1</v>
      </c>
      <c r="AC51" s="225"/>
      <c r="AD51" s="223">
        <v>10497511.310000001</v>
      </c>
      <c r="AE51" s="224">
        <f t="shared" si="3"/>
        <v>1</v>
      </c>
      <c r="AF51" s="226">
        <f t="shared" si="4"/>
        <v>793011.18999999948</v>
      </c>
      <c r="AG51" s="223">
        <v>9389255.0899999999</v>
      </c>
      <c r="AH51" s="224">
        <f t="shared" si="5"/>
        <v>1</v>
      </c>
      <c r="AI51" s="226">
        <f t="shared" si="6"/>
        <v>1901267.4100000001</v>
      </c>
      <c r="AJ51" s="227">
        <f t="shared" si="7"/>
        <v>273.28562956866921</v>
      </c>
      <c r="AK51" s="228">
        <f t="shared" si="8"/>
        <v>268.94628279360523</v>
      </c>
      <c r="AL51" s="229">
        <f t="shared" si="9"/>
        <v>4.3393467750639729</v>
      </c>
      <c r="AM51" s="230">
        <f t="shared" si="10"/>
        <v>233.45322086575996</v>
      </c>
      <c r="AN51" s="229">
        <f t="shared" si="11"/>
        <v>39.832408702909248</v>
      </c>
      <c r="AO51" s="11"/>
    </row>
    <row r="52" spans="1:41" x14ac:dyDescent="0.25">
      <c r="A52" s="65" t="s">
        <v>7</v>
      </c>
      <c r="B52" s="66" t="str">
        <f>IF(_epmOfflineCondition_,"'Rooms'!$A$66:$F$72",_xll.EVRNG(A66:F72))</f>
        <v>'Rooms'!$A$66:$F$72</v>
      </c>
      <c r="C52" s="11"/>
      <c r="D52" s="11"/>
      <c r="E52" s="11"/>
      <c r="F52" s="11"/>
      <c r="G52" s="76"/>
      <c r="H52" s="11"/>
      <c r="I52" s="59"/>
      <c r="J52" s="59"/>
      <c r="K52" s="11"/>
      <c r="L52" s="59"/>
      <c r="M52" s="59"/>
      <c r="N52" s="11"/>
      <c r="O52" s="203"/>
      <c r="P52" s="204"/>
      <c r="Q52" s="204"/>
      <c r="R52" s="204"/>
      <c r="S52" s="204"/>
      <c r="T52" s="204"/>
      <c r="U52" s="204"/>
      <c r="V52" s="204"/>
      <c r="W52" s="204"/>
      <c r="X52" s="204"/>
      <c r="Y52" s="204"/>
      <c r="Z52" s="204"/>
      <c r="AA52" s="204"/>
      <c r="AB52" s="118"/>
      <c r="AC52" s="11"/>
      <c r="AD52" s="203"/>
      <c r="AE52" s="204"/>
      <c r="AF52" s="118"/>
      <c r="AG52" s="203"/>
      <c r="AH52" s="204"/>
      <c r="AI52" s="118"/>
      <c r="AJ52" s="11"/>
      <c r="AK52" s="11"/>
      <c r="AL52" s="11"/>
      <c r="AM52" s="11"/>
      <c r="AN52" s="11"/>
      <c r="AO52" s="11"/>
    </row>
    <row r="53" spans="1:41" x14ac:dyDescent="0.25">
      <c r="A53" s="65" t="s">
        <v>47</v>
      </c>
      <c r="B53" s="66" t="str">
        <f>IF(_epmOfflineCondition_,"'Rooms'!$A$89:$B$110",_xll.EVRNG($A$89:$B$110))</f>
        <v>'Rooms'!$A$89:$B$110</v>
      </c>
      <c r="C53" s="11"/>
      <c r="D53" s="11"/>
      <c r="E53" s="11"/>
      <c r="F53" s="11"/>
      <c r="G53" s="11"/>
      <c r="H53" s="11" t="s">
        <v>73</v>
      </c>
      <c r="I53" s="59" t="str">
        <f>IF(_epmOfflineCondition_,"B1",_xll.EVPRO($B$1,$H53,"STYLE"))</f>
        <v>B1</v>
      </c>
      <c r="J53" s="59" t="str">
        <f>IF(_epmOfflineCondition_,"Y",_xll.EVPRO($B$1,$H53,"CALC"))</f>
        <v>Y</v>
      </c>
      <c r="K53" s="11"/>
      <c r="L53" s="59"/>
      <c r="M53" s="90"/>
      <c r="N53" s="105" t="str">
        <f>IF(_epmOfflineCondition_,"Labor &amp; Related Expenses",IF(_xll.EVDES(H53,$B$1)="#NODATA","",_xll.EVDES(H53,$B$1)))</f>
        <v>Labor &amp; Related Expenses</v>
      </c>
      <c r="O53" s="203"/>
      <c r="P53" s="204"/>
      <c r="Q53" s="204"/>
      <c r="R53" s="204"/>
      <c r="S53" s="204"/>
      <c r="T53" s="204"/>
      <c r="U53" s="204"/>
      <c r="V53" s="204"/>
      <c r="W53" s="204"/>
      <c r="X53" s="204"/>
      <c r="Y53" s="204"/>
      <c r="Z53" s="204"/>
      <c r="AA53" s="204"/>
      <c r="AB53" s="118"/>
      <c r="AC53" s="11"/>
      <c r="AD53" s="203"/>
      <c r="AE53" s="204"/>
      <c r="AF53" s="118"/>
      <c r="AG53" s="203"/>
      <c r="AH53" s="204"/>
      <c r="AI53" s="118"/>
      <c r="AJ53" s="11"/>
      <c r="AK53" s="11"/>
      <c r="AL53" s="11"/>
      <c r="AM53" s="11"/>
      <c r="AN53" s="11"/>
      <c r="AO53" s="11"/>
    </row>
    <row r="54" spans="1:41" x14ac:dyDescent="0.25">
      <c r="A54" s="65" t="s">
        <v>8</v>
      </c>
      <c r="B54" s="66"/>
      <c r="C54" s="11"/>
      <c r="D54" s="11"/>
      <c r="E54" s="11"/>
      <c r="F54" s="11"/>
      <c r="G54" s="11"/>
      <c r="H54" s="11" t="s">
        <v>74</v>
      </c>
      <c r="I54" s="59" t="str">
        <f>IF(_epmOfflineCondition_,"B1",_xll.EVPRO($B$1,$H54,"STYLE"))</f>
        <v>B1</v>
      </c>
      <c r="J54" s="59" t="str">
        <f>IF(_epmOfflineCondition_,"Y",_xll.EVPRO($B$1,$H54,"CALC"))</f>
        <v>Y</v>
      </c>
      <c r="K54" s="11"/>
      <c r="L54" s="59"/>
      <c r="M54" s="90"/>
      <c r="N54" s="53" t="str">
        <f>IF(_epmOfflineCondition_,"Salaries &amp; Wages",IF(_xll.EVDES(H54,$B$1)="#NODATA","",_xll.EVDES(H54,$B$1)))</f>
        <v>Salaries &amp; Wages</v>
      </c>
      <c r="O54" s="119"/>
      <c r="P54" s="120"/>
      <c r="Q54" s="120"/>
      <c r="R54" s="120"/>
      <c r="S54" s="120"/>
      <c r="T54" s="120"/>
      <c r="U54" s="120"/>
      <c r="V54" s="120"/>
      <c r="W54" s="120"/>
      <c r="X54" s="120"/>
      <c r="Y54" s="120"/>
      <c r="Z54" s="120"/>
      <c r="AA54" s="120"/>
      <c r="AB54" s="121"/>
      <c r="AC54" s="11"/>
      <c r="AD54" s="119"/>
      <c r="AE54" s="120"/>
      <c r="AF54" s="121"/>
      <c r="AG54" s="119"/>
      <c r="AH54" s="120"/>
      <c r="AI54" s="121"/>
      <c r="AJ54" s="11"/>
      <c r="AK54" s="11"/>
      <c r="AL54" s="11"/>
      <c r="AM54" s="11"/>
      <c r="AN54" s="11"/>
      <c r="AO54" s="11"/>
    </row>
    <row r="55" spans="1:41" x14ac:dyDescent="0.25">
      <c r="A55" s="11"/>
      <c r="B55" s="11"/>
      <c r="C55" s="11"/>
      <c r="D55" s="11"/>
      <c r="E55" s="11"/>
      <c r="F55" s="11"/>
      <c r="G55" s="11"/>
      <c r="H55" s="88" t="s">
        <v>854</v>
      </c>
      <c r="I55" s="122" t="str">
        <f>IF(_epmOfflineCondition_,"T3",_xll.EVPRO($B$1,$H55,"STYLE"))</f>
        <v>T3</v>
      </c>
      <c r="J55" s="122" t="str">
        <f>IF(_epmOfflineCondition_,"Y",_xll.EVPRO($B$1,$H55,"CALC"))</f>
        <v>Y</v>
      </c>
      <c r="K55" s="179" t="str">
        <f t="shared" ref="K55:K68" si="12">IF(AND(I55&gt;="T3"),"&gt;","")</f>
        <v>&gt;</v>
      </c>
      <c r="L55" s="90" t="str">
        <f>IF(_epmOfflineCondition_,"",_xll.EVPRO($B$1,H55,"JDEID"))</f>
        <v/>
      </c>
      <c r="M55" s="90" t="str">
        <f>IF(_epmOfflineCondition_,"",IF(AND(I55="N",J55="N"),_xll.EVPRO($B$1,H55,"PSFTID"),""))</f>
        <v/>
      </c>
      <c r="N55" s="90" t="str">
        <f>IF(_epmOfflineCondition_,"Management",IF(_xll.EVDES(H55,$B$1)="#NODATA","",_xll.EVDES(H55,$B$1)))</f>
        <v>Management</v>
      </c>
      <c r="O55" s="231">
        <v>10641.69</v>
      </c>
      <c r="P55" s="231">
        <v>10958.34</v>
      </c>
      <c r="Q55" s="231">
        <v>10721.9</v>
      </c>
      <c r="R55" s="231">
        <v>11043.65</v>
      </c>
      <c r="S55" s="231">
        <v>10714.78</v>
      </c>
      <c r="T55" s="231">
        <v>14344.73</v>
      </c>
      <c r="U55" s="231">
        <v>13471.32</v>
      </c>
      <c r="V55" s="231">
        <v>14684.61</v>
      </c>
      <c r="W55" s="231">
        <v>11699.29</v>
      </c>
      <c r="X55" s="231">
        <v>15261.54</v>
      </c>
      <c r="Y55" s="231">
        <v>14548.68</v>
      </c>
      <c r="Z55" s="231">
        <v>13419.58</v>
      </c>
      <c r="AA55" s="138">
        <f>IF($I55="B1","",SUM(O55:Z55))</f>
        <v>151510.10999999999</v>
      </c>
      <c r="AB55" s="233">
        <f>IF(AA55=0,"",IFERROR(AA55/AA$19,""))</f>
        <v>1.3419229269504576E-2</v>
      </c>
      <c r="AC55" s="140"/>
      <c r="AD55" s="138">
        <v>178131.561538265</v>
      </c>
      <c r="AE55" s="142">
        <f>IF(AD55=0,"",IFERROR(AD55/AD$19,""))</f>
        <v>1.6968932566767101E-2</v>
      </c>
      <c r="AF55" s="141">
        <f>IF(AND($AA55="",AD55=""),"",$AA55-AD55)</f>
        <v>-26621.451538265013</v>
      </c>
      <c r="AG55" s="138">
        <v>134633.84</v>
      </c>
      <c r="AH55" s="142">
        <f>IF(AG55=0,"",IFERROR(AG55/AG$19,""))</f>
        <v>1.4339139655859536E-2</v>
      </c>
      <c r="AI55" s="141">
        <f>IF(AND($AA55="",AG55=""),"",$AA55-AG55)</f>
        <v>16876.26999999999</v>
      </c>
      <c r="AJ55" s="211">
        <f t="shared" ref="AJ55:AJ68" si="13">IFERROR(AA55/AA$20,0)</f>
        <v>3.6672825192428715</v>
      </c>
      <c r="AK55" s="212">
        <f t="shared" ref="AK55:AK68" si="14">IFERROR(AD55/AD$20,0)</f>
        <v>4.5637313368073631</v>
      </c>
      <c r="AL55" s="213">
        <f t="shared" ref="AL55:AL68" si="15">AJ55-AK55</f>
        <v>-0.89644881756449157</v>
      </c>
      <c r="AM55" s="214">
        <f t="shared" ref="AM55:AM68" si="16">IFERROR(AG55/AG$20,0)</f>
        <v>3.3475183371043538</v>
      </c>
      <c r="AN55" s="213">
        <f t="shared" ref="AN55:AN68" si="17">AJ55-AM55</f>
        <v>0.31976418213851776</v>
      </c>
      <c r="AO55" s="11"/>
    </row>
    <row r="56" spans="1:41" hidden="1" x14ac:dyDescent="0.25">
      <c r="A56" s="62" t="s">
        <v>9</v>
      </c>
      <c r="B56" s="63" t="s">
        <v>10</v>
      </c>
      <c r="C56" s="11"/>
      <c r="D56" s="11"/>
      <c r="E56" s="11"/>
      <c r="F56" s="11"/>
      <c r="G56" s="11"/>
      <c r="H56" s="88"/>
      <c r="I56" s="122" t="str">
        <f>IF(_epmOfflineCondition_,"",_xll.EVPRO($B$1,$H56,"STYLE"))</f>
        <v/>
      </c>
      <c r="J56" s="122" t="str">
        <f>IF(_epmOfflineCondition_,"",_xll.EVPRO($B$1,$H56,"CALC"))</f>
        <v/>
      </c>
      <c r="K56" s="179" t="str">
        <f t="shared" si="12"/>
        <v/>
      </c>
      <c r="L56" s="90" t="str">
        <f>IF(_epmOfflineCondition_,"",_xll.EVPRO($B$1,H56,"JDEID"))</f>
        <v/>
      </c>
      <c r="M56" s="90" t="str">
        <f>IF(_epmOfflineCondition_,"",IF(AND(I56="N",J56="N"),_xll.EVPRO($B$1,H56,"PSFTID"),""))</f>
        <v/>
      </c>
      <c r="N56" s="90" t="str">
        <f>IF(_epmOfflineCondition_,"",IF(_xll.EVDES(H56,$B$1)="#NODATA","",_xll.EVDES(H56,$B$1)))</f>
        <v/>
      </c>
      <c r="O56" s="231"/>
      <c r="P56" s="231"/>
      <c r="Q56" s="231"/>
      <c r="R56" s="231"/>
      <c r="S56" s="231"/>
      <c r="T56" s="231"/>
      <c r="U56" s="231"/>
      <c r="V56" s="231"/>
      <c r="W56" s="231"/>
      <c r="X56" s="231"/>
      <c r="Y56" s="231"/>
      <c r="Z56" s="231"/>
      <c r="AA56" s="138">
        <f>IF($I56="B1","",SUM(O56:Z56))</f>
        <v>0</v>
      </c>
      <c r="AB56" s="233" t="str">
        <f>IF(AA56=0,"",IFERROR(AA56/AA$19,""))</f>
        <v/>
      </c>
      <c r="AC56" s="140"/>
      <c r="AD56" s="138"/>
      <c r="AE56" s="142" t="str">
        <f>IF(AD56=0,"",IFERROR(AD56/AD$19,""))</f>
        <v/>
      </c>
      <c r="AF56" s="141">
        <f>IF(AND($AA56="",AD56=""),"",$AA56-AD56)</f>
        <v>0</v>
      </c>
      <c r="AG56" s="138"/>
      <c r="AH56" s="142" t="str">
        <f>IF(AG56=0,"",IFERROR(AG56/AG$19,""))</f>
        <v/>
      </c>
      <c r="AI56" s="141">
        <f>IF(AND($AA56="",AG56=""),"",$AA56-AG56)</f>
        <v>0</v>
      </c>
      <c r="AJ56" s="211">
        <f t="shared" si="13"/>
        <v>0</v>
      </c>
      <c r="AK56" s="212">
        <f t="shared" si="14"/>
        <v>0</v>
      </c>
      <c r="AL56" s="213">
        <f t="shared" si="15"/>
        <v>0</v>
      </c>
      <c r="AM56" s="214">
        <f t="shared" si="16"/>
        <v>0</v>
      </c>
      <c r="AN56" s="213">
        <f t="shared" si="17"/>
        <v>0</v>
      </c>
      <c r="AO56" s="11"/>
    </row>
    <row r="57" spans="1:41" x14ac:dyDescent="0.25">
      <c r="A57" s="65" t="s">
        <v>11</v>
      </c>
      <c r="B57" s="66" t="s">
        <v>21</v>
      </c>
      <c r="C57" s="11"/>
      <c r="D57" s="11"/>
      <c r="E57" s="11"/>
      <c r="F57" s="11"/>
      <c r="G57" s="11"/>
      <c r="H57" s="88" t="s">
        <v>75</v>
      </c>
      <c r="I57" s="122" t="str">
        <f>IF(_epmOfflineCondition_,"B1",_xll.EVPRO($B$1,$H57,"STYLE"))</f>
        <v>B1</v>
      </c>
      <c r="J57" s="122" t="str">
        <f>IF(_epmOfflineCondition_,"Y",_xll.EVPRO($B$1,$H57,"CALC"))</f>
        <v>Y</v>
      </c>
      <c r="K57" s="179" t="str">
        <f t="shared" si="12"/>
        <v/>
      </c>
      <c r="L57" s="90" t="str">
        <f>IF(_epmOfflineCondition_,"",_xll.EVPRO($B$1,H57,"JDEID"))</f>
        <v/>
      </c>
      <c r="M57" s="90" t="str">
        <f>IF(_epmOfflineCondition_,"",IF(AND(I57="N",J57="N"),_xll.EVPRO($B$1,H57,"PSFTID"),""))</f>
        <v/>
      </c>
      <c r="N57" s="106" t="str">
        <f>IF(_epmOfflineCondition_,"Non-Management",IF(_xll.EVDES(H57,$B$1)="#NODATA","",_xll.EVDES(H57,$B$1)))</f>
        <v>Non-Management</v>
      </c>
      <c r="O57" s="197"/>
      <c r="P57" s="197"/>
      <c r="Q57" s="197"/>
      <c r="R57" s="197"/>
      <c r="S57" s="197"/>
      <c r="T57" s="197"/>
      <c r="U57" s="197"/>
      <c r="V57" s="197"/>
      <c r="W57" s="197"/>
      <c r="X57" s="197"/>
      <c r="Y57" s="197"/>
      <c r="Z57" s="197"/>
      <c r="AA57" s="91"/>
      <c r="AB57" s="198"/>
      <c r="AC57" s="11"/>
      <c r="AD57" s="91"/>
      <c r="AE57" s="100"/>
      <c r="AF57" s="92"/>
      <c r="AG57" s="91"/>
      <c r="AH57" s="100"/>
      <c r="AI57" s="92"/>
      <c r="AJ57" s="181">
        <f t="shared" si="13"/>
        <v>0</v>
      </c>
      <c r="AK57" s="182">
        <f t="shared" si="14"/>
        <v>0</v>
      </c>
      <c r="AL57" s="183">
        <f t="shared" si="15"/>
        <v>0</v>
      </c>
      <c r="AM57" s="184">
        <f t="shared" si="16"/>
        <v>0</v>
      </c>
      <c r="AN57" s="183">
        <f t="shared" si="17"/>
        <v>0</v>
      </c>
      <c r="AO57" s="11"/>
    </row>
    <row r="58" spans="1:41" x14ac:dyDescent="0.25">
      <c r="A58" s="65" t="s">
        <v>12</v>
      </c>
      <c r="B58" s="66" t="s">
        <v>22</v>
      </c>
      <c r="C58" s="11"/>
      <c r="D58" s="11"/>
      <c r="E58" s="11"/>
      <c r="F58" s="11"/>
      <c r="G58" s="11"/>
      <c r="H58" s="88" t="s">
        <v>939</v>
      </c>
      <c r="I58" s="122" t="str">
        <f>IF(_epmOfflineCondition_,"T3",_xll.EVPRO($B$1,$H58,"STYLE"))</f>
        <v>T3</v>
      </c>
      <c r="J58" s="122" t="str">
        <f>IF(_epmOfflineCondition_,"Y",_xll.EVPRO($B$1,$H58,"CALC"))</f>
        <v>Y</v>
      </c>
      <c r="K58" s="179" t="str">
        <f t="shared" si="12"/>
        <v>&gt;</v>
      </c>
      <c r="L58" s="90" t="str">
        <f>IF(_epmOfflineCondition_,"",_xll.EVPRO($B$1,H58,"JDEID"))</f>
        <v/>
      </c>
      <c r="M58" s="90" t="str">
        <f>IF(_epmOfflineCondition_,"",IF(AND(I58="N",J58="N"),_xll.EVPRO($B$1,H58,"PSFTID"),""))</f>
        <v/>
      </c>
      <c r="N58" s="90" t="str">
        <f>IF(_epmOfflineCondition_,"Front Office",IF(_xll.EVDES(H58,$B$1)="#NODATA","",_xll.EVDES(H58,$B$1)))</f>
        <v>Front Office</v>
      </c>
      <c r="O58" s="239">
        <v>11639.25</v>
      </c>
      <c r="P58" s="239">
        <v>9267.31</v>
      </c>
      <c r="Q58" s="239">
        <v>11214.34</v>
      </c>
      <c r="R58" s="239">
        <v>11640.96</v>
      </c>
      <c r="S58" s="239">
        <v>10182.91</v>
      </c>
      <c r="T58" s="239">
        <v>10115.209999999999</v>
      </c>
      <c r="U58" s="239">
        <v>5671.38</v>
      </c>
      <c r="V58" s="239">
        <v>11045.22</v>
      </c>
      <c r="W58" s="239">
        <v>10871.71</v>
      </c>
      <c r="X58" s="239">
        <v>12221.23</v>
      </c>
      <c r="Y58" s="239">
        <v>13316.6</v>
      </c>
      <c r="Z58" s="239">
        <v>12233.79</v>
      </c>
      <c r="AA58" s="215">
        <f t="shared" ref="AA58:AA68" si="18">IF($I58="B1","",SUM(O58:Z58))</f>
        <v>129419.91</v>
      </c>
      <c r="AB58" s="240">
        <f t="shared" ref="AB58:AB68" si="19">IF(AA58=0,"",IFERROR(AA58/AA$19,""))</f>
        <v>1.14627033425601E-2</v>
      </c>
      <c r="AC58" s="140"/>
      <c r="AD58" s="215">
        <v>234600</v>
      </c>
      <c r="AE58" s="217">
        <f t="shared" ref="AE58:AE68" si="20">IF(AD58=0,"",IFERROR(AD58/AD$19,""))</f>
        <v>2.2348154059764473E-2</v>
      </c>
      <c r="AF58" s="218">
        <f t="shared" ref="AF58:AF68" si="21">IF(AND($AA58="",AD58=""),"",$AA58-AD58)</f>
        <v>-105180.09</v>
      </c>
      <c r="AG58" s="215">
        <v>173442.33</v>
      </c>
      <c r="AH58" s="217">
        <f t="shared" ref="AH58:AH68" si="22">IF(AG58=0,"",IFERROR(AG58/AG$19,""))</f>
        <v>1.847242708153965E-2</v>
      </c>
      <c r="AI58" s="218">
        <f t="shared" ref="AI58:AI68" si="23">IF(AND($AA58="",AG58=""),"",$AA58-AG58)</f>
        <v>-44022.419999999984</v>
      </c>
      <c r="AJ58" s="211">
        <f t="shared" si="13"/>
        <v>3.1325920995304255</v>
      </c>
      <c r="AK58" s="212">
        <f t="shared" si="14"/>
        <v>6.010452961672474</v>
      </c>
      <c r="AL58" s="213">
        <f t="shared" si="15"/>
        <v>-2.8778608621420485</v>
      </c>
      <c r="AM58" s="214">
        <f t="shared" si="16"/>
        <v>4.3124475993933213</v>
      </c>
      <c r="AN58" s="213">
        <f t="shared" si="17"/>
        <v>-1.1798554998628958</v>
      </c>
      <c r="AO58" s="11"/>
    </row>
    <row r="59" spans="1:41" x14ac:dyDescent="0.25">
      <c r="A59" s="65" t="s">
        <v>13</v>
      </c>
      <c r="B59" s="66" t="s">
        <v>735</v>
      </c>
      <c r="C59" s="11"/>
      <c r="D59" s="11"/>
      <c r="E59" s="11"/>
      <c r="F59" s="11"/>
      <c r="G59" s="11"/>
      <c r="H59" s="88" t="s">
        <v>940</v>
      </c>
      <c r="I59" s="122" t="str">
        <f>IF(_epmOfflineCondition_,"T3",_xll.EVPRO($B$1,$H59,"STYLE"))</f>
        <v>T3</v>
      </c>
      <c r="J59" s="122" t="str">
        <f>IF(_epmOfflineCondition_,"Y",_xll.EVPRO($B$1,$H59,"CALC"))</f>
        <v>Y</v>
      </c>
      <c r="K59" s="179" t="str">
        <f t="shared" si="12"/>
        <v>&gt;</v>
      </c>
      <c r="L59" s="90" t="str">
        <f>IF(_epmOfflineCondition_,"",_xll.EVPRO($B$1,H59,"JDEID"))</f>
        <v/>
      </c>
      <c r="M59" s="90" t="str">
        <f>IF(_epmOfflineCondition_,"",IF(AND(I59="N",J59="N"),_xll.EVPRO($B$1,H59,"PSFTID"),""))</f>
        <v/>
      </c>
      <c r="N59" s="90" t="str">
        <f>IF(_epmOfflineCondition_,"Housekeeping",IF(_xll.EVDES(H59,$B$1)="#NODATA","",_xll.EVDES(H59,$B$1)))</f>
        <v>Housekeeping</v>
      </c>
      <c r="O59" s="239">
        <v>11781.02</v>
      </c>
      <c r="P59" s="239">
        <v>8595.4</v>
      </c>
      <c r="Q59" s="239">
        <v>7692.73</v>
      </c>
      <c r="R59" s="239">
        <v>8471.75</v>
      </c>
      <c r="S59" s="239">
        <v>6219.26</v>
      </c>
      <c r="T59" s="239">
        <v>7074.99</v>
      </c>
      <c r="U59" s="239">
        <v>6861.23</v>
      </c>
      <c r="V59" s="239">
        <v>6855.65</v>
      </c>
      <c r="W59" s="239">
        <v>6238.94</v>
      </c>
      <c r="X59" s="239">
        <v>7770.9</v>
      </c>
      <c r="Y59" s="239">
        <v>12465.64</v>
      </c>
      <c r="Z59" s="239">
        <v>17003.16</v>
      </c>
      <c r="AA59" s="215">
        <f t="shared" si="18"/>
        <v>107030.66999999998</v>
      </c>
      <c r="AB59" s="240">
        <f t="shared" si="19"/>
        <v>9.479691484605781E-3</v>
      </c>
      <c r="AC59" s="140"/>
      <c r="AD59" s="215">
        <v>608122.57649999997</v>
      </c>
      <c r="AE59" s="217">
        <f t="shared" si="20"/>
        <v>5.7930166354829102E-2</v>
      </c>
      <c r="AF59" s="218">
        <f t="shared" si="21"/>
        <v>-501091.90649999998</v>
      </c>
      <c r="AG59" s="215">
        <v>152280.65</v>
      </c>
      <c r="AH59" s="217">
        <f t="shared" si="22"/>
        <v>1.6218608243180662E-2</v>
      </c>
      <c r="AI59" s="218">
        <f t="shared" si="23"/>
        <v>-45249.98000000001</v>
      </c>
      <c r="AJ59" s="219">
        <f t="shared" si="13"/>
        <v>2.5906634554872436</v>
      </c>
      <c r="AK59" s="220">
        <f t="shared" si="14"/>
        <v>15.580102902746464</v>
      </c>
      <c r="AL59" s="221">
        <f t="shared" si="15"/>
        <v>-12.989439447259221</v>
      </c>
      <c r="AM59" s="222">
        <f t="shared" si="16"/>
        <v>3.7862863323304903</v>
      </c>
      <c r="AN59" s="221">
        <f t="shared" si="17"/>
        <v>-1.1956228768432466</v>
      </c>
      <c r="AO59" s="11"/>
    </row>
    <row r="60" spans="1:41" x14ac:dyDescent="0.25">
      <c r="A60" s="65" t="s">
        <v>14</v>
      </c>
      <c r="B60" s="66"/>
      <c r="C60" s="11"/>
      <c r="D60" s="11"/>
      <c r="E60" s="11"/>
      <c r="F60" s="11"/>
      <c r="G60" s="11"/>
      <c r="H60" s="88" t="s">
        <v>847</v>
      </c>
      <c r="I60" s="188" t="str">
        <f>IF(_epmOfflineCondition_,"T2",_xll.EVPRO($B$1,$H60,"STYLE"))</f>
        <v>T2</v>
      </c>
      <c r="J60" s="188" t="str">
        <f>IF(_epmOfflineCondition_,"Y",_xll.EVPRO($B$1,$H60,"CALC"))</f>
        <v>Y</v>
      </c>
      <c r="K60" s="189" t="str">
        <f t="shared" si="12"/>
        <v/>
      </c>
      <c r="L60" s="190" t="str">
        <f>IF(_epmOfflineCondition_,"",_xll.EVPRO($B$1,H60,"JDEID"))</f>
        <v/>
      </c>
      <c r="M60" s="190" t="str">
        <f>IF(_epmOfflineCondition_,"",IF(AND(I60="N",J60="N"),_xll.EVPRO($B$1,H60,"PSFTID"),""))</f>
        <v/>
      </c>
      <c r="N60" s="190" t="str">
        <f>IF(_epmOfflineCondition_,"Total Salaries and Wages",IF(_xll.EVDES(H60,$B$1)="#NODATA","",_xll.EVDES(H60,$B$1)))</f>
        <v>Total Salaries and Wages</v>
      </c>
      <c r="O60" s="223">
        <v>34061.96</v>
      </c>
      <c r="P60" s="223">
        <v>28821.05</v>
      </c>
      <c r="Q60" s="223">
        <v>29628.97</v>
      </c>
      <c r="R60" s="223">
        <v>31156.36</v>
      </c>
      <c r="S60" s="223">
        <v>27116.95</v>
      </c>
      <c r="T60" s="223">
        <v>31534.93</v>
      </c>
      <c r="U60" s="223">
        <v>26003.93</v>
      </c>
      <c r="V60" s="223">
        <v>32585.48</v>
      </c>
      <c r="W60" s="223">
        <v>28809.94</v>
      </c>
      <c r="X60" s="223">
        <v>35253.67</v>
      </c>
      <c r="Y60" s="223">
        <v>40330.92</v>
      </c>
      <c r="Z60" s="223">
        <v>42656.53</v>
      </c>
      <c r="AA60" s="223">
        <f t="shared" si="18"/>
        <v>387960.68999999994</v>
      </c>
      <c r="AB60" s="224">
        <f t="shared" si="19"/>
        <v>3.4361624096670457E-2</v>
      </c>
      <c r="AC60" s="225"/>
      <c r="AD60" s="223">
        <v>1020854.1380382699</v>
      </c>
      <c r="AE60" s="224">
        <f t="shared" si="20"/>
        <v>9.7247252981361151E-2</v>
      </c>
      <c r="AF60" s="226">
        <f t="shared" si="21"/>
        <v>-632893.44803827</v>
      </c>
      <c r="AG60" s="223">
        <v>460356.82</v>
      </c>
      <c r="AH60" s="224">
        <f t="shared" si="22"/>
        <v>4.9030174980579849E-2</v>
      </c>
      <c r="AI60" s="226">
        <f t="shared" si="23"/>
        <v>-72396.130000000063</v>
      </c>
      <c r="AJ60" s="227">
        <f t="shared" si="13"/>
        <v>9.3905380742605402</v>
      </c>
      <c r="AK60" s="228">
        <f t="shared" si="14"/>
        <v>26.154287201226428</v>
      </c>
      <c r="AL60" s="229">
        <f t="shared" si="15"/>
        <v>-16.763749126965887</v>
      </c>
      <c r="AM60" s="230">
        <f t="shared" si="16"/>
        <v>11.446252268828166</v>
      </c>
      <c r="AN60" s="229">
        <f t="shared" si="17"/>
        <v>-2.0557141945676261</v>
      </c>
      <c r="AO60" s="11"/>
    </row>
    <row r="61" spans="1:41" x14ac:dyDescent="0.25">
      <c r="A61" s="65" t="s">
        <v>15</v>
      </c>
      <c r="B61" s="66"/>
      <c r="C61" s="11"/>
      <c r="D61" s="11"/>
      <c r="E61" s="11"/>
      <c r="F61" s="11"/>
      <c r="G61" s="11"/>
      <c r="H61" s="88" t="s">
        <v>863</v>
      </c>
      <c r="I61" s="122" t="str">
        <f>IF(_epmOfflineCondition_,"T3",_xll.EVPRO($B$1,$H61,"STYLE"))</f>
        <v>T3</v>
      </c>
      <c r="J61" s="122" t="str">
        <f>IF(_epmOfflineCondition_,"Y",_xll.EVPRO($B$1,$H61,"CALC"))</f>
        <v>Y</v>
      </c>
      <c r="K61" s="179" t="str">
        <f t="shared" si="12"/>
        <v>&gt;</v>
      </c>
      <c r="L61" s="90" t="str">
        <f>IF(_epmOfflineCondition_,"",_xll.EVPRO($B$1,H61,"JDEID"))</f>
        <v/>
      </c>
      <c r="M61" s="90" t="str">
        <f>IF(_epmOfflineCondition_,"",IF(AND(I61="N",J61="N"),_xll.EVPRO($B$1,H61,"PSFTID"),""))</f>
        <v/>
      </c>
      <c r="N61" s="90" t="str">
        <f>IF(_epmOfflineCondition_,"Contracted &amp; Leased Labor",IF(_xll.EVDES(H61,$B$1)="#NODATA","",_xll.EVDES(H61,$B$1)))</f>
        <v>Contracted &amp; Leased Labor</v>
      </c>
      <c r="O61" s="239">
        <v>81749.52</v>
      </c>
      <c r="P61" s="239">
        <v>76915.69</v>
      </c>
      <c r="Q61" s="239">
        <v>89910.88</v>
      </c>
      <c r="R61" s="239">
        <v>90613.62</v>
      </c>
      <c r="S61" s="239">
        <v>85959.85</v>
      </c>
      <c r="T61" s="239">
        <v>72183.06</v>
      </c>
      <c r="U61" s="239">
        <v>102698.97</v>
      </c>
      <c r="V61" s="239">
        <v>86539.89</v>
      </c>
      <c r="W61" s="239">
        <v>55591.66</v>
      </c>
      <c r="X61" s="239">
        <v>68619.88</v>
      </c>
      <c r="Y61" s="239">
        <v>68249.440000000002</v>
      </c>
      <c r="Z61" s="239">
        <v>75596.7</v>
      </c>
      <c r="AA61" s="239">
        <f t="shared" si="18"/>
        <v>954629.16000000015</v>
      </c>
      <c r="AB61" s="240">
        <f t="shared" si="19"/>
        <v>8.4551371293932601E-2</v>
      </c>
      <c r="AC61" s="140"/>
      <c r="AD61" s="239">
        <v>28800</v>
      </c>
      <c r="AE61" s="240">
        <f t="shared" si="20"/>
        <v>2.7435074037562525E-3</v>
      </c>
      <c r="AF61" s="241">
        <f t="shared" si="21"/>
        <v>925829.16000000015</v>
      </c>
      <c r="AG61" s="239">
        <v>662964.36</v>
      </c>
      <c r="AH61" s="240">
        <f t="shared" si="22"/>
        <v>7.0608834635464149E-2</v>
      </c>
      <c r="AI61" s="241">
        <f t="shared" si="23"/>
        <v>291664.80000000016</v>
      </c>
      <c r="AJ61" s="235">
        <f t="shared" si="13"/>
        <v>23.106674734956677</v>
      </c>
      <c r="AK61" s="236">
        <f t="shared" si="14"/>
        <v>0.73785611805697893</v>
      </c>
      <c r="AL61" s="237">
        <f t="shared" si="15"/>
        <v>22.368818616899699</v>
      </c>
      <c r="AM61" s="238">
        <f t="shared" si="16"/>
        <v>16.483859867226933</v>
      </c>
      <c r="AN61" s="237">
        <f t="shared" si="17"/>
        <v>6.622814867729744</v>
      </c>
      <c r="AO61" s="11"/>
    </row>
    <row r="62" spans="1:41" x14ac:dyDescent="0.25">
      <c r="A62" s="65" t="s">
        <v>16</v>
      </c>
      <c r="B62" s="66" t="s">
        <v>78</v>
      </c>
      <c r="C62" s="11"/>
      <c r="D62" s="11"/>
      <c r="E62" s="11"/>
      <c r="F62" s="11"/>
      <c r="G62" s="11"/>
      <c r="H62" s="88" t="s">
        <v>848</v>
      </c>
      <c r="I62" s="122" t="str">
        <f>IF(_epmOfflineCondition_,"T3",_xll.EVPRO($B$1,$H62,"STYLE"))</f>
        <v>T3</v>
      </c>
      <c r="J62" s="122" t="str">
        <f>IF(_epmOfflineCondition_,"Y",_xll.EVPRO($B$1,$H62,"CALC"))</f>
        <v>Y</v>
      </c>
      <c r="K62" s="179" t="str">
        <f t="shared" si="12"/>
        <v>&gt;</v>
      </c>
      <c r="L62" s="90" t="str">
        <f>IF(_epmOfflineCondition_,"",_xll.EVPRO($B$1,H62,"JDEID"))</f>
        <v/>
      </c>
      <c r="M62" s="90" t="str">
        <f>IF(_epmOfflineCondition_,"",IF(AND(I62="N",J62="N"),_xll.EVPRO($B$1,H62,"PSFTID"),""))</f>
        <v/>
      </c>
      <c r="N62" s="90" t="str">
        <f>IF(_epmOfflineCondition_,"Bonuses &amp; Incentives",IF(_xll.EVDES(H62,$B$1)="#NODATA","",_xll.EVDES(H62,$B$1)))</f>
        <v>Bonuses &amp; Incentives</v>
      </c>
      <c r="O62" s="239">
        <v>3118.56</v>
      </c>
      <c r="P62" s="239">
        <v>2010</v>
      </c>
      <c r="Q62" s="239">
        <v>892.49</v>
      </c>
      <c r="R62" s="239">
        <v>1657.87</v>
      </c>
      <c r="S62" s="239">
        <v>2744.99</v>
      </c>
      <c r="T62" s="239">
        <v>1798.91</v>
      </c>
      <c r="U62" s="239">
        <v>640.51</v>
      </c>
      <c r="V62" s="239">
        <v>763.54</v>
      </c>
      <c r="W62" s="239">
        <v>2100.5300000000002</v>
      </c>
      <c r="X62" s="239">
        <v>1438.17</v>
      </c>
      <c r="Y62" s="239">
        <v>1682.81</v>
      </c>
      <c r="Z62" s="239">
        <v>11723.33</v>
      </c>
      <c r="AA62" s="215">
        <f t="shared" si="18"/>
        <v>30571.71</v>
      </c>
      <c r="AB62" s="240">
        <f t="shared" si="19"/>
        <v>2.707732082372627E-3</v>
      </c>
      <c r="AC62" s="140"/>
      <c r="AD62" s="215">
        <v>24302.434673049898</v>
      </c>
      <c r="AE62" s="217">
        <f t="shared" si="20"/>
        <v>2.3150663005144117E-3</v>
      </c>
      <c r="AF62" s="218">
        <f t="shared" si="21"/>
        <v>6269.2753269501009</v>
      </c>
      <c r="AG62" s="215">
        <v>20454.68</v>
      </c>
      <c r="AH62" s="217">
        <f t="shared" si="22"/>
        <v>2.1785200001419921E-3</v>
      </c>
      <c r="AI62" s="218">
        <f t="shared" si="23"/>
        <v>10117.029999999999</v>
      </c>
      <c r="AJ62" s="219">
        <f t="shared" si="13"/>
        <v>0.73998426683448704</v>
      </c>
      <c r="AK62" s="220">
        <f t="shared" si="14"/>
        <v>0.62262847594409454</v>
      </c>
      <c r="AL62" s="221">
        <f t="shared" si="15"/>
        <v>0.1173557908903925</v>
      </c>
      <c r="AM62" s="222">
        <f t="shared" si="16"/>
        <v>0.50858251075362393</v>
      </c>
      <c r="AN62" s="221">
        <f t="shared" si="17"/>
        <v>0.23140175608086311</v>
      </c>
      <c r="AO62" s="11"/>
    </row>
    <row r="63" spans="1:41" x14ac:dyDescent="0.25">
      <c r="A63" s="65" t="s">
        <v>17</v>
      </c>
      <c r="B63" s="66"/>
      <c r="C63" s="11"/>
      <c r="D63" s="11"/>
      <c r="E63" s="11"/>
      <c r="F63" s="11"/>
      <c r="G63" s="11"/>
      <c r="H63" s="88" t="s">
        <v>849</v>
      </c>
      <c r="I63" s="188" t="str">
        <f>IF(_epmOfflineCondition_,"T2",_xll.EVPRO($B$1,$H63,"STYLE"))</f>
        <v>T2</v>
      </c>
      <c r="J63" s="188" t="str">
        <f>IF(_epmOfflineCondition_,"Y",_xll.EVPRO($B$1,$H63,"CALC"))</f>
        <v>Y</v>
      </c>
      <c r="K63" s="189" t="str">
        <f t="shared" si="12"/>
        <v/>
      </c>
      <c r="L63" s="190" t="str">
        <f>IF(_epmOfflineCondition_,"",_xll.EVPRO($B$1,H63,"JDEID"))</f>
        <v/>
      </c>
      <c r="M63" s="190" t="str">
        <f>IF(_epmOfflineCondition_,"",IF(AND(I63="N",J63="N"),_xll.EVPRO($B$1,H63,"PSFTID"),""))</f>
        <v/>
      </c>
      <c r="N63" s="190" t="str">
        <f>IF(_epmOfflineCondition_,"Total Labor Expense",IF(_xll.EVDES(H63,$B$1)="#NODATA","",_xll.EVDES(H63,$B$1)))</f>
        <v>Total Labor Expense</v>
      </c>
      <c r="O63" s="223">
        <v>118930.04</v>
      </c>
      <c r="P63" s="223">
        <v>107746.74</v>
      </c>
      <c r="Q63" s="223">
        <v>120432.34</v>
      </c>
      <c r="R63" s="223">
        <v>123427.85</v>
      </c>
      <c r="S63" s="223">
        <v>115821.79</v>
      </c>
      <c r="T63" s="223">
        <v>105516.9</v>
      </c>
      <c r="U63" s="223">
        <v>129343.41</v>
      </c>
      <c r="V63" s="223">
        <v>119888.91</v>
      </c>
      <c r="W63" s="223">
        <v>86502.13</v>
      </c>
      <c r="X63" s="223">
        <v>105311.72</v>
      </c>
      <c r="Y63" s="223">
        <v>110263.17</v>
      </c>
      <c r="Z63" s="223">
        <v>129976.56</v>
      </c>
      <c r="AA63" s="223">
        <f t="shared" si="18"/>
        <v>1373161.56</v>
      </c>
      <c r="AB63" s="224">
        <f t="shared" si="19"/>
        <v>0.12162072747297568</v>
      </c>
      <c r="AC63" s="225"/>
      <c r="AD63" s="223">
        <v>1073956.5727113199</v>
      </c>
      <c r="AE63" s="224">
        <f t="shared" si="20"/>
        <v>0.10230582668563182</v>
      </c>
      <c r="AF63" s="226">
        <f t="shared" si="21"/>
        <v>299204.98728868016</v>
      </c>
      <c r="AG63" s="223">
        <v>1143775.8600000001</v>
      </c>
      <c r="AH63" s="224">
        <f t="shared" si="22"/>
        <v>0.121817529616186</v>
      </c>
      <c r="AI63" s="226">
        <f t="shared" si="23"/>
        <v>229385.69999999995</v>
      </c>
      <c r="AJ63" s="227">
        <f t="shared" si="13"/>
        <v>33.2371970760517</v>
      </c>
      <c r="AK63" s="228">
        <f t="shared" si="14"/>
        <v>27.514771795227503</v>
      </c>
      <c r="AL63" s="229">
        <f t="shared" si="15"/>
        <v>5.7224252808241971</v>
      </c>
      <c r="AM63" s="230">
        <f t="shared" si="16"/>
        <v>28.438694646808724</v>
      </c>
      <c r="AN63" s="229">
        <f t="shared" si="17"/>
        <v>4.7985024292429763</v>
      </c>
      <c r="AO63" s="11"/>
    </row>
    <row r="64" spans="1:41" x14ac:dyDescent="0.25">
      <c r="A64" s="11"/>
      <c r="B64" s="11"/>
      <c r="C64" s="11"/>
      <c r="D64" s="11"/>
      <c r="E64" s="11"/>
      <c r="F64" s="11"/>
      <c r="G64" s="11"/>
      <c r="H64" s="88" t="s">
        <v>850</v>
      </c>
      <c r="I64" s="122" t="str">
        <f>IF(_epmOfflineCondition_,"T3",_xll.EVPRO($B$1,$H64,"STYLE"))</f>
        <v>T3</v>
      </c>
      <c r="J64" s="122" t="str">
        <f>IF(_epmOfflineCondition_,"Y",_xll.EVPRO($B$1,$H64,"CALC"))</f>
        <v>Y</v>
      </c>
      <c r="K64" s="179" t="str">
        <f t="shared" si="12"/>
        <v>&gt;</v>
      </c>
      <c r="L64" s="90" t="str">
        <f>IF(_epmOfflineCondition_,"",_xll.EVPRO($B$1,H64,"JDEID"))</f>
        <v/>
      </c>
      <c r="M64" s="90" t="str">
        <f>IF(_epmOfflineCondition_,"",IF(AND(I64="N",J64="N"),_xll.EVPRO($B$1,H64,"PSFTID"),""))</f>
        <v/>
      </c>
      <c r="N64" s="90" t="str">
        <f>IF(_epmOfflineCondition_,"Payroll Taxes",IF(_xll.EVDES(H64,$B$1)="#NODATA","",_xll.EVDES(H64,$B$1)))</f>
        <v>Payroll Taxes</v>
      </c>
      <c r="O64" s="239">
        <v>3484.64</v>
      </c>
      <c r="P64" s="239">
        <v>2606.87</v>
      </c>
      <c r="Q64" s="239">
        <v>1239.3800000000001</v>
      </c>
      <c r="R64" s="239">
        <v>2579.13</v>
      </c>
      <c r="S64" s="239">
        <v>2511.88</v>
      </c>
      <c r="T64" s="239">
        <v>2822.88</v>
      </c>
      <c r="U64" s="239">
        <v>2368.5300000000002</v>
      </c>
      <c r="V64" s="239">
        <v>2529.7600000000002</v>
      </c>
      <c r="W64" s="239">
        <v>2622.42</v>
      </c>
      <c r="X64" s="239">
        <v>2619.0300000000002</v>
      </c>
      <c r="Y64" s="239">
        <v>5382.77</v>
      </c>
      <c r="Z64" s="239">
        <v>6265.34</v>
      </c>
      <c r="AA64" s="239">
        <f t="shared" si="18"/>
        <v>37032.629999999997</v>
      </c>
      <c r="AB64" s="240">
        <f t="shared" si="19"/>
        <v>3.2799748638736603E-3</v>
      </c>
      <c r="AC64" s="140"/>
      <c r="AD64" s="239">
        <v>91208.710404838901</v>
      </c>
      <c r="AE64" s="240">
        <f t="shared" si="20"/>
        <v>8.6886032042616489E-3</v>
      </c>
      <c r="AF64" s="241">
        <f t="shared" si="21"/>
        <v>-54176.080404838904</v>
      </c>
      <c r="AG64" s="239">
        <v>43723.360000000001</v>
      </c>
      <c r="AH64" s="240">
        <f t="shared" si="22"/>
        <v>4.6567442870486548E-3</v>
      </c>
      <c r="AI64" s="241">
        <f t="shared" si="23"/>
        <v>-6690.7300000000032</v>
      </c>
      <c r="AJ64" s="235">
        <f t="shared" si="13"/>
        <v>0.89636999564312336</v>
      </c>
      <c r="AK64" s="236">
        <f t="shared" si="14"/>
        <v>2.3367675344547783</v>
      </c>
      <c r="AL64" s="237">
        <f t="shared" si="15"/>
        <v>-1.4403975388116548</v>
      </c>
      <c r="AM64" s="238">
        <f t="shared" si="16"/>
        <v>1.0871319525597354</v>
      </c>
      <c r="AN64" s="237">
        <f t="shared" si="17"/>
        <v>-0.19076195691661202</v>
      </c>
      <c r="AO64" s="11"/>
    </row>
    <row r="65" spans="1:41" x14ac:dyDescent="0.25">
      <c r="A65" s="97" t="s">
        <v>92</v>
      </c>
      <c r="B65" s="98" t="s">
        <v>93</v>
      </c>
      <c r="C65" s="98" t="s">
        <v>94</v>
      </c>
      <c r="D65" s="98" t="s">
        <v>95</v>
      </c>
      <c r="E65" s="98" t="s">
        <v>96</v>
      </c>
      <c r="F65" s="99" t="s">
        <v>97</v>
      </c>
      <c r="G65" s="11"/>
      <c r="H65" s="88" t="s">
        <v>851</v>
      </c>
      <c r="I65" s="122" t="str">
        <f>IF(_epmOfflineCondition_,"T3",_xll.EVPRO($B$1,$H65,"STYLE"))</f>
        <v>T3</v>
      </c>
      <c r="J65" s="122" t="str">
        <f>IF(_epmOfflineCondition_,"Y",_xll.EVPRO($B$1,$H65,"CALC"))</f>
        <v>Y</v>
      </c>
      <c r="K65" s="179" t="str">
        <f t="shared" si="12"/>
        <v>&gt;</v>
      </c>
      <c r="L65" s="90" t="str">
        <f>IF(_epmOfflineCondition_,"",_xll.EVPRO($B$1,H65,"JDEID"))</f>
        <v/>
      </c>
      <c r="M65" s="90" t="str">
        <f>IF(_epmOfflineCondition_,"",IF(AND(I65="N",J65="N"),_xll.EVPRO($B$1,H65,"PSFTID"),""))</f>
        <v/>
      </c>
      <c r="N65" s="90" t="str">
        <f>IF(_epmOfflineCondition_,"Supplemental Pay",IF(_xll.EVDES(H65,$B$1)="#NODATA","",_xll.EVDES(H65,$B$1)))</f>
        <v>Supplemental Pay</v>
      </c>
      <c r="O65" s="239">
        <v>5237.9399999999996</v>
      </c>
      <c r="P65" s="239">
        <v>3136.31</v>
      </c>
      <c r="Q65" s="239">
        <v>806.86</v>
      </c>
      <c r="R65" s="239">
        <v>2939.41</v>
      </c>
      <c r="S65" s="239">
        <v>7467.04</v>
      </c>
      <c r="T65" s="239">
        <v>4504.1099999999997</v>
      </c>
      <c r="U65" s="239">
        <v>3546.43</v>
      </c>
      <c r="V65" s="239">
        <v>1928.9</v>
      </c>
      <c r="W65" s="239">
        <v>4426.99</v>
      </c>
      <c r="X65" s="239">
        <v>2166.56</v>
      </c>
      <c r="Y65" s="239">
        <v>6701.02</v>
      </c>
      <c r="Z65" s="239">
        <v>4000.75</v>
      </c>
      <c r="AA65" s="215">
        <f t="shared" si="18"/>
        <v>46862.320000000007</v>
      </c>
      <c r="AB65" s="240">
        <f t="shared" si="19"/>
        <v>4.1505891334967012E-3</v>
      </c>
      <c r="AC65" s="140"/>
      <c r="AD65" s="215">
        <v>89058.635429792907</v>
      </c>
      <c r="AE65" s="217">
        <f t="shared" si="20"/>
        <v>8.4837856135439507E-3</v>
      </c>
      <c r="AF65" s="218">
        <f t="shared" si="21"/>
        <v>-42196.3154297929</v>
      </c>
      <c r="AG65" s="215">
        <v>78722.14</v>
      </c>
      <c r="AH65" s="217">
        <f t="shared" si="22"/>
        <v>8.3842796095552671E-3</v>
      </c>
      <c r="AI65" s="218">
        <f t="shared" si="23"/>
        <v>-31859.819999999992</v>
      </c>
      <c r="AJ65" s="211">
        <f t="shared" si="13"/>
        <v>1.1342963644285231</v>
      </c>
      <c r="AK65" s="212">
        <f t="shared" si="14"/>
        <v>2.281682604780511</v>
      </c>
      <c r="AL65" s="213">
        <f t="shared" si="15"/>
        <v>-1.1473862403519879</v>
      </c>
      <c r="AM65" s="214">
        <f t="shared" si="16"/>
        <v>1.9573370794897933</v>
      </c>
      <c r="AN65" s="213">
        <f t="shared" si="17"/>
        <v>-0.82304071506127019</v>
      </c>
      <c r="AO65" s="11"/>
    </row>
    <row r="66" spans="1:41" x14ac:dyDescent="0.25">
      <c r="A66" s="11"/>
      <c r="B66" s="11"/>
      <c r="C66" s="11"/>
      <c r="D66" s="11"/>
      <c r="E66" s="11"/>
      <c r="F66" s="11"/>
      <c r="G66" s="11"/>
      <c r="H66" s="88" t="s">
        <v>852</v>
      </c>
      <c r="I66" s="122" t="str">
        <f>IF(_epmOfflineCondition_,"T3",_xll.EVPRO($B$1,$H66,"STYLE"))</f>
        <v>T3</v>
      </c>
      <c r="J66" s="122" t="str">
        <f>IF(_epmOfflineCondition_,"Y",_xll.EVPRO($B$1,$H66,"CALC"))</f>
        <v>Y</v>
      </c>
      <c r="K66" s="179" t="str">
        <f t="shared" si="12"/>
        <v>&gt;</v>
      </c>
      <c r="L66" s="90" t="str">
        <f>IF(_epmOfflineCondition_,"",_xll.EVPRO($B$1,H66,"JDEID"))</f>
        <v/>
      </c>
      <c r="M66" s="90" t="str">
        <f>IF(_epmOfflineCondition_,"",IF(AND(I66="N",J66="N"),_xll.EVPRO($B$1,H66,"PSFTID"),""))</f>
        <v/>
      </c>
      <c r="N66" s="90" t="str">
        <f>IF(_epmOfflineCondition_,"Employee Benefits",IF(_xll.EVDES(H66,$B$1)="#NODATA","",_xll.EVDES(H66,$B$1)))</f>
        <v>Employee Benefits</v>
      </c>
      <c r="O66" s="239">
        <v>4468.87</v>
      </c>
      <c r="P66" s="239">
        <v>6087.22</v>
      </c>
      <c r="Q66" s="239">
        <v>6754.61</v>
      </c>
      <c r="R66" s="239">
        <v>5065.68</v>
      </c>
      <c r="S66" s="239">
        <v>5524.3</v>
      </c>
      <c r="T66" s="239">
        <v>5368.49</v>
      </c>
      <c r="U66" s="239">
        <v>4308.18</v>
      </c>
      <c r="V66" s="239">
        <v>5652.79</v>
      </c>
      <c r="W66" s="239">
        <v>2499.7800000000002</v>
      </c>
      <c r="X66" s="239">
        <v>6005.42</v>
      </c>
      <c r="Y66" s="239">
        <v>4129.0600000000004</v>
      </c>
      <c r="Z66" s="239">
        <v>5873.29</v>
      </c>
      <c r="AA66" s="215">
        <f t="shared" si="18"/>
        <v>61737.689999999995</v>
      </c>
      <c r="AB66" s="240">
        <f t="shared" si="19"/>
        <v>5.4680985755973643E-3</v>
      </c>
      <c r="AC66" s="140"/>
      <c r="AD66" s="215">
        <v>59335.060888300199</v>
      </c>
      <c r="AE66" s="217">
        <f t="shared" si="20"/>
        <v>5.6522978767145713E-3</v>
      </c>
      <c r="AF66" s="218">
        <f t="shared" si="21"/>
        <v>2402.6291116997963</v>
      </c>
      <c r="AG66" s="215">
        <v>59027.5</v>
      </c>
      <c r="AH66" s="217">
        <f t="shared" si="22"/>
        <v>6.2867074580673686E-3</v>
      </c>
      <c r="AI66" s="218">
        <f t="shared" si="23"/>
        <v>2710.1899999999951</v>
      </c>
      <c r="AJ66" s="219">
        <f t="shared" si="13"/>
        <v>1.4943527617756691</v>
      </c>
      <c r="AK66" s="220">
        <f t="shared" si="14"/>
        <v>1.5201645031845716</v>
      </c>
      <c r="AL66" s="221">
        <f t="shared" si="15"/>
        <v>-2.5811741408902522E-2</v>
      </c>
      <c r="AM66" s="222">
        <f t="shared" si="16"/>
        <v>1.4676521047266218</v>
      </c>
      <c r="AN66" s="221">
        <f t="shared" si="17"/>
        <v>2.6700657049047338E-2</v>
      </c>
      <c r="AO66" s="11"/>
    </row>
    <row r="67" spans="1:41" x14ac:dyDescent="0.25">
      <c r="A67" s="11" t="s">
        <v>108</v>
      </c>
      <c r="B67" s="11"/>
      <c r="C67" s="104" t="s">
        <v>101</v>
      </c>
      <c r="D67" s="11" t="s">
        <v>106</v>
      </c>
      <c r="E67" s="11"/>
      <c r="F67" s="11" t="s">
        <v>98</v>
      </c>
      <c r="G67" s="76"/>
      <c r="H67" s="88" t="s">
        <v>853</v>
      </c>
      <c r="I67" s="188" t="str">
        <f>IF(_epmOfflineCondition_,"T2",_xll.EVPRO($B$1,$H67,"STYLE"))</f>
        <v>T2</v>
      </c>
      <c r="J67" s="188" t="str">
        <f>IF(_epmOfflineCondition_,"Y",_xll.EVPRO($B$1,$H67,"CALC"))</f>
        <v>Y</v>
      </c>
      <c r="K67" s="189" t="str">
        <f t="shared" si="12"/>
        <v/>
      </c>
      <c r="L67" s="190" t="str">
        <f>IF(_epmOfflineCondition_,"",_xll.EVPRO($B$1,H67,"JDEID"))</f>
        <v/>
      </c>
      <c r="M67" s="190" t="str">
        <f>IF(_epmOfflineCondition_,"",IF(AND(I67="N",J67="N"),_xll.EVPRO($B$1,H67,"PSFTID"),""))</f>
        <v/>
      </c>
      <c r="N67" s="190" t="str">
        <f>IF(_epmOfflineCondition_,"Total Payroll Related",IF(_xll.EVDES(H67,$B$1)="#NODATA","",_xll.EVDES(H67,$B$1)))</f>
        <v>Total Payroll Related</v>
      </c>
      <c r="O67" s="242">
        <v>13191.45</v>
      </c>
      <c r="P67" s="242">
        <v>11830.4</v>
      </c>
      <c r="Q67" s="242">
        <v>8800.85</v>
      </c>
      <c r="R67" s="242">
        <v>10584.22</v>
      </c>
      <c r="S67" s="242">
        <v>15503.22</v>
      </c>
      <c r="T67" s="242">
        <v>12695.48</v>
      </c>
      <c r="U67" s="242">
        <v>10223.14</v>
      </c>
      <c r="V67" s="242">
        <v>10111.450000000001</v>
      </c>
      <c r="W67" s="242">
        <v>9549.19</v>
      </c>
      <c r="X67" s="242">
        <v>10791.01</v>
      </c>
      <c r="Y67" s="242">
        <v>16212.85</v>
      </c>
      <c r="Z67" s="242">
        <v>16139.38</v>
      </c>
      <c r="AA67" s="242">
        <f t="shared" si="18"/>
        <v>145632.63999999998</v>
      </c>
      <c r="AB67" s="243">
        <f t="shared" si="19"/>
        <v>1.2898662572967725E-2</v>
      </c>
      <c r="AC67" s="244"/>
      <c r="AD67" s="242">
        <v>239602.40672293201</v>
      </c>
      <c r="AE67" s="243">
        <f t="shared" si="20"/>
        <v>2.2824686694520171E-2</v>
      </c>
      <c r="AF67" s="245">
        <f t="shared" si="21"/>
        <v>-93969.766722932021</v>
      </c>
      <c r="AG67" s="242">
        <v>181473</v>
      </c>
      <c r="AH67" s="243">
        <f t="shared" si="22"/>
        <v>1.932773135467129E-2</v>
      </c>
      <c r="AI67" s="245">
        <f t="shared" si="23"/>
        <v>-35840.360000000015</v>
      </c>
      <c r="AJ67" s="246">
        <f t="shared" si="13"/>
        <v>3.5250191218473153</v>
      </c>
      <c r="AK67" s="247">
        <f t="shared" si="14"/>
        <v>6.1386146424198609</v>
      </c>
      <c r="AL67" s="248">
        <f t="shared" si="15"/>
        <v>-2.6135955205725456</v>
      </c>
      <c r="AM67" s="249">
        <f t="shared" si="16"/>
        <v>4.5121211367761509</v>
      </c>
      <c r="AN67" s="248">
        <f t="shared" si="17"/>
        <v>-0.98710201492883565</v>
      </c>
      <c r="AO67" s="11"/>
    </row>
    <row r="68" spans="1:41" x14ac:dyDescent="0.25">
      <c r="A68" s="11" t="s">
        <v>100</v>
      </c>
      <c r="B68" s="11"/>
      <c r="C68" s="53" t="s">
        <v>101</v>
      </c>
      <c r="D68" s="11" t="s">
        <v>106</v>
      </c>
      <c r="E68" s="11"/>
      <c r="F68" s="11" t="s">
        <v>98</v>
      </c>
      <c r="G68" s="11"/>
      <c r="H68" s="88" t="s">
        <v>76</v>
      </c>
      <c r="I68" s="188" t="str">
        <f>IF(_epmOfflineCondition_,"T1",_xll.EVPRO($B$1,$H68,"STYLE"))</f>
        <v>T1</v>
      </c>
      <c r="J68" s="188" t="str">
        <f>IF(_epmOfflineCondition_,"Y",_xll.EVPRO($B$1,$H68,"CALC"))</f>
        <v>Y</v>
      </c>
      <c r="K68" s="189" t="str">
        <f t="shared" si="12"/>
        <v/>
      </c>
      <c r="L68" s="190" t="str">
        <f>IF(_epmOfflineCondition_,"600000",_xll.EVPRO($B$1,H68,"JDEID"))</f>
        <v>600000</v>
      </c>
      <c r="M68" s="190" t="str">
        <f>IF(_epmOfflineCondition_,"",IF(AND(I68="N",J68="N"),_xll.EVPRO($B$1,H68,"PSFTID"),""))</f>
        <v/>
      </c>
      <c r="N68" s="190" t="str">
        <f>IF(_epmOfflineCondition_,"Total Labor &amp; Related Exp",IF(_xll.EVDES(H68,$B$1)="#NODATA","",_xll.EVDES(H68,$B$1)))</f>
        <v>Total Labor &amp; Related Exp</v>
      </c>
      <c r="O68" s="242">
        <v>132121.49</v>
      </c>
      <c r="P68" s="242">
        <v>119577.14</v>
      </c>
      <c r="Q68" s="242">
        <v>129233.19</v>
      </c>
      <c r="R68" s="242">
        <v>134012.07</v>
      </c>
      <c r="S68" s="242">
        <v>131325.01</v>
      </c>
      <c r="T68" s="242">
        <v>118212.38</v>
      </c>
      <c r="U68" s="242">
        <v>139566.54999999999</v>
      </c>
      <c r="V68" s="242">
        <v>130000.36</v>
      </c>
      <c r="W68" s="242">
        <v>96051.32</v>
      </c>
      <c r="X68" s="242">
        <v>116102.73</v>
      </c>
      <c r="Y68" s="242">
        <v>126476.02</v>
      </c>
      <c r="Z68" s="242">
        <v>146115.94</v>
      </c>
      <c r="AA68" s="242">
        <f t="shared" si="18"/>
        <v>1518794.2</v>
      </c>
      <c r="AB68" s="243">
        <f t="shared" si="19"/>
        <v>0.1345193900459434</v>
      </c>
      <c r="AC68" s="244"/>
      <c r="AD68" s="242">
        <v>1313558.9794342499</v>
      </c>
      <c r="AE68" s="243">
        <f t="shared" si="20"/>
        <v>0.1251305133801518</v>
      </c>
      <c r="AF68" s="245">
        <f t="shared" si="21"/>
        <v>205235.22056575003</v>
      </c>
      <c r="AG68" s="242">
        <v>1325248.8600000001</v>
      </c>
      <c r="AH68" s="243">
        <f t="shared" si="22"/>
        <v>0.14114526097085728</v>
      </c>
      <c r="AI68" s="245">
        <f t="shared" si="23"/>
        <v>193545.33999999985</v>
      </c>
      <c r="AJ68" s="250">
        <f t="shared" si="13"/>
        <v>36.762216197899015</v>
      </c>
      <c r="AK68" s="251">
        <f t="shared" si="14"/>
        <v>33.653386437647313</v>
      </c>
      <c r="AL68" s="252">
        <f t="shared" si="15"/>
        <v>3.1088297602517017</v>
      </c>
      <c r="AM68" s="253">
        <f t="shared" si="16"/>
        <v>32.950815783584872</v>
      </c>
      <c r="AN68" s="252">
        <f t="shared" si="17"/>
        <v>3.8114004143141429</v>
      </c>
      <c r="AO68" s="11"/>
    </row>
    <row r="69" spans="1:41" x14ac:dyDescent="0.25">
      <c r="A69" s="11" t="s">
        <v>109</v>
      </c>
      <c r="B69" s="11"/>
      <c r="C69" s="106" t="s">
        <v>101</v>
      </c>
      <c r="D69" s="11" t="s">
        <v>106</v>
      </c>
      <c r="E69" s="11"/>
      <c r="F69" s="11" t="s">
        <v>98</v>
      </c>
      <c r="G69" s="11"/>
      <c r="H69" s="11"/>
      <c r="I69" s="59"/>
      <c r="J69" s="59"/>
      <c r="K69" s="11"/>
      <c r="L69" s="59"/>
      <c r="M69" s="59"/>
      <c r="N69" s="11"/>
      <c r="O69" s="129"/>
      <c r="P69" s="130"/>
      <c r="Q69" s="130"/>
      <c r="R69" s="130"/>
      <c r="S69" s="130"/>
      <c r="T69" s="130"/>
      <c r="U69" s="130"/>
      <c r="V69" s="130"/>
      <c r="W69" s="130"/>
      <c r="X69" s="130"/>
      <c r="Y69" s="130"/>
      <c r="Z69" s="130"/>
      <c r="AA69" s="130"/>
      <c r="AB69" s="131"/>
      <c r="AC69" s="11"/>
      <c r="AD69" s="129"/>
      <c r="AE69" s="130"/>
      <c r="AF69" s="131"/>
      <c r="AG69" s="129"/>
      <c r="AH69" s="130"/>
      <c r="AI69" s="131"/>
      <c r="AJ69" s="11"/>
      <c r="AK69" s="11"/>
      <c r="AL69" s="11"/>
      <c r="AM69" s="11"/>
      <c r="AN69" s="11"/>
      <c r="AO69" s="11"/>
    </row>
    <row r="70" spans="1:41" x14ac:dyDescent="0.25">
      <c r="A70" s="11" t="s">
        <v>109</v>
      </c>
      <c r="B70" s="11"/>
      <c r="C70" s="196" t="s">
        <v>101</v>
      </c>
      <c r="D70" s="11" t="s">
        <v>107</v>
      </c>
      <c r="E70" s="11"/>
      <c r="F70" s="11" t="s">
        <v>99</v>
      </c>
      <c r="G70" s="11"/>
      <c r="H70" s="11" t="s">
        <v>82</v>
      </c>
      <c r="I70" s="59" t="str">
        <f>IF(_epmOfflineCondition_,"B1",_xll.EVPRO($B$1,$H70,"STYLE"))</f>
        <v>B1</v>
      </c>
      <c r="J70" s="59" t="str">
        <f>IF(_epmOfflineCondition_,"Y",_xll.EVPRO($B$1,$H70,"CALC"))</f>
        <v>Y</v>
      </c>
      <c r="K70" s="11"/>
      <c r="L70" s="59"/>
      <c r="M70" s="59"/>
      <c r="N70" s="105" t="str">
        <f>IF(_epmOfflineCondition_,"Other Expenses",IF(_xll.EVDES(H70,$B$1)="#NODATA","",_xll.EVDES(H70,$B$1)))</f>
        <v>Other Expenses</v>
      </c>
      <c r="O70" s="119"/>
      <c r="P70" s="120"/>
      <c r="Q70" s="120"/>
      <c r="R70" s="120"/>
      <c r="S70" s="120"/>
      <c r="T70" s="120"/>
      <c r="U70" s="120"/>
      <c r="V70" s="120"/>
      <c r="W70" s="120"/>
      <c r="X70" s="120"/>
      <c r="Y70" s="120"/>
      <c r="Z70" s="120"/>
      <c r="AA70" s="120"/>
      <c r="AB70" s="121"/>
      <c r="AC70" s="11"/>
      <c r="AD70" s="119"/>
      <c r="AE70" s="120"/>
      <c r="AF70" s="121"/>
      <c r="AG70" s="119"/>
      <c r="AH70" s="120"/>
      <c r="AI70" s="121"/>
      <c r="AJ70" s="11"/>
      <c r="AK70" s="11"/>
      <c r="AL70" s="11"/>
      <c r="AM70" s="11"/>
      <c r="AN70" s="11"/>
      <c r="AO70" s="11"/>
    </row>
    <row r="71" spans="1:41" x14ac:dyDescent="0.25">
      <c r="A71" s="11" t="s">
        <v>110</v>
      </c>
      <c r="B71" s="11"/>
      <c r="C71" s="106" t="s">
        <v>101</v>
      </c>
      <c r="D71" s="11" t="s">
        <v>106</v>
      </c>
      <c r="E71" s="11"/>
      <c r="F71" s="11" t="s">
        <v>98</v>
      </c>
      <c r="G71" s="11"/>
      <c r="H71" s="88" t="s">
        <v>828</v>
      </c>
      <c r="I71" s="122" t="str">
        <f>IF(_epmOfflineCondition_,"N",_xll.EVPRO($B$1,$H71,"STYLE"))</f>
        <v>N</v>
      </c>
      <c r="J71" s="122" t="str">
        <f>IF(_epmOfflineCondition_,"N",_xll.EVPRO($B$1,$H71,"CALC"))</f>
        <v>N</v>
      </c>
      <c r="K71" s="179" t="str">
        <f t="shared" ref="K71:K94" si="24">IF(AND(I71&lt;&gt;"B1",J71="Y"),"&gt;","")</f>
        <v/>
      </c>
      <c r="L71" s="90" t="str">
        <f>IF(_epmOfflineCondition_,"701100",_xll.EVPRO($B$1,H71,"JDEID"))</f>
        <v>701100</v>
      </c>
      <c r="M71" s="90" t="str">
        <f>IF(_epmOfflineCondition_,"690015",IF(AND(I71="N",J71="N"),_xll.EVPRO($B$1,H71,"PSFTID"),""))</f>
        <v>690015</v>
      </c>
      <c r="N71" s="90" t="str">
        <f>IF(_epmOfflineCondition_,"Dues and Subscriptions",IF(_xll.EVDES(H71,$B$1)="#NODATA","",_xll.EVDES(H71,$B$1)))</f>
        <v>Dues and Subscriptions</v>
      </c>
      <c r="O71" s="138"/>
      <c r="P71" s="138"/>
      <c r="Q71" s="138"/>
      <c r="R71" s="138"/>
      <c r="S71" s="138"/>
      <c r="T71" s="138"/>
      <c r="U71" s="138"/>
      <c r="V71" s="138"/>
      <c r="W71" s="138"/>
      <c r="X71" s="138"/>
      <c r="Y71" s="138"/>
      <c r="Z71" s="138"/>
      <c r="AA71" s="138">
        <f t="shared" ref="AA71:AA95" si="25">IF($I71="B1","",SUM(O71:Z71))</f>
        <v>0</v>
      </c>
      <c r="AB71" s="142" t="str">
        <f t="shared" ref="AB71:AB95" si="26">IF(AA71=0,"",IFERROR(AA71/AA$19,""))</f>
        <v/>
      </c>
      <c r="AC71" s="140"/>
      <c r="AD71" s="138"/>
      <c r="AE71" s="142" t="str">
        <f t="shared" ref="AE71:AE95" si="27">IF(AD71=0,"",IFERROR(AD71/AD$19,""))</f>
        <v/>
      </c>
      <c r="AF71" s="141">
        <f t="shared" ref="AF71:AF95" si="28">IF(AND($AA71="",AD71=""),"",$AA71-AD71)</f>
        <v>0</v>
      </c>
      <c r="AG71" s="138">
        <v>626.16999999999996</v>
      </c>
      <c r="AH71" s="142">
        <f t="shared" ref="AH71:AH95" si="29">IF(AG71=0,"",IFERROR(AG71/AG$19,""))</f>
        <v>6.6690061564830694E-5</v>
      </c>
      <c r="AI71" s="141">
        <f t="shared" ref="AI71:AI95" si="30">IF(AND($AA71="",AG71=""),"",$AA71-AG71)</f>
        <v>-626.16999999999996</v>
      </c>
      <c r="AJ71" s="211">
        <f t="shared" ref="AJ71:AJ95" si="31">IFERROR(AA71/AA$20,0)</f>
        <v>0</v>
      </c>
      <c r="AK71" s="212">
        <f t="shared" ref="AK71:AK95" si="32">IFERROR(AD71/AD$20,0)</f>
        <v>0</v>
      </c>
      <c r="AL71" s="213">
        <f t="shared" ref="AL71:AL95" si="33">AJ71-AK71</f>
        <v>0</v>
      </c>
      <c r="AM71" s="214">
        <f t="shared" ref="AM71:AM95" si="34">IFERROR(AG71/AG$20,0)</f>
        <v>1.5569009672045549E-2</v>
      </c>
      <c r="AN71" s="213">
        <f t="shared" ref="AN71:AN95" si="35">AJ71-AM71</f>
        <v>-1.5569009672045549E-2</v>
      </c>
      <c r="AO71" s="11"/>
    </row>
    <row r="72" spans="1:41" x14ac:dyDescent="0.25">
      <c r="A72" s="11" t="s">
        <v>110</v>
      </c>
      <c r="B72" s="11"/>
      <c r="C72" s="109" t="s">
        <v>101</v>
      </c>
      <c r="D72" s="11" t="s">
        <v>107</v>
      </c>
      <c r="E72" s="11"/>
      <c r="F72" s="11" t="s">
        <v>99</v>
      </c>
      <c r="G72" s="76"/>
      <c r="H72" s="88" t="s">
        <v>855</v>
      </c>
      <c r="I72" s="122" t="str">
        <f>IF(_epmOfflineCondition_,"N",_xll.EVPRO($B$1,$H72,"STYLE"))</f>
        <v>N</v>
      </c>
      <c r="J72" s="122" t="str">
        <f>IF(_epmOfflineCondition_,"N",_xll.EVPRO($B$1,$H72,"CALC"))</f>
        <v>N</v>
      </c>
      <c r="K72" s="179" t="str">
        <f t="shared" si="24"/>
        <v/>
      </c>
      <c r="L72" s="90" t="str">
        <f>IF(_epmOfflineCondition_,"701300",_xll.EVPRO($B$1,H72,"JDEID"))</f>
        <v>701300</v>
      </c>
      <c r="M72" s="90" t="str">
        <f>IF(_epmOfflineCondition_,"690205",IF(AND(I72="N",J72="N"),_xll.EVPRO($B$1,H72,"PSFTID"),""))</f>
        <v>690205</v>
      </c>
      <c r="N72" s="90" t="str">
        <f>IF(_epmOfflineCondition_,"Printing &amp; Stationery",IF(_xll.EVDES(H72,$B$1)="#NODATA","",_xll.EVDES(H72,$B$1)))</f>
        <v>Printing &amp; Stationery</v>
      </c>
      <c r="O72" s="138">
        <v>720.08</v>
      </c>
      <c r="P72" s="138">
        <v>795.05</v>
      </c>
      <c r="Q72" s="138">
        <v>1447.42</v>
      </c>
      <c r="R72" s="138">
        <v>333.13</v>
      </c>
      <c r="S72" s="138">
        <v>1094.76</v>
      </c>
      <c r="T72" s="138">
        <v>1014.6</v>
      </c>
      <c r="U72" s="138">
        <v>1079.08</v>
      </c>
      <c r="V72" s="138">
        <v>1109.83</v>
      </c>
      <c r="W72" s="138">
        <v>664.29</v>
      </c>
      <c r="X72" s="138">
        <v>740.98</v>
      </c>
      <c r="Y72" s="138">
        <v>671.18</v>
      </c>
      <c r="Z72" s="138">
        <v>1717.6</v>
      </c>
      <c r="AA72" s="138">
        <f t="shared" si="25"/>
        <v>11388.000000000002</v>
      </c>
      <c r="AB72" s="142">
        <f t="shared" si="26"/>
        <v>1.0086335685527399E-3</v>
      </c>
      <c r="AC72" s="140"/>
      <c r="AD72" s="138">
        <v>11319.28</v>
      </c>
      <c r="AE72" s="142">
        <f t="shared" si="27"/>
        <v>1.0782822390690999E-3</v>
      </c>
      <c r="AF72" s="141">
        <f t="shared" si="28"/>
        <v>68.720000000001164</v>
      </c>
      <c r="AG72" s="138">
        <v>11050.36</v>
      </c>
      <c r="AH72" s="142">
        <f t="shared" si="29"/>
        <v>1.1769155160955373E-3</v>
      </c>
      <c r="AI72" s="141">
        <f t="shared" si="30"/>
        <v>337.64000000000124</v>
      </c>
      <c r="AJ72" s="211">
        <f t="shared" si="31"/>
        <v>0.27564505978602899</v>
      </c>
      <c r="AK72" s="212">
        <f t="shared" si="32"/>
        <v>0.29000000000000004</v>
      </c>
      <c r="AL72" s="213">
        <f t="shared" si="33"/>
        <v>-1.4354940213971046E-2</v>
      </c>
      <c r="AM72" s="214">
        <f t="shared" si="34"/>
        <v>0.27475471791939132</v>
      </c>
      <c r="AN72" s="213">
        <f t="shared" si="35"/>
        <v>8.9034186663766723E-4</v>
      </c>
      <c r="AO72" s="11"/>
    </row>
    <row r="73" spans="1:41" x14ac:dyDescent="0.25">
      <c r="A73" s="11"/>
      <c r="B73" s="11"/>
      <c r="C73" s="208"/>
      <c r="D73" s="11"/>
      <c r="E73" s="11"/>
      <c r="F73" s="11"/>
      <c r="G73" s="76"/>
      <c r="H73" s="88" t="s">
        <v>831</v>
      </c>
      <c r="I73" s="122" t="str">
        <f>IF(_epmOfflineCondition_,"T4",_xll.EVPRO($B$1,$H73,"STYLE"))</f>
        <v>T4</v>
      </c>
      <c r="J73" s="122" t="str">
        <f>IF(_epmOfflineCondition_,"Y",_xll.EVPRO($B$1,$H73,"CALC"))</f>
        <v>Y</v>
      </c>
      <c r="K73" s="179" t="str">
        <f t="shared" si="24"/>
        <v>&gt;</v>
      </c>
      <c r="L73" s="90" t="str">
        <f>IF(_epmOfflineCondition_,"701500",_xll.EVPRO($B$1,H73,"JDEID"))</f>
        <v>701500</v>
      </c>
      <c r="M73" s="90" t="str">
        <f>IF(_epmOfflineCondition_,"",IF(AND(I73="N",J73="N"),_xll.EVPRO($B$1,H73,"PSFTID"),""))</f>
        <v/>
      </c>
      <c r="N73" s="90" t="str">
        <f>IF(_epmOfflineCondition_,"Operating Supplies",IF(_xll.EVDES(H73,$B$1)="#NODATA","",_xll.EVDES(H73,$B$1)))</f>
        <v>Operating Supplies</v>
      </c>
      <c r="O73" s="138">
        <v>4444.99</v>
      </c>
      <c r="P73" s="138">
        <v>4101.74</v>
      </c>
      <c r="Q73" s="138">
        <v>4007.93</v>
      </c>
      <c r="R73" s="138">
        <v>3087.07</v>
      </c>
      <c r="S73" s="138">
        <v>3937.53</v>
      </c>
      <c r="T73" s="138">
        <v>3909.32</v>
      </c>
      <c r="U73" s="138">
        <v>3929.49</v>
      </c>
      <c r="V73" s="138">
        <v>3061.64</v>
      </c>
      <c r="W73" s="138">
        <v>3005.24</v>
      </c>
      <c r="X73" s="138">
        <v>3276.06</v>
      </c>
      <c r="Y73" s="138">
        <v>2482.5700000000002</v>
      </c>
      <c r="Z73" s="138">
        <v>4073.09</v>
      </c>
      <c r="AA73" s="138">
        <f t="shared" si="25"/>
        <v>43316.67</v>
      </c>
      <c r="AB73" s="142">
        <f t="shared" si="26"/>
        <v>3.8365514084932736E-3</v>
      </c>
      <c r="AC73" s="140"/>
      <c r="AD73" s="138">
        <v>40307.800000000003</v>
      </c>
      <c r="AE73" s="142">
        <f t="shared" si="27"/>
        <v>3.8397481850391073E-3</v>
      </c>
      <c r="AF73" s="141">
        <f t="shared" si="28"/>
        <v>3008.8699999999953</v>
      </c>
      <c r="AG73" s="138">
        <v>46989.9</v>
      </c>
      <c r="AH73" s="142">
        <f t="shared" si="29"/>
        <v>5.0046462205555016E-3</v>
      </c>
      <c r="AI73" s="141">
        <f t="shared" si="30"/>
        <v>-3673.2300000000032</v>
      </c>
      <c r="AJ73" s="211">
        <f t="shared" si="31"/>
        <v>1.0484743670426488</v>
      </c>
      <c r="AK73" s="212">
        <f t="shared" si="32"/>
        <v>1.0326860012297603</v>
      </c>
      <c r="AL73" s="213">
        <f t="shared" si="33"/>
        <v>1.5788365812888561E-2</v>
      </c>
      <c r="AM73" s="214">
        <f t="shared" si="34"/>
        <v>1.1683507794823342</v>
      </c>
      <c r="AN73" s="213">
        <f t="shared" si="35"/>
        <v>-0.11987641243968539</v>
      </c>
      <c r="AO73" s="11"/>
    </row>
    <row r="74" spans="1:41" x14ac:dyDescent="0.25">
      <c r="A74" s="11"/>
      <c r="B74" s="11"/>
      <c r="C74" s="11"/>
      <c r="D74" s="11"/>
      <c r="E74" s="11"/>
      <c r="F74" s="11"/>
      <c r="G74" s="11"/>
      <c r="H74" s="88" t="s">
        <v>867</v>
      </c>
      <c r="I74" s="122" t="str">
        <f>IF(_epmOfflineCondition_,"N",_xll.EVPRO($B$1,$H74,"STYLE"))</f>
        <v>N</v>
      </c>
      <c r="J74" s="122" t="str">
        <f>IF(_epmOfflineCondition_,"N",_xll.EVPRO($B$1,$H74,"CALC"))</f>
        <v>N</v>
      </c>
      <c r="K74" s="179" t="str">
        <f t="shared" si="24"/>
        <v/>
      </c>
      <c r="L74" s="90" t="str">
        <f>IF(_epmOfflineCondition_,"701600",_xll.EVPRO($B$1,H74,"JDEID"))</f>
        <v>701600</v>
      </c>
      <c r="M74" s="90" t="str">
        <f>IF(_epmOfflineCondition_,"590015",IF(AND(I74="N",J74="N"),_xll.EVPRO($B$1,H74,"PSFTID"),""))</f>
        <v>590015</v>
      </c>
      <c r="N74" s="90" t="str">
        <f>IF(_epmOfflineCondition_,"Cleaning Supplies",IF(_xll.EVDES(H74,$B$1)="#NODATA","",_xll.EVDES(H74,$B$1)))</f>
        <v>Cleaning Supplies</v>
      </c>
      <c r="O74" s="138">
        <v>2316.88</v>
      </c>
      <c r="P74" s="138">
        <v>1945.86</v>
      </c>
      <c r="Q74" s="138">
        <v>1629.03</v>
      </c>
      <c r="R74" s="138">
        <v>1500.78</v>
      </c>
      <c r="S74" s="138">
        <v>1029.28</v>
      </c>
      <c r="T74" s="138">
        <v>1625.8</v>
      </c>
      <c r="U74" s="138">
        <v>2142.12</v>
      </c>
      <c r="V74" s="138">
        <v>2000.93</v>
      </c>
      <c r="W74" s="138">
        <v>1569.89</v>
      </c>
      <c r="X74" s="138">
        <v>1347.28</v>
      </c>
      <c r="Y74" s="138">
        <v>1879.22</v>
      </c>
      <c r="Z74" s="138">
        <v>1805.68</v>
      </c>
      <c r="AA74" s="138">
        <f t="shared" si="25"/>
        <v>20792.75</v>
      </c>
      <c r="AB74" s="142">
        <f t="shared" si="26"/>
        <v>1.8416109617601843E-3</v>
      </c>
      <c r="AC74" s="140"/>
      <c r="AD74" s="138">
        <v>20686.96</v>
      </c>
      <c r="AE74" s="142">
        <f t="shared" si="27"/>
        <v>1.9706537472642168E-3</v>
      </c>
      <c r="AF74" s="141">
        <f t="shared" si="28"/>
        <v>105.79000000000087</v>
      </c>
      <c r="AG74" s="138">
        <v>21769</v>
      </c>
      <c r="AH74" s="142">
        <f t="shared" si="29"/>
        <v>2.3185012859204364E-3</v>
      </c>
      <c r="AI74" s="141">
        <f t="shared" si="30"/>
        <v>-976.25</v>
      </c>
      <c r="AJ74" s="211">
        <f t="shared" si="31"/>
        <v>0.50328581110519433</v>
      </c>
      <c r="AK74" s="212">
        <f t="shared" si="32"/>
        <v>0.53</v>
      </c>
      <c r="AL74" s="213">
        <f t="shared" si="33"/>
        <v>-2.6714188894805702E-2</v>
      </c>
      <c r="AM74" s="214">
        <f t="shared" si="34"/>
        <v>0.54126159277953201</v>
      </c>
      <c r="AN74" s="213">
        <f t="shared" si="35"/>
        <v>-3.7975781674337683E-2</v>
      </c>
      <c r="AO74" s="11"/>
    </row>
    <row r="75" spans="1:41" x14ac:dyDescent="0.25">
      <c r="A75" s="61" t="str">
        <f>IF(_epmOfflineCondition_,"Evdre:Ok",_xll.EVDRE($B$1,A78:B85))</f>
        <v>Evdre:Ok</v>
      </c>
      <c r="B75" s="11" t="s">
        <v>736</v>
      </c>
      <c r="C75" s="11"/>
      <c r="D75" s="11"/>
      <c r="E75" s="11"/>
      <c r="F75" s="11"/>
      <c r="G75" s="11"/>
      <c r="H75" s="88" t="s">
        <v>931</v>
      </c>
      <c r="I75" s="122" t="str">
        <f>IF(_epmOfflineCondition_,"N",_xll.EVPRO($B$1,$H75,"STYLE"))</f>
        <v>N</v>
      </c>
      <c r="J75" s="122" t="str">
        <f>IF(_epmOfflineCondition_,"N",_xll.EVPRO($B$1,$H75,"CALC"))</f>
        <v>N</v>
      </c>
      <c r="K75" s="179" t="str">
        <f t="shared" si="24"/>
        <v/>
      </c>
      <c r="L75" s="90" t="str">
        <f>IF(_epmOfflineCondition_,"701800",_xll.EVPRO($B$1,H75,"JDEID"))</f>
        <v>701800</v>
      </c>
      <c r="M75" s="90" t="str">
        <f>IF(_epmOfflineCondition_,"590020",IF(AND(I75="N",J75="N"),_xll.EVPRO($B$1,H75,"PSFTID"),""))</f>
        <v>590020</v>
      </c>
      <c r="N75" s="90" t="str">
        <f>IF(_epmOfflineCondition_,"Guest Supplies",IF(_xll.EVDES(H75,$B$1)="#NODATA","",_xll.EVDES(H75,$B$1)))</f>
        <v>Guest Supplies</v>
      </c>
      <c r="O75" s="138">
        <v>3781.79</v>
      </c>
      <c r="P75" s="138">
        <v>2664.35</v>
      </c>
      <c r="Q75" s="138">
        <v>3312.68</v>
      </c>
      <c r="R75" s="138">
        <v>2515.1799999999998</v>
      </c>
      <c r="S75" s="138">
        <v>4035.13</v>
      </c>
      <c r="T75" s="138">
        <v>3560.29</v>
      </c>
      <c r="U75" s="138">
        <v>4049.33</v>
      </c>
      <c r="V75" s="138">
        <v>2731.44</v>
      </c>
      <c r="W75" s="138">
        <v>2728.52</v>
      </c>
      <c r="X75" s="138">
        <v>3184.98</v>
      </c>
      <c r="Y75" s="138">
        <v>2963.86</v>
      </c>
      <c r="Z75" s="138">
        <v>3747.13</v>
      </c>
      <c r="AA75" s="138">
        <f t="shared" si="25"/>
        <v>39274.679999999993</v>
      </c>
      <c r="AB75" s="142">
        <f t="shared" si="26"/>
        <v>3.4785529190522399E-3</v>
      </c>
      <c r="AC75" s="140"/>
      <c r="AD75" s="138">
        <v>41373.919999999998</v>
      </c>
      <c r="AE75" s="142">
        <f t="shared" si="27"/>
        <v>3.9413074945284336E-3</v>
      </c>
      <c r="AF75" s="141">
        <f t="shared" si="28"/>
        <v>-2099.2400000000052</v>
      </c>
      <c r="AG75" s="138">
        <v>46140.32</v>
      </c>
      <c r="AH75" s="142">
        <f t="shared" si="29"/>
        <v>4.914161939123543E-3</v>
      </c>
      <c r="AI75" s="141">
        <f t="shared" si="30"/>
        <v>-6865.6400000000067</v>
      </c>
      <c r="AJ75" s="211">
        <f t="shared" si="31"/>
        <v>0.9506385244711234</v>
      </c>
      <c r="AK75" s="212">
        <f t="shared" si="32"/>
        <v>1.06</v>
      </c>
      <c r="AL75" s="213">
        <f t="shared" si="33"/>
        <v>-0.10936147552887665</v>
      </c>
      <c r="AM75" s="214">
        <f t="shared" si="34"/>
        <v>1.1472269325443198</v>
      </c>
      <c r="AN75" s="213">
        <f t="shared" si="35"/>
        <v>-0.19658840807319644</v>
      </c>
      <c r="AO75" s="11"/>
    </row>
    <row r="76" spans="1:41" x14ac:dyDescent="0.25">
      <c r="A76" s="11"/>
      <c r="B76" s="11"/>
      <c r="C76" s="11"/>
      <c r="D76" s="11"/>
      <c r="E76" s="11"/>
      <c r="F76" s="11"/>
      <c r="G76" s="11"/>
      <c r="H76" s="88" t="s">
        <v>871</v>
      </c>
      <c r="I76" s="122" t="str">
        <f>IF(_epmOfflineCondition_,"N",_xll.EVPRO($B$1,$H76,"STYLE"))</f>
        <v>N</v>
      </c>
      <c r="J76" s="122" t="str">
        <f>IF(_epmOfflineCondition_,"N",_xll.EVPRO($B$1,$H76,"CALC"))</f>
        <v>N</v>
      </c>
      <c r="K76" s="179" t="str">
        <f t="shared" si="24"/>
        <v/>
      </c>
      <c r="L76" s="90" t="str">
        <f>IF(_epmOfflineCondition_,"702300",_xll.EVPRO($B$1,H76,"JDEID"))</f>
        <v>702300</v>
      </c>
      <c r="M76" s="90" t="str">
        <f>IF(_epmOfflineCondition_,"590040",IF(AND(I76="N",J76="N"),_xll.EVPRO($B$1,H76,"PSFTID"),""))</f>
        <v>590040</v>
      </c>
      <c r="N76" s="90" t="str">
        <f>IF(_epmOfflineCondition_,"Decorations",IF(_xll.EVDES(H76,$B$1)="#NODATA","",_xll.EVDES(H76,$B$1)))</f>
        <v>Decorations</v>
      </c>
      <c r="O76" s="138"/>
      <c r="P76" s="138"/>
      <c r="Q76" s="138"/>
      <c r="R76" s="138">
        <v>173.3</v>
      </c>
      <c r="S76" s="138">
        <v>502.73</v>
      </c>
      <c r="T76" s="138"/>
      <c r="U76" s="138">
        <v>79.14</v>
      </c>
      <c r="V76" s="138"/>
      <c r="W76" s="138"/>
      <c r="X76" s="138">
        <v>34.159999999999997</v>
      </c>
      <c r="Y76" s="138">
        <v>95.17</v>
      </c>
      <c r="Z76" s="138">
        <v>4951.95</v>
      </c>
      <c r="AA76" s="138">
        <f t="shared" si="25"/>
        <v>5836.45</v>
      </c>
      <c r="AB76" s="142">
        <f t="shared" si="26"/>
        <v>5.1693356086930425E-4</v>
      </c>
      <c r="AC76" s="140"/>
      <c r="AD76" s="138">
        <v>5000</v>
      </c>
      <c r="AE76" s="142">
        <f t="shared" si="27"/>
        <v>4.7630336870768274E-4</v>
      </c>
      <c r="AF76" s="141">
        <f t="shared" si="28"/>
        <v>836.44999999999982</v>
      </c>
      <c r="AG76" s="138">
        <v>3516.8</v>
      </c>
      <c r="AH76" s="142">
        <f t="shared" si="29"/>
        <v>3.7455580515067253E-4</v>
      </c>
      <c r="AI76" s="141">
        <f t="shared" si="30"/>
        <v>2319.6499999999996</v>
      </c>
      <c r="AJ76" s="211">
        <f t="shared" si="31"/>
        <v>0.1412705136273418</v>
      </c>
      <c r="AK76" s="212">
        <f t="shared" si="32"/>
        <v>0.12810002049600328</v>
      </c>
      <c r="AL76" s="213">
        <f t="shared" si="33"/>
        <v>1.3170493131338529E-2</v>
      </c>
      <c r="AM76" s="214">
        <f t="shared" si="34"/>
        <v>8.7441259106392499E-2</v>
      </c>
      <c r="AN76" s="213">
        <f t="shared" si="35"/>
        <v>5.3829254520949305E-2</v>
      </c>
      <c r="AO76" s="11"/>
    </row>
    <row r="77" spans="1:41" x14ac:dyDescent="0.25">
      <c r="A77" s="62" t="s">
        <v>0</v>
      </c>
      <c r="B77" s="63" t="s">
        <v>1</v>
      </c>
      <c r="C77" s="11"/>
      <c r="D77" s="11"/>
      <c r="E77" s="11"/>
      <c r="F77" s="11"/>
      <c r="G77" s="11"/>
      <c r="H77" s="88" t="s">
        <v>932</v>
      </c>
      <c r="I77" s="122" t="str">
        <f>IF(_epmOfflineCondition_,"T4",_xll.EVPRO($B$1,$H77,"STYLE"))</f>
        <v>T4</v>
      </c>
      <c r="J77" s="122" t="str">
        <f>IF(_epmOfflineCondition_,"Y",_xll.EVPRO($B$1,$H77,"CALC"))</f>
        <v>Y</v>
      </c>
      <c r="K77" s="179" t="str">
        <f t="shared" si="24"/>
        <v>&gt;</v>
      </c>
      <c r="L77" s="90" t="str">
        <f>IF(_epmOfflineCondition_,"702500",_xll.EVPRO($B$1,H77,"JDEID"))</f>
        <v>702500</v>
      </c>
      <c r="M77" s="90" t="str">
        <f>IF(_epmOfflineCondition_,"",IF(AND(I77="N",J77="N"),_xll.EVPRO($B$1,H77,"PSFTID"),""))</f>
        <v/>
      </c>
      <c r="N77" s="90" t="str">
        <f>IF(_epmOfflineCondition_,"Laundry &amp; Dry Cleaning",IF(_xll.EVDES(H77,$B$1)="#NODATA","",_xll.EVDES(H77,$B$1)))</f>
        <v>Laundry &amp; Dry Cleaning</v>
      </c>
      <c r="O77" s="138">
        <v>20273.12</v>
      </c>
      <c r="P77" s="138">
        <v>14966.17</v>
      </c>
      <c r="Q77" s="138">
        <v>20143.53</v>
      </c>
      <c r="R77" s="138">
        <v>25650.14</v>
      </c>
      <c r="S77" s="138">
        <v>23224.62</v>
      </c>
      <c r="T77" s="138">
        <v>21404.52</v>
      </c>
      <c r="U77" s="138">
        <v>31271.79</v>
      </c>
      <c r="V77" s="138">
        <v>18759.75</v>
      </c>
      <c r="W77" s="138">
        <v>16911.53</v>
      </c>
      <c r="X77" s="138">
        <v>23902.94</v>
      </c>
      <c r="Y77" s="138">
        <v>19510.73</v>
      </c>
      <c r="Z77" s="138">
        <v>19305.05</v>
      </c>
      <c r="AA77" s="138">
        <f t="shared" si="25"/>
        <v>255323.88999999998</v>
      </c>
      <c r="AB77" s="142">
        <f t="shared" si="26"/>
        <v>2.2614001256363467E-2</v>
      </c>
      <c r="AC77" s="140"/>
      <c r="AD77" s="138">
        <v>174082.72</v>
      </c>
      <c r="AE77" s="142">
        <f t="shared" si="27"/>
        <v>1.6583237193959259E-2</v>
      </c>
      <c r="AF77" s="141">
        <f t="shared" si="28"/>
        <v>81241.169999999984</v>
      </c>
      <c r="AG77" s="138">
        <v>187513.68</v>
      </c>
      <c r="AH77" s="142">
        <f t="shared" si="29"/>
        <v>1.9971092296737249E-2</v>
      </c>
      <c r="AI77" s="141">
        <f t="shared" si="30"/>
        <v>67810.209999999992</v>
      </c>
      <c r="AJ77" s="211">
        <f t="shared" si="31"/>
        <v>6.1800815704119669</v>
      </c>
      <c r="AK77" s="212">
        <f t="shared" si="32"/>
        <v>4.46</v>
      </c>
      <c r="AL77" s="213">
        <f t="shared" si="33"/>
        <v>1.720081570411967</v>
      </c>
      <c r="AM77" s="214">
        <f t="shared" si="34"/>
        <v>4.6623158208806785</v>
      </c>
      <c r="AN77" s="213">
        <f t="shared" si="35"/>
        <v>1.5177657495312884</v>
      </c>
      <c r="AO77" s="11"/>
    </row>
    <row r="78" spans="1:41" x14ac:dyDescent="0.25">
      <c r="A78" s="65" t="s">
        <v>2</v>
      </c>
      <c r="B78" s="66" t="str">
        <f>IF(_epmOfflineCondition_,"'Rooms'!$B$2:$B$10",_xll.EVRNG($B$2:$B$10))</f>
        <v>'Rooms'!$B$2:$B$10</v>
      </c>
      <c r="C78" s="11"/>
      <c r="D78" s="11"/>
      <c r="E78" s="11"/>
      <c r="F78" s="11"/>
      <c r="G78" s="11"/>
      <c r="H78" s="88" t="s">
        <v>832</v>
      </c>
      <c r="I78" s="122" t="str">
        <f>IF(_epmOfflineCondition_,"T4",_xll.EVPRO($B$1,$H78,"STYLE"))</f>
        <v>T4</v>
      </c>
      <c r="J78" s="122" t="str">
        <f>IF(_epmOfflineCondition_,"Y",_xll.EVPRO($B$1,$H78,"CALC"))</f>
        <v>Y</v>
      </c>
      <c r="K78" s="179" t="str">
        <f t="shared" si="24"/>
        <v>&gt;</v>
      </c>
      <c r="L78" s="90" t="str">
        <f>IF(_epmOfflineCondition_,"",_xll.EVPRO($B$1,H78,"JDEID"))</f>
        <v/>
      </c>
      <c r="M78" s="90" t="str">
        <f>IF(_epmOfflineCondition_,"",IF(AND(I78="N",J78="N"),_xll.EVPRO($B$1,H78,"PSFTID"),""))</f>
        <v/>
      </c>
      <c r="N78" s="90" t="str">
        <f>IF(_epmOfflineCondition_,"Contract Services",IF(_xll.EVDES(H78,$B$1)="#NODATA","",_xll.EVDES(H78,$B$1)))</f>
        <v>Contract Services</v>
      </c>
      <c r="O78" s="138">
        <v>3465.26</v>
      </c>
      <c r="P78" s="138">
        <v>3405</v>
      </c>
      <c r="Q78" s="138">
        <v>5153.4799999999996</v>
      </c>
      <c r="R78" s="138">
        <v>1666.5</v>
      </c>
      <c r="S78" s="138">
        <v>3368.85</v>
      </c>
      <c r="T78" s="138">
        <v>3168.19</v>
      </c>
      <c r="U78" s="138">
        <v>3452.16</v>
      </c>
      <c r="V78" s="138">
        <v>2316.15</v>
      </c>
      <c r="W78" s="138">
        <v>2967.5</v>
      </c>
      <c r="X78" s="138">
        <v>2304.0300000000002</v>
      </c>
      <c r="Y78" s="138">
        <v>4370.05</v>
      </c>
      <c r="Z78" s="138">
        <v>6500.99</v>
      </c>
      <c r="AA78" s="138">
        <f t="shared" si="25"/>
        <v>42138.159999999996</v>
      </c>
      <c r="AB78" s="142">
        <f t="shared" si="26"/>
        <v>3.7321709424873823E-3</v>
      </c>
      <c r="AC78" s="140"/>
      <c r="AD78" s="138">
        <v>43529.2</v>
      </c>
      <c r="AE78" s="142">
        <f t="shared" si="27"/>
        <v>4.1466209194300921E-3</v>
      </c>
      <c r="AF78" s="141">
        <f t="shared" si="28"/>
        <v>-1391.0400000000009</v>
      </c>
      <c r="AG78" s="138">
        <v>33005.08</v>
      </c>
      <c r="AH78" s="142">
        <f t="shared" si="29"/>
        <v>3.5151968589235551E-3</v>
      </c>
      <c r="AI78" s="141">
        <f t="shared" si="30"/>
        <v>9133.0799999999945</v>
      </c>
      <c r="AJ78" s="211">
        <f t="shared" si="31"/>
        <v>1.0199486856755577</v>
      </c>
      <c r="AK78" s="212">
        <f t="shared" si="32"/>
        <v>1.115218282434925</v>
      </c>
      <c r="AL78" s="213">
        <f t="shared" si="33"/>
        <v>-9.5269596759367303E-2</v>
      </c>
      <c r="AM78" s="214">
        <f t="shared" si="34"/>
        <v>0.82063402869290636</v>
      </c>
      <c r="AN78" s="213">
        <f t="shared" si="35"/>
        <v>0.19931465698265138</v>
      </c>
      <c r="AO78" s="11"/>
    </row>
    <row r="79" spans="1:41" x14ac:dyDescent="0.25">
      <c r="A79" s="65" t="s">
        <v>3</v>
      </c>
      <c r="B79" s="66" t="str">
        <f>IF(_epmOfflineCondition_,"'Rooms'!$O$16:$AN$18",_xll.EVRNG($O$16:$AN$18))</f>
        <v>'Rooms'!$O$16:$AN$18</v>
      </c>
      <c r="C79" s="11"/>
      <c r="D79" s="11"/>
      <c r="E79" s="11"/>
      <c r="F79" s="11"/>
      <c r="G79" s="11"/>
      <c r="H79" s="88" t="s">
        <v>833</v>
      </c>
      <c r="I79" s="122" t="str">
        <f>IF(_epmOfflineCondition_,"T4",_xll.EVPRO($B$1,$H79,"STYLE"))</f>
        <v>T4</v>
      </c>
      <c r="J79" s="122" t="str">
        <f>IF(_epmOfflineCondition_,"Y",_xll.EVPRO($B$1,$H79,"CALC"))</f>
        <v>Y</v>
      </c>
      <c r="K79" s="179" t="str">
        <f t="shared" si="24"/>
        <v>&gt;</v>
      </c>
      <c r="L79" s="90" t="str">
        <f>IF(_epmOfflineCondition_,"",_xll.EVPRO($B$1,H79,"JDEID"))</f>
        <v/>
      </c>
      <c r="M79" s="90" t="str">
        <f>IF(_epmOfflineCondition_,"",IF(AND(I79="N",J79="N"),_xll.EVPRO($B$1,H79,"PSFTID"),""))</f>
        <v/>
      </c>
      <c r="N79" s="90" t="str">
        <f>IF(_epmOfflineCondition_,"Travel - Other",IF(_xll.EVDES(H79,$B$1)="#NODATA","",_xll.EVDES(H79,$B$1)))</f>
        <v>Travel - Other</v>
      </c>
      <c r="O79" s="138">
        <v>5.99</v>
      </c>
      <c r="P79" s="138">
        <v>17.88</v>
      </c>
      <c r="Q79" s="138">
        <v>14.89</v>
      </c>
      <c r="R79" s="138"/>
      <c r="S79" s="138">
        <v>35</v>
      </c>
      <c r="T79" s="138">
        <v>51.59</v>
      </c>
      <c r="U79" s="138"/>
      <c r="V79" s="138"/>
      <c r="W79" s="138"/>
      <c r="X79" s="138"/>
      <c r="Y79" s="138"/>
      <c r="Z79" s="138">
        <v>16.489999999999998</v>
      </c>
      <c r="AA79" s="138">
        <f t="shared" si="25"/>
        <v>141.84</v>
      </c>
      <c r="AB79" s="142">
        <f t="shared" si="26"/>
        <v>1.2562748978180594E-5</v>
      </c>
      <c r="AC79" s="140"/>
      <c r="AD79" s="138"/>
      <c r="AE79" s="142" t="str">
        <f t="shared" si="27"/>
        <v/>
      </c>
      <c r="AF79" s="141">
        <f t="shared" si="28"/>
        <v>141.84</v>
      </c>
      <c r="AG79" s="138">
        <v>804.02</v>
      </c>
      <c r="AH79" s="142">
        <f t="shared" si="29"/>
        <v>8.5631926312910512E-5</v>
      </c>
      <c r="AI79" s="141">
        <f t="shared" si="30"/>
        <v>-662.18</v>
      </c>
      <c r="AJ79" s="211">
        <f t="shared" si="31"/>
        <v>3.4332187636152397E-3</v>
      </c>
      <c r="AK79" s="212">
        <f t="shared" si="32"/>
        <v>0</v>
      </c>
      <c r="AL79" s="213">
        <f t="shared" si="33"/>
        <v>3.4332187636152397E-3</v>
      </c>
      <c r="AM79" s="214">
        <f t="shared" si="34"/>
        <v>1.9991049006688379E-2</v>
      </c>
      <c r="AN79" s="213">
        <f t="shared" si="35"/>
        <v>-1.6557830243073141E-2</v>
      </c>
      <c r="AO79" s="11"/>
    </row>
    <row r="80" spans="1:41" x14ac:dyDescent="0.25">
      <c r="A80" s="65" t="s">
        <v>4</v>
      </c>
      <c r="B80" s="66" t="str">
        <f>IF(_epmOfflineCondition_,"'Rooms'!$H$95:$H$98",_xll.EVRNG(H95:H98))</f>
        <v>'Rooms'!$H$95:$H$98</v>
      </c>
      <c r="C80" s="11"/>
      <c r="D80" s="11"/>
      <c r="E80" s="11"/>
      <c r="F80" s="11"/>
      <c r="G80" s="11"/>
      <c r="H80" s="88" t="s">
        <v>834</v>
      </c>
      <c r="I80" s="122" t="str">
        <f>IF(_epmOfflineCondition_,"T4",_xll.EVPRO($B$1,$H80,"STYLE"))</f>
        <v>T4</v>
      </c>
      <c r="J80" s="122" t="str">
        <f>IF(_epmOfflineCondition_,"Y",_xll.EVPRO($B$1,$H80,"CALC"))</f>
        <v>Y</v>
      </c>
      <c r="K80" s="179" t="str">
        <f t="shared" si="24"/>
        <v>&gt;</v>
      </c>
      <c r="L80" s="90" t="str">
        <f>IF(_epmOfflineCondition_,"702900",_xll.EVPRO($B$1,H80,"JDEID"))</f>
        <v>702900</v>
      </c>
      <c r="M80" s="90" t="str">
        <f>IF(_epmOfflineCondition_,"",IF(AND(I80="N",J80="N"),_xll.EVPRO($B$1,H80,"PSFTID"),""))</f>
        <v/>
      </c>
      <c r="N80" s="90" t="str">
        <f>IF(_epmOfflineCondition_,"Travel - Meals &amp; Entertainment",IF(_xll.EVDES(H80,$B$1)="#NODATA","",_xll.EVDES(H80,$B$1)))</f>
        <v>Travel - Meals &amp; Entertainment</v>
      </c>
      <c r="O80" s="138"/>
      <c r="P80" s="138"/>
      <c r="Q80" s="138">
        <v>11.91</v>
      </c>
      <c r="R80" s="138"/>
      <c r="S80" s="138"/>
      <c r="T80" s="138"/>
      <c r="U80" s="138"/>
      <c r="V80" s="138">
        <v>0.27</v>
      </c>
      <c r="W80" s="138"/>
      <c r="X80" s="138"/>
      <c r="Y80" s="138"/>
      <c r="Z80" s="138">
        <v>110.29</v>
      </c>
      <c r="AA80" s="138">
        <f t="shared" si="25"/>
        <v>122.47</v>
      </c>
      <c r="AB80" s="142">
        <f t="shared" si="26"/>
        <v>1.0847150785094312E-5</v>
      </c>
      <c r="AC80" s="140"/>
      <c r="AD80" s="138"/>
      <c r="AE80" s="142" t="str">
        <f t="shared" si="27"/>
        <v/>
      </c>
      <c r="AF80" s="141">
        <f t="shared" si="28"/>
        <v>122.47</v>
      </c>
      <c r="AG80" s="138">
        <v>875.86</v>
      </c>
      <c r="AH80" s="142">
        <f t="shared" si="29"/>
        <v>9.3283225517307785E-5</v>
      </c>
      <c r="AI80" s="141">
        <f t="shared" si="30"/>
        <v>-753.39</v>
      </c>
      <c r="AJ80" s="211">
        <f t="shared" si="31"/>
        <v>2.9643704313307836E-3</v>
      </c>
      <c r="AK80" s="212">
        <f t="shared" si="32"/>
        <v>0</v>
      </c>
      <c r="AL80" s="213">
        <f t="shared" si="33"/>
        <v>2.9643704313307836E-3</v>
      </c>
      <c r="AM80" s="214">
        <f t="shared" si="34"/>
        <v>2.1777269449762552E-2</v>
      </c>
      <c r="AN80" s="213">
        <f t="shared" si="35"/>
        <v>-1.8812899018431768E-2</v>
      </c>
      <c r="AO80" s="11"/>
    </row>
    <row r="81" spans="1:41" x14ac:dyDescent="0.25">
      <c r="A81" s="65" t="s">
        <v>5</v>
      </c>
      <c r="B81" s="66"/>
      <c r="C81" s="11"/>
      <c r="D81" s="11"/>
      <c r="E81" s="11"/>
      <c r="F81" s="11"/>
      <c r="G81" s="11"/>
      <c r="H81" s="88" t="s">
        <v>933</v>
      </c>
      <c r="I81" s="122" t="str">
        <f>IF(_epmOfflineCondition_,"N",_xll.EVPRO($B$1,$H81,"STYLE"))</f>
        <v>N</v>
      </c>
      <c r="J81" s="122" t="str">
        <f>IF(_epmOfflineCondition_,"N",_xll.EVPRO($B$1,$H81,"CALC"))</f>
        <v>N</v>
      </c>
      <c r="K81" s="179" t="str">
        <f t="shared" si="24"/>
        <v/>
      </c>
      <c r="L81" s="90" t="str">
        <f>IF(_epmOfflineCondition_,"703010",_xll.EVPRO($B$1,H81,"JDEID"))</f>
        <v>703010</v>
      </c>
      <c r="M81" s="90" t="str">
        <f>IF(_epmOfflineCondition_,"590021",IF(AND(I81="N",J81="N"),_xll.EVPRO($B$1,H81,"PSFTID"),""))</f>
        <v>590021</v>
      </c>
      <c r="N81" s="90" t="str">
        <f>IF(_epmOfflineCondition_,"Complimentary Food &amp; Beverage",IF(_xll.EVDES(H81,$B$1)="#NODATA","",_xll.EVDES(H81,$B$1)))</f>
        <v>Complimentary Food &amp; Beverage</v>
      </c>
      <c r="O81" s="138">
        <v>3297.47</v>
      </c>
      <c r="P81" s="138">
        <v>4514</v>
      </c>
      <c r="Q81" s="138">
        <v>5307.74</v>
      </c>
      <c r="R81" s="138">
        <v>5572.17</v>
      </c>
      <c r="S81" s="138">
        <v>4399.3900000000003</v>
      </c>
      <c r="T81" s="138">
        <v>3886.16</v>
      </c>
      <c r="U81" s="138">
        <v>6392.76</v>
      </c>
      <c r="V81" s="138">
        <v>4911.92</v>
      </c>
      <c r="W81" s="138">
        <v>3310.03</v>
      </c>
      <c r="X81" s="138">
        <v>4187.71</v>
      </c>
      <c r="Y81" s="138">
        <v>5112.93</v>
      </c>
      <c r="Z81" s="138">
        <v>5524.59</v>
      </c>
      <c r="AA81" s="138">
        <f t="shared" si="25"/>
        <v>56416.869999999995</v>
      </c>
      <c r="AB81" s="142">
        <f t="shared" si="26"/>
        <v>4.9968342917699332E-3</v>
      </c>
      <c r="AC81" s="140"/>
      <c r="AD81" s="138">
        <v>49422.3199999996</v>
      </c>
      <c r="AE81" s="142">
        <f t="shared" si="27"/>
        <v>4.7080035010697782E-3</v>
      </c>
      <c r="AF81" s="141">
        <f t="shared" si="28"/>
        <v>6994.5500000003958</v>
      </c>
      <c r="AG81" s="138">
        <v>41126.050000000003</v>
      </c>
      <c r="AH81" s="142">
        <f t="shared" si="29"/>
        <v>4.3801185084215242E-3</v>
      </c>
      <c r="AI81" s="141">
        <f t="shared" si="30"/>
        <v>15290.819999999992</v>
      </c>
      <c r="AJ81" s="211">
        <f t="shared" si="31"/>
        <v>1.3655630052766616</v>
      </c>
      <c r="AK81" s="212">
        <f t="shared" si="32"/>
        <v>1.2662000409919962</v>
      </c>
      <c r="AL81" s="213">
        <f t="shared" si="33"/>
        <v>9.93629642846654E-2</v>
      </c>
      <c r="AM81" s="214">
        <f t="shared" si="34"/>
        <v>1.0225527735647331</v>
      </c>
      <c r="AN81" s="213">
        <f t="shared" si="35"/>
        <v>0.34301023171192857</v>
      </c>
      <c r="AO81" s="11"/>
    </row>
    <row r="82" spans="1:41" x14ac:dyDescent="0.25">
      <c r="A82" s="65" t="s">
        <v>6</v>
      </c>
      <c r="B82" s="66"/>
      <c r="C82" s="11"/>
      <c r="D82" s="11"/>
      <c r="E82" s="11"/>
      <c r="F82" s="11"/>
      <c r="G82" s="11"/>
      <c r="H82" s="88" t="s">
        <v>873</v>
      </c>
      <c r="I82" s="122" t="str">
        <f>IF(_epmOfflineCondition_,"T4",_xll.EVPRO($B$1,$H82,"STYLE"))</f>
        <v>T4</v>
      </c>
      <c r="J82" s="122" t="str">
        <f>IF(_epmOfflineCondition_,"Y",_xll.EVPRO($B$1,$H82,"CALC"))</f>
        <v>Y</v>
      </c>
      <c r="K82" s="179" t="str">
        <f t="shared" si="24"/>
        <v>&gt;</v>
      </c>
      <c r="L82" s="90" t="str">
        <f>IF(_epmOfflineCondition_,"703000",_xll.EVPRO($B$1,H82,"JDEID"))</f>
        <v>703000</v>
      </c>
      <c r="M82" s="90" t="str">
        <f>IF(_epmOfflineCondition_,"",IF(AND(I82="N",J82="N"),_xll.EVPRO($B$1,H82,"PSFTID"),""))</f>
        <v/>
      </c>
      <c r="N82" s="90" t="str">
        <f>IF(_epmOfflineCondition_,"Complimentary Services &amp; Gifts",IF(_xll.EVDES(H82,$B$1)="#NODATA","",_xll.EVDES(H82,$B$1)))</f>
        <v>Complimentary Services &amp; Gifts</v>
      </c>
      <c r="O82" s="138">
        <v>3614.23</v>
      </c>
      <c r="P82" s="138">
        <v>3814.27</v>
      </c>
      <c r="Q82" s="138">
        <v>4882.3999999999996</v>
      </c>
      <c r="R82" s="138">
        <v>4901.2299999999996</v>
      </c>
      <c r="S82" s="138">
        <v>4485.28</v>
      </c>
      <c r="T82" s="138">
        <v>3838.15</v>
      </c>
      <c r="U82" s="138">
        <v>3467.34</v>
      </c>
      <c r="V82" s="138">
        <v>3638.92</v>
      </c>
      <c r="W82" s="138">
        <v>2810.69</v>
      </c>
      <c r="X82" s="138">
        <v>3156.04</v>
      </c>
      <c r="Y82" s="138">
        <v>2426.98</v>
      </c>
      <c r="Z82" s="138">
        <v>4240.59</v>
      </c>
      <c r="AA82" s="138">
        <f t="shared" si="25"/>
        <v>45276.12000000001</v>
      </c>
      <c r="AB82" s="142">
        <f t="shared" si="26"/>
        <v>4.0100996211645664E-3</v>
      </c>
      <c r="AC82" s="140"/>
      <c r="AD82" s="138">
        <v>44150.564622536003</v>
      </c>
      <c r="AE82" s="142">
        <f t="shared" si="27"/>
        <v>4.2058125320120279E-3</v>
      </c>
      <c r="AF82" s="141">
        <f t="shared" si="28"/>
        <v>1125.5553774640066</v>
      </c>
      <c r="AG82" s="138">
        <v>43743.67</v>
      </c>
      <c r="AH82" s="142">
        <f t="shared" si="29"/>
        <v>4.6589073979456655E-3</v>
      </c>
      <c r="AI82" s="141">
        <f t="shared" si="30"/>
        <v>1532.4500000000116</v>
      </c>
      <c r="AJ82" s="211">
        <f t="shared" si="31"/>
        <v>1.0959025996030403</v>
      </c>
      <c r="AK82" s="212">
        <f t="shared" si="32"/>
        <v>1.1311376466113958</v>
      </c>
      <c r="AL82" s="213">
        <f t="shared" si="33"/>
        <v>-3.5235047008355558E-2</v>
      </c>
      <c r="AM82" s="214">
        <f t="shared" si="34"/>
        <v>1.0876369377657327</v>
      </c>
      <c r="AN82" s="213">
        <f t="shared" si="35"/>
        <v>8.2656618373075919E-3</v>
      </c>
      <c r="AO82" s="11"/>
    </row>
    <row r="83" spans="1:41" x14ac:dyDescent="0.25">
      <c r="A83" s="65" t="s">
        <v>7</v>
      </c>
      <c r="B83" s="66"/>
      <c r="C83" s="11"/>
      <c r="D83" s="11"/>
      <c r="E83" s="11"/>
      <c r="F83" s="11"/>
      <c r="G83" s="11"/>
      <c r="H83" s="88" t="s">
        <v>874</v>
      </c>
      <c r="I83" s="122" t="str">
        <f>IF(_epmOfflineCondition_,"N",_xll.EVPRO($B$1,$H83,"STYLE"))</f>
        <v>N</v>
      </c>
      <c r="J83" s="122" t="str">
        <f>IF(_epmOfflineCondition_,"N",_xll.EVPRO($B$1,$H83,"CALC"))</f>
        <v>N</v>
      </c>
      <c r="K83" s="179" t="str">
        <f t="shared" si="24"/>
        <v/>
      </c>
      <c r="L83" s="90" t="str">
        <f>IF(_epmOfflineCondition_,"703100",_xll.EVPRO($B$1,H83,"JDEID"))</f>
        <v>703100</v>
      </c>
      <c r="M83" s="90" t="str">
        <f>IF(_epmOfflineCondition_,"690035",IF(AND(I83="N",J83="N"),_xll.EVPRO($B$1,H83,"PSFTID"),""))</f>
        <v>690035</v>
      </c>
      <c r="N83" s="90" t="str">
        <f>IF(_epmOfflineCondition_,"Training",IF(_xll.EVDES(H83,$B$1)="#NODATA","",_xll.EVDES(H83,$B$1)))</f>
        <v>Training</v>
      </c>
      <c r="O83" s="138">
        <v>63.67</v>
      </c>
      <c r="P83" s="138"/>
      <c r="Q83" s="138"/>
      <c r="R83" s="138"/>
      <c r="S83" s="138"/>
      <c r="T83" s="138"/>
      <c r="U83" s="138"/>
      <c r="V83" s="138"/>
      <c r="W83" s="138"/>
      <c r="X83" s="138"/>
      <c r="Y83" s="138"/>
      <c r="Z83" s="138"/>
      <c r="AA83" s="138">
        <f t="shared" si="25"/>
        <v>63.67</v>
      </c>
      <c r="AB83" s="142">
        <f t="shared" si="26"/>
        <v>5.6392430022614097E-6</v>
      </c>
      <c r="AC83" s="140"/>
      <c r="AD83" s="138"/>
      <c r="AE83" s="142" t="str">
        <f t="shared" si="27"/>
        <v/>
      </c>
      <c r="AF83" s="141">
        <f t="shared" si="28"/>
        <v>63.67</v>
      </c>
      <c r="AG83" s="138">
        <v>132</v>
      </c>
      <c r="AH83" s="142">
        <f t="shared" si="29"/>
        <v>1.4058623259749991E-5</v>
      </c>
      <c r="AI83" s="141">
        <f t="shared" si="30"/>
        <v>-68.33</v>
      </c>
      <c r="AJ83" s="211">
        <f t="shared" si="31"/>
        <v>1.5411240741637219E-3</v>
      </c>
      <c r="AK83" s="212">
        <f t="shared" si="32"/>
        <v>0</v>
      </c>
      <c r="AL83" s="213">
        <f t="shared" si="33"/>
        <v>1.5411240741637219E-3</v>
      </c>
      <c r="AM83" s="214">
        <f t="shared" si="34"/>
        <v>3.2820308809269252E-3</v>
      </c>
      <c r="AN83" s="213">
        <f t="shared" si="35"/>
        <v>-1.7409068067632033E-3</v>
      </c>
      <c r="AO83" s="11"/>
    </row>
    <row r="84" spans="1:41" x14ac:dyDescent="0.25">
      <c r="A84" s="65" t="s">
        <v>47</v>
      </c>
      <c r="B84" s="66" t="str">
        <f>IF(_epmOfflineCondition_,"'Rooms'!$A$89:$B$110",_xll.EVRNG($A$89:$B$110))</f>
        <v>'Rooms'!$A$89:$B$110</v>
      </c>
      <c r="C84" s="11"/>
      <c r="D84" s="11"/>
      <c r="E84" s="11"/>
      <c r="F84" s="11"/>
      <c r="G84" s="11"/>
      <c r="H84" s="88" t="s">
        <v>856</v>
      </c>
      <c r="I84" s="122" t="str">
        <f>IF(_epmOfflineCondition_,"N",_xll.EVPRO($B$1,$H84,"STYLE"))</f>
        <v>N</v>
      </c>
      <c r="J84" s="122" t="str">
        <f>IF(_epmOfflineCondition_,"N",_xll.EVPRO($B$1,$H84,"CALC"))</f>
        <v>N</v>
      </c>
      <c r="K84" s="179" t="str">
        <f t="shared" si="24"/>
        <v/>
      </c>
      <c r="L84" s="90" t="str">
        <f>IF(_epmOfflineCondition_,"703200",_xll.EVPRO($B$1,H84,"JDEID"))</f>
        <v>703200</v>
      </c>
      <c r="M84" s="90" t="str">
        <f>IF(_epmOfflineCondition_,"590035",IF(AND(I84="N",J84="N"),_xll.EVPRO($B$1,H84,"PSFTID"),""))</f>
        <v>590035</v>
      </c>
      <c r="N84" s="90" t="str">
        <f>IF(_epmOfflineCondition_,"Uniform Costs",IF(_xll.EVDES(H84,$B$1)="#NODATA","",_xll.EVDES(H84,$B$1)))</f>
        <v>Uniform Costs</v>
      </c>
      <c r="O84" s="138">
        <v>106.93</v>
      </c>
      <c r="P84" s="138">
        <v>889.06</v>
      </c>
      <c r="Q84" s="138">
        <v>638.62</v>
      </c>
      <c r="R84" s="138">
        <v>420.31</v>
      </c>
      <c r="S84" s="138">
        <v>-149.79</v>
      </c>
      <c r="T84" s="138">
        <v>36.36</v>
      </c>
      <c r="U84" s="138">
        <v>359.38</v>
      </c>
      <c r="V84" s="138">
        <v>40</v>
      </c>
      <c r="W84" s="138"/>
      <c r="X84" s="138">
        <v>265.22000000000003</v>
      </c>
      <c r="Y84" s="138"/>
      <c r="Z84" s="138"/>
      <c r="AA84" s="138">
        <f t="shared" si="25"/>
        <v>2606.09</v>
      </c>
      <c r="AB84" s="142">
        <f t="shared" si="26"/>
        <v>2.3082102710481292E-4</v>
      </c>
      <c r="AC84" s="140"/>
      <c r="AD84" s="138">
        <v>3000</v>
      </c>
      <c r="AE84" s="142">
        <f t="shared" si="27"/>
        <v>2.8578202122460963E-4</v>
      </c>
      <c r="AF84" s="141">
        <f t="shared" si="28"/>
        <v>-393.90999999999985</v>
      </c>
      <c r="AG84" s="138">
        <v>2110.7399999999998</v>
      </c>
      <c r="AH84" s="142">
        <f t="shared" si="29"/>
        <v>2.2480377620670222E-4</v>
      </c>
      <c r="AI84" s="141">
        <f t="shared" si="30"/>
        <v>495.35000000000036</v>
      </c>
      <c r="AJ84" s="211">
        <f t="shared" si="31"/>
        <v>6.3080069710025666E-2</v>
      </c>
      <c r="AK84" s="212">
        <f t="shared" si="32"/>
        <v>7.6860012297601962E-2</v>
      </c>
      <c r="AL84" s="213">
        <f t="shared" si="33"/>
        <v>-1.3779942587576297E-2</v>
      </c>
      <c r="AM84" s="214">
        <f t="shared" si="34"/>
        <v>5.2481165618240129E-2</v>
      </c>
      <c r="AN84" s="213">
        <f t="shared" si="35"/>
        <v>1.0598904091785537E-2</v>
      </c>
      <c r="AO84" s="11"/>
    </row>
    <row r="85" spans="1:41" x14ac:dyDescent="0.25">
      <c r="A85" s="65" t="s">
        <v>8</v>
      </c>
      <c r="B85" s="66"/>
      <c r="C85" s="11"/>
      <c r="D85" s="11"/>
      <c r="E85" s="11"/>
      <c r="F85" s="11"/>
      <c r="G85" s="11"/>
      <c r="H85" s="88" t="s">
        <v>875</v>
      </c>
      <c r="I85" s="122" t="str">
        <f>IF(_epmOfflineCondition_,"N",_xll.EVPRO($B$1,$H85,"STYLE"))</f>
        <v>N</v>
      </c>
      <c r="J85" s="122" t="str">
        <f>IF(_epmOfflineCondition_,"N",_xll.EVPRO($B$1,$H85,"CALC"))</f>
        <v>N</v>
      </c>
      <c r="K85" s="179" t="str">
        <f t="shared" si="24"/>
        <v/>
      </c>
      <c r="L85" s="90" t="str">
        <f>IF(_epmOfflineCondition_,"703300",_xll.EVPRO($B$1,H85,"JDEID"))</f>
        <v>703300</v>
      </c>
      <c r="M85" s="90" t="str">
        <f>IF(_epmOfflineCondition_,"590115",IF(AND(I85="N",J85="N"),_xll.EVPRO($B$1,H85,"PSFTID"),""))</f>
        <v>590115</v>
      </c>
      <c r="N85" s="90" t="str">
        <f>IF(_epmOfflineCondition_,"Uniforms Laundry",IF(_xll.EVDES(H85,$B$1)="#NODATA","",_xll.EVDES(H85,$B$1)))</f>
        <v>Uniforms Laundry</v>
      </c>
      <c r="O85" s="138">
        <v>567.9</v>
      </c>
      <c r="P85" s="138">
        <v>316.2</v>
      </c>
      <c r="Q85" s="138">
        <v>405.8</v>
      </c>
      <c r="R85" s="138">
        <v>573.52</v>
      </c>
      <c r="S85" s="138">
        <v>703.94</v>
      </c>
      <c r="T85" s="138">
        <v>603</v>
      </c>
      <c r="U85" s="138">
        <v>988.64</v>
      </c>
      <c r="V85" s="138">
        <v>593.12</v>
      </c>
      <c r="W85" s="138">
        <v>448.32</v>
      </c>
      <c r="X85" s="138">
        <v>438.19</v>
      </c>
      <c r="Y85" s="138">
        <v>426.43</v>
      </c>
      <c r="Z85" s="138">
        <v>461.15</v>
      </c>
      <c r="AA85" s="138">
        <f t="shared" si="25"/>
        <v>6526.2099999999991</v>
      </c>
      <c r="AB85" s="142">
        <f t="shared" si="26"/>
        <v>5.7802550767690325E-4</v>
      </c>
      <c r="AC85" s="140"/>
      <c r="AD85" s="138">
        <v>4683.84</v>
      </c>
      <c r="AE85" s="142">
        <f t="shared" si="27"/>
        <v>4.4618575409755858E-4</v>
      </c>
      <c r="AF85" s="141">
        <f t="shared" si="28"/>
        <v>1842.369999999999</v>
      </c>
      <c r="AG85" s="138">
        <v>4791.08</v>
      </c>
      <c r="AH85" s="142">
        <f t="shared" si="29"/>
        <v>5.1027264187365902E-4</v>
      </c>
      <c r="AI85" s="141">
        <f t="shared" si="30"/>
        <v>1735.1299999999992</v>
      </c>
      <c r="AJ85" s="211">
        <f t="shared" si="31"/>
        <v>0.15796606477223216</v>
      </c>
      <c r="AK85" s="212">
        <f t="shared" si="32"/>
        <v>0.12000000000000001</v>
      </c>
      <c r="AL85" s="213">
        <f t="shared" si="33"/>
        <v>3.7966064772232147E-2</v>
      </c>
      <c r="AM85" s="214">
        <f t="shared" si="34"/>
        <v>0.11912479176508615</v>
      </c>
      <c r="AN85" s="213">
        <f t="shared" si="35"/>
        <v>3.8841273007146002E-2</v>
      </c>
      <c r="AO85" s="11"/>
    </row>
    <row r="86" spans="1:41" x14ac:dyDescent="0.25">
      <c r="A86" s="11"/>
      <c r="B86" s="11"/>
      <c r="C86" s="11"/>
      <c r="D86" s="11"/>
      <c r="E86" s="11"/>
      <c r="F86" s="11"/>
      <c r="G86" s="11"/>
      <c r="H86" s="88" t="s">
        <v>857</v>
      </c>
      <c r="I86" s="122" t="str">
        <f>IF(_epmOfflineCondition_,"N",_xll.EVPRO($B$1,$H86,"STYLE"))</f>
        <v>N</v>
      </c>
      <c r="J86" s="122" t="str">
        <f>IF(_epmOfflineCondition_,"N",_xll.EVPRO($B$1,$H86,"CALC"))</f>
        <v>N</v>
      </c>
      <c r="K86" s="179" t="str">
        <f t="shared" si="24"/>
        <v/>
      </c>
      <c r="L86" s="90" t="str">
        <f>IF(_epmOfflineCondition_,"703400",_xll.EVPRO($B$1,H86,"JDEID"))</f>
        <v>703400</v>
      </c>
      <c r="M86" s="90" t="str">
        <f>IF(_epmOfflineCondition_,"590010",IF(AND(I86="N",J86="N"),_xll.EVPRO($B$1,H86,"PSFTID"),""))</f>
        <v>590010</v>
      </c>
      <c r="N86" s="90" t="str">
        <f>IF(_epmOfflineCondition_,"Linen",IF(_xll.EVDES(H86,$B$1)="#NODATA","",_xll.EVDES(H86,$B$1)))</f>
        <v>Linen</v>
      </c>
      <c r="O86" s="138">
        <v>6333.82</v>
      </c>
      <c r="P86" s="138">
        <v>6823.2</v>
      </c>
      <c r="Q86" s="138">
        <v>12204.04</v>
      </c>
      <c r="R86" s="138">
        <v>6575.47</v>
      </c>
      <c r="S86" s="138">
        <v>7501.54</v>
      </c>
      <c r="T86" s="138">
        <v>2684.82</v>
      </c>
      <c r="U86" s="138">
        <v>5330.91</v>
      </c>
      <c r="V86" s="138">
        <v>3753.14</v>
      </c>
      <c r="W86" s="138">
        <v>3396.7</v>
      </c>
      <c r="X86" s="138">
        <v>6228.03</v>
      </c>
      <c r="Y86" s="138">
        <v>7550.65</v>
      </c>
      <c r="Z86" s="138">
        <v>7367.02</v>
      </c>
      <c r="AA86" s="138">
        <f t="shared" si="25"/>
        <v>75749.34</v>
      </c>
      <c r="AB86" s="142">
        <f t="shared" si="26"/>
        <v>6.7091084580009471E-3</v>
      </c>
      <c r="AC86" s="140"/>
      <c r="AD86" s="138">
        <v>68000.000000000393</v>
      </c>
      <c r="AE86" s="142">
        <f t="shared" si="27"/>
        <v>6.4777258144245228E-3</v>
      </c>
      <c r="AF86" s="141">
        <f t="shared" si="28"/>
        <v>7749.3399999996036</v>
      </c>
      <c r="AG86" s="138">
        <v>84122.45</v>
      </c>
      <c r="AH86" s="142">
        <f t="shared" si="29"/>
        <v>8.9594381230087543E-3</v>
      </c>
      <c r="AI86" s="141">
        <f t="shared" si="30"/>
        <v>-8373.11</v>
      </c>
      <c r="AJ86" s="211">
        <f t="shared" si="31"/>
        <v>1.8335029287892723</v>
      </c>
      <c r="AK86" s="212">
        <f t="shared" si="32"/>
        <v>1.7421602787456547</v>
      </c>
      <c r="AL86" s="213">
        <f t="shared" si="33"/>
        <v>9.1342650043617635E-2</v>
      </c>
      <c r="AM86" s="214">
        <f t="shared" si="34"/>
        <v>2.0916096869638725</v>
      </c>
      <c r="AN86" s="213">
        <f t="shared" si="35"/>
        <v>-0.25810675817460016</v>
      </c>
      <c r="AO86" s="11"/>
    </row>
    <row r="87" spans="1:41" x14ac:dyDescent="0.25">
      <c r="A87" s="11"/>
      <c r="B87" s="11"/>
      <c r="C87" s="11"/>
      <c r="D87" s="11"/>
      <c r="E87" s="11"/>
      <c r="F87" s="11"/>
      <c r="G87" s="11"/>
      <c r="H87" s="88" t="s">
        <v>934</v>
      </c>
      <c r="I87" s="122" t="str">
        <f>IF(_epmOfflineCondition_,"N",_xll.EVPRO($B$1,$H87,"STYLE"))</f>
        <v>N</v>
      </c>
      <c r="J87" s="122" t="str">
        <f>IF(_epmOfflineCondition_,"N",_xll.EVPRO($B$1,$H87,"CALC"))</f>
        <v>N</v>
      </c>
      <c r="K87" s="179" t="str">
        <f t="shared" si="24"/>
        <v/>
      </c>
      <c r="L87" s="90" t="str">
        <f>IF(_epmOfflineCondition_,"704000",_xll.EVPRO($B$1,H87,"JDEID"))</f>
        <v>704000</v>
      </c>
      <c r="M87" s="90" t="str">
        <f>IF(_epmOfflineCondition_,"590141",IF(AND(I87="N",J87="N"),_xll.EVPRO($B$1,H87,"PSFTID"),""))</f>
        <v>590141</v>
      </c>
      <c r="N87" s="90" t="str">
        <f>IF(_epmOfflineCondition_,"Complimentary In Room Media Ent.",IF(_xll.EVDES(H87,$B$1)="#NODATA","",_xll.EVDES(H87,$B$1)))</f>
        <v>Complimentary In Room Media Ent.</v>
      </c>
      <c r="O87" s="138">
        <v>2175.5100000000002</v>
      </c>
      <c r="P87" s="138">
        <v>2175.5100000000002</v>
      </c>
      <c r="Q87" s="138">
        <v>2175.5100000000002</v>
      </c>
      <c r="R87" s="138">
        <v>2175.5100000000002</v>
      </c>
      <c r="S87" s="138">
        <v>2175.5100000000002</v>
      </c>
      <c r="T87" s="138">
        <v>2175.5100000000002</v>
      </c>
      <c r="U87" s="138">
        <v>2175.5100000000002</v>
      </c>
      <c r="V87" s="138">
        <v>2175.5100000000002</v>
      </c>
      <c r="W87" s="138">
        <v>2258.69</v>
      </c>
      <c r="X87" s="138">
        <v>2258.69</v>
      </c>
      <c r="Y87" s="138">
        <v>2258.69</v>
      </c>
      <c r="Z87" s="138">
        <v>2258.69</v>
      </c>
      <c r="AA87" s="138">
        <f t="shared" si="25"/>
        <v>26438.839999999997</v>
      </c>
      <c r="AB87" s="142">
        <f t="shared" si="26"/>
        <v>2.3416843640318681E-3</v>
      </c>
      <c r="AC87" s="140"/>
      <c r="AD87" s="138">
        <v>25515</v>
      </c>
      <c r="AE87" s="142">
        <f t="shared" si="27"/>
        <v>2.4305760905153052E-3</v>
      </c>
      <c r="AF87" s="141">
        <f t="shared" si="28"/>
        <v>923.83999999999651</v>
      </c>
      <c r="AG87" s="138">
        <v>25675.88</v>
      </c>
      <c r="AH87" s="142">
        <f t="shared" si="29"/>
        <v>2.7346024528981032E-3</v>
      </c>
      <c r="AI87" s="141">
        <f t="shared" si="30"/>
        <v>762.95999999999549</v>
      </c>
      <c r="AJ87" s="211">
        <f t="shared" si="31"/>
        <v>0.63994868567555785</v>
      </c>
      <c r="AK87" s="212">
        <f t="shared" si="32"/>
        <v>0.65369440459110473</v>
      </c>
      <c r="AL87" s="213">
        <f t="shared" si="33"/>
        <v>-1.3745718915546878E-2</v>
      </c>
      <c r="AM87" s="214">
        <f t="shared" si="34"/>
        <v>0.63840175041646985</v>
      </c>
      <c r="AN87" s="213">
        <f t="shared" si="35"/>
        <v>1.5469352590880003E-3</v>
      </c>
      <c r="AO87" s="11"/>
    </row>
    <row r="88" spans="1:41" x14ac:dyDescent="0.25">
      <c r="A88" s="62" t="s">
        <v>23</v>
      </c>
      <c r="B88" s="63" t="s">
        <v>24</v>
      </c>
      <c r="C88" s="11"/>
      <c r="D88" s="11"/>
      <c r="E88" s="11"/>
      <c r="F88" s="11"/>
      <c r="G88" s="11"/>
      <c r="H88" s="88" t="s">
        <v>935</v>
      </c>
      <c r="I88" s="122" t="str">
        <f>IF(_epmOfflineCondition_,"T4",_xll.EVPRO($B$1,$H88,"STYLE"))</f>
        <v>T4</v>
      </c>
      <c r="J88" s="122" t="str">
        <f>IF(_epmOfflineCondition_,"Y",_xll.EVPRO($B$1,$H88,"CALC"))</f>
        <v>Y</v>
      </c>
      <c r="K88" s="179" t="str">
        <f t="shared" si="24"/>
        <v>&gt;</v>
      </c>
      <c r="L88" s="90" t="str">
        <f>IF(_epmOfflineCondition_,"704200",_xll.EVPRO($B$1,H88,"JDEID"))</f>
        <v>704200</v>
      </c>
      <c r="M88" s="90" t="str">
        <f>IF(_epmOfflineCondition_,"",IF(AND(I88="N",J88="N"),_xll.EVPRO($B$1,H88,"PSFTID"),""))</f>
        <v/>
      </c>
      <c r="N88" s="90" t="str">
        <f>IF(_epmOfflineCondition_,"Commissions",IF(_xll.EVDES(H88,$B$1)="#NODATA","",_xll.EVDES(H88,$B$1)))</f>
        <v>Commissions</v>
      </c>
      <c r="O88" s="138">
        <v>34850.17</v>
      </c>
      <c r="P88" s="138">
        <v>47124.55</v>
      </c>
      <c r="Q88" s="138">
        <v>48457.89</v>
      </c>
      <c r="R88" s="138">
        <v>52082.97</v>
      </c>
      <c r="S88" s="138">
        <v>53096.85</v>
      </c>
      <c r="T88" s="138">
        <v>33996.519999999997</v>
      </c>
      <c r="U88" s="138">
        <v>47527.79</v>
      </c>
      <c r="V88" s="138">
        <v>45164.639999999999</v>
      </c>
      <c r="W88" s="138">
        <v>27063.32</v>
      </c>
      <c r="X88" s="138">
        <v>41691.300000000003</v>
      </c>
      <c r="Y88" s="138">
        <v>37005.269999999997</v>
      </c>
      <c r="Z88" s="138">
        <v>54942.96</v>
      </c>
      <c r="AA88" s="138">
        <f t="shared" si="25"/>
        <v>523004.23000000004</v>
      </c>
      <c r="AB88" s="142">
        <f t="shared" si="26"/>
        <v>4.6322411562440977E-2</v>
      </c>
      <c r="AC88" s="140"/>
      <c r="AD88" s="138">
        <v>486927.50222000002</v>
      </c>
      <c r="AE88" s="142">
        <f t="shared" si="27"/>
        <v>4.6385041924760735E-2</v>
      </c>
      <c r="AF88" s="141">
        <f t="shared" si="28"/>
        <v>36076.727780000016</v>
      </c>
      <c r="AG88" s="138">
        <v>503098.78</v>
      </c>
      <c r="AH88" s="142">
        <f t="shared" si="29"/>
        <v>5.35823955337867E-2</v>
      </c>
      <c r="AI88" s="141">
        <f t="shared" si="30"/>
        <v>19905.450000000012</v>
      </c>
      <c r="AJ88" s="211">
        <f t="shared" si="31"/>
        <v>12.659249406980685</v>
      </c>
      <c r="AK88" s="212">
        <f t="shared" si="32"/>
        <v>12.475084602889938</v>
      </c>
      <c r="AL88" s="213">
        <f t="shared" si="33"/>
        <v>0.18416480409074687</v>
      </c>
      <c r="AM88" s="214">
        <f t="shared" si="34"/>
        <v>12.508982819065617</v>
      </c>
      <c r="AN88" s="213">
        <f t="shared" si="35"/>
        <v>0.15026658791506797</v>
      </c>
      <c r="AO88" s="11"/>
    </row>
    <row r="89" spans="1:41" x14ac:dyDescent="0.25">
      <c r="A89" s="65" t="s">
        <v>25</v>
      </c>
      <c r="B89" s="66"/>
      <c r="C89" s="11"/>
      <c r="D89" s="11"/>
      <c r="E89" s="11"/>
      <c r="F89" s="11"/>
      <c r="G89" s="11"/>
      <c r="H89" s="88" t="s">
        <v>936</v>
      </c>
      <c r="I89" s="122" t="str">
        <f>IF(_epmOfflineCondition_,"N",_xll.EVPRO($B$1,$H89,"STYLE"))</f>
        <v>N</v>
      </c>
      <c r="J89" s="122" t="str">
        <f>IF(_epmOfflineCondition_,"N",_xll.EVPRO($B$1,$H89,"CALC"))</f>
        <v>N</v>
      </c>
      <c r="K89" s="179" t="str">
        <f t="shared" si="24"/>
        <v/>
      </c>
      <c r="L89" s="90" t="str">
        <f>IF(_epmOfflineCondition_,"704300",_xll.EVPRO($B$1,H89,"JDEID"))</f>
        <v>704300</v>
      </c>
      <c r="M89" s="90" t="str">
        <f>IF(_epmOfflineCondition_,"590190",IF(AND(I89="N",J89="N"),_xll.EVPRO($B$1,H89,"PSFTID"),""))</f>
        <v>590190</v>
      </c>
      <c r="N89" s="90" t="str">
        <f>IF(_epmOfflineCondition_,"Commissions &amp; Fees - Group",IF(_xll.EVDES(H89,$B$1)="#NODATA","",_xll.EVDES(H89,$B$1)))</f>
        <v>Commissions &amp; Fees - Group</v>
      </c>
      <c r="O89" s="138"/>
      <c r="P89" s="138">
        <v>2084.9</v>
      </c>
      <c r="Q89" s="138">
        <v>2842.08</v>
      </c>
      <c r="R89" s="138">
        <v>4877.6899999999996</v>
      </c>
      <c r="S89" s="138">
        <v>2478.2399999999998</v>
      </c>
      <c r="T89" s="138">
        <v>1884.7</v>
      </c>
      <c r="U89" s="138">
        <v>4664.6000000000004</v>
      </c>
      <c r="V89" s="138">
        <v>2450.9</v>
      </c>
      <c r="W89" s="138"/>
      <c r="X89" s="138">
        <v>4069.92</v>
      </c>
      <c r="Y89" s="138">
        <v>8032.8</v>
      </c>
      <c r="Z89" s="138">
        <v>862.2</v>
      </c>
      <c r="AA89" s="138">
        <f t="shared" si="25"/>
        <v>34248.03</v>
      </c>
      <c r="AB89" s="142">
        <f t="shared" si="26"/>
        <v>3.0333432310152165E-3</v>
      </c>
      <c r="AC89" s="140"/>
      <c r="AD89" s="138">
        <v>15746.963</v>
      </c>
      <c r="AE89" s="142">
        <f t="shared" si="27"/>
        <v>1.5000663047630477E-3</v>
      </c>
      <c r="AF89" s="141">
        <f t="shared" si="28"/>
        <v>18501.066999999999</v>
      </c>
      <c r="AG89" s="138">
        <v>9290.5300000000007</v>
      </c>
      <c r="AH89" s="142">
        <f t="shared" si="29"/>
        <v>9.8948531176822042E-4</v>
      </c>
      <c r="AI89" s="141">
        <f t="shared" si="30"/>
        <v>24957.5</v>
      </c>
      <c r="AJ89" s="211">
        <f t="shared" si="31"/>
        <v>0.82896911458585465</v>
      </c>
      <c r="AK89" s="212">
        <f t="shared" si="32"/>
        <v>0.40343725660996105</v>
      </c>
      <c r="AL89" s="213">
        <f t="shared" si="33"/>
        <v>0.4255318579758936</v>
      </c>
      <c r="AM89" s="214">
        <f t="shared" si="34"/>
        <v>0.23099853303165171</v>
      </c>
      <c r="AN89" s="213">
        <f t="shared" si="35"/>
        <v>0.59797058155420291</v>
      </c>
      <c r="AO89" s="11"/>
    </row>
    <row r="90" spans="1:41" x14ac:dyDescent="0.25">
      <c r="A90" s="65" t="s">
        <v>26</v>
      </c>
      <c r="B90" s="66"/>
      <c r="C90" s="11"/>
      <c r="D90" s="11"/>
      <c r="E90" s="11"/>
      <c r="F90" s="11"/>
      <c r="G90" s="11"/>
      <c r="H90" s="88" t="s">
        <v>937</v>
      </c>
      <c r="I90" s="122" t="str">
        <f>IF(_epmOfflineCondition_,"N",_xll.EVPRO($B$1,$H90,"STYLE"))</f>
        <v>N</v>
      </c>
      <c r="J90" s="122" t="str">
        <f>IF(_epmOfflineCondition_,"N",_xll.EVPRO($B$1,$H90,"CALC"))</f>
        <v>N</v>
      </c>
      <c r="K90" s="179" t="str">
        <f t="shared" si="24"/>
        <v/>
      </c>
      <c r="L90" s="90" t="str">
        <f>IF(_epmOfflineCondition_,"704400",_xll.EVPRO($B$1,H90,"JDEID"))</f>
        <v>704400</v>
      </c>
      <c r="M90" s="90" t="str">
        <f>IF(_epmOfflineCondition_,"590175",IF(AND(I90="N",J90="N"),_xll.EVPRO($B$1,H90,"PSFTID"),""))</f>
        <v>590175</v>
      </c>
      <c r="N90" s="90" t="str">
        <f>IF(_epmOfflineCondition_,"Guest Relocation",IF(_xll.EVDES(H90,$B$1)="#NODATA","",_xll.EVDES(H90,$B$1)))</f>
        <v>Guest Relocation</v>
      </c>
      <c r="O90" s="138"/>
      <c r="P90" s="138">
        <v>598.9</v>
      </c>
      <c r="Q90" s="138"/>
      <c r="R90" s="138"/>
      <c r="S90" s="138">
        <v>357.96</v>
      </c>
      <c r="T90" s="138"/>
      <c r="U90" s="138"/>
      <c r="V90" s="138"/>
      <c r="W90" s="138"/>
      <c r="X90" s="138"/>
      <c r="Y90" s="138">
        <v>141.36000000000001</v>
      </c>
      <c r="Z90" s="138"/>
      <c r="AA90" s="138">
        <f t="shared" si="25"/>
        <v>1098.2199999999998</v>
      </c>
      <c r="AB90" s="142">
        <f t="shared" si="26"/>
        <v>9.7269191926237225E-5</v>
      </c>
      <c r="AC90" s="140"/>
      <c r="AD90" s="138">
        <v>2732.24</v>
      </c>
      <c r="AE90" s="142">
        <f t="shared" si="27"/>
        <v>2.6027502322357581E-4</v>
      </c>
      <c r="AF90" s="141">
        <f t="shared" si="28"/>
        <v>-1634.02</v>
      </c>
      <c r="AG90" s="138">
        <v>2974.67</v>
      </c>
      <c r="AH90" s="142">
        <f t="shared" si="29"/>
        <v>3.1681640039454931E-4</v>
      </c>
      <c r="AI90" s="141">
        <f t="shared" si="30"/>
        <v>-1876.4500000000003</v>
      </c>
      <c r="AJ90" s="211">
        <f t="shared" si="31"/>
        <v>2.6582272353197458E-2</v>
      </c>
      <c r="AK90" s="212">
        <f t="shared" si="32"/>
        <v>6.9999999999999993E-2</v>
      </c>
      <c r="AL90" s="213">
        <f t="shared" si="33"/>
        <v>-4.3417727646802531E-2</v>
      </c>
      <c r="AM90" s="214">
        <f t="shared" si="34"/>
        <v>7.3961809095203765E-2</v>
      </c>
      <c r="AN90" s="213">
        <f t="shared" si="35"/>
        <v>-4.7379536742006303E-2</v>
      </c>
      <c r="AO90" s="11"/>
    </row>
    <row r="91" spans="1:41" x14ac:dyDescent="0.25">
      <c r="A91" s="65" t="s">
        <v>27</v>
      </c>
      <c r="B91" s="66"/>
      <c r="C91" s="11"/>
      <c r="D91" s="11"/>
      <c r="E91" s="11"/>
      <c r="F91" s="11"/>
      <c r="G91" s="11"/>
      <c r="H91" s="88" t="s">
        <v>938</v>
      </c>
      <c r="I91" s="122" t="str">
        <f>IF(_epmOfflineCondition_,"N",_xll.EVPRO($B$1,$H91,"STYLE"))</f>
        <v>N</v>
      </c>
      <c r="J91" s="122" t="str">
        <f>IF(_epmOfflineCondition_,"N",_xll.EVPRO($B$1,$H91,"CALC"))</f>
        <v>N</v>
      </c>
      <c r="K91" s="179" t="str">
        <f t="shared" si="24"/>
        <v/>
      </c>
      <c r="L91" s="90" t="str">
        <f>IF(_epmOfflineCondition_,"704500",_xll.EVPRO($B$1,H91,"JDEID"))</f>
        <v>704500</v>
      </c>
      <c r="M91" s="90" t="str">
        <f>IF(_epmOfflineCondition_,"590215",IF(AND(I91="N",J91="N"),_xll.EVPRO($B$1,H91,"PSFTID"),""))</f>
        <v>590215</v>
      </c>
      <c r="N91" s="90" t="str">
        <f>IF(_epmOfflineCondition_,"Guest Transportation",IF(_xll.EVDES(H91,$B$1)="#NODATA","",_xll.EVDES(H91,$B$1)))</f>
        <v>Guest Transportation</v>
      </c>
      <c r="O91" s="138"/>
      <c r="P91" s="138">
        <v>64.739999999999995</v>
      </c>
      <c r="Q91" s="138"/>
      <c r="R91" s="138"/>
      <c r="S91" s="138"/>
      <c r="T91" s="138"/>
      <c r="U91" s="138"/>
      <c r="V91" s="138"/>
      <c r="W91" s="138"/>
      <c r="X91" s="138"/>
      <c r="Y91" s="138"/>
      <c r="Z91" s="138"/>
      <c r="AA91" s="138">
        <f t="shared" si="25"/>
        <v>64.739999999999995</v>
      </c>
      <c r="AB91" s="142">
        <f t="shared" si="26"/>
        <v>5.7340127527313276E-6</v>
      </c>
      <c r="AC91" s="140"/>
      <c r="AD91" s="138"/>
      <c r="AE91" s="142" t="str">
        <f t="shared" si="27"/>
        <v/>
      </c>
      <c r="AF91" s="141">
        <f t="shared" si="28"/>
        <v>64.739999999999995</v>
      </c>
      <c r="AG91" s="138">
        <v>18.760000000000002</v>
      </c>
      <c r="AH91" s="142">
        <f t="shared" si="29"/>
        <v>1.9980285784311354E-6</v>
      </c>
      <c r="AI91" s="141">
        <f t="shared" si="30"/>
        <v>45.97999999999999</v>
      </c>
      <c r="AJ91" s="211">
        <f t="shared" si="31"/>
        <v>1.567023285084959E-3</v>
      </c>
      <c r="AK91" s="212">
        <f t="shared" si="32"/>
        <v>0</v>
      </c>
      <c r="AL91" s="213">
        <f t="shared" si="33"/>
        <v>1.567023285084959E-3</v>
      </c>
      <c r="AM91" s="214">
        <f t="shared" si="34"/>
        <v>4.6644620701658424E-4</v>
      </c>
      <c r="AN91" s="213">
        <f t="shared" si="35"/>
        <v>1.1005770780683748E-3</v>
      </c>
      <c r="AO91" s="11"/>
    </row>
    <row r="92" spans="1:41" x14ac:dyDescent="0.25">
      <c r="A92" s="65" t="s">
        <v>28</v>
      </c>
      <c r="B92" s="66"/>
      <c r="C92" s="11"/>
      <c r="D92" s="11"/>
      <c r="E92" s="11"/>
      <c r="F92" s="11"/>
      <c r="G92" s="11"/>
      <c r="H92" s="88" t="s">
        <v>840</v>
      </c>
      <c r="I92" s="122" t="str">
        <f>IF(_epmOfflineCondition_,"N",_xll.EVPRO($B$1,$H92,"STYLE"))</f>
        <v>N</v>
      </c>
      <c r="J92" s="122" t="str">
        <f>IF(_epmOfflineCondition_,"N",_xll.EVPRO($B$1,$H92,"CALC"))</f>
        <v>N</v>
      </c>
      <c r="K92" s="179" t="str">
        <f t="shared" si="24"/>
        <v/>
      </c>
      <c r="L92" s="90" t="str">
        <f>IF(_epmOfflineCondition_,"705500",_xll.EVPRO($B$1,H92,"JDEID"))</f>
        <v>705500</v>
      </c>
      <c r="M92" s="90" t="str">
        <f>IF(_epmOfflineCondition_,"690105",IF(AND(I92="N",J92="N"),_xll.EVPRO($B$1,H92,"PSFTID"),""))</f>
        <v>690105</v>
      </c>
      <c r="N92" s="90" t="str">
        <f>IF(_epmOfflineCondition_,"Licenses &amp; Permits",IF(_xll.EVDES(H92,$B$1)="#NODATA","",_xll.EVDES(H92,$B$1)))</f>
        <v>Licenses &amp; Permits</v>
      </c>
      <c r="O92" s="138"/>
      <c r="P92" s="138"/>
      <c r="Q92" s="138">
        <v>875.39</v>
      </c>
      <c r="R92" s="138"/>
      <c r="S92" s="138"/>
      <c r="T92" s="138"/>
      <c r="U92" s="138"/>
      <c r="V92" s="138"/>
      <c r="W92" s="138"/>
      <c r="X92" s="138"/>
      <c r="Y92" s="138"/>
      <c r="Z92" s="138"/>
      <c r="AA92" s="138">
        <f t="shared" si="25"/>
        <v>875.39</v>
      </c>
      <c r="AB92" s="142">
        <f t="shared" si="26"/>
        <v>7.7533169966226102E-5</v>
      </c>
      <c r="AC92" s="140"/>
      <c r="AD92" s="138">
        <v>1561.68</v>
      </c>
      <c r="AE92" s="142">
        <f t="shared" si="27"/>
        <v>1.487666889686828E-4</v>
      </c>
      <c r="AF92" s="141">
        <f t="shared" si="28"/>
        <v>-686.29000000000008</v>
      </c>
      <c r="AG92" s="138">
        <v>1561.68</v>
      </c>
      <c r="AH92" s="142">
        <f t="shared" si="29"/>
        <v>1.6632629372944217E-4</v>
      </c>
      <c r="AI92" s="141">
        <f t="shared" si="30"/>
        <v>-686.29000000000008</v>
      </c>
      <c r="AJ92" s="211">
        <f t="shared" si="31"/>
        <v>2.1188701166674734E-2</v>
      </c>
      <c r="AK92" s="212">
        <f t="shared" si="32"/>
        <v>4.001024800163968E-2</v>
      </c>
      <c r="AL92" s="213">
        <f t="shared" si="33"/>
        <v>-1.8821546834964946E-2</v>
      </c>
      <c r="AM92" s="214">
        <f t="shared" si="34"/>
        <v>3.8829408985802734E-2</v>
      </c>
      <c r="AN92" s="213">
        <f t="shared" si="35"/>
        <v>-1.7640707819128E-2</v>
      </c>
      <c r="AO92" s="11"/>
    </row>
    <row r="93" spans="1:41" x14ac:dyDescent="0.25">
      <c r="A93" s="65" t="s">
        <v>29</v>
      </c>
      <c r="B93" s="66"/>
      <c r="C93" s="11"/>
      <c r="D93" s="11"/>
      <c r="E93" s="11"/>
      <c r="F93" s="11"/>
      <c r="G93" s="11"/>
      <c r="H93" s="88" t="s">
        <v>844</v>
      </c>
      <c r="I93" s="122" t="str">
        <f>IF(_epmOfflineCondition_,"T4",_xll.EVPRO($B$1,$H93,"STYLE"))</f>
        <v>T4</v>
      </c>
      <c r="J93" s="122" t="str">
        <f>IF(_epmOfflineCondition_,"Y",_xll.EVPRO($B$1,$H93,"CALC"))</f>
        <v>Y</v>
      </c>
      <c r="K93" s="179" t="str">
        <f t="shared" si="24"/>
        <v>&gt;</v>
      </c>
      <c r="L93" s="90" t="str">
        <f>IF(_epmOfflineCondition_,"706500",_xll.EVPRO($B$1,H93,"JDEID"))</f>
        <v>706500</v>
      </c>
      <c r="M93" s="90" t="str">
        <f>IF(_epmOfflineCondition_,"",IF(AND(I93="N",J93="N"),_xll.EVPRO($B$1,H93,"PSFTID"),""))</f>
        <v/>
      </c>
      <c r="N93" s="90" t="str">
        <f>IF(_epmOfflineCondition_,"Corporate Office Reimbursement",IF(_xll.EVDES(H93,$B$1)="#NODATA","",_xll.EVDES(H93,$B$1)))</f>
        <v>Corporate Office Reimbursement</v>
      </c>
      <c r="O93" s="138">
        <v>12407.86</v>
      </c>
      <c r="P93" s="138">
        <v>11361.36</v>
      </c>
      <c r="Q93" s="138">
        <v>12974.1</v>
      </c>
      <c r="R93" s="138">
        <v>12061.76</v>
      </c>
      <c r="S93" s="138">
        <v>10800</v>
      </c>
      <c r="T93" s="138">
        <v>6500</v>
      </c>
      <c r="U93" s="138">
        <v>8834.98</v>
      </c>
      <c r="V93" s="138">
        <v>6279.39</v>
      </c>
      <c r="W93" s="138">
        <v>4941</v>
      </c>
      <c r="X93" s="138">
        <v>6471.97</v>
      </c>
      <c r="Y93" s="138">
        <v>9002.98</v>
      </c>
      <c r="Z93" s="138">
        <v>11466.34</v>
      </c>
      <c r="AA93" s="138">
        <f t="shared" si="25"/>
        <v>113101.73999999999</v>
      </c>
      <c r="AB93" s="142">
        <f t="shared" si="26"/>
        <v>1.0017405306087471E-2</v>
      </c>
      <c r="AC93" s="140"/>
      <c r="AD93" s="138">
        <v>104975.1131</v>
      </c>
      <c r="AE93" s="142">
        <f t="shared" si="27"/>
        <v>0.01</v>
      </c>
      <c r="AF93" s="141">
        <f t="shared" si="28"/>
        <v>8126.6268999999884</v>
      </c>
      <c r="AG93" s="138">
        <v>91609.55</v>
      </c>
      <c r="AH93" s="142">
        <f t="shared" si="29"/>
        <v>9.7568496245850744E-3</v>
      </c>
      <c r="AI93" s="141">
        <f t="shared" si="30"/>
        <v>21492.189999999988</v>
      </c>
      <c r="AJ93" s="211">
        <f t="shared" si="31"/>
        <v>2.7376129157186422</v>
      </c>
      <c r="AK93" s="212">
        <f t="shared" si="32"/>
        <v>2.6894628279360524</v>
      </c>
      <c r="AL93" s="213">
        <f t="shared" si="33"/>
        <v>4.8150087782589779E-2</v>
      </c>
      <c r="AM93" s="214">
        <f t="shared" si="34"/>
        <v>2.2777679703622669</v>
      </c>
      <c r="AN93" s="213">
        <f t="shared" si="35"/>
        <v>0.45984494535637532</v>
      </c>
      <c r="AO93" s="11"/>
    </row>
    <row r="94" spans="1:41" x14ac:dyDescent="0.25">
      <c r="A94" s="65" t="s">
        <v>30</v>
      </c>
      <c r="B94" s="66" t="s">
        <v>78</v>
      </c>
      <c r="C94" s="11"/>
      <c r="D94" s="11"/>
      <c r="E94" s="11"/>
      <c r="F94" s="11"/>
      <c r="G94" s="11"/>
      <c r="H94" s="88" t="s">
        <v>77</v>
      </c>
      <c r="I94" s="122" t="str">
        <f>IF(_epmOfflineCondition_,"T4",_xll.EVPRO($B$1,$H94,"STYLE"))</f>
        <v>T4</v>
      </c>
      <c r="J94" s="122" t="str">
        <f>IF(_epmOfflineCondition_,"Y",_xll.EVPRO($B$1,$H94,"CALC"))</f>
        <v>Y</v>
      </c>
      <c r="K94" s="179" t="str">
        <f t="shared" si="24"/>
        <v>&gt;</v>
      </c>
      <c r="L94" s="90" t="str">
        <f>IF(_epmOfflineCondition_,"710000",_xll.EVPRO($B$1,H94,"JDEID"))</f>
        <v>710000</v>
      </c>
      <c r="M94" s="90" t="str">
        <f>IF(_epmOfflineCondition_,"",IF(AND(I94="N",J94="N"),_xll.EVPRO($B$1,H94,"PSFTID"),""))</f>
        <v/>
      </c>
      <c r="N94" s="90" t="str">
        <f>IF(_epmOfflineCondition_,"Total Reservations Fees &amp; Other Exp",IF(_xll.EVDES(H94,$B$1)="#NODATA","",_xll.EVDES(H94,$B$1)))</f>
        <v>Total Reservations Fees &amp; Other Exp</v>
      </c>
      <c r="O94" s="138">
        <v>352</v>
      </c>
      <c r="P94" s="138">
        <v>359.2</v>
      </c>
      <c r="Q94" s="138">
        <v>-159.6</v>
      </c>
      <c r="R94" s="138">
        <v>363.8</v>
      </c>
      <c r="S94" s="138">
        <v>121</v>
      </c>
      <c r="T94" s="138">
        <v>349.6</v>
      </c>
      <c r="U94" s="138">
        <v>38.4</v>
      </c>
      <c r="V94" s="138">
        <v>157</v>
      </c>
      <c r="W94" s="138">
        <v>99</v>
      </c>
      <c r="X94" s="138">
        <v>357</v>
      </c>
      <c r="Y94" s="138">
        <v>108.8</v>
      </c>
      <c r="Z94" s="138">
        <v>403.2</v>
      </c>
      <c r="AA94" s="138">
        <f t="shared" si="25"/>
        <v>2549.4</v>
      </c>
      <c r="AB94" s="142">
        <f t="shared" si="26"/>
        <v>2.2580000172711228E-4</v>
      </c>
      <c r="AC94" s="140"/>
      <c r="AD94" s="138">
        <v>1598.848</v>
      </c>
      <c r="AE94" s="142">
        <f t="shared" si="27"/>
        <v>1.5230733769030822E-4</v>
      </c>
      <c r="AF94" s="141">
        <f t="shared" si="28"/>
        <v>950.55200000000013</v>
      </c>
      <c r="AG94" s="138">
        <v>1986.07</v>
      </c>
      <c r="AH94" s="142">
        <f t="shared" si="29"/>
        <v>2.1152583255675504E-4</v>
      </c>
      <c r="AI94" s="141">
        <f t="shared" si="30"/>
        <v>563.33000000000015</v>
      </c>
      <c r="AJ94" s="211">
        <f t="shared" si="31"/>
        <v>6.1707895628600476E-2</v>
      </c>
      <c r="AK94" s="212">
        <f t="shared" si="32"/>
        <v>4.0962492313998768E-2</v>
      </c>
      <c r="AL94" s="213">
        <f t="shared" si="33"/>
        <v>2.0745403314601708E-2</v>
      </c>
      <c r="AM94" s="214">
        <f t="shared" si="34"/>
        <v>4.9381386906685892E-2</v>
      </c>
      <c r="AN94" s="213">
        <f t="shared" si="35"/>
        <v>1.2326508721914584E-2</v>
      </c>
      <c r="AO94" s="11"/>
    </row>
    <row r="95" spans="1:41" x14ac:dyDescent="0.25">
      <c r="A95" s="65" t="s">
        <v>31</v>
      </c>
      <c r="B95" s="66" t="s">
        <v>78</v>
      </c>
      <c r="C95" s="11"/>
      <c r="D95" s="11"/>
      <c r="E95" s="11"/>
      <c r="F95" s="11"/>
      <c r="G95" s="11"/>
      <c r="H95" s="88" t="s">
        <v>79</v>
      </c>
      <c r="I95" s="136" t="str">
        <f>IF(_epmOfflineCondition_,"T3",_xll.EVPRO($B$1,$H95,"STYLE"))</f>
        <v>T3</v>
      </c>
      <c r="J95" s="136" t="str">
        <f>IF(_epmOfflineCondition_,"Y",_xll.EVPRO($B$1,$H95,"CALC"))</f>
        <v>Y</v>
      </c>
      <c r="K95" s="104"/>
      <c r="L95" s="59"/>
      <c r="M95" s="59"/>
      <c r="N95" s="106" t="str">
        <f>IF(_epmOfflineCondition_,"Total Operations Expense",IF(_xll.EVDES(H95,$B$1)="#NODATA","",_xll.EVDES(H95,$B$1)))</f>
        <v>Total Operations Expense</v>
      </c>
      <c r="O95" s="150">
        <v>98777.67</v>
      </c>
      <c r="P95" s="150">
        <v>108021.94</v>
      </c>
      <c r="Q95" s="150">
        <v>126324.84</v>
      </c>
      <c r="R95" s="150">
        <v>124530.53</v>
      </c>
      <c r="S95" s="150">
        <v>123197.82</v>
      </c>
      <c r="T95" s="150">
        <v>90689.13</v>
      </c>
      <c r="U95" s="150">
        <v>125783.42</v>
      </c>
      <c r="V95" s="150">
        <v>99144.55</v>
      </c>
      <c r="W95" s="150">
        <v>72174.720000000001</v>
      </c>
      <c r="X95" s="150">
        <v>103914.5</v>
      </c>
      <c r="Y95" s="150">
        <v>104039.67</v>
      </c>
      <c r="Z95" s="150">
        <v>129755.01</v>
      </c>
      <c r="AA95" s="150">
        <f t="shared" si="25"/>
        <v>1306353.8</v>
      </c>
      <c r="AB95" s="151">
        <f t="shared" si="26"/>
        <v>0.11570357350600914</v>
      </c>
      <c r="AC95" s="140"/>
      <c r="AD95" s="150">
        <v>1144613.9509425401</v>
      </c>
      <c r="AE95" s="151">
        <f t="shared" si="27"/>
        <v>0.10903669614074843</v>
      </c>
      <c r="AF95" s="152">
        <f t="shared" si="28"/>
        <v>161739.84905745997</v>
      </c>
      <c r="AG95" s="150">
        <v>1164533.1000000001</v>
      </c>
      <c r="AH95" s="151">
        <f t="shared" si="29"/>
        <v>0.12402827368491488</v>
      </c>
      <c r="AI95" s="152">
        <f t="shared" si="30"/>
        <v>141820.69999999995</v>
      </c>
      <c r="AJ95" s="250">
        <f t="shared" si="31"/>
        <v>31.620123928934504</v>
      </c>
      <c r="AK95" s="251">
        <f t="shared" si="32"/>
        <v>29.325014115150136</v>
      </c>
      <c r="AL95" s="252">
        <f t="shared" si="33"/>
        <v>2.295109813784368</v>
      </c>
      <c r="AM95" s="253">
        <f t="shared" si="34"/>
        <v>28.954799970163357</v>
      </c>
      <c r="AN95" s="252">
        <f t="shared" si="35"/>
        <v>2.6653239587711468</v>
      </c>
      <c r="AO95" s="11"/>
    </row>
    <row r="96" spans="1:41" x14ac:dyDescent="0.25">
      <c r="A96" s="65" t="s">
        <v>32</v>
      </c>
      <c r="B96" s="66"/>
      <c r="C96" s="11"/>
      <c r="D96" s="11"/>
      <c r="E96" s="11"/>
      <c r="F96" s="11"/>
      <c r="G96" s="11"/>
      <c r="H96" s="11"/>
      <c r="I96" s="59"/>
      <c r="J96" s="59"/>
      <c r="K96" s="11"/>
      <c r="L96" s="59"/>
      <c r="M96" s="59"/>
      <c r="N96" s="11"/>
      <c r="O96" s="140"/>
      <c r="P96" s="140"/>
      <c r="Q96" s="140"/>
      <c r="R96" s="140"/>
      <c r="S96" s="140"/>
      <c r="T96" s="140"/>
      <c r="U96" s="140"/>
      <c r="V96" s="140"/>
      <c r="W96" s="140"/>
      <c r="X96" s="140"/>
      <c r="Y96" s="140"/>
      <c r="Z96" s="140"/>
      <c r="AA96" s="140"/>
      <c r="AB96" s="140"/>
      <c r="AC96" s="140"/>
      <c r="AD96" s="140"/>
      <c r="AE96" s="140"/>
      <c r="AF96" s="140"/>
      <c r="AG96" s="140"/>
      <c r="AH96" s="140"/>
      <c r="AI96" s="140"/>
      <c r="AJ96" s="140"/>
      <c r="AK96" s="140"/>
      <c r="AL96" s="140"/>
      <c r="AM96" s="140"/>
      <c r="AN96" s="140"/>
      <c r="AO96" s="11"/>
    </row>
    <row r="97" spans="1:41" x14ac:dyDescent="0.25">
      <c r="A97" s="65" t="s">
        <v>33</v>
      </c>
      <c r="B97" s="66"/>
      <c r="C97" s="11"/>
      <c r="D97" s="11"/>
      <c r="E97" s="11"/>
      <c r="F97" s="11"/>
      <c r="G97" s="11"/>
      <c r="H97" s="88" t="s">
        <v>80</v>
      </c>
      <c r="I97" s="136" t="str">
        <f>IF(_epmOfflineCondition_,"T3",_xll.EVPRO($B$1,$H97,"STYLE"))</f>
        <v>T3</v>
      </c>
      <c r="J97" s="136" t="str">
        <f>IF(_epmOfflineCondition_,"Y",_xll.EVPRO($B$1,$H97,"CALC"))</f>
        <v>Y</v>
      </c>
      <c r="K97" s="106"/>
      <c r="L97" s="59"/>
      <c r="M97" s="90"/>
      <c r="N97" s="106" t="str">
        <f>IF(_epmOfflineCondition_,"Total Expenses",IF(_xll.EVDES(H97,$B$1)="#NODATA","",_xll.EVDES(H97,$B$1)))</f>
        <v>Total Expenses</v>
      </c>
      <c r="O97" s="242">
        <v>230899.16</v>
      </c>
      <c r="P97" s="242">
        <v>227599.08</v>
      </c>
      <c r="Q97" s="242">
        <v>255558.03</v>
      </c>
      <c r="R97" s="242">
        <v>258542.6</v>
      </c>
      <c r="S97" s="242">
        <v>254522.83</v>
      </c>
      <c r="T97" s="242">
        <v>208901.51</v>
      </c>
      <c r="U97" s="242">
        <v>265349.96999999997</v>
      </c>
      <c r="V97" s="242">
        <v>229144.91</v>
      </c>
      <c r="W97" s="242">
        <v>168226.04</v>
      </c>
      <c r="X97" s="242">
        <v>220017.23</v>
      </c>
      <c r="Y97" s="242">
        <v>230515.69</v>
      </c>
      <c r="Z97" s="242">
        <v>275870.95</v>
      </c>
      <c r="AA97" s="242">
        <f>IF($I97="B1","",SUM(O97:Z97))</f>
        <v>2825148</v>
      </c>
      <c r="AB97" s="243">
        <f>IF(AA97=0,"",IFERROR(AA97/AA$19,""))</f>
        <v>0.25022296355195256</v>
      </c>
      <c r="AC97" s="140"/>
      <c r="AD97" s="242">
        <v>2458172.9303767802</v>
      </c>
      <c r="AE97" s="243">
        <f>IF(AD97=0,"",IFERROR(AD97/AD$19,""))</f>
        <v>0.23416720952089931</v>
      </c>
      <c r="AF97" s="254">
        <f>IF(AND($AA97="",AD97=""),"",$AA97-AD97)</f>
        <v>366975.06962321978</v>
      </c>
      <c r="AG97" s="255">
        <v>2489781.96</v>
      </c>
      <c r="AH97" s="256">
        <f>IF(AG97=0,"",IFERROR(AG97/AG$19,""))</f>
        <v>0.26517353465577215</v>
      </c>
      <c r="AI97" s="254">
        <f>IF(AND($AA97="",AG97=""),"",$AA97-AG97)</f>
        <v>335366.04000000004</v>
      </c>
      <c r="AJ97" s="227">
        <f>IFERROR(AA97/AA$20,0)</f>
        <v>68.382340126833512</v>
      </c>
      <c r="AK97" s="228">
        <f>IFERROR(AD97/AD$20,0)</f>
        <v>62.978400552797197</v>
      </c>
      <c r="AL97" s="229">
        <f>AJ97-AK97</f>
        <v>5.4039395740363148</v>
      </c>
      <c r="AM97" s="230">
        <f>IFERROR(AG97/AG$20,0)</f>
        <v>61.905615753748229</v>
      </c>
      <c r="AN97" s="229">
        <f>AJ97-AM97</f>
        <v>6.4767243730852826</v>
      </c>
      <c r="AO97" s="11"/>
    </row>
    <row r="98" spans="1:41" ht="15.75" thickBot="1" x14ac:dyDescent="0.3">
      <c r="A98" s="65" t="s">
        <v>34</v>
      </c>
      <c r="B98" s="66"/>
      <c r="C98" s="11"/>
      <c r="D98" s="11"/>
      <c r="E98" s="11"/>
      <c r="F98" s="11"/>
      <c r="G98" s="11"/>
      <c r="H98" s="88" t="s">
        <v>81</v>
      </c>
      <c r="I98" s="136" t="str">
        <f>IF(_epmOfflineCondition_,"T3",_xll.EVPRO($B$1,$H98,"STYLE"))</f>
        <v>T3</v>
      </c>
      <c r="J98" s="136" t="str">
        <f>IF(_epmOfflineCondition_,"Y",_xll.EVPRO($B$1,$H98,"CALC"))</f>
        <v>Y</v>
      </c>
      <c r="K98" s="106"/>
      <c r="L98" s="59"/>
      <c r="M98" s="90"/>
      <c r="N98" s="106" t="str">
        <f>IF(_epmOfflineCondition_,"Department Profit (Loss)",IF(_xll.EVDES(H98,$B$1)="#NODATA","",_xll.EVDES(H98,$B$1)))</f>
        <v>Department Profit (Loss)</v>
      </c>
      <c r="O98" s="165">
        <v>794117.04</v>
      </c>
      <c r="P98" s="165">
        <v>1057974.1599999999</v>
      </c>
      <c r="Q98" s="165">
        <v>1038635.33</v>
      </c>
      <c r="R98" s="165">
        <v>1017182.85</v>
      </c>
      <c r="S98" s="165">
        <v>877866.07</v>
      </c>
      <c r="T98" s="165">
        <v>473443.38</v>
      </c>
      <c r="U98" s="165">
        <v>533413.57999999996</v>
      </c>
      <c r="V98" s="165">
        <v>398794.43</v>
      </c>
      <c r="W98" s="165">
        <v>325874.21999999997</v>
      </c>
      <c r="X98" s="165">
        <v>424548.16</v>
      </c>
      <c r="Y98" s="165">
        <v>669782.49</v>
      </c>
      <c r="Z98" s="165">
        <v>853742.79</v>
      </c>
      <c r="AA98" s="165">
        <f>IF($I98="B1","",SUM(O98:Z98))</f>
        <v>8465374.5</v>
      </c>
      <c r="AB98" s="166">
        <f>IF(AA98=0,"",IFERROR(AA98/AA$19,""))</f>
        <v>0.7497770364480475</v>
      </c>
      <c r="AC98" s="140"/>
      <c r="AD98" s="165">
        <v>8039338.3796231998</v>
      </c>
      <c r="AE98" s="166">
        <f>IF(AD98=0,"",IFERROR(AD98/AD$19,""))</f>
        <v>0.7658327904790988</v>
      </c>
      <c r="AF98" s="167">
        <f>IF(AND($AA98="",AD98=""),"",$AA98-AD98)</f>
        <v>426036.12037680019</v>
      </c>
      <c r="AG98" s="165">
        <v>6899473.1299999896</v>
      </c>
      <c r="AH98" s="166">
        <f>IF(AG98=0,"",IFERROR(AG98/AG$19,""))</f>
        <v>0.7348264653442268</v>
      </c>
      <c r="AI98" s="167">
        <f>IF(AND($AA98="",AG98=""),"",$AA98-AG98)</f>
        <v>1565901.3700000104</v>
      </c>
      <c r="AJ98" s="257">
        <f>IFERROR(AA98/AA$20,0)</f>
        <v>204.90328944183571</v>
      </c>
      <c r="AK98" s="258">
        <f>IFERROR(AD98/AD$20,0)</f>
        <v>205.96788224080754</v>
      </c>
      <c r="AL98" s="259">
        <f>AJ98-AK98</f>
        <v>-1.0645927989718302</v>
      </c>
      <c r="AM98" s="260">
        <f>IFERROR(AG98/AG$20,0)</f>
        <v>171.54760511201147</v>
      </c>
      <c r="AN98" s="259">
        <f>AJ98-AM98</f>
        <v>33.355684329824243</v>
      </c>
      <c r="AO98" s="11"/>
    </row>
    <row r="99" spans="1:41" ht="15.75" thickTop="1" x14ac:dyDescent="0.25">
      <c r="A99" s="65" t="s">
        <v>35</v>
      </c>
      <c r="B99" s="66"/>
      <c r="C99" s="11"/>
      <c r="D99" s="11"/>
      <c r="E99" s="11"/>
      <c r="F99" s="11"/>
      <c r="G99" s="11"/>
      <c r="H99" s="11"/>
      <c r="I99" s="59"/>
      <c r="J99" s="59"/>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65" t="s">
        <v>36</v>
      </c>
      <c r="B100" s="66"/>
      <c r="C100" s="11"/>
      <c r="D100" s="11"/>
      <c r="E100" s="11"/>
      <c r="F100" s="11"/>
      <c r="G100" s="11"/>
      <c r="H100" s="11"/>
      <c r="I100" s="59"/>
      <c r="J100" s="59"/>
      <c r="K100" s="11"/>
      <c r="L100" s="59"/>
      <c r="M100" s="59"/>
      <c r="N100" s="104" t="str">
        <f>N97&amp;" - Check"</f>
        <v>Total Expenses - Check</v>
      </c>
      <c r="O100" s="209">
        <f t="shared" ref="O100:AA100" si="36">SUMIF($H$35:$H$98,"600000",O$35:O$98)+SUMIF($H$35:$H$98,"700000",O$35:O$98)-SUMIF($H$35:$H$98,"TOTDEPTEXP",O$35:O$98)</f>
        <v>0</v>
      </c>
      <c r="P100" s="209">
        <f t="shared" si="36"/>
        <v>0</v>
      </c>
      <c r="Q100" s="209">
        <f t="shared" si="36"/>
        <v>0</v>
      </c>
      <c r="R100" s="209">
        <f t="shared" si="36"/>
        <v>0</v>
      </c>
      <c r="S100" s="209">
        <f t="shared" si="36"/>
        <v>0</v>
      </c>
      <c r="T100" s="209">
        <f t="shared" si="36"/>
        <v>0</v>
      </c>
      <c r="U100" s="209">
        <f t="shared" si="36"/>
        <v>0</v>
      </c>
      <c r="V100" s="209">
        <f t="shared" si="36"/>
        <v>0</v>
      </c>
      <c r="W100" s="209">
        <f t="shared" si="36"/>
        <v>0</v>
      </c>
      <c r="X100" s="209">
        <f t="shared" si="36"/>
        <v>0</v>
      </c>
      <c r="Y100" s="209">
        <f t="shared" si="36"/>
        <v>0</v>
      </c>
      <c r="Z100" s="209">
        <f t="shared" si="36"/>
        <v>0</v>
      </c>
      <c r="AA100" s="209">
        <f t="shared" si="36"/>
        <v>0</v>
      </c>
      <c r="AB100" s="100"/>
      <c r="AC100" s="11"/>
      <c r="AD100" s="209">
        <f>SUMIF($H$35:$H$98,"600000",AD$35:AD$98)+SUMIF($H$35:$H$98,"700000",AD$35:AD$98)-SUMIF($H$35:$H$98,"TOTDEPTEXP",AD$35:AD$98)</f>
        <v>9.7788870334625244E-9</v>
      </c>
      <c r="AE100" s="100"/>
      <c r="AF100" s="91"/>
      <c r="AG100" s="209">
        <f>SUMIF($H$35:$H$98,"600000",AG$35:AG$98)+SUMIF($H$35:$H$98,"700000",AG$35:AG$98)-SUMIF($H$35:$H$98,"TOTDEPTEXP",AG$35:AG$98)</f>
        <v>0</v>
      </c>
      <c r="AH100" s="100"/>
      <c r="AI100" s="91"/>
      <c r="AJ100" s="11"/>
      <c r="AK100" s="11"/>
      <c r="AL100" s="11"/>
      <c r="AM100" s="11"/>
      <c r="AN100" s="11"/>
      <c r="AO100" s="11"/>
    </row>
    <row r="101" spans="1:41" x14ac:dyDescent="0.25">
      <c r="A101" s="65" t="s">
        <v>37</v>
      </c>
      <c r="B101" s="66"/>
      <c r="C101" s="11"/>
      <c r="D101" s="11"/>
      <c r="E101" s="11"/>
      <c r="F101" s="11"/>
      <c r="G101" s="11"/>
      <c r="H101" s="11"/>
      <c r="I101" s="59"/>
      <c r="J101" s="59"/>
      <c r="K101" s="11"/>
      <c r="L101" s="59"/>
      <c r="M101" s="59"/>
      <c r="N101" s="104" t="str">
        <f>N98&amp;" - Check"</f>
        <v>Department Profit (Loss) - Check</v>
      </c>
      <c r="O101" s="209">
        <f t="shared" ref="O101:AA101" si="37">SUMIF($H$35:$H$98,"ROOMS_TOT",O$35:O$98)-SUMIF($H$35:$H$98,"TOTDEPTEXP",O$35:O$98)-SUMIF($H$35:$H$98,"TOTDEPTPL",O$35:O$98)</f>
        <v>0</v>
      </c>
      <c r="P101" s="209">
        <f t="shared" si="37"/>
        <v>0</v>
      </c>
      <c r="Q101" s="209">
        <f t="shared" si="37"/>
        <v>0</v>
      </c>
      <c r="R101" s="209">
        <f t="shared" si="37"/>
        <v>0</v>
      </c>
      <c r="S101" s="209">
        <f t="shared" si="37"/>
        <v>0</v>
      </c>
      <c r="T101" s="209">
        <f t="shared" si="37"/>
        <v>0</v>
      </c>
      <c r="U101" s="209">
        <f t="shared" si="37"/>
        <v>0</v>
      </c>
      <c r="V101" s="209">
        <f t="shared" si="37"/>
        <v>0</v>
      </c>
      <c r="W101" s="209">
        <f t="shared" si="37"/>
        <v>0</v>
      </c>
      <c r="X101" s="209">
        <f t="shared" si="37"/>
        <v>0</v>
      </c>
      <c r="Y101" s="209">
        <f t="shared" si="37"/>
        <v>0</v>
      </c>
      <c r="Z101" s="209">
        <f t="shared" si="37"/>
        <v>0</v>
      </c>
      <c r="AA101" s="209">
        <f t="shared" si="37"/>
        <v>0</v>
      </c>
      <c r="AB101" s="100"/>
      <c r="AC101" s="11"/>
      <c r="AD101" s="209">
        <f>SUMIF($H$35:$H$98,"ROOMS_TOT",AD$35:AD$98)-SUMIF($H$35:$H$98,"TOTDEPTEXP",AD$35:AD$98)-SUMIF($H$35:$H$98,"TOTDEPTPL",AD$35:AD$98)</f>
        <v>2.0489096641540527E-8</v>
      </c>
      <c r="AE101" s="100"/>
      <c r="AF101" s="91"/>
      <c r="AG101" s="209">
        <f>SUMIF($H$35:$H$98,"ROOMS_TOT",AG$35:AG$98)-SUMIF($H$35:$H$98,"TOTDEPTEXP",AG$35:AG$98)-SUMIF($H$35:$H$98,"TOTDEPTPL",AG$35:AG$98)</f>
        <v>1.0244548320770264E-8</v>
      </c>
      <c r="AH101" s="100"/>
      <c r="AI101" s="91"/>
      <c r="AJ101" s="11"/>
      <c r="AK101" s="11"/>
      <c r="AL101" s="11"/>
      <c r="AM101" s="11"/>
      <c r="AN101" s="11"/>
      <c r="AO101" s="11"/>
    </row>
    <row r="102" spans="1:41" x14ac:dyDescent="0.25">
      <c r="A102" s="65" t="s">
        <v>38</v>
      </c>
      <c r="B102" s="66"/>
      <c r="C102" s="11"/>
      <c r="D102" s="11"/>
      <c r="E102" s="11"/>
      <c r="F102" s="11"/>
      <c r="G102" s="11"/>
      <c r="H102" s="11"/>
      <c r="I102" s="59"/>
      <c r="J102" s="59"/>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65" t="s">
        <v>39</v>
      </c>
      <c r="B103" s="66"/>
      <c r="C103" s="11"/>
      <c r="D103" s="11"/>
      <c r="E103" s="11"/>
      <c r="F103" s="11"/>
      <c r="G103" s="11"/>
      <c r="H103" s="11"/>
      <c r="I103" s="59"/>
      <c r="J103" s="59"/>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65" t="s">
        <v>40</v>
      </c>
      <c r="B104" s="66"/>
      <c r="C104" s="11"/>
      <c r="D104" s="11"/>
      <c r="E104" s="11"/>
      <c r="F104" s="11"/>
      <c r="G104" s="11"/>
      <c r="H104" s="11"/>
      <c r="I104" s="59"/>
      <c r="J104" s="59"/>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65" t="s">
        <v>41</v>
      </c>
      <c r="B105" s="66"/>
      <c r="C105" s="11"/>
      <c r="D105" s="11"/>
      <c r="E105" s="11"/>
      <c r="F105" s="11"/>
      <c r="G105" s="11"/>
      <c r="H105" s="11"/>
      <c r="I105" s="59"/>
      <c r="J105" s="59"/>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65" t="s">
        <v>42</v>
      </c>
      <c r="B106" s="66"/>
      <c r="C106" s="11"/>
      <c r="D106" s="11"/>
      <c r="E106" s="11"/>
      <c r="F106" s="11"/>
      <c r="G106" s="11"/>
      <c r="H106" s="11"/>
      <c r="I106" s="59"/>
      <c r="J106" s="59"/>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65" t="s">
        <v>43</v>
      </c>
      <c r="B107" s="66"/>
      <c r="C107" s="11"/>
      <c r="D107" s="11"/>
      <c r="E107" s="11"/>
      <c r="F107" s="11"/>
      <c r="G107" s="11"/>
      <c r="H107" s="11"/>
      <c r="I107" s="59"/>
      <c r="J107" s="59"/>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65" t="s">
        <v>44</v>
      </c>
      <c r="B108" s="66"/>
      <c r="C108" s="11"/>
      <c r="D108" s="11"/>
      <c r="E108" s="11"/>
      <c r="F108" s="11"/>
      <c r="G108" s="11"/>
      <c r="H108" s="59"/>
      <c r="I108" s="59"/>
      <c r="J108" s="11"/>
      <c r="K108" s="11"/>
      <c r="L108" s="59"/>
      <c r="M108" s="59"/>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65" t="s">
        <v>45</v>
      </c>
      <c r="B109" s="66"/>
      <c r="C109" s="11"/>
      <c r="D109" s="11"/>
      <c r="E109" s="11"/>
      <c r="F109" s="11"/>
      <c r="G109" s="11"/>
      <c r="H109" s="59"/>
      <c r="I109" s="59"/>
      <c r="J109" s="11"/>
      <c r="K109" s="11"/>
      <c r="L109" s="59"/>
      <c r="M109" s="59"/>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65" t="s">
        <v>46</v>
      </c>
      <c r="B110" s="66"/>
      <c r="C110" s="11"/>
      <c r="D110" s="11"/>
      <c r="E110" s="11"/>
      <c r="F110" s="11"/>
      <c r="G110" s="11"/>
      <c r="H110" s="59"/>
      <c r="I110" s="59"/>
      <c r="J110" s="11"/>
      <c r="K110" s="11"/>
      <c r="L110" s="59"/>
      <c r="M110" s="59"/>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11"/>
      <c r="B111" s="11"/>
      <c r="C111" s="11"/>
      <c r="D111" s="11"/>
      <c r="E111" s="11"/>
      <c r="F111" s="11"/>
      <c r="G111" s="11"/>
      <c r="H111" s="59"/>
      <c r="I111" s="59"/>
      <c r="J111" s="11"/>
      <c r="K111" s="11"/>
      <c r="L111" s="59"/>
      <c r="M111" s="59"/>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59"/>
      <c r="I112" s="59"/>
      <c r="J112" s="11"/>
      <c r="K112" s="11"/>
      <c r="L112" s="59"/>
      <c r="M112" s="59"/>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11"/>
      <c r="B113" s="11"/>
      <c r="C113" s="11"/>
      <c r="D113" s="11"/>
      <c r="E113" s="11"/>
      <c r="F113" s="11"/>
      <c r="G113" s="11"/>
      <c r="H113" s="59"/>
      <c r="I113" s="59"/>
      <c r="J113" s="11"/>
      <c r="K113" s="11"/>
      <c r="L113" s="59"/>
      <c r="M113" s="59"/>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11"/>
      <c r="B114" s="11"/>
      <c r="C114" s="11"/>
      <c r="D114" s="11"/>
      <c r="E114" s="11"/>
      <c r="F114" s="11"/>
      <c r="G114" s="11"/>
      <c r="H114" s="59"/>
      <c r="I114" s="59"/>
      <c r="J114" s="11"/>
      <c r="K114" s="11"/>
      <c r="L114" s="59"/>
      <c r="M114" s="59"/>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11"/>
      <c r="B115" s="11"/>
      <c r="C115" s="11"/>
      <c r="D115" s="11"/>
      <c r="E115" s="11"/>
      <c r="F115" s="11"/>
      <c r="G115" s="11"/>
      <c r="H115" s="59"/>
      <c r="I115" s="59"/>
      <c r="J115" s="11"/>
      <c r="K115" s="11"/>
      <c r="L115" s="59"/>
      <c r="M115" s="59"/>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11"/>
      <c r="B116" s="11"/>
      <c r="C116" s="11"/>
      <c r="D116" s="11"/>
      <c r="E116" s="11"/>
      <c r="F116" s="11"/>
      <c r="G116" s="11"/>
      <c r="H116" s="59"/>
      <c r="I116" s="59"/>
      <c r="J116" s="11"/>
      <c r="K116" s="11"/>
      <c r="L116" s="59"/>
      <c r="M116" s="59"/>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11"/>
      <c r="B117" s="11"/>
      <c r="C117" s="11"/>
      <c r="D117" s="11"/>
      <c r="E117" s="11"/>
      <c r="F117" s="11"/>
      <c r="G117" s="11"/>
      <c r="H117" s="59"/>
      <c r="I117" s="59"/>
      <c r="J117" s="11"/>
      <c r="K117" s="11"/>
      <c r="L117" s="59"/>
      <c r="M117" s="59"/>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11"/>
      <c r="B118" s="11"/>
      <c r="C118" s="11"/>
      <c r="D118" s="11"/>
      <c r="E118" s="11"/>
      <c r="F118" s="11"/>
      <c r="G118" s="11"/>
      <c r="H118" s="59"/>
      <c r="I118" s="59"/>
      <c r="J118" s="11"/>
      <c r="K118" s="11"/>
      <c r="L118" s="59"/>
      <c r="M118" s="59"/>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11"/>
      <c r="B119" s="11"/>
      <c r="C119" s="11"/>
      <c r="D119" s="11"/>
      <c r="E119" s="11"/>
      <c r="F119" s="11"/>
      <c r="G119" s="11"/>
      <c r="H119" s="59"/>
      <c r="I119" s="59"/>
      <c r="J119" s="11"/>
      <c r="K119" s="11"/>
      <c r="L119" s="59"/>
      <c r="M119" s="59"/>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11"/>
      <c r="B120" s="11"/>
      <c r="C120" s="11"/>
      <c r="D120" s="11"/>
      <c r="E120" s="11"/>
      <c r="F120" s="11"/>
      <c r="G120" s="11"/>
      <c r="H120" s="59"/>
      <c r="I120" s="59"/>
      <c r="J120" s="11"/>
      <c r="K120" s="11"/>
      <c r="L120" s="59"/>
      <c r="M120" s="59"/>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11"/>
      <c r="B121" s="11"/>
      <c r="C121" s="11"/>
      <c r="D121" s="11"/>
      <c r="E121" s="11"/>
      <c r="F121" s="11"/>
      <c r="G121" s="11"/>
      <c r="H121" s="59"/>
      <c r="I121" s="59"/>
      <c r="J121" s="11"/>
      <c r="K121" s="11"/>
      <c r="L121" s="59"/>
      <c r="M121" s="59"/>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59"/>
      <c r="I122" s="59"/>
      <c r="J122" s="11"/>
      <c r="K122" s="11"/>
      <c r="L122" s="59"/>
      <c r="M122" s="59"/>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59"/>
      <c r="I123" s="59"/>
      <c r="J123" s="11"/>
      <c r="K123" s="11"/>
      <c r="L123" s="59"/>
      <c r="M123" s="59"/>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11"/>
      <c r="B124" s="11"/>
      <c r="C124" s="11"/>
      <c r="D124" s="11"/>
      <c r="E124" s="11"/>
      <c r="F124" s="11"/>
      <c r="G124" s="11"/>
      <c r="H124" s="59"/>
      <c r="I124" s="59"/>
      <c r="J124" s="11"/>
      <c r="K124" s="11"/>
      <c r="L124" s="59"/>
      <c r="M124" s="59"/>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11"/>
      <c r="B125" s="11"/>
      <c r="C125" s="11"/>
      <c r="D125" s="11"/>
      <c r="E125" s="11"/>
      <c r="F125" s="11"/>
      <c r="G125" s="11"/>
      <c r="H125" s="59"/>
      <c r="I125" s="59"/>
      <c r="J125" s="11"/>
      <c r="K125" s="11"/>
      <c r="L125" s="59"/>
      <c r="M125" s="59"/>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11"/>
      <c r="B126" s="11"/>
      <c r="C126" s="11"/>
      <c r="D126" s="11"/>
      <c r="E126" s="11"/>
      <c r="F126" s="11"/>
      <c r="G126" s="11"/>
      <c r="H126" s="59"/>
      <c r="I126" s="59"/>
      <c r="J126" s="11"/>
      <c r="K126" s="11"/>
      <c r="L126" s="59"/>
      <c r="M126" s="59"/>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11"/>
      <c r="B127" s="11"/>
      <c r="C127" s="11"/>
      <c r="D127" s="11"/>
      <c r="E127" s="11"/>
      <c r="F127" s="11"/>
      <c r="G127" s="11"/>
      <c r="H127" s="59"/>
      <c r="I127" s="59"/>
      <c r="J127" s="11"/>
      <c r="K127" s="11"/>
      <c r="L127" s="59"/>
      <c r="M127" s="59"/>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11"/>
      <c r="B128" s="11"/>
      <c r="C128" s="11"/>
      <c r="D128" s="11"/>
      <c r="E128" s="11"/>
      <c r="F128" s="11"/>
      <c r="G128" s="11"/>
      <c r="H128" s="59"/>
      <c r="I128" s="59"/>
      <c r="J128" s="11"/>
      <c r="K128" s="11"/>
      <c r="L128" s="59"/>
      <c r="M128" s="59"/>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11"/>
      <c r="B129" s="11"/>
      <c r="C129" s="11"/>
      <c r="D129" s="11"/>
      <c r="E129" s="11"/>
      <c r="F129" s="11"/>
      <c r="G129" s="11"/>
      <c r="H129" s="59"/>
      <c r="I129" s="59"/>
      <c r="J129" s="11"/>
      <c r="K129" s="11"/>
      <c r="L129" s="59"/>
      <c r="M129" s="59"/>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11"/>
      <c r="B130" s="11"/>
      <c r="C130" s="11"/>
      <c r="D130" s="11"/>
      <c r="E130" s="11"/>
      <c r="F130" s="11"/>
      <c r="G130" s="11"/>
      <c r="H130" s="59"/>
      <c r="I130" s="59"/>
      <c r="J130" s="11"/>
      <c r="K130" s="11"/>
      <c r="L130" s="59"/>
      <c r="M130" s="59"/>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sheetData>
  <sheetProtection algorithmName="SHA-512" hashValue="BaB3m5x6svI5gicwf3PUHTy9LXTvaOgwv2g8Ur15diP51il1hpjhUqJSaq34Zf4XnsVeuJipA7OPrPdtel1x6A==" saltValue="RELN+CtjSQ5kIHRzyDiDCw==" spinCount="100000" sheet="1" scenarios="1"/>
  <mergeCells count="2">
    <mergeCell ref="AD31:AE31"/>
    <mergeCell ref="AG31:AH31"/>
  </mergeCells>
  <dataValidations disablePrompts="1" count="2">
    <dataValidation type="list" allowBlank="1" sqref="B29 B59" xr:uid="{00000000-0002-0000-0200-000000000000}">
      <formula1>"SELF,ALL,BAS,DEP,BASMEMBERS,MEMBERS,NOEXPAND,GDEP"</formula1>
    </dataValidation>
    <dataValidation type="list" allowBlank="1" sqref="B28 B58" xr:uid="{00000000-0002-0000-0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102"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4102" r:id="rId7" name="FPMExcelClientSheetOptions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pageSetUpPr fitToPage="1"/>
  </sheetPr>
  <dimension ref="A1:AI15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1" hidden="1" customWidth="1" outlineLevel="1" collapsed="1"/>
    <col min="13" max="13" width="9.7109375" style="1" hidden="1" customWidth="1" outlineLevel="1"/>
    <col min="14" max="14" width="35.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60</v>
      </c>
      <c r="C6" s="11" t="str">
        <f>IF(_epmOfflineCondition_,"Rooms",_xll.EVDES(B6,$B$1))</f>
        <v>Rooms</v>
      </c>
      <c r="D6" s="11"/>
      <c r="E6" s="58" t="str">
        <f>IF(_epmOfflineCondition_,"D_ROOMS",_xll.EVPRO($B$1,$B$6,$F$6))</f>
        <v>D_ROOMS</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53" t="s">
        <v>361</v>
      </c>
      <c r="C14" s="26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IF(_epmOfflineCondition_,"'MMA'!$B$2:$B$10",_xll.EVRNG($B$2:$B$10))</f>
        <v>'MMA'!$B$2:$B$10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IF(_epmOfflineCondition_,"'MMA'!$O$16:$AI$18",_xll.EVRNG(O16:AI18))</f>
        <v>'MMA'!$O$16:$AI$18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IF(SetUp!$O$1=TRUE,"TRAILING12",IF(AA17="CURRENT","ROLLINGFORECAST","PERIODIC"))</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IF(_epmOfflineCondition_,"'MMA'!$H$34:$H$69,'MMA'!$H$72:$H$116,'MMA'!$H$119:$H$152",_xll.EVRNG(H34:H69,H72:H116,H119:H152))</f>
        <v>'MMA'!$H$34:$H$69,'MMA'!$H$72:$H$116,'MMA'!$H$119:$H$152</v>
      </c>
      <c r="C19" s="11"/>
      <c r="D19" s="11"/>
      <c r="E19" s="11"/>
      <c r="F19" s="11"/>
      <c r="G19" s="67" t="str">
        <f>$B$6</f>
        <v>D_ROOMS_CON</v>
      </c>
      <c r="H19" s="67">
        <v>400000</v>
      </c>
      <c r="I19" s="68"/>
      <c r="J19" s="68"/>
      <c r="K19" s="67"/>
      <c r="L19" s="67"/>
      <c r="M19" s="67"/>
      <c r="N19" s="67" t="str">
        <f>IF(_epmOfflineCondition_,"Total Revenue",_xll.EVDES(H19))</f>
        <v>Total Revenue</v>
      </c>
      <c r="O19" s="69">
        <f>IF(_epmOfflineCondition_,1025016.2,_xll.EVGTS($B$1,1,$B$3,$B$5,$B$7,$B$9,O$16,O$17,O$18,$G$19,$H$19))</f>
        <v>1025016.2</v>
      </c>
      <c r="P19" s="69">
        <f>IF(_epmOfflineCondition_,1285573.24,_xll.EVGTS($B$1,1,$B$3,$B$5,$B$7,$B$9,P$16,P$17,P$18,$G$19,$H$19))</f>
        <v>1285573.24</v>
      </c>
      <c r="Q19" s="69">
        <f>IF(_epmOfflineCondition_,1294193.36,_xll.EVGTS($B$1,1,$B$3,$B$5,$B$7,$B$9,Q$16,Q$17,Q$18,$G$19,$H$19))</f>
        <v>1294193.3600000001</v>
      </c>
      <c r="R19" s="69">
        <f>IF(_epmOfflineCondition_,1275725.45,_xll.EVGTS($B$1,1,$B$3,$B$5,$B$7,$B$9,R$16,R$17,R$18,$G$19,$H$19))</f>
        <v>1275725.45</v>
      </c>
      <c r="S19" s="69">
        <f>IF(_epmOfflineCondition_,1132388.9,_xll.EVGTS($B$1,1,$B$3,$B$5,$B$7,$B$9,S$16,S$17,S$18,$G$19,$H$19))</f>
        <v>1132388.8999999999</v>
      </c>
      <c r="T19" s="69">
        <f>IF(_epmOfflineCondition_,682344.89,_xll.EVGTS($B$1,1,$B$3,$B$5,$B$7,$B$9,T$16,T$17,T$18,$G$19,$H$19))</f>
        <v>682344.89</v>
      </c>
      <c r="U19" s="69">
        <f>IF(_epmOfflineCondition_,798763.55,_xll.EVGTS($B$1,1,$B$3,$B$5,$B$7,$B$9,U$16,U$17,U$18,$G$19,$H$19))</f>
        <v>798763.55</v>
      </c>
      <c r="V19" s="69">
        <f>IF(_epmOfflineCondition_,627939.34,_xll.EVGTS($B$1,1,$B$3,$B$5,$B$7,$B$9,V$16,V$17,V$18,$G$19,$H$19))</f>
        <v>627939.34</v>
      </c>
      <c r="W19" s="69">
        <f>IF(_epmOfflineCondition_,494100.26,_xll.EVGTS($B$1,1,$B$3,$B$5,$B$7,$B$9,W$16,W$17,W$18,$G$19,$H$19))</f>
        <v>494100.26</v>
      </c>
      <c r="X19" s="69">
        <f>IF(_epmOfflineCondition_,644565.39,_xll.EVGTS($B$1,1,$B$3,$B$5,$B$7,$B$9,X$16,X$17,X$18,$G$19,$H$19))</f>
        <v>644565.39</v>
      </c>
      <c r="Y19" s="69">
        <f>IF(_epmOfflineCondition_,900298.18,_xll.EVGTS($B$1,1,$B$3,$B$5,$B$7,$B$9,Y$16,Y$17,Y$18,$G$19,$H$19))</f>
        <v>900298.18</v>
      </c>
      <c r="Z19" s="69">
        <f>IF(_epmOfflineCondition_,1129613.74,_xll.EVGTS($B$1,1,$B$3,$B$5,$B$7,$B$9,Z$16,Z$17,Z$18,$G$19,$H$19))</f>
        <v>1129613.74</v>
      </c>
      <c r="AA19" s="69">
        <f>SUM(O19:Z19)</f>
        <v>11290522.5</v>
      </c>
      <c r="AB19" s="67"/>
      <c r="AC19" s="67"/>
      <c r="AD19" s="69">
        <f>IF(_epmOfflineCondition_,10497511.31,_xll.EVGTS($B$1,1,$B$3,$B$5,$B$7,$B$9,AD$16,AD$17,AD$18,$G$19,$H$19))</f>
        <v>10497511.310000001</v>
      </c>
      <c r="AE19" s="67"/>
      <c r="AF19" s="67"/>
      <c r="AG19" s="69">
        <f>IF(_epmOfflineCondition_,9389255.09,_xll.EVGTS($B$1,1,$B$3,$B$5,$B$7,$B$9,AG$16,AG$17,AG$18,$G$19,$H$19))</f>
        <v>9389255.0899999999</v>
      </c>
      <c r="AH19" s="67"/>
      <c r="AI19" s="67"/>
    </row>
    <row r="20" spans="1:35" hidden="1" outlineLevel="1" x14ac:dyDescent="0.25">
      <c r="A20" s="65" t="s">
        <v>5</v>
      </c>
      <c r="B20" s="66"/>
      <c r="C20" s="11"/>
      <c r="D20" s="11"/>
      <c r="E20" s="11"/>
      <c r="F20" s="11"/>
      <c r="G20" s="67" t="str">
        <f>$B$6</f>
        <v>D_ROOMS_CON</v>
      </c>
      <c r="H20" s="67">
        <v>900200</v>
      </c>
      <c r="I20" s="68"/>
      <c r="J20" s="68"/>
      <c r="K20" s="67"/>
      <c r="L20" s="67"/>
      <c r="M20" s="67"/>
      <c r="N20" s="67" t="str">
        <f>IF(_epmOfflineCondition_,"Total Rooms Occupied",_xll.EVDES(H20))</f>
        <v>Total Rooms Occupied</v>
      </c>
      <c r="O20" s="69">
        <f>IF(_epmOfflineCondition_,3762,_xll.EVGTS($B$1,1,$B$3,$B$5,$B$7,$B$9,O$16,O$17,O$18,$G$20,$H$20))</f>
        <v>3762</v>
      </c>
      <c r="P20" s="69">
        <f>IF(_epmOfflineCondition_,3568,_xll.EVGTS($B$1,1,$B$3,$B$5,$B$7,$B$9,P$16,P$17,P$18,$G$20,$H$20))</f>
        <v>3568</v>
      </c>
      <c r="Q20" s="69">
        <f>IF(_epmOfflineCondition_,3855,_xll.EVGTS($B$1,1,$B$3,$B$5,$B$7,$B$9,Q$16,Q$17,Q$18,$G$20,$H$20))</f>
        <v>3855</v>
      </c>
      <c r="R20" s="69">
        <f>IF(_epmOfflineCondition_,3602,_xll.EVGTS($B$1,1,$B$3,$B$5,$B$7,$B$9,R$16,R$17,R$18,$G$20,$H$20))</f>
        <v>3602</v>
      </c>
      <c r="S20" s="69">
        <f>IF(_epmOfflineCondition_,3580,_xll.EVGTS($B$1,1,$B$3,$B$5,$B$7,$B$9,S$16,S$17,S$18,$G$20,$H$20))</f>
        <v>3580</v>
      </c>
      <c r="T20" s="69">
        <f>IF(_epmOfflineCondition_,3259,_xll.EVGTS($B$1,1,$B$3,$B$5,$B$7,$B$9,T$16,T$17,T$18,$G$20,$H$20))</f>
        <v>3259</v>
      </c>
      <c r="U20" s="69">
        <f>IF(_epmOfflineCondition_,3548,_xll.EVGTS($B$1,1,$B$3,$B$5,$B$7,$B$9,U$16,U$17,U$18,$G$20,$H$20))</f>
        <v>3548</v>
      </c>
      <c r="V20" s="69">
        <f>IF(_epmOfflineCondition_,3348,_xll.EVGTS($B$1,1,$B$3,$B$5,$B$7,$B$9,V$16,V$17,V$18,$G$20,$H$20))</f>
        <v>3348</v>
      </c>
      <c r="W20" s="69">
        <f>IF(_epmOfflineCondition_,2744,_xll.EVGTS($B$1,1,$B$3,$B$5,$B$7,$B$9,W$16,W$17,W$18,$G$20,$H$20))</f>
        <v>2744</v>
      </c>
      <c r="X20" s="69">
        <f>IF(_epmOfflineCondition_,3076,_xll.EVGTS($B$1,1,$B$3,$B$5,$B$7,$B$9,X$16,X$17,X$18,$G$20,$H$20))</f>
        <v>3076</v>
      </c>
      <c r="Y20" s="69">
        <f>IF(_epmOfflineCondition_,3431,_xll.EVGTS($B$1,1,$B$3,$B$5,$B$7,$B$9,Y$16,Y$17,Y$18,$G$20,$H$20))</f>
        <v>3431</v>
      </c>
      <c r="Z20" s="69">
        <f>IF(_epmOfflineCondition_,3541,_xll.EVGTS($B$1,1,$B$3,$B$5,$B$7,$B$9,Z$16,Z$17,Z$18,$G$20,$H$20))</f>
        <v>3541</v>
      </c>
      <c r="AA20" s="69">
        <f>SUM(O20:Z20)</f>
        <v>41314</v>
      </c>
      <c r="AB20" s="67"/>
      <c r="AC20" s="67"/>
      <c r="AD20" s="69">
        <f>IF(_epmOfflineCondition_,39032,_xll.EVGTS($B$1,1,$B$3,$B$5,$B$7,$B$9,AD$16,AD$17,AD$18,$G$20,$H$20))</f>
        <v>39032</v>
      </c>
      <c r="AE20" s="67"/>
      <c r="AF20" s="67"/>
      <c r="AG20" s="69">
        <f>IF(_epmOfflineCondition_,40219,_xll.EVGTS($B$1,1,$B$3,$B$5,$B$7,$B$9,AG$16,AG$17,AG$18,$G$20,$H$20))</f>
        <v>40219</v>
      </c>
      <c r="AH20" s="67"/>
      <c r="AI20" s="67"/>
    </row>
    <row r="21" spans="1:35" hidden="1" outlineLevel="1" x14ac:dyDescent="0.25">
      <c r="A21" s="65" t="s">
        <v>6</v>
      </c>
      <c r="B21" s="66"/>
      <c r="C21" s="11"/>
      <c r="D21" s="11"/>
      <c r="E21" s="11"/>
      <c r="F21" s="11"/>
      <c r="G21" s="11"/>
      <c r="H21" s="11"/>
      <c r="I21" s="59"/>
      <c r="J21" s="59"/>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59"/>
      <c r="J22" s="59"/>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IF(_epmOfflineCondition_,"'MMA'!$A$28:$B$49",_xll.EVRNG($A$28:$B$49))</f>
        <v>'MMA'!$A$28:$B$49</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11"/>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11"/>
      <c r="B26" s="11"/>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2" t="s">
        <v>23</v>
      </c>
      <c r="B27" s="63" t="s">
        <v>24</v>
      </c>
      <c r="C27" s="11"/>
      <c r="D27" s="11"/>
      <c r="E27" s="11"/>
      <c r="F27" s="11"/>
      <c r="G27" s="11"/>
      <c r="H27" s="11"/>
      <c r="I27" s="59"/>
      <c r="J27" s="59"/>
      <c r="K27" s="11"/>
      <c r="L27" s="11"/>
      <c r="M27" s="11"/>
      <c r="N27" s="71" t="str">
        <f>IF(_epmOfflineCondition_,"Rooms Department",IF(_xll.EVDES(B6,$B$1)="#NODATA","",_xll.EVDES(B6,$B$1)&amp;" Department"))</f>
        <v>Rooms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25</v>
      </c>
      <c r="B28" s="66"/>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26</v>
      </c>
      <c r="B29" s="66"/>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row>
    <row r="30" spans="1:35" x14ac:dyDescent="0.25">
      <c r="A30" s="65" t="s">
        <v>27</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28</v>
      </c>
      <c r="B31" s="66"/>
      <c r="C31" s="11"/>
      <c r="D31" s="11"/>
      <c r="E31" s="11"/>
      <c r="F31" s="11"/>
      <c r="G31" s="76"/>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65" t="s">
        <v>29</v>
      </c>
      <c r="B32" s="66"/>
      <c r="C32" s="11"/>
      <c r="D32" s="11"/>
      <c r="E32" s="11"/>
      <c r="F32" s="11"/>
      <c r="G32" s="83"/>
      <c r="H32" s="84"/>
      <c r="I32" s="85"/>
      <c r="J32" s="85"/>
      <c r="K32" s="83"/>
      <c r="L32" s="83"/>
      <c r="M32" s="83"/>
      <c r="N32" s="262" t="s">
        <v>219</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11"/>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x14ac:dyDescent="0.25">
      <c r="A33" s="65" t="s">
        <v>30</v>
      </c>
      <c r="B33" s="66" t="s">
        <v>78</v>
      </c>
      <c r="C33" s="11"/>
      <c r="D33" s="11"/>
      <c r="E33" s="11"/>
      <c r="F33" s="11"/>
      <c r="G33" s="11"/>
      <c r="H33" s="11" t="s">
        <v>69</v>
      </c>
      <c r="I33" s="59" t="str">
        <f>IF(_epmOfflineCondition_,"B1",_xll.EVPRO($B$1,$H33,"STYLE"))</f>
        <v>B1</v>
      </c>
      <c r="J33" s="59" t="str">
        <f>IF(_epmOfflineCondition_,"Y",_xll.EVPRO($B$1,$H33,"CALC"))</f>
        <v>Y</v>
      </c>
      <c r="K33" s="11"/>
      <c r="L33" s="133" t="s">
        <v>364</v>
      </c>
      <c r="M33" s="133" t="s">
        <v>782</v>
      </c>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263"/>
      <c r="AG33" s="129"/>
      <c r="AH33" s="130"/>
      <c r="AI33" s="131"/>
    </row>
    <row r="34" spans="1:35" x14ac:dyDescent="0.25">
      <c r="A34" s="65" t="s">
        <v>31</v>
      </c>
      <c r="B34" s="66" t="s">
        <v>78</v>
      </c>
      <c r="C34" s="11"/>
      <c r="D34" s="11"/>
      <c r="E34" s="11"/>
      <c r="F34" s="11"/>
      <c r="G34" s="11"/>
      <c r="H34" s="88" t="s">
        <v>83</v>
      </c>
      <c r="I34" s="89" t="str">
        <f>IF(_epmOfflineCondition_,"T5",_xll.EVPRO($B$1,$H34,"STYLE"))</f>
        <v>T5</v>
      </c>
      <c r="J34" s="89" t="str">
        <f>IF(_epmOfflineCondition_,"Y",_xll.EVPRO($B$1,$H34,"CALC"))</f>
        <v>Y</v>
      </c>
      <c r="K34" s="107"/>
      <c r="L34" s="106" t="str">
        <f>IF(_epmOfflineCondition_,"",_xll.EVPRO($B$1,H34,"JDEID"))</f>
        <v/>
      </c>
      <c r="M34" s="90" t="str">
        <f>IF(_epmOfflineCondition_,"",IF(AND(I34="N",J34="N"),_xll.EVPRO($B$1,H34,"PSFTID"),""))</f>
        <v/>
      </c>
      <c r="N34" s="106" t="str">
        <f>IF(_epmOfflineCondition_,"Retail",IF(_xll.EVDES(H34,$B$1)="#NODATA","",_xll.EVDES(H34,$B$1)))</f>
        <v>Retail</v>
      </c>
      <c r="O34" s="269">
        <v>320663.46000000002</v>
      </c>
      <c r="P34" s="270">
        <v>380049.56</v>
      </c>
      <c r="Q34" s="270">
        <v>374209.73</v>
      </c>
      <c r="R34" s="270">
        <v>374498.39</v>
      </c>
      <c r="S34" s="270">
        <v>385882.59</v>
      </c>
      <c r="T34" s="270">
        <v>291325.88</v>
      </c>
      <c r="U34" s="270">
        <v>395004.58</v>
      </c>
      <c r="V34" s="270">
        <v>327119.71000000002</v>
      </c>
      <c r="W34" s="270">
        <v>242212.1</v>
      </c>
      <c r="X34" s="270">
        <v>297016.98</v>
      </c>
      <c r="Y34" s="270">
        <v>398206.37</v>
      </c>
      <c r="Z34" s="270">
        <v>584498.5</v>
      </c>
      <c r="AA34" s="270">
        <f t="shared" ref="AA34:AA52" si="0">SUM(O34:Z34)</f>
        <v>4370687.8500000006</v>
      </c>
      <c r="AB34" s="271">
        <f t="shared" ref="AB34:AB69" si="1">IF(AA34=0,"",IFERROR(AA34/AA$19,""))</f>
        <v>0.38711121208075183</v>
      </c>
      <c r="AC34" s="140"/>
      <c r="AD34" s="272">
        <v>2960493.98</v>
      </c>
      <c r="AE34" s="271">
        <f t="shared" ref="AE34:AE69" si="2">IF(AD34=0,"",IFERROR(AD34/AD$19,""))</f>
        <v>0.28201865114256303</v>
      </c>
      <c r="AF34" s="273">
        <f t="shared" ref="AF34:AF69" si="3">IF(AND($AA34="",AD34=""),"",$AA34-AD34)</f>
        <v>1410193.8700000006</v>
      </c>
      <c r="AG34" s="273">
        <v>2615675.67</v>
      </c>
      <c r="AH34" s="271">
        <f t="shared" ref="AH34:AH69" si="4">IF(AG34=0,"",IFERROR(AG34/AG$19,""))</f>
        <v>0.27858180919866776</v>
      </c>
      <c r="AI34" s="274">
        <f t="shared" ref="AI34:AI69" si="5">IF(AND($AA34="",AG34=""),"",$AA34-AG34)</f>
        <v>1755012.1800000006</v>
      </c>
    </row>
    <row r="35" spans="1:35" x14ac:dyDescent="0.25">
      <c r="A35" s="65" t="s">
        <v>32</v>
      </c>
      <c r="B35" s="66"/>
      <c r="C35" s="11"/>
      <c r="D35" s="11"/>
      <c r="E35" s="11"/>
      <c r="F35" s="11"/>
      <c r="G35" s="11"/>
      <c r="H35" s="88" t="s">
        <v>121</v>
      </c>
      <c r="I35" s="104" t="str">
        <f>IF(_epmOfflineCondition_,"T6",_xll.EVPRO($B$1,$H35,"STYLE"))</f>
        <v>T6</v>
      </c>
      <c r="J35" s="104" t="str">
        <f>IF(_epmOfflineCondition_,"Y",_xll.EVPRO($B$1,$H35,"CALC"))</f>
        <v>Y</v>
      </c>
      <c r="K35" s="104"/>
      <c r="L35" s="104" t="str">
        <f>IF(_epmOfflineCondition_,"402100",_xll.EVPRO($B$1,H35,"JDEID"))</f>
        <v>402100</v>
      </c>
      <c r="M35" s="90" t="str">
        <f>IF(_epmOfflineCondition_,"",IF(AND(I35="N",J35="N"),_xll.EVPRO($B$1,H35,"PSFTID"),""))</f>
        <v/>
      </c>
      <c r="N35" s="104" t="str">
        <f>IF(_epmOfflineCondition_,"Room Only",IF(_xll.EVDES(H35,$B$1)="#NODATA","",_xll.EVDES(H35,$B$1)))</f>
        <v>Room Only</v>
      </c>
      <c r="O35" s="275">
        <v>49555.5</v>
      </c>
      <c r="P35" s="276">
        <v>74648.05</v>
      </c>
      <c r="Q35" s="276">
        <v>63071.72</v>
      </c>
      <c r="R35" s="276">
        <v>83958.44</v>
      </c>
      <c r="S35" s="276">
        <v>62153.8</v>
      </c>
      <c r="T35" s="276">
        <v>36728.949999999997</v>
      </c>
      <c r="U35" s="276">
        <v>26203.15</v>
      </c>
      <c r="V35" s="276">
        <v>27913.41</v>
      </c>
      <c r="W35" s="276">
        <v>25657.34</v>
      </c>
      <c r="X35" s="276">
        <v>36845.51</v>
      </c>
      <c r="Y35" s="276">
        <v>87300.38</v>
      </c>
      <c r="Z35" s="276">
        <v>104730.45</v>
      </c>
      <c r="AA35" s="276">
        <f t="shared" si="0"/>
        <v>678766.7</v>
      </c>
      <c r="AB35" s="277">
        <f t="shared" si="1"/>
        <v>6.0118271762887851E-2</v>
      </c>
      <c r="AC35" s="140"/>
      <c r="AD35" s="278">
        <v>820716.05</v>
      </c>
      <c r="AE35" s="277">
        <f t="shared" si="2"/>
        <v>7.8181963873492605E-2</v>
      </c>
      <c r="AF35" s="279">
        <f t="shared" si="3"/>
        <v>-141949.35000000009</v>
      </c>
      <c r="AG35" s="279">
        <v>603393.85</v>
      </c>
      <c r="AH35" s="277">
        <f t="shared" si="4"/>
        <v>6.426429404848559E-2</v>
      </c>
      <c r="AI35" s="280">
        <f t="shared" si="5"/>
        <v>75372.849999999977</v>
      </c>
    </row>
    <row r="36" spans="1:35" x14ac:dyDescent="0.25">
      <c r="A36" s="65" t="s">
        <v>33</v>
      </c>
      <c r="B36" s="66"/>
      <c r="C36" s="11"/>
      <c r="D36" s="11"/>
      <c r="E36" s="11"/>
      <c r="F36" s="11"/>
      <c r="G36" s="11"/>
      <c r="H36" s="88" t="s">
        <v>122</v>
      </c>
      <c r="I36" s="104" t="str">
        <f>IF(_epmOfflineCondition_,"T6",_xll.EVPRO($B$1,$H36,"STYLE"))</f>
        <v>T6</v>
      </c>
      <c r="J36" s="104" t="str">
        <f>IF(_epmOfflineCondition_,"Y",_xll.EVPRO($B$1,$H36,"CALC"))</f>
        <v>Y</v>
      </c>
      <c r="K36" s="104"/>
      <c r="L36" s="104" t="str">
        <f>IF(_epmOfflineCondition_,"402130",_xll.EVPRO($B$1,H36,"JDEID"))</f>
        <v>402130</v>
      </c>
      <c r="M36" s="90" t="str">
        <f>IF(_epmOfflineCondition_,"",IF(AND(I36="N",J36="N"),_xll.EVPRO($B$1,H36,"PSFTID"),""))</f>
        <v/>
      </c>
      <c r="N36" s="104" t="str">
        <f>IF(_epmOfflineCondition_,"Retail Web",IF(_xll.EVDES(H36,$B$1)="#NODATA","",_xll.EVDES(H36,$B$1)))</f>
        <v>Retail Web</v>
      </c>
      <c r="O36" s="275">
        <v>271107.96000000002</v>
      </c>
      <c r="P36" s="276">
        <v>305401.51</v>
      </c>
      <c r="Q36" s="276">
        <v>311138.01</v>
      </c>
      <c r="R36" s="276">
        <v>290539.95</v>
      </c>
      <c r="S36" s="276">
        <v>323728.78999999998</v>
      </c>
      <c r="T36" s="276">
        <v>254596.93</v>
      </c>
      <c r="U36" s="276">
        <v>368801.43</v>
      </c>
      <c r="V36" s="276">
        <v>299206.3</v>
      </c>
      <c r="W36" s="276">
        <v>216554.76</v>
      </c>
      <c r="X36" s="276">
        <v>260171.47</v>
      </c>
      <c r="Y36" s="276">
        <v>310905.99</v>
      </c>
      <c r="Z36" s="276">
        <v>479768.05</v>
      </c>
      <c r="AA36" s="276">
        <f t="shared" si="0"/>
        <v>3691921.1499999994</v>
      </c>
      <c r="AB36" s="277">
        <f t="shared" si="1"/>
        <v>0.32699294031786391</v>
      </c>
      <c r="AC36" s="140"/>
      <c r="AD36" s="278">
        <v>2139777.9300000002</v>
      </c>
      <c r="AE36" s="277">
        <f t="shared" si="2"/>
        <v>0.20383668726907045</v>
      </c>
      <c r="AF36" s="279">
        <f t="shared" si="3"/>
        <v>1552143.2199999993</v>
      </c>
      <c r="AG36" s="279">
        <v>2012281.82</v>
      </c>
      <c r="AH36" s="277">
        <f t="shared" si="4"/>
        <v>0.21431751515018219</v>
      </c>
      <c r="AI36" s="280">
        <f t="shared" si="5"/>
        <v>1679639.3299999994</v>
      </c>
    </row>
    <row r="37" spans="1:35" x14ac:dyDescent="0.25">
      <c r="A37" s="65" t="s">
        <v>34</v>
      </c>
      <c r="B37" s="66"/>
      <c r="C37" s="11"/>
      <c r="D37" s="11"/>
      <c r="E37" s="11"/>
      <c r="F37" s="11"/>
      <c r="G37" s="11"/>
      <c r="H37" s="88" t="s">
        <v>84</v>
      </c>
      <c r="I37" s="89" t="str">
        <f>IF(_epmOfflineCondition_,"T5",_xll.EVPRO($B$1,$H37,"STYLE"))</f>
        <v>T5</v>
      </c>
      <c r="J37" s="89" t="str">
        <f>IF(_epmOfflineCondition_,"Y",_xll.EVPRO($B$1,$H37,"CALC"))</f>
        <v>Y</v>
      </c>
      <c r="K37" s="107"/>
      <c r="L37" s="106" t="str">
        <f>IF(_epmOfflineCondition_,"",_xll.EVPRO($B$1,H37,"JDEID"))</f>
        <v/>
      </c>
      <c r="M37" s="90" t="str">
        <f>IF(_epmOfflineCondition_,"",IF(AND(I37="N",J37="N"),_xll.EVPRO($B$1,H37,"PSFTID"),""))</f>
        <v/>
      </c>
      <c r="N37" s="106" t="str">
        <f>IF(_epmOfflineCondition_,"Discount",IF(_xll.EVDES(H37,$B$1)="#NODATA","",_xll.EVDES(H37,$B$1)))</f>
        <v>Discount</v>
      </c>
      <c r="O37" s="269">
        <v>482466.24</v>
      </c>
      <c r="P37" s="270">
        <v>660209.51</v>
      </c>
      <c r="Q37" s="270">
        <v>532320.76</v>
      </c>
      <c r="R37" s="270">
        <v>586474.84</v>
      </c>
      <c r="S37" s="270">
        <v>339133.16</v>
      </c>
      <c r="T37" s="270">
        <v>243720.13</v>
      </c>
      <c r="U37" s="270">
        <v>272202.03000000003</v>
      </c>
      <c r="V37" s="270">
        <v>226541.94</v>
      </c>
      <c r="W37" s="270">
        <v>182294.06</v>
      </c>
      <c r="X37" s="270">
        <v>234902.66</v>
      </c>
      <c r="Y37" s="270">
        <v>298459.63</v>
      </c>
      <c r="Z37" s="270">
        <v>409039.49</v>
      </c>
      <c r="AA37" s="270">
        <f t="shared" si="0"/>
        <v>4467764.45</v>
      </c>
      <c r="AB37" s="271">
        <f t="shared" si="1"/>
        <v>0.39570927297651637</v>
      </c>
      <c r="AC37" s="140"/>
      <c r="AD37" s="272">
        <v>5269966.78</v>
      </c>
      <c r="AE37" s="271">
        <f t="shared" si="2"/>
        <v>0.5020205860583159</v>
      </c>
      <c r="AF37" s="273">
        <f t="shared" si="3"/>
        <v>-802202.33000000007</v>
      </c>
      <c r="AG37" s="273">
        <v>5390759.8700000001</v>
      </c>
      <c r="AH37" s="271">
        <f t="shared" si="4"/>
        <v>0.5741413795159761</v>
      </c>
      <c r="AI37" s="274">
        <f t="shared" si="5"/>
        <v>-922995.41999999993</v>
      </c>
    </row>
    <row r="38" spans="1:35" x14ac:dyDescent="0.25">
      <c r="A38" s="65" t="s">
        <v>35</v>
      </c>
      <c r="B38" s="66"/>
      <c r="C38" s="11"/>
      <c r="D38" s="11"/>
      <c r="E38" s="11"/>
      <c r="F38" s="11"/>
      <c r="G38" s="11"/>
      <c r="H38" s="88" t="s">
        <v>123</v>
      </c>
      <c r="I38" s="104" t="str">
        <f>IF(_epmOfflineCondition_,"T6",_xll.EVPRO($B$1,$H38,"STYLE"))</f>
        <v>T6</v>
      </c>
      <c r="J38" s="104" t="str">
        <f>IF(_epmOfflineCondition_,"Y",_xll.EVPRO($B$1,$H38,"CALC"))</f>
        <v>Y</v>
      </c>
      <c r="K38" s="104"/>
      <c r="L38" s="104" t="str">
        <f>IF(_epmOfflineCondition_,"402530",_xll.EVPRO($B$1,H38,"JDEID"))</f>
        <v>402530</v>
      </c>
      <c r="M38" s="90" t="str">
        <f>IF(_epmOfflineCondition_,"",IF(AND(I38="N",J38="N"),_xll.EVPRO($B$1,H38,"PSFTID"),""))</f>
        <v/>
      </c>
      <c r="N38" s="104" t="str">
        <f>IF(_epmOfflineCondition_,"Package",IF(_xll.EVDES(H38,$B$1)="#NODATA","",_xll.EVDES(H38,$B$1)))</f>
        <v>Package</v>
      </c>
      <c r="O38" s="275">
        <v>11319.8</v>
      </c>
      <c r="P38" s="276">
        <v>9530.7000000000007</v>
      </c>
      <c r="Q38" s="276">
        <v>4433.1000000000004</v>
      </c>
      <c r="R38" s="276">
        <v>10240.86</v>
      </c>
      <c r="S38" s="276">
        <v>6383</v>
      </c>
      <c r="T38" s="276">
        <v>5033.3999999999996</v>
      </c>
      <c r="U38" s="276">
        <v>2945.8</v>
      </c>
      <c r="V38" s="276">
        <v>4809.3100000000004</v>
      </c>
      <c r="W38" s="276">
        <v>3969.7</v>
      </c>
      <c r="X38" s="276">
        <v>2613.3000000000002</v>
      </c>
      <c r="Y38" s="276">
        <v>5475.78</v>
      </c>
      <c r="Z38" s="276">
        <v>11782.2</v>
      </c>
      <c r="AA38" s="276">
        <f t="shared" si="0"/>
        <v>78536.95</v>
      </c>
      <c r="AB38" s="277">
        <f t="shared" si="1"/>
        <v>6.9560066861387498E-3</v>
      </c>
      <c r="AC38" s="140"/>
      <c r="AD38" s="278">
        <v>275679.05</v>
      </c>
      <c r="AE38" s="277">
        <f t="shared" si="2"/>
        <v>2.6261372039426741E-2</v>
      </c>
      <c r="AF38" s="279">
        <f t="shared" si="3"/>
        <v>-197142.09999999998</v>
      </c>
      <c r="AG38" s="279">
        <v>96460.47</v>
      </c>
      <c r="AH38" s="277">
        <f t="shared" si="4"/>
        <v>1.0273495509003154E-2</v>
      </c>
      <c r="AI38" s="280">
        <f t="shared" si="5"/>
        <v>-17923.520000000004</v>
      </c>
    </row>
    <row r="39" spans="1:35" x14ac:dyDescent="0.25">
      <c r="A39" s="65" t="s">
        <v>36</v>
      </c>
      <c r="B39" s="66"/>
      <c r="C39" s="11"/>
      <c r="D39" s="11"/>
      <c r="E39" s="11"/>
      <c r="F39" s="11"/>
      <c r="G39" s="11"/>
      <c r="H39" s="88" t="s">
        <v>124</v>
      </c>
      <c r="I39" s="104" t="str">
        <f>IF(_epmOfflineCondition_,"T6",_xll.EVPRO($B$1,$H39,"STYLE"))</f>
        <v>T6</v>
      </c>
      <c r="J39" s="104" t="str">
        <f>IF(_epmOfflineCondition_,"Y",_xll.EVPRO($B$1,$H39,"CALC"))</f>
        <v>Y</v>
      </c>
      <c r="K39" s="104"/>
      <c r="L39" s="104" t="str">
        <f>IF(_epmOfflineCondition_,"402500",_xll.EVPRO($B$1,H39,"JDEID"))</f>
        <v>402500</v>
      </c>
      <c r="M39" s="90" t="str">
        <f>IF(_epmOfflineCondition_,"",IF(AND(I39="N",J39="N"),_xll.EVPRO($B$1,H39,"PSFTID"),""))</f>
        <v/>
      </c>
      <c r="N39" s="104" t="str">
        <f>IF(_epmOfflineCondition_,"OTA Opaque",IF(_xll.EVDES(H39,$B$1)="#NODATA","",_xll.EVDES(H39,$B$1)))</f>
        <v>OTA Opaque</v>
      </c>
      <c r="O39" s="275">
        <v>30438</v>
      </c>
      <c r="P39" s="276">
        <v>35176.79</v>
      </c>
      <c r="Q39" s="276">
        <v>42091.14</v>
      </c>
      <c r="R39" s="276">
        <v>33159.25</v>
      </c>
      <c r="S39" s="276">
        <v>16823.88</v>
      </c>
      <c r="T39" s="276">
        <v>18476.060000000001</v>
      </c>
      <c r="U39" s="276">
        <v>33473.839999999997</v>
      </c>
      <c r="V39" s="276">
        <v>17932.03</v>
      </c>
      <c r="W39" s="276">
        <v>25069.38</v>
      </c>
      <c r="X39" s="276">
        <v>20802.5</v>
      </c>
      <c r="Y39" s="276">
        <v>19544.72</v>
      </c>
      <c r="Z39" s="276">
        <v>22658.400000000001</v>
      </c>
      <c r="AA39" s="276">
        <f t="shared" si="0"/>
        <v>315645.99</v>
      </c>
      <c r="AB39" s="277">
        <f t="shared" si="1"/>
        <v>2.7956721223486334E-2</v>
      </c>
      <c r="AC39" s="140"/>
      <c r="AD39" s="278">
        <v>592794.12</v>
      </c>
      <c r="AE39" s="277">
        <f t="shared" si="2"/>
        <v>5.6469967261221263E-2</v>
      </c>
      <c r="AF39" s="279">
        <f t="shared" si="3"/>
        <v>-277148.13</v>
      </c>
      <c r="AG39" s="279">
        <v>650061.5</v>
      </c>
      <c r="AH39" s="277">
        <f t="shared" si="4"/>
        <v>6.9234619122484617E-2</v>
      </c>
      <c r="AI39" s="280">
        <f t="shared" si="5"/>
        <v>-334415.51</v>
      </c>
    </row>
    <row r="40" spans="1:35" x14ac:dyDescent="0.25">
      <c r="A40" s="65" t="s">
        <v>37</v>
      </c>
      <c r="B40" s="66"/>
      <c r="C40" s="11"/>
      <c r="D40" s="11"/>
      <c r="E40" s="11"/>
      <c r="F40" s="11"/>
      <c r="G40" s="11"/>
      <c r="H40" s="88" t="s">
        <v>125</v>
      </c>
      <c r="I40" s="104" t="str">
        <f>IF(_epmOfflineCondition_,"T6",_xll.EVPRO($B$1,$H40,"STYLE"))</f>
        <v>T6</v>
      </c>
      <c r="J40" s="104" t="str">
        <f>IF(_epmOfflineCondition_,"Y",_xll.EVPRO($B$1,$H40,"CALC"))</f>
        <v>Y</v>
      </c>
      <c r="K40" s="104"/>
      <c r="L40" s="104" t="str">
        <f>IF(_epmOfflineCondition_,"402540",_xll.EVPRO($B$1,H40,"JDEID"))</f>
        <v>402540</v>
      </c>
      <c r="M40" s="90" t="str">
        <f>IF(_epmOfflineCondition_,"",IF(AND(I40="N",J40="N"),_xll.EVPRO($B$1,H40,"PSFTID"),""))</f>
        <v/>
      </c>
      <c r="N40" s="104" t="str">
        <f>IF(_epmOfflineCondition_,"Brand/Media Promotions",IF(_xll.EVDES(H40,$B$1)="#NODATA","",_xll.EVDES(H40,$B$1)))</f>
        <v>Brand/Media Promotions</v>
      </c>
      <c r="O40" s="275">
        <v>46546.1</v>
      </c>
      <c r="P40" s="276">
        <v>44835.199999999997</v>
      </c>
      <c r="Q40" s="276">
        <v>26680.32</v>
      </c>
      <c r="R40" s="276">
        <v>10314.799999999999</v>
      </c>
      <c r="S40" s="276">
        <v>15088.68</v>
      </c>
      <c r="T40" s="276">
        <v>14682.45</v>
      </c>
      <c r="U40" s="276">
        <v>43600.25</v>
      </c>
      <c r="V40" s="276">
        <v>20400.41</v>
      </c>
      <c r="W40" s="276">
        <v>28942.51</v>
      </c>
      <c r="X40" s="276">
        <v>51309.16</v>
      </c>
      <c r="Y40" s="276">
        <v>90636.4</v>
      </c>
      <c r="Z40" s="276">
        <v>199863.25</v>
      </c>
      <c r="AA40" s="276">
        <f t="shared" si="0"/>
        <v>592899.53</v>
      </c>
      <c r="AB40" s="277">
        <f t="shared" si="1"/>
        <v>5.2513028515730788E-2</v>
      </c>
      <c r="AC40" s="140"/>
      <c r="AD40" s="278">
        <v>831258.32</v>
      </c>
      <c r="AE40" s="277">
        <f t="shared" si="2"/>
        <v>7.9186227616457786E-2</v>
      </c>
      <c r="AF40" s="279">
        <f t="shared" si="3"/>
        <v>-238358.78999999992</v>
      </c>
      <c r="AG40" s="279">
        <v>915184.21</v>
      </c>
      <c r="AH40" s="277">
        <f t="shared" si="4"/>
        <v>9.7471439558044853E-2</v>
      </c>
      <c r="AI40" s="280">
        <f t="shared" si="5"/>
        <v>-322284.67999999993</v>
      </c>
    </row>
    <row r="41" spans="1:35" x14ac:dyDescent="0.25">
      <c r="A41" s="65" t="s">
        <v>38</v>
      </c>
      <c r="B41" s="66"/>
      <c r="C41" s="11"/>
      <c r="D41" s="11"/>
      <c r="E41" s="11"/>
      <c r="F41" s="11"/>
      <c r="G41" s="11"/>
      <c r="H41" s="88" t="s">
        <v>126</v>
      </c>
      <c r="I41" s="104" t="str">
        <f>IF(_epmOfflineCondition_,"T6",_xll.EVPRO($B$1,$H41,"STYLE"))</f>
        <v>T6</v>
      </c>
      <c r="J41" s="104" t="str">
        <f>IF(_epmOfflineCondition_,"Y",_xll.EVPRO($B$1,$H41,"CALC"))</f>
        <v>Y</v>
      </c>
      <c r="K41" s="104"/>
      <c r="L41" s="104" t="str">
        <f>IF(_epmOfflineCondition_,"402550",_xll.EVPRO($B$1,H41,"JDEID"))</f>
        <v>402550</v>
      </c>
      <c r="M41" s="90" t="str">
        <f>IF(_epmOfflineCondition_,"",IF(AND(I41="N",J41="N"),_xll.EVPRO($B$1,H41,"PSFTID"),""))</f>
        <v/>
      </c>
      <c r="N41" s="104" t="str">
        <f>IF(_epmOfflineCondition_,"Advance Purchases",IF(_xll.EVDES(H41,$B$1)="#NODATA","",_xll.EVDES(H41,$B$1)))</f>
        <v>Advance Purchases</v>
      </c>
      <c r="O41" s="275">
        <v>160782.14000000001</v>
      </c>
      <c r="P41" s="276">
        <v>286610.05</v>
      </c>
      <c r="Q41" s="276">
        <v>255718.64</v>
      </c>
      <c r="R41" s="276">
        <v>230006.26</v>
      </c>
      <c r="S41" s="276">
        <v>146725.03</v>
      </c>
      <c r="T41" s="276">
        <v>113986.24000000001</v>
      </c>
      <c r="U41" s="276">
        <v>77351.58</v>
      </c>
      <c r="V41" s="276">
        <v>40473.68</v>
      </c>
      <c r="W41" s="276">
        <v>13990.64</v>
      </c>
      <c r="X41" s="276">
        <v>17323.62</v>
      </c>
      <c r="Y41" s="276">
        <v>24540.48</v>
      </c>
      <c r="Z41" s="276">
        <v>18736.62</v>
      </c>
      <c r="AA41" s="276">
        <f t="shared" si="0"/>
        <v>1386244.9800000002</v>
      </c>
      <c r="AB41" s="277">
        <f t="shared" si="1"/>
        <v>0.12277952415399732</v>
      </c>
      <c r="AC41" s="140"/>
      <c r="AD41" s="278">
        <v>1190096.8700000001</v>
      </c>
      <c r="AE41" s="277">
        <f t="shared" si="2"/>
        <v>0.11336942965389385</v>
      </c>
      <c r="AF41" s="279">
        <f t="shared" si="3"/>
        <v>196148.1100000001</v>
      </c>
      <c r="AG41" s="279">
        <v>1161052.99</v>
      </c>
      <c r="AH41" s="277">
        <f t="shared" si="4"/>
        <v>0.12365762553800208</v>
      </c>
      <c r="AI41" s="280">
        <f t="shared" si="5"/>
        <v>225191.99000000022</v>
      </c>
    </row>
    <row r="42" spans="1:35" x14ac:dyDescent="0.25">
      <c r="A42" s="65" t="s">
        <v>39</v>
      </c>
      <c r="B42" s="66"/>
      <c r="C42" s="11"/>
      <c r="D42" s="11"/>
      <c r="E42" s="11"/>
      <c r="F42" s="11"/>
      <c r="G42" s="11"/>
      <c r="H42" s="88" t="s">
        <v>127</v>
      </c>
      <c r="I42" s="104" t="str">
        <f>IF(_epmOfflineCondition_,"T6",_xll.EVPRO($B$1,$H42,"STYLE"))</f>
        <v>T6</v>
      </c>
      <c r="J42" s="104" t="str">
        <f>IF(_epmOfflineCondition_,"Y",_xll.EVPRO($B$1,$H42,"CALC"))</f>
        <v>Y</v>
      </c>
      <c r="K42" s="104"/>
      <c r="L42" s="104" t="str">
        <f>IF(_epmOfflineCondition_,"402560",_xll.EVPRO($B$1,H42,"JDEID"))</f>
        <v>402560</v>
      </c>
      <c r="M42" s="90" t="str">
        <f>IF(_epmOfflineCondition_,"",IF(AND(I42="N",J42="N"),_xll.EVPRO($B$1,H42,"PSFTID"),""))</f>
        <v/>
      </c>
      <c r="N42" s="104" t="str">
        <f>IF(_epmOfflineCondition_,"Local Discounts",IF(_xll.EVDES(H42,$B$1)="#NODATA","",_xll.EVDES(H42,$B$1)))</f>
        <v>Local Discounts</v>
      </c>
      <c r="O42" s="275">
        <v>233380.2</v>
      </c>
      <c r="P42" s="276">
        <v>284056.77</v>
      </c>
      <c r="Q42" s="276">
        <v>203397.56</v>
      </c>
      <c r="R42" s="276">
        <v>302753.67</v>
      </c>
      <c r="S42" s="276">
        <v>154112.57</v>
      </c>
      <c r="T42" s="276">
        <v>91541.98</v>
      </c>
      <c r="U42" s="276">
        <v>114830.56</v>
      </c>
      <c r="V42" s="276">
        <v>142926.51</v>
      </c>
      <c r="W42" s="276">
        <v>110321.83</v>
      </c>
      <c r="X42" s="276">
        <v>142854.07999999999</v>
      </c>
      <c r="Y42" s="276">
        <v>158262.25</v>
      </c>
      <c r="Z42" s="276">
        <v>155999.01999999999</v>
      </c>
      <c r="AA42" s="276">
        <f t="shared" si="0"/>
        <v>2094437.0000000002</v>
      </c>
      <c r="AB42" s="277">
        <f t="shared" si="1"/>
        <v>0.18550399239716323</v>
      </c>
      <c r="AC42" s="140"/>
      <c r="AD42" s="278">
        <v>2380138.42</v>
      </c>
      <c r="AE42" s="277">
        <f t="shared" si="2"/>
        <v>0.22673358948731628</v>
      </c>
      <c r="AF42" s="279">
        <f t="shared" si="3"/>
        <v>-285701.41999999969</v>
      </c>
      <c r="AG42" s="279">
        <v>2568000.7000000002</v>
      </c>
      <c r="AH42" s="277">
        <f t="shared" si="4"/>
        <v>0.27350419978844137</v>
      </c>
      <c r="AI42" s="280">
        <f t="shared" si="5"/>
        <v>-473563.69999999995</v>
      </c>
    </row>
    <row r="43" spans="1:35" x14ac:dyDescent="0.25">
      <c r="A43" s="65" t="s">
        <v>40</v>
      </c>
      <c r="B43" s="66"/>
      <c r="C43" s="11"/>
      <c r="D43" s="11"/>
      <c r="E43" s="11"/>
      <c r="F43" s="11"/>
      <c r="G43" s="11"/>
      <c r="H43" s="88" t="s">
        <v>128</v>
      </c>
      <c r="I43" s="104" t="str">
        <f>IF(_epmOfflineCondition_,"T6",_xll.EVPRO($B$1,$H43,"STYLE"))</f>
        <v>T6</v>
      </c>
      <c r="J43" s="104" t="str">
        <f>IF(_epmOfflineCondition_,"Y",_xll.EVPRO($B$1,$H43,"CALC"))</f>
        <v>Y</v>
      </c>
      <c r="K43" s="104"/>
      <c r="L43" s="104" t="str">
        <f>IF(_epmOfflineCondition_,"402600",_xll.EVPRO($B$1,H43,"JDEID"))</f>
        <v>402600</v>
      </c>
      <c r="M43" s="90" t="str">
        <f>IF(_epmOfflineCondition_,"",IF(AND(I43="N",J43="N"),_xll.EVPRO($B$1,H43,"PSFTID"),""))</f>
        <v/>
      </c>
      <c r="N43" s="104" t="str">
        <f>IF(_epmOfflineCondition_,"Package &amp; Promo (Legacy)",IF(_xll.EVDES(H43,$B$1)="#NODATA","",_xll.EVDES(H43,$B$1)))</f>
        <v>Package &amp; Promo (Legacy)</v>
      </c>
      <c r="O43" s="275"/>
      <c r="P43" s="276"/>
      <c r="Q43" s="276"/>
      <c r="R43" s="276"/>
      <c r="S43" s="276"/>
      <c r="T43" s="276"/>
      <c r="U43" s="276"/>
      <c r="V43" s="276"/>
      <c r="W43" s="276"/>
      <c r="X43" s="276"/>
      <c r="Y43" s="276"/>
      <c r="Z43" s="276"/>
      <c r="AA43" s="276">
        <f t="shared" si="0"/>
        <v>0</v>
      </c>
      <c r="AB43" s="277" t="str">
        <f t="shared" si="1"/>
        <v/>
      </c>
      <c r="AC43" s="140"/>
      <c r="AD43" s="278"/>
      <c r="AE43" s="277" t="str">
        <f t="shared" si="2"/>
        <v/>
      </c>
      <c r="AF43" s="279">
        <f t="shared" si="3"/>
        <v>0</v>
      </c>
      <c r="AG43" s="279"/>
      <c r="AH43" s="277" t="str">
        <f t="shared" si="4"/>
        <v/>
      </c>
      <c r="AI43" s="280">
        <f t="shared" si="5"/>
        <v>0</v>
      </c>
    </row>
    <row r="44" spans="1:35" x14ac:dyDescent="0.25">
      <c r="A44" s="65" t="s">
        <v>41</v>
      </c>
      <c r="B44" s="66"/>
      <c r="C44" s="11"/>
      <c r="D44" s="11"/>
      <c r="E44" s="11"/>
      <c r="F44" s="11"/>
      <c r="G44" s="11"/>
      <c r="H44" s="88" t="s">
        <v>85</v>
      </c>
      <c r="I44" s="89" t="str">
        <f>IF(_epmOfflineCondition_,"T5",_xll.EVPRO($B$1,$H44,"STYLE"))</f>
        <v>T5</v>
      </c>
      <c r="J44" s="89" t="str">
        <f>IF(_epmOfflineCondition_,"Y",_xll.EVPRO($B$1,$H44,"CALC"))</f>
        <v>Y</v>
      </c>
      <c r="K44" s="107"/>
      <c r="L44" s="106" t="str">
        <f>IF(_epmOfflineCondition_,"",_xll.EVPRO($B$1,H44,"JDEID"))</f>
        <v/>
      </c>
      <c r="M44" s="90" t="str">
        <f>IF(_epmOfflineCondition_,"",IF(AND(I44="N",J44="N"),_xll.EVPRO($B$1,H44,"PSFTID"),""))</f>
        <v/>
      </c>
      <c r="N44" s="106" t="str">
        <f>IF(_epmOfflineCondition_,"Negotiated",IF(_xll.EVDES(H44,$B$1)="#NODATA","",_xll.EVDES(H44,$B$1)))</f>
        <v>Negotiated</v>
      </c>
      <c r="O44" s="269">
        <v>58478.879999999997</v>
      </c>
      <c r="P44" s="270">
        <v>107021.88</v>
      </c>
      <c r="Q44" s="270">
        <v>39965.03</v>
      </c>
      <c r="R44" s="270">
        <v>41565.24</v>
      </c>
      <c r="S44" s="270">
        <v>27446.42</v>
      </c>
      <c r="T44" s="270">
        <v>13993.34</v>
      </c>
      <c r="U44" s="270">
        <v>29584.51</v>
      </c>
      <c r="V44" s="270">
        <v>13800.39</v>
      </c>
      <c r="W44" s="270">
        <v>15330.3</v>
      </c>
      <c r="X44" s="270">
        <v>16608.53</v>
      </c>
      <c r="Y44" s="270">
        <v>45299.68</v>
      </c>
      <c r="Z44" s="270">
        <v>22596.43</v>
      </c>
      <c r="AA44" s="270">
        <f t="shared" si="0"/>
        <v>431690.63</v>
      </c>
      <c r="AB44" s="271">
        <f t="shared" si="1"/>
        <v>3.8234778771310186E-2</v>
      </c>
      <c r="AC44" s="140"/>
      <c r="AD44" s="272">
        <v>636269.17000000004</v>
      </c>
      <c r="AE44" s="271">
        <f t="shared" si="2"/>
        <v>6.0611429815168261E-2</v>
      </c>
      <c r="AF44" s="273">
        <f t="shared" si="3"/>
        <v>-204578.54000000004</v>
      </c>
      <c r="AG44" s="273">
        <v>402231.83</v>
      </c>
      <c r="AH44" s="271">
        <f t="shared" si="4"/>
        <v>4.2839589098862159E-2</v>
      </c>
      <c r="AI44" s="274">
        <f t="shared" si="5"/>
        <v>29458.799999999988</v>
      </c>
    </row>
    <row r="45" spans="1:35" x14ac:dyDescent="0.25">
      <c r="A45" s="65" t="s">
        <v>42</v>
      </c>
      <c r="B45" s="66"/>
      <c r="C45" s="11"/>
      <c r="D45" s="11"/>
      <c r="E45" s="11"/>
      <c r="F45" s="11"/>
      <c r="G45" s="11"/>
      <c r="H45" s="88" t="s">
        <v>129</v>
      </c>
      <c r="I45" s="104" t="str">
        <f>IF(_epmOfflineCondition_,"T6",_xll.EVPRO($B$1,$H45,"STYLE"))</f>
        <v>T6</v>
      </c>
      <c r="J45" s="104" t="str">
        <f>IF(_epmOfflineCondition_,"Y",_xll.EVPRO($B$1,$H45,"CALC"))</f>
        <v>Y</v>
      </c>
      <c r="K45" s="104"/>
      <c r="L45" s="104" t="str">
        <f>IF(_epmOfflineCondition_,"402300",_xll.EVPRO($B$1,H45,"JDEID"))</f>
        <v>402300</v>
      </c>
      <c r="M45" s="90" t="str">
        <f>IF(_epmOfflineCondition_,"",IF(AND(I45="N",J45="N"),_xll.EVPRO($B$1,H45,"PSFTID"),""))</f>
        <v/>
      </c>
      <c r="N45" s="104" t="str">
        <f>IF(_epmOfflineCondition_,"Consortia",IF(_xll.EVDES(H45,$B$1)="#NODATA","",_xll.EVDES(H45,$B$1)))</f>
        <v>Consortia</v>
      </c>
      <c r="O45" s="275">
        <v>5163.57</v>
      </c>
      <c r="P45" s="276">
        <v>6037.13</v>
      </c>
      <c r="Q45" s="276">
        <v>4256.58</v>
      </c>
      <c r="R45" s="276">
        <v>9880.32</v>
      </c>
      <c r="S45" s="276">
        <v>6790.58</v>
      </c>
      <c r="T45" s="276">
        <v>7425.1</v>
      </c>
      <c r="U45" s="276">
        <v>6051.21</v>
      </c>
      <c r="V45" s="276">
        <v>5156.08</v>
      </c>
      <c r="W45" s="276">
        <v>4163</v>
      </c>
      <c r="X45" s="276">
        <v>3491</v>
      </c>
      <c r="Y45" s="276">
        <v>12977.78</v>
      </c>
      <c r="Z45" s="276">
        <v>12672.91</v>
      </c>
      <c r="AA45" s="276">
        <f t="shared" si="0"/>
        <v>84065.260000000009</v>
      </c>
      <c r="AB45" s="277">
        <f t="shared" si="1"/>
        <v>7.4456483302699243E-3</v>
      </c>
      <c r="AC45" s="140"/>
      <c r="AD45" s="278">
        <v>25564.03</v>
      </c>
      <c r="AE45" s="277">
        <f t="shared" si="2"/>
        <v>2.4352467213488525E-3</v>
      </c>
      <c r="AF45" s="279">
        <f t="shared" si="3"/>
        <v>58501.23000000001</v>
      </c>
      <c r="AG45" s="279">
        <v>25685.31</v>
      </c>
      <c r="AH45" s="277">
        <f t="shared" si="4"/>
        <v>2.7356067924234023E-3</v>
      </c>
      <c r="AI45" s="280">
        <f t="shared" si="5"/>
        <v>58379.950000000012</v>
      </c>
    </row>
    <row r="46" spans="1:35" x14ac:dyDescent="0.25">
      <c r="A46" s="65" t="s">
        <v>43</v>
      </c>
      <c r="B46" s="66"/>
      <c r="C46" s="11"/>
      <c r="D46" s="11"/>
      <c r="E46" s="11"/>
      <c r="F46" s="11"/>
      <c r="G46" s="11"/>
      <c r="H46" s="88" t="s">
        <v>130</v>
      </c>
      <c r="I46" s="104" t="str">
        <f>IF(_epmOfflineCondition_,"T6",_xll.EVPRO($B$1,$H46,"STYLE"))</f>
        <v>T6</v>
      </c>
      <c r="J46" s="104" t="str">
        <f>IF(_epmOfflineCondition_,"Y",_xll.EVPRO($B$1,$H46,"CALC"))</f>
        <v>Y</v>
      </c>
      <c r="K46" s="104"/>
      <c r="L46" s="104" t="str">
        <f>IF(_epmOfflineCondition_,"402350",_xll.EVPRO($B$1,H46,"JDEID"))</f>
        <v>402350</v>
      </c>
      <c r="M46" s="90" t="str">
        <f>IF(_epmOfflineCondition_,"",IF(AND(I46="N",J46="N"),_xll.EVPRO($B$1,H46,"PSFTID"),""))</f>
        <v/>
      </c>
      <c r="N46" s="104" t="str">
        <f>IF(_epmOfflineCondition_,"National Negotiated",IF(_xll.EVDES(H46,$B$1)="#NODATA","",_xll.EVDES(H46,$B$1)))</f>
        <v>National Negotiated</v>
      </c>
      <c r="O46" s="275">
        <v>11653.11</v>
      </c>
      <c r="P46" s="276">
        <v>15192.63</v>
      </c>
      <c r="Q46" s="276">
        <v>12192.1</v>
      </c>
      <c r="R46" s="276">
        <v>18198.32</v>
      </c>
      <c r="S46" s="276">
        <v>17773.84</v>
      </c>
      <c r="T46" s="276">
        <v>4909.66</v>
      </c>
      <c r="U46" s="276">
        <v>11319.5</v>
      </c>
      <c r="V46" s="276">
        <v>6059.26</v>
      </c>
      <c r="W46" s="276">
        <v>5026.3</v>
      </c>
      <c r="X46" s="276">
        <v>10113.33</v>
      </c>
      <c r="Y46" s="276">
        <v>19823.3</v>
      </c>
      <c r="Z46" s="276">
        <v>5615.52</v>
      </c>
      <c r="AA46" s="276">
        <f t="shared" si="0"/>
        <v>137876.87</v>
      </c>
      <c r="AB46" s="277">
        <f t="shared" si="1"/>
        <v>1.2211735107919054E-2</v>
      </c>
      <c r="AC46" s="140"/>
      <c r="AD46" s="278">
        <v>224472.8</v>
      </c>
      <c r="AE46" s="277">
        <f t="shared" si="2"/>
        <v>2.1383430164649185E-2</v>
      </c>
      <c r="AF46" s="279">
        <f t="shared" si="3"/>
        <v>-86595.93</v>
      </c>
      <c r="AG46" s="279">
        <v>133753.65</v>
      </c>
      <c r="AH46" s="277">
        <f t="shared" si="4"/>
        <v>1.4245395264897419E-2</v>
      </c>
      <c r="AI46" s="280">
        <f t="shared" si="5"/>
        <v>4123.2200000000012</v>
      </c>
    </row>
    <row r="47" spans="1:35" x14ac:dyDescent="0.25">
      <c r="A47" s="65" t="s">
        <v>44</v>
      </c>
      <c r="B47" s="66"/>
      <c r="C47" s="11"/>
      <c r="D47" s="11"/>
      <c r="E47" s="11"/>
      <c r="F47" s="11"/>
      <c r="G47" s="11"/>
      <c r="H47" s="88" t="s">
        <v>131</v>
      </c>
      <c r="I47" s="104" t="str">
        <f>IF(_epmOfflineCondition_,"T6",_xll.EVPRO($B$1,$H47,"STYLE"))</f>
        <v>T6</v>
      </c>
      <c r="J47" s="104" t="str">
        <f>IF(_epmOfflineCondition_,"Y",_xll.EVPRO($B$1,$H47,"CALC"))</f>
        <v>Y</v>
      </c>
      <c r="K47" s="104"/>
      <c r="L47" s="104" t="str">
        <f>IF(_epmOfflineCondition_,"402400",_xll.EVPRO($B$1,H47,"JDEID"))</f>
        <v>402400</v>
      </c>
      <c r="M47" s="90" t="str">
        <f>IF(_epmOfflineCondition_,"",IF(AND(I47="N",J47="N"),_xll.EVPRO($B$1,H47,"PSFTID"),""))</f>
        <v/>
      </c>
      <c r="N47" s="104" t="str">
        <f>IF(_epmOfflineCondition_,"Local Negotiated",IF(_xll.EVDES(H47,$B$1)="#NODATA","",_xll.EVDES(H47,$B$1)))</f>
        <v>Local Negotiated</v>
      </c>
      <c r="O47" s="275">
        <v>41662.199999999997</v>
      </c>
      <c r="P47" s="276">
        <v>85792.12</v>
      </c>
      <c r="Q47" s="276">
        <v>23516.35</v>
      </c>
      <c r="R47" s="276">
        <v>13486.6</v>
      </c>
      <c r="S47" s="276">
        <v>2882</v>
      </c>
      <c r="T47" s="276">
        <v>1658.58</v>
      </c>
      <c r="U47" s="276">
        <v>12213.8</v>
      </c>
      <c r="V47" s="276">
        <v>2585.0500000000002</v>
      </c>
      <c r="W47" s="276">
        <v>6141</v>
      </c>
      <c r="X47" s="276">
        <v>3004.2</v>
      </c>
      <c r="Y47" s="276">
        <v>12498.6</v>
      </c>
      <c r="Z47" s="276">
        <v>4308</v>
      </c>
      <c r="AA47" s="276">
        <f t="shared" si="0"/>
        <v>209748.49999999997</v>
      </c>
      <c r="AB47" s="277">
        <f t="shared" si="1"/>
        <v>1.8577395333121204E-2</v>
      </c>
      <c r="AC47" s="140"/>
      <c r="AD47" s="278">
        <v>386232.34</v>
      </c>
      <c r="AE47" s="277">
        <f t="shared" si="2"/>
        <v>3.6792752929170218E-2</v>
      </c>
      <c r="AF47" s="279">
        <f t="shared" si="3"/>
        <v>-176483.84000000005</v>
      </c>
      <c r="AG47" s="279">
        <v>242792.87</v>
      </c>
      <c r="AH47" s="277">
        <f t="shared" si="4"/>
        <v>2.5858587041541332E-2</v>
      </c>
      <c r="AI47" s="280">
        <f t="shared" si="5"/>
        <v>-33044.370000000024</v>
      </c>
    </row>
    <row r="48" spans="1:35" x14ac:dyDescent="0.25">
      <c r="A48" s="65" t="s">
        <v>45</v>
      </c>
      <c r="B48" s="66"/>
      <c r="C48" s="11"/>
      <c r="D48" s="11"/>
      <c r="E48" s="11"/>
      <c r="F48" s="11"/>
      <c r="G48" s="11"/>
      <c r="H48" s="88" t="s">
        <v>86</v>
      </c>
      <c r="I48" s="89" t="str">
        <f>IF(_epmOfflineCondition_,"T5",_xll.EVPRO($B$1,$H48,"STYLE"))</f>
        <v>T5</v>
      </c>
      <c r="J48" s="89" t="str">
        <f>IF(_epmOfflineCondition_,"Y",_xll.EVPRO($B$1,$H48,"CALC"))</f>
        <v>Y</v>
      </c>
      <c r="K48" s="107"/>
      <c r="L48" s="106" t="str">
        <f>IF(_epmOfflineCondition_,"",_xll.EVPRO($B$1,H48,"JDEID"))</f>
        <v/>
      </c>
      <c r="M48" s="90" t="str">
        <f>IF(_epmOfflineCondition_,"",IF(AND(I48="N",J48="N"),_xll.EVPRO($B$1,H48,"PSFTID"),""))</f>
        <v/>
      </c>
      <c r="N48" s="106" t="str">
        <f>IF(_epmOfflineCondition_,"Qualified",IF(_xll.EVDES(H48,$B$1)="#NODATA","",_xll.EVDES(H48,$B$1)))</f>
        <v>Qualified</v>
      </c>
      <c r="O48" s="269">
        <v>20835.150000000001</v>
      </c>
      <c r="P48" s="270">
        <v>17518.96</v>
      </c>
      <c r="Q48" s="270">
        <v>20307.509999999998</v>
      </c>
      <c r="R48" s="270">
        <v>14852.5</v>
      </c>
      <c r="S48" s="270">
        <v>19974.36</v>
      </c>
      <c r="T48" s="270">
        <v>11796.7</v>
      </c>
      <c r="U48" s="270">
        <v>10201.450000000001</v>
      </c>
      <c r="V48" s="270">
        <v>12682.95</v>
      </c>
      <c r="W48" s="270">
        <v>8238.5499999999993</v>
      </c>
      <c r="X48" s="270">
        <v>13482.09</v>
      </c>
      <c r="Y48" s="270">
        <v>10567.45</v>
      </c>
      <c r="Z48" s="270">
        <v>10275.799999999999</v>
      </c>
      <c r="AA48" s="270">
        <f t="shared" si="0"/>
        <v>170733.46999999997</v>
      </c>
      <c r="AB48" s="271">
        <f t="shared" si="1"/>
        <v>1.5121839578283464E-2</v>
      </c>
      <c r="AC48" s="140"/>
      <c r="AD48" s="272">
        <v>494959.42</v>
      </c>
      <c r="AE48" s="271">
        <f t="shared" si="2"/>
        <v>4.7150167823920161E-2</v>
      </c>
      <c r="AF48" s="273">
        <f t="shared" si="3"/>
        <v>-324225.95</v>
      </c>
      <c r="AG48" s="273">
        <v>299652.34000000003</v>
      </c>
      <c r="AH48" s="271">
        <f t="shared" si="4"/>
        <v>3.1914389067897828E-2</v>
      </c>
      <c r="AI48" s="274">
        <f t="shared" si="5"/>
        <v>-128918.87000000005</v>
      </c>
    </row>
    <row r="49" spans="1:35" x14ac:dyDescent="0.25">
      <c r="A49" s="65" t="s">
        <v>46</v>
      </c>
      <c r="B49" s="66"/>
      <c r="C49" s="11"/>
      <c r="D49" s="11"/>
      <c r="E49" s="11"/>
      <c r="F49" s="11"/>
      <c r="G49" s="11"/>
      <c r="H49" s="88" t="s">
        <v>132</v>
      </c>
      <c r="I49" s="104" t="str">
        <f>IF(_epmOfflineCondition_,"T6",_xll.EVPRO($B$1,$H49,"STYLE"))</f>
        <v>T6</v>
      </c>
      <c r="J49" s="104" t="str">
        <f>IF(_epmOfflineCondition_,"Y",_xll.EVPRO($B$1,$H49,"CALC"))</f>
        <v>Y</v>
      </c>
      <c r="K49" s="104"/>
      <c r="L49" s="104" t="str">
        <f>IF(_epmOfflineCondition_,"402700",_xll.EVPRO($B$1,H49,"JDEID"))</f>
        <v>402700</v>
      </c>
      <c r="M49" s="90" t="str">
        <f>IF(_epmOfflineCondition_,"",IF(AND(I49="N",J49="N"),_xll.EVPRO($B$1,H49,"PSFTID"),""))</f>
        <v/>
      </c>
      <c r="N49" s="104" t="str">
        <f>IF(_epmOfflineCondition_,"Qualified",IF(_xll.EVDES(H49,$B$1)="#NODATA","",_xll.EVDES(H49,$B$1)))</f>
        <v>Qualified</v>
      </c>
      <c r="O49" s="275">
        <v>20835.150000000001</v>
      </c>
      <c r="P49" s="276">
        <v>17518.96</v>
      </c>
      <c r="Q49" s="276">
        <v>20307.509999999998</v>
      </c>
      <c r="R49" s="276">
        <v>14852.5</v>
      </c>
      <c r="S49" s="276">
        <v>16524.36</v>
      </c>
      <c r="T49" s="276">
        <v>9726.7000000000007</v>
      </c>
      <c r="U49" s="276">
        <v>8821.4500000000007</v>
      </c>
      <c r="V49" s="276">
        <v>10497.95</v>
      </c>
      <c r="W49" s="276">
        <v>6743.55</v>
      </c>
      <c r="X49" s="276">
        <v>12168.09</v>
      </c>
      <c r="Y49" s="276">
        <v>10567.45</v>
      </c>
      <c r="Z49" s="276">
        <v>9630.7999999999993</v>
      </c>
      <c r="AA49" s="276">
        <f t="shared" si="0"/>
        <v>158194.47</v>
      </c>
      <c r="AB49" s="277">
        <f t="shared" si="1"/>
        <v>1.4011262100580376E-2</v>
      </c>
      <c r="AC49" s="140"/>
      <c r="AD49" s="278">
        <v>379365.42</v>
      </c>
      <c r="AE49" s="277">
        <f t="shared" si="2"/>
        <v>3.6138605503440981E-2</v>
      </c>
      <c r="AF49" s="279">
        <f t="shared" si="3"/>
        <v>-221170.94999999998</v>
      </c>
      <c r="AG49" s="279">
        <v>205050.34</v>
      </c>
      <c r="AH49" s="277">
        <f t="shared" si="4"/>
        <v>2.1838829388967002E-2</v>
      </c>
      <c r="AI49" s="280">
        <f t="shared" si="5"/>
        <v>-46855.869999999995</v>
      </c>
    </row>
    <row r="50" spans="1:35" x14ac:dyDescent="0.25">
      <c r="A50" s="11"/>
      <c r="B50" s="11"/>
      <c r="C50" s="11"/>
      <c r="D50" s="11"/>
      <c r="E50" s="11"/>
      <c r="F50" s="11"/>
      <c r="G50" s="11"/>
      <c r="H50" s="88" t="s">
        <v>133</v>
      </c>
      <c r="I50" s="104" t="str">
        <f>IF(_epmOfflineCondition_,"T6",_xll.EVPRO($B$1,$H50,"STYLE"))</f>
        <v>T6</v>
      </c>
      <c r="J50" s="104" t="str">
        <f>IF(_epmOfflineCondition_,"Y",_xll.EVPRO($B$1,$H50,"CALC"))</f>
        <v>Y</v>
      </c>
      <c r="K50" s="104"/>
      <c r="L50" s="104" t="str">
        <f>IF(_epmOfflineCondition_,"402730",_xll.EVPRO($B$1,H50,"JDEID"))</f>
        <v>402730</v>
      </c>
      <c r="M50" s="90" t="str">
        <f>IF(_epmOfflineCondition_,"",IF(AND(I50="N",J50="N"),_xll.EVPRO($B$1,H50,"PSFTID"),""))</f>
        <v/>
      </c>
      <c r="N50" s="104" t="str">
        <f>IF(_epmOfflineCondition_,"Government",IF(_xll.EVDES(H50,$B$1)="#NODATA","",_xll.EVDES(H50,$B$1)))</f>
        <v>Government</v>
      </c>
      <c r="O50" s="275"/>
      <c r="P50" s="276"/>
      <c r="Q50" s="276"/>
      <c r="R50" s="276"/>
      <c r="S50" s="276">
        <v>3450</v>
      </c>
      <c r="T50" s="276">
        <v>2070</v>
      </c>
      <c r="U50" s="276">
        <v>1380</v>
      </c>
      <c r="V50" s="276">
        <v>2185</v>
      </c>
      <c r="W50" s="276">
        <v>1495</v>
      </c>
      <c r="X50" s="276">
        <v>1314</v>
      </c>
      <c r="Y50" s="276"/>
      <c r="Z50" s="276">
        <v>645</v>
      </c>
      <c r="AA50" s="276">
        <f t="shared" si="0"/>
        <v>12539</v>
      </c>
      <c r="AB50" s="277">
        <f t="shared" si="1"/>
        <v>1.1105774777030912E-3</v>
      </c>
      <c r="AC50" s="140"/>
      <c r="AD50" s="278">
        <v>115594</v>
      </c>
      <c r="AE50" s="277">
        <f t="shared" si="2"/>
        <v>1.1011562320479175E-2</v>
      </c>
      <c r="AF50" s="279">
        <f t="shared" si="3"/>
        <v>-103055</v>
      </c>
      <c r="AG50" s="279">
        <v>94602</v>
      </c>
      <c r="AH50" s="277">
        <f t="shared" si="4"/>
        <v>1.0075559678930824E-2</v>
      </c>
      <c r="AI50" s="280">
        <f t="shared" si="5"/>
        <v>-82063</v>
      </c>
    </row>
    <row r="51" spans="1:35" x14ac:dyDescent="0.25">
      <c r="A51" s="11"/>
      <c r="B51" s="11"/>
      <c r="C51" s="11"/>
      <c r="D51" s="11"/>
      <c r="E51" s="11"/>
      <c r="F51" s="11"/>
      <c r="G51" s="11"/>
      <c r="H51" s="88" t="s">
        <v>65</v>
      </c>
      <c r="I51" s="89" t="str">
        <f>IF(_epmOfflineCondition_,"T5",_xll.EVPRO($B$1,$H51,"STYLE"))</f>
        <v>T5</v>
      </c>
      <c r="J51" s="89" t="str">
        <f>IF(_epmOfflineCondition_,"Y",_xll.EVPRO($B$1,$H51,"CALC"))</f>
        <v>Y</v>
      </c>
      <c r="K51" s="107"/>
      <c r="L51" s="106" t="str">
        <f>IF(_epmOfflineCondition_,"402200",_xll.EVPRO($B$1,H51,"JDEID"))</f>
        <v>402200</v>
      </c>
      <c r="M51" s="90" t="str">
        <f>IF(_epmOfflineCondition_,"",IF(AND(I51="N",J51="N"),_xll.EVPRO($B$1,H51,"PSFTID"),""))</f>
        <v/>
      </c>
      <c r="N51" s="106" t="str">
        <f>IF(_epmOfflineCondition_,"Wholesale",IF(_xll.EVDES(H51,$B$1)="#NODATA","",_xll.EVDES(H51,$B$1)))</f>
        <v>Wholesale</v>
      </c>
      <c r="O51" s="281">
        <v>26345.67</v>
      </c>
      <c r="P51" s="282">
        <v>42111.02</v>
      </c>
      <c r="Q51" s="282">
        <v>103952.2</v>
      </c>
      <c r="R51" s="282">
        <v>86180.479999999996</v>
      </c>
      <c r="S51" s="282">
        <v>60526.28</v>
      </c>
      <c r="T51" s="282">
        <v>30429.35</v>
      </c>
      <c r="U51" s="282">
        <v>37264.699999999997</v>
      </c>
      <c r="V51" s="282">
        <v>31712.959999999999</v>
      </c>
      <c r="W51" s="282">
        <v>12568.74</v>
      </c>
      <c r="X51" s="282">
        <v>21450.58</v>
      </c>
      <c r="Y51" s="282">
        <v>8393.18</v>
      </c>
      <c r="Z51" s="282">
        <v>8032.88</v>
      </c>
      <c r="AA51" s="282">
        <f t="shared" si="0"/>
        <v>468968.04000000004</v>
      </c>
      <c r="AB51" s="283">
        <f t="shared" si="1"/>
        <v>4.1536433765576398E-2</v>
      </c>
      <c r="AC51" s="140"/>
      <c r="AD51" s="284">
        <v>299603.65999999997</v>
      </c>
      <c r="AE51" s="283">
        <f t="shared" si="2"/>
        <v>2.8540446507030241E-2</v>
      </c>
      <c r="AF51" s="285">
        <f t="shared" si="3"/>
        <v>169364.38000000006</v>
      </c>
      <c r="AG51" s="285">
        <v>281620.14</v>
      </c>
      <c r="AH51" s="283">
        <f t="shared" si="4"/>
        <v>2.9993874625894312E-2</v>
      </c>
      <c r="AI51" s="286">
        <f t="shared" si="5"/>
        <v>187347.90000000002</v>
      </c>
    </row>
    <row r="52" spans="1:35" x14ac:dyDescent="0.25">
      <c r="A52" s="11"/>
      <c r="B52" s="11"/>
      <c r="C52" s="11"/>
      <c r="D52" s="11"/>
      <c r="E52" s="11"/>
      <c r="F52" s="11"/>
      <c r="G52" s="11"/>
      <c r="H52" s="88" t="s">
        <v>66</v>
      </c>
      <c r="I52" s="89" t="str">
        <f>IF(_epmOfflineCondition_,"T4",_xll.EVPRO($B$1,$H52,"STYLE"))</f>
        <v>T4</v>
      </c>
      <c r="J52" s="89" t="str">
        <f>IF(_epmOfflineCondition_,"Y",_xll.EVPRO($B$1,$H52,"CALC"))</f>
        <v>Y</v>
      </c>
      <c r="K52" s="107"/>
      <c r="L52" s="106" t="str">
        <f>IF(_epmOfflineCondition_,"402000",_xll.EVPRO($B$1,H52,"JDEID"))</f>
        <v>402000</v>
      </c>
      <c r="M52" s="90" t="str">
        <f>IF(_epmOfflineCondition_,"",IF(AND(I52="N",J52="N"),_xll.EVPRO($B$1,H52,"PSFTID"),""))</f>
        <v/>
      </c>
      <c r="N52" s="106" t="str">
        <f>IF(_epmOfflineCondition_,"Total Transient Room Rev",IF(_xll.EVDES(H52,$B$1)="#NODATA","",_xll.EVDES(H52,$B$1)))</f>
        <v>Total Transient Room Rev</v>
      </c>
      <c r="O52" s="287">
        <v>908789.4</v>
      </c>
      <c r="P52" s="288">
        <v>1206910.93</v>
      </c>
      <c r="Q52" s="288">
        <v>1070755.23</v>
      </c>
      <c r="R52" s="288">
        <v>1103571.45</v>
      </c>
      <c r="S52" s="288">
        <v>832962.81</v>
      </c>
      <c r="T52" s="288">
        <v>591265.4</v>
      </c>
      <c r="U52" s="288">
        <v>744257.27</v>
      </c>
      <c r="V52" s="288">
        <v>611857.94999999995</v>
      </c>
      <c r="W52" s="288">
        <v>460643.75</v>
      </c>
      <c r="X52" s="288">
        <v>583460.84</v>
      </c>
      <c r="Y52" s="288">
        <v>760926.31</v>
      </c>
      <c r="Z52" s="288">
        <v>1034443.1</v>
      </c>
      <c r="AA52" s="288">
        <f t="shared" si="0"/>
        <v>9909844.4399999995</v>
      </c>
      <c r="AB52" s="289">
        <f t="shared" si="1"/>
        <v>0.87771353717243816</v>
      </c>
      <c r="AC52" s="140"/>
      <c r="AD52" s="290">
        <v>9661293.0099999998</v>
      </c>
      <c r="AE52" s="289">
        <f t="shared" si="2"/>
        <v>0.92034128134699755</v>
      </c>
      <c r="AF52" s="291">
        <f t="shared" si="3"/>
        <v>248551.4299999997</v>
      </c>
      <c r="AG52" s="291">
        <v>8989939.8499999996</v>
      </c>
      <c r="AH52" s="289">
        <f t="shared" si="4"/>
        <v>0.95747104150729812</v>
      </c>
      <c r="AI52" s="292">
        <f t="shared" si="5"/>
        <v>919904.58999999985</v>
      </c>
    </row>
    <row r="53" spans="1:35" x14ac:dyDescent="0.25">
      <c r="A53" s="11"/>
      <c r="B53" s="11"/>
      <c r="C53" s="11"/>
      <c r="D53" s="11"/>
      <c r="E53" s="11"/>
      <c r="F53" s="11"/>
      <c r="G53" s="11"/>
      <c r="H53" s="88" t="s">
        <v>175</v>
      </c>
      <c r="I53" s="89" t="str">
        <f>IF(_epmOfflineCondition_,"B1",_xll.EVPRO($B$1,$H53,"STYLE"))</f>
        <v>B1</v>
      </c>
      <c r="J53" s="89" t="str">
        <f>IF(_epmOfflineCondition_,"Y",_xll.EVPRO($B$1,$H53,"CALC"))</f>
        <v>Y</v>
      </c>
      <c r="K53" s="107"/>
      <c r="L53" s="106" t="str">
        <f>IF(_epmOfflineCondition_,"",_xll.EVPRO($B$1,H53,"JDEID"))</f>
        <v/>
      </c>
      <c r="M53" s="90" t="str">
        <f>IF(_epmOfflineCondition_,"",IF(AND(I53="N",J53="N"),_xll.EVPRO($B$1,H53,"PSFTID"),""))</f>
        <v/>
      </c>
      <c r="N53" s="106" t="str">
        <f>IF(_epmOfflineCondition_,"BLANKROW",IF(_xll.EVDES(H53,$B$1)="#NODATA","",_xll.EVDES(H53,$B$1)))</f>
        <v>BLANKROW</v>
      </c>
      <c r="O53" s="293"/>
      <c r="P53" s="294"/>
      <c r="Q53" s="294"/>
      <c r="R53" s="294"/>
      <c r="S53" s="294"/>
      <c r="T53" s="294"/>
      <c r="U53" s="294"/>
      <c r="V53" s="294"/>
      <c r="W53" s="294"/>
      <c r="X53" s="294"/>
      <c r="Y53" s="294"/>
      <c r="Z53" s="294"/>
      <c r="AA53" s="294"/>
      <c r="AB53" s="295" t="str">
        <f t="shared" si="1"/>
        <v/>
      </c>
      <c r="AC53" s="140"/>
      <c r="AD53" s="296"/>
      <c r="AE53" s="295" t="str">
        <f t="shared" si="2"/>
        <v/>
      </c>
      <c r="AF53" s="297" t="str">
        <f t="shared" si="3"/>
        <v/>
      </c>
      <c r="AG53" s="297"/>
      <c r="AH53" s="295" t="str">
        <f t="shared" si="4"/>
        <v/>
      </c>
      <c r="AI53" s="298" t="str">
        <f t="shared" si="5"/>
        <v/>
      </c>
    </row>
    <row r="54" spans="1:35" x14ac:dyDescent="0.25">
      <c r="A54" s="11"/>
      <c r="B54" s="11"/>
      <c r="C54" s="11"/>
      <c r="D54" s="11"/>
      <c r="E54" s="11"/>
      <c r="F54" s="11"/>
      <c r="G54" s="11"/>
      <c r="H54" s="88" t="s">
        <v>87</v>
      </c>
      <c r="I54" s="89" t="str">
        <f>IF(_epmOfflineCondition_,"T5",_xll.EVPRO($B$1,$H54,"STYLE"))</f>
        <v>T5</v>
      </c>
      <c r="J54" s="89" t="str">
        <f>IF(_epmOfflineCondition_,"Y",_xll.EVPRO($B$1,$H54,"CALC"))</f>
        <v>Y</v>
      </c>
      <c r="K54" s="107"/>
      <c r="L54" s="106" t="str">
        <f>IF(_epmOfflineCondition_,"",_xll.EVPRO($B$1,H54,"JDEID"))</f>
        <v/>
      </c>
      <c r="M54" s="90" t="str">
        <f>IF(_epmOfflineCondition_,"",IF(AND(I54="N",J54="N"),_xll.EVPRO($B$1,H54,"PSFTID"),""))</f>
        <v/>
      </c>
      <c r="N54" s="106" t="str">
        <f>IF(_epmOfflineCondition_,"Corporate",IF(_xll.EVDES(H54,$B$1)="#NODATA","",_xll.EVDES(H54,$B$1)))</f>
        <v>Corporate</v>
      </c>
      <c r="O54" s="269">
        <v>107355</v>
      </c>
      <c r="P54" s="270">
        <v>77003</v>
      </c>
      <c r="Q54" s="270">
        <v>179795.48</v>
      </c>
      <c r="R54" s="270">
        <v>152948</v>
      </c>
      <c r="S54" s="270">
        <v>252561</v>
      </c>
      <c r="T54" s="270">
        <v>79926.350000000006</v>
      </c>
      <c r="U54" s="270">
        <v>46797</v>
      </c>
      <c r="V54" s="270">
        <v>9983</v>
      </c>
      <c r="W54" s="270">
        <v>18387</v>
      </c>
      <c r="X54" s="270">
        <v>50679</v>
      </c>
      <c r="Y54" s="270">
        <v>101210</v>
      </c>
      <c r="Z54" s="270">
        <v>75577</v>
      </c>
      <c r="AA54" s="270">
        <f t="shared" ref="AA54:AA69" si="6">SUM(O54:Z54)</f>
        <v>1152221.83</v>
      </c>
      <c r="AB54" s="271">
        <f t="shared" si="1"/>
        <v>0.10205212646270358</v>
      </c>
      <c r="AC54" s="140"/>
      <c r="AD54" s="272">
        <v>514195.3</v>
      </c>
      <c r="AE54" s="271">
        <f t="shared" si="2"/>
        <v>4.8982590712731505E-2</v>
      </c>
      <c r="AF54" s="273">
        <f t="shared" si="3"/>
        <v>638026.53</v>
      </c>
      <c r="AG54" s="273">
        <v>269957.84999999998</v>
      </c>
      <c r="AH54" s="271">
        <f t="shared" si="4"/>
        <v>2.8751785675470445E-2</v>
      </c>
      <c r="AI54" s="274">
        <f t="shared" si="5"/>
        <v>882263.9800000001</v>
      </c>
    </row>
    <row r="55" spans="1:35" x14ac:dyDescent="0.25">
      <c r="A55" s="11"/>
      <c r="B55" s="11"/>
      <c r="C55" s="11"/>
      <c r="D55" s="11"/>
      <c r="E55" s="11"/>
      <c r="F55" s="11"/>
      <c r="G55" s="11"/>
      <c r="H55" s="88" t="s">
        <v>134</v>
      </c>
      <c r="I55" s="104" t="str">
        <f>IF(_epmOfflineCondition_,"T6",_xll.EVPRO($B$1,$H55,"STYLE"))</f>
        <v>T6</v>
      </c>
      <c r="J55" s="104" t="str">
        <f>IF(_epmOfflineCondition_,"Y",_xll.EVPRO($B$1,$H55,"CALC"))</f>
        <v>Y</v>
      </c>
      <c r="K55" s="104"/>
      <c r="L55" s="104" t="str">
        <f>IF(_epmOfflineCondition_,"401100",_xll.EVPRO($B$1,H55,"JDEID"))</f>
        <v>401100</v>
      </c>
      <c r="M55" s="90" t="str">
        <f>IF(_epmOfflineCondition_,"",IF(AND(I55="N",J55="N"),_xll.EVPRO($B$1,H55,"PSFTID"),""))</f>
        <v/>
      </c>
      <c r="N55" s="104" t="str">
        <f>IF(_epmOfflineCondition_,"Corporate",IF(_xll.EVDES(H55,$B$1)="#NODATA","",_xll.EVDES(H55,$B$1)))</f>
        <v>Corporate</v>
      </c>
      <c r="O55" s="275">
        <v>54103</v>
      </c>
      <c r="P55" s="276">
        <v>40318</v>
      </c>
      <c r="Q55" s="276">
        <v>147492.48000000001</v>
      </c>
      <c r="R55" s="276">
        <v>131713</v>
      </c>
      <c r="S55" s="276">
        <v>25135</v>
      </c>
      <c r="T55" s="276">
        <v>79926.350000000006</v>
      </c>
      <c r="U55" s="276">
        <v>29499</v>
      </c>
      <c r="V55" s="276">
        <v>9983</v>
      </c>
      <c r="W55" s="276">
        <v>18387</v>
      </c>
      <c r="X55" s="276">
        <v>50679</v>
      </c>
      <c r="Y55" s="276">
        <v>77525</v>
      </c>
      <c r="Z55" s="276">
        <v>75577</v>
      </c>
      <c r="AA55" s="276">
        <f t="shared" si="6"/>
        <v>740337.83</v>
      </c>
      <c r="AB55" s="277">
        <f t="shared" si="1"/>
        <v>6.55716181425616E-2</v>
      </c>
      <c r="AC55" s="140"/>
      <c r="AD55" s="278">
        <v>267828.3</v>
      </c>
      <c r="AE55" s="277">
        <f t="shared" si="2"/>
        <v>2.5513504305050373E-2</v>
      </c>
      <c r="AF55" s="279">
        <f t="shared" si="3"/>
        <v>472509.52999999997</v>
      </c>
      <c r="AG55" s="279">
        <v>78733.850000000006</v>
      </c>
      <c r="AH55" s="277">
        <f t="shared" si="4"/>
        <v>8.3855267798459612E-3</v>
      </c>
      <c r="AI55" s="280">
        <f t="shared" si="5"/>
        <v>661603.98</v>
      </c>
    </row>
    <row r="56" spans="1:35" x14ac:dyDescent="0.25">
      <c r="A56" s="11"/>
      <c r="B56" s="11"/>
      <c r="C56" s="11"/>
      <c r="D56" s="11"/>
      <c r="E56" s="11"/>
      <c r="F56" s="11"/>
      <c r="G56" s="76"/>
      <c r="H56" s="88" t="s">
        <v>135</v>
      </c>
      <c r="I56" s="104" t="str">
        <f>IF(_epmOfflineCondition_,"T6",_xll.EVPRO($B$1,$H56,"STYLE"))</f>
        <v>T6</v>
      </c>
      <c r="J56" s="104" t="str">
        <f>IF(_epmOfflineCondition_,"Y",_xll.EVPRO($B$1,$H56,"CALC"))</f>
        <v>Y</v>
      </c>
      <c r="K56" s="104"/>
      <c r="L56" s="104" t="str">
        <f>IF(_epmOfflineCondition_,"401500",_xll.EVPRO($B$1,H56,"JDEID"))</f>
        <v>401500</v>
      </c>
      <c r="M56" s="90" t="str">
        <f>IF(_epmOfflineCondition_,"",IF(AND(I56="N",J56="N"),_xll.EVPRO($B$1,H56,"PSFTID"),""))</f>
        <v/>
      </c>
      <c r="N56" s="104" t="str">
        <f>IF(_epmOfflineCondition_,"Entertainment/Sports",IF(_xll.EVDES(H56,$B$1)="#NODATA","",_xll.EVDES(H56,$B$1)))</f>
        <v>Entertainment/Sports</v>
      </c>
      <c r="O56" s="275">
        <v>53252</v>
      </c>
      <c r="P56" s="276">
        <v>36685</v>
      </c>
      <c r="Q56" s="276">
        <v>32303</v>
      </c>
      <c r="R56" s="276">
        <v>21235</v>
      </c>
      <c r="S56" s="276">
        <v>227426</v>
      </c>
      <c r="T56" s="276"/>
      <c r="U56" s="276">
        <v>17298</v>
      </c>
      <c r="V56" s="276"/>
      <c r="W56" s="276"/>
      <c r="X56" s="276"/>
      <c r="Y56" s="276">
        <v>23685</v>
      </c>
      <c r="Z56" s="276"/>
      <c r="AA56" s="276">
        <f t="shared" si="6"/>
        <v>411884</v>
      </c>
      <c r="AB56" s="277">
        <f t="shared" si="1"/>
        <v>3.6480508320141956E-2</v>
      </c>
      <c r="AC56" s="140"/>
      <c r="AD56" s="278">
        <v>246367</v>
      </c>
      <c r="AE56" s="277">
        <f t="shared" si="2"/>
        <v>2.3469086407681135E-2</v>
      </c>
      <c r="AF56" s="279">
        <f t="shared" si="3"/>
        <v>165517</v>
      </c>
      <c r="AG56" s="279">
        <v>191224</v>
      </c>
      <c r="AH56" s="277">
        <f t="shared" si="4"/>
        <v>2.0366258895624489E-2</v>
      </c>
      <c r="AI56" s="280">
        <f t="shared" si="5"/>
        <v>220660</v>
      </c>
    </row>
    <row r="57" spans="1:35" x14ac:dyDescent="0.25">
      <c r="A57" s="11"/>
      <c r="B57" s="11"/>
      <c r="C57" s="11"/>
      <c r="D57" s="11"/>
      <c r="E57" s="11"/>
      <c r="F57" s="11"/>
      <c r="G57" s="11"/>
      <c r="H57" s="88" t="s">
        <v>88</v>
      </c>
      <c r="I57" s="89" t="str">
        <f>IF(_epmOfflineCondition_,"T5",_xll.EVPRO($B$1,$H57,"STYLE"))</f>
        <v>T5</v>
      </c>
      <c r="J57" s="89" t="str">
        <f>IF(_epmOfflineCondition_,"Y",_xll.EVPRO($B$1,$H57,"CALC"))</f>
        <v>Y</v>
      </c>
      <c r="K57" s="107"/>
      <c r="L57" s="106" t="str">
        <f>IF(_epmOfflineCondition_,"",_xll.EVPRO($B$1,H57,"JDEID"))</f>
        <v/>
      </c>
      <c r="M57" s="90" t="str">
        <f>IF(_epmOfflineCondition_,"",IF(AND(I57="N",J57="N"),_xll.EVPRO($B$1,H57,"PSFTID"),""))</f>
        <v/>
      </c>
      <c r="N57" s="106" t="str">
        <f>IF(_epmOfflineCondition_,"Association/Convention",IF(_xll.EVDES(H57,$B$1)="#NODATA","",_xll.EVDES(H57,$B$1)))</f>
        <v>Association/Convention</v>
      </c>
      <c r="O57" s="269">
        <v>5736</v>
      </c>
      <c r="P57" s="270"/>
      <c r="Q57" s="270">
        <v>14109</v>
      </c>
      <c r="R57" s="270">
        <v>19872</v>
      </c>
      <c r="S57" s="270">
        <v>27508</v>
      </c>
      <c r="T57" s="270">
        <v>2879</v>
      </c>
      <c r="U57" s="270"/>
      <c r="V57" s="270"/>
      <c r="W57" s="270"/>
      <c r="X57" s="270"/>
      <c r="Y57" s="270"/>
      <c r="Z57" s="270"/>
      <c r="AA57" s="270">
        <f t="shared" si="6"/>
        <v>70104</v>
      </c>
      <c r="AB57" s="271">
        <f t="shared" si="1"/>
        <v>6.2091014831244526E-3</v>
      </c>
      <c r="AC57" s="140"/>
      <c r="AD57" s="272">
        <v>46287.5</v>
      </c>
      <c r="AE57" s="271">
        <f t="shared" si="2"/>
        <v>4.4093784358113734E-3</v>
      </c>
      <c r="AF57" s="273">
        <f t="shared" si="3"/>
        <v>23816.5</v>
      </c>
      <c r="AG57" s="273">
        <v>13852</v>
      </c>
      <c r="AH57" s="271">
        <f t="shared" si="4"/>
        <v>1.4753034045004311E-3</v>
      </c>
      <c r="AI57" s="274">
        <f t="shared" si="5"/>
        <v>56252</v>
      </c>
    </row>
    <row r="58" spans="1:35" x14ac:dyDescent="0.25">
      <c r="A58" s="11"/>
      <c r="B58" s="11"/>
      <c r="C58" s="11"/>
      <c r="D58" s="11"/>
      <c r="E58" s="11"/>
      <c r="F58" s="11"/>
      <c r="G58" s="11"/>
      <c r="H58" s="88" t="s">
        <v>136</v>
      </c>
      <c r="I58" s="104" t="str">
        <f>IF(_epmOfflineCondition_,"T6",_xll.EVPRO($B$1,$H58,"STYLE"))</f>
        <v>T6</v>
      </c>
      <c r="J58" s="104" t="str">
        <f>IF(_epmOfflineCondition_,"Y",_xll.EVPRO($B$1,$H58,"CALC"))</f>
        <v>Y</v>
      </c>
      <c r="K58" s="104"/>
      <c r="L58" s="104" t="str">
        <f>IF(_epmOfflineCondition_,"401400",_xll.EVPRO($B$1,H58,"JDEID"))</f>
        <v>401400</v>
      </c>
      <c r="M58" s="90" t="str">
        <f>IF(_epmOfflineCondition_,"",IF(AND(I58="N",J58="N"),_xll.EVPRO($B$1,H58,"PSFTID"),""))</f>
        <v/>
      </c>
      <c r="N58" s="104" t="str">
        <f>IF(_epmOfflineCondition_,"Association",IF(_xll.EVDES(H58,$B$1)="#NODATA","",_xll.EVDES(H58,$B$1)))</f>
        <v>Association</v>
      </c>
      <c r="O58" s="275">
        <v>5736</v>
      </c>
      <c r="P58" s="276"/>
      <c r="Q58" s="276">
        <v>14109</v>
      </c>
      <c r="R58" s="276"/>
      <c r="S58" s="276">
        <v>27508</v>
      </c>
      <c r="T58" s="276"/>
      <c r="U58" s="276"/>
      <c r="V58" s="276"/>
      <c r="W58" s="276"/>
      <c r="X58" s="276"/>
      <c r="Y58" s="276"/>
      <c r="Z58" s="276"/>
      <c r="AA58" s="276">
        <f t="shared" si="6"/>
        <v>47353</v>
      </c>
      <c r="AB58" s="277">
        <f t="shared" si="1"/>
        <v>4.1940485925252794E-3</v>
      </c>
      <c r="AC58" s="140"/>
      <c r="AD58" s="278"/>
      <c r="AE58" s="277" t="str">
        <f t="shared" si="2"/>
        <v/>
      </c>
      <c r="AF58" s="279">
        <f t="shared" si="3"/>
        <v>47353</v>
      </c>
      <c r="AG58" s="279">
        <v>13653</v>
      </c>
      <c r="AH58" s="277">
        <f t="shared" si="4"/>
        <v>1.4541089648891412E-3</v>
      </c>
      <c r="AI58" s="280">
        <f t="shared" si="5"/>
        <v>33700</v>
      </c>
    </row>
    <row r="59" spans="1:35" x14ac:dyDescent="0.25">
      <c r="A59" s="11"/>
      <c r="B59" s="11"/>
      <c r="C59" s="11"/>
      <c r="D59" s="11"/>
      <c r="E59" s="11"/>
      <c r="F59" s="11"/>
      <c r="G59" s="11"/>
      <c r="H59" s="88" t="s">
        <v>137</v>
      </c>
      <c r="I59" s="104" t="str">
        <f>IF(_epmOfflineCondition_,"T6",_xll.EVPRO($B$1,$H59,"STYLE"))</f>
        <v>T6</v>
      </c>
      <c r="J59" s="104" t="str">
        <f>IF(_epmOfflineCondition_,"Y",_xll.EVPRO($B$1,$H59,"CALC"))</f>
        <v>Y</v>
      </c>
      <c r="K59" s="104"/>
      <c r="L59" s="104" t="str">
        <f>IF(_epmOfflineCondition_,"401600",_xll.EVPRO($B$1,H59,"JDEID"))</f>
        <v>401600</v>
      </c>
      <c r="M59" s="90" t="str">
        <f>IF(_epmOfflineCondition_,"",IF(AND(I59="N",J59="N"),_xll.EVPRO($B$1,H59,"PSFTID"),""))</f>
        <v/>
      </c>
      <c r="N59" s="104" t="str">
        <f>IF(_epmOfflineCondition_,"Convention",IF(_xll.EVDES(H59,$B$1)="#NODATA","",_xll.EVDES(H59,$B$1)))</f>
        <v>Convention</v>
      </c>
      <c r="O59" s="275"/>
      <c r="P59" s="276"/>
      <c r="Q59" s="276"/>
      <c r="R59" s="276">
        <v>19872</v>
      </c>
      <c r="S59" s="276"/>
      <c r="T59" s="276">
        <v>2879</v>
      </c>
      <c r="U59" s="276"/>
      <c r="V59" s="276"/>
      <c r="W59" s="276"/>
      <c r="X59" s="276"/>
      <c r="Y59" s="276"/>
      <c r="Z59" s="276"/>
      <c r="AA59" s="276">
        <f t="shared" si="6"/>
        <v>22751</v>
      </c>
      <c r="AB59" s="277">
        <f t="shared" si="1"/>
        <v>2.0150528905991728E-3</v>
      </c>
      <c r="AC59" s="140"/>
      <c r="AD59" s="278">
        <v>46287.5</v>
      </c>
      <c r="AE59" s="277">
        <f t="shared" si="2"/>
        <v>4.4093784358113734E-3</v>
      </c>
      <c r="AF59" s="279">
        <f t="shared" si="3"/>
        <v>-23536.5</v>
      </c>
      <c r="AG59" s="279">
        <v>199</v>
      </c>
      <c r="AH59" s="277">
        <f t="shared" si="4"/>
        <v>2.1194439611289761E-5</v>
      </c>
      <c r="AI59" s="280">
        <f t="shared" si="5"/>
        <v>22552</v>
      </c>
    </row>
    <row r="60" spans="1:35" x14ac:dyDescent="0.25">
      <c r="A60" s="11"/>
      <c r="B60" s="11"/>
      <c r="C60" s="11"/>
      <c r="D60" s="11"/>
      <c r="E60" s="11"/>
      <c r="F60" s="11"/>
      <c r="G60" s="11"/>
      <c r="H60" s="88" t="s">
        <v>89</v>
      </c>
      <c r="I60" s="89" t="str">
        <f>IF(_epmOfflineCondition_,"T5",_xll.EVPRO($B$1,$H60,"STYLE"))</f>
        <v>T5</v>
      </c>
      <c r="J60" s="89" t="str">
        <f>IF(_epmOfflineCondition_,"Y",_xll.EVPRO($B$1,$H60,"CALC"))</f>
        <v>Y</v>
      </c>
      <c r="K60" s="107"/>
      <c r="L60" s="106" t="str">
        <f>IF(_epmOfflineCondition_,"401800",_xll.EVPRO($B$1,H60,"JDEID"))</f>
        <v>401800</v>
      </c>
      <c r="M60" s="90" t="str">
        <f>IF(_epmOfflineCondition_,"",IF(AND(I60="N",J60="N"),_xll.EVPRO($B$1,H60,"PSFTID"),""))</f>
        <v/>
      </c>
      <c r="N60" s="106" t="str">
        <f>IF(_epmOfflineCondition_,"Government",IF(_xll.EVDES(H60,$B$1)="#NODATA","",_xll.EVDES(H60,$B$1)))</f>
        <v>Government</v>
      </c>
      <c r="O60" s="269"/>
      <c r="P60" s="270"/>
      <c r="Q60" s="270"/>
      <c r="R60" s="270"/>
      <c r="S60" s="270"/>
      <c r="T60" s="270"/>
      <c r="U60" s="270"/>
      <c r="V60" s="270"/>
      <c r="W60" s="270"/>
      <c r="X60" s="270"/>
      <c r="Y60" s="270"/>
      <c r="Z60" s="270"/>
      <c r="AA60" s="270">
        <f t="shared" si="6"/>
        <v>0</v>
      </c>
      <c r="AB60" s="271" t="str">
        <f t="shared" si="1"/>
        <v/>
      </c>
      <c r="AC60" s="140"/>
      <c r="AD60" s="272"/>
      <c r="AE60" s="271" t="str">
        <f t="shared" si="2"/>
        <v/>
      </c>
      <c r="AF60" s="273">
        <f t="shared" si="3"/>
        <v>0</v>
      </c>
      <c r="AG60" s="273"/>
      <c r="AH60" s="271" t="str">
        <f t="shared" si="4"/>
        <v/>
      </c>
      <c r="AI60" s="274">
        <f t="shared" si="5"/>
        <v>0</v>
      </c>
    </row>
    <row r="61" spans="1:35" x14ac:dyDescent="0.25">
      <c r="A61" s="11"/>
      <c r="B61" s="11"/>
      <c r="C61" s="11"/>
      <c r="D61" s="11"/>
      <c r="E61" s="11"/>
      <c r="F61" s="11"/>
      <c r="G61" s="11"/>
      <c r="H61" s="88" t="s">
        <v>90</v>
      </c>
      <c r="I61" s="89" t="str">
        <f>IF(_epmOfflineCondition_,"T5",_xll.EVPRO($B$1,$H61,"STYLE"))</f>
        <v>T5</v>
      </c>
      <c r="J61" s="89" t="str">
        <f>IF(_epmOfflineCondition_,"Y",_xll.EVPRO($B$1,$H61,"CALC"))</f>
        <v>Y</v>
      </c>
      <c r="K61" s="107"/>
      <c r="L61" s="106" t="str">
        <f>IF(_epmOfflineCondition_,"",_xll.EVPRO($B$1,H61,"JDEID"))</f>
        <v/>
      </c>
      <c r="M61" s="90" t="str">
        <f>IF(_epmOfflineCondition_,"",IF(AND(I61="N",J61="N"),_xll.EVPRO($B$1,H61,"PSFTID"),""))</f>
        <v/>
      </c>
      <c r="N61" s="106" t="str">
        <f>IF(_epmOfflineCondition_,"Tour/Wholesalers",IF(_xll.EVDES(H61,$B$1)="#NODATA","",_xll.EVDES(H61,$B$1)))</f>
        <v>Tour/Wholesalers</v>
      </c>
      <c r="O61" s="269"/>
      <c r="P61" s="270"/>
      <c r="Q61" s="270"/>
      <c r="R61" s="270"/>
      <c r="S61" s="270"/>
      <c r="T61" s="270"/>
      <c r="U61" s="270"/>
      <c r="V61" s="270"/>
      <c r="W61" s="270"/>
      <c r="X61" s="270"/>
      <c r="Y61" s="270"/>
      <c r="Z61" s="270"/>
      <c r="AA61" s="270">
        <f t="shared" si="6"/>
        <v>0</v>
      </c>
      <c r="AB61" s="271" t="str">
        <f t="shared" si="1"/>
        <v/>
      </c>
      <c r="AC61" s="140"/>
      <c r="AD61" s="272">
        <v>42801</v>
      </c>
      <c r="AE61" s="271">
        <f t="shared" si="2"/>
        <v>4.0772520968115058E-3</v>
      </c>
      <c r="AF61" s="273">
        <f t="shared" si="3"/>
        <v>-42801</v>
      </c>
      <c r="AG61" s="273"/>
      <c r="AH61" s="271" t="str">
        <f t="shared" si="4"/>
        <v/>
      </c>
      <c r="AI61" s="274">
        <f t="shared" si="5"/>
        <v>0</v>
      </c>
    </row>
    <row r="62" spans="1:35" x14ac:dyDescent="0.25">
      <c r="A62" s="11"/>
      <c r="B62" s="11"/>
      <c r="C62" s="11"/>
      <c r="D62" s="11"/>
      <c r="E62" s="11"/>
      <c r="F62" s="11"/>
      <c r="G62" s="11"/>
      <c r="H62" s="88" t="s">
        <v>138</v>
      </c>
      <c r="I62" s="104" t="str">
        <f>IF(_epmOfflineCondition_,"T6",_xll.EVPRO($B$1,$H62,"STYLE"))</f>
        <v>T6</v>
      </c>
      <c r="J62" s="104" t="str">
        <f>IF(_epmOfflineCondition_,"Y",_xll.EVPRO($B$1,$H62,"CALC"))</f>
        <v>Y</v>
      </c>
      <c r="K62" s="104"/>
      <c r="L62" s="104" t="str">
        <f>IF(_epmOfflineCondition_,"401300",_xll.EVPRO($B$1,H62,"JDEID"))</f>
        <v>401300</v>
      </c>
      <c r="M62" s="90" t="str">
        <f>IF(_epmOfflineCondition_,"",IF(AND(I62="N",J62="N"),_xll.EVPRO($B$1,H62,"PSFTID"),""))</f>
        <v/>
      </c>
      <c r="N62" s="104" t="str">
        <f>IF(_epmOfflineCondition_,"Tour/Wholesale",IF(_xll.EVDES(H62,$B$1)="#NODATA","",_xll.EVDES(H62,$B$1)))</f>
        <v>Tour/Wholesale</v>
      </c>
      <c r="O62" s="275"/>
      <c r="P62" s="276"/>
      <c r="Q62" s="276"/>
      <c r="R62" s="276"/>
      <c r="S62" s="276"/>
      <c r="T62" s="276"/>
      <c r="U62" s="276"/>
      <c r="V62" s="276"/>
      <c r="W62" s="276"/>
      <c r="X62" s="276"/>
      <c r="Y62" s="276"/>
      <c r="Z62" s="276"/>
      <c r="AA62" s="276">
        <f t="shared" si="6"/>
        <v>0</v>
      </c>
      <c r="AB62" s="277" t="str">
        <f t="shared" si="1"/>
        <v/>
      </c>
      <c r="AC62" s="140"/>
      <c r="AD62" s="278"/>
      <c r="AE62" s="277" t="str">
        <f t="shared" si="2"/>
        <v/>
      </c>
      <c r="AF62" s="279">
        <f t="shared" si="3"/>
        <v>0</v>
      </c>
      <c r="AG62" s="279"/>
      <c r="AH62" s="277" t="str">
        <f t="shared" si="4"/>
        <v/>
      </c>
      <c r="AI62" s="280">
        <f t="shared" si="5"/>
        <v>0</v>
      </c>
    </row>
    <row r="63" spans="1:35" x14ac:dyDescent="0.25">
      <c r="A63" s="11"/>
      <c r="B63" s="11"/>
      <c r="C63" s="11"/>
      <c r="D63" s="11"/>
      <c r="E63" s="11"/>
      <c r="F63" s="11"/>
      <c r="G63" s="11"/>
      <c r="H63" s="88" t="s">
        <v>139</v>
      </c>
      <c r="I63" s="104" t="str">
        <f>IF(_epmOfflineCondition_,"T6",_xll.EVPRO($B$1,$H63,"STYLE"))</f>
        <v>T6</v>
      </c>
      <c r="J63" s="104" t="str">
        <f>IF(_epmOfflineCondition_,"Y",_xll.EVPRO($B$1,$H63,"CALC"))</f>
        <v>Y</v>
      </c>
      <c r="K63" s="104"/>
      <c r="L63" s="104" t="str">
        <f>IF(_epmOfflineCondition_,"401330",_xll.EVPRO($B$1,H63,"JDEID"))</f>
        <v>401330</v>
      </c>
      <c r="M63" s="90" t="str">
        <f>IF(_epmOfflineCondition_,"",IF(AND(I63="N",J63="N"),_xll.EVPRO($B$1,H63,"PSFTID"),""))</f>
        <v/>
      </c>
      <c r="N63" s="104" t="str">
        <f>IF(_epmOfflineCondition_,"MICE",IF(_xll.EVDES(H63,$B$1)="#NODATA","",_xll.EVDES(H63,$B$1)))</f>
        <v>MICE</v>
      </c>
      <c r="O63" s="275"/>
      <c r="P63" s="276"/>
      <c r="Q63" s="276"/>
      <c r="R63" s="276"/>
      <c r="S63" s="276"/>
      <c r="T63" s="276"/>
      <c r="U63" s="276"/>
      <c r="V63" s="276"/>
      <c r="W63" s="276"/>
      <c r="X63" s="276"/>
      <c r="Y63" s="276"/>
      <c r="Z63" s="276"/>
      <c r="AA63" s="276">
        <f t="shared" si="6"/>
        <v>0</v>
      </c>
      <c r="AB63" s="277" t="str">
        <f t="shared" si="1"/>
        <v/>
      </c>
      <c r="AC63" s="140"/>
      <c r="AD63" s="278">
        <v>42801</v>
      </c>
      <c r="AE63" s="277">
        <f t="shared" si="2"/>
        <v>4.0772520968115058E-3</v>
      </c>
      <c r="AF63" s="279">
        <f t="shared" si="3"/>
        <v>-42801</v>
      </c>
      <c r="AG63" s="279"/>
      <c r="AH63" s="277" t="str">
        <f t="shared" si="4"/>
        <v/>
      </c>
      <c r="AI63" s="280">
        <f t="shared" si="5"/>
        <v>0</v>
      </c>
    </row>
    <row r="64" spans="1:35" x14ac:dyDescent="0.25">
      <c r="A64" s="11"/>
      <c r="B64" s="11"/>
      <c r="C64" s="11"/>
      <c r="D64" s="11"/>
      <c r="E64" s="11"/>
      <c r="F64" s="11"/>
      <c r="G64" s="11"/>
      <c r="H64" s="88" t="s">
        <v>68</v>
      </c>
      <c r="I64" s="89" t="str">
        <f>IF(_epmOfflineCondition_,"T5",_xll.EVPRO($B$1,$H64,"STYLE"))</f>
        <v>T5</v>
      </c>
      <c r="J64" s="89" t="str">
        <f>IF(_epmOfflineCondition_,"Y",_xll.EVPRO($B$1,$H64,"CALC"))</f>
        <v>Y</v>
      </c>
      <c r="K64" s="107"/>
      <c r="L64" s="106" t="str">
        <f>IF(_epmOfflineCondition_,"401200",_xll.EVPRO($B$1,H64,"JDEID"))</f>
        <v>401200</v>
      </c>
      <c r="M64" s="90" t="str">
        <f>IF(_epmOfflineCondition_,"",IF(AND(I64="N",J64="N"),_xll.EVPRO($B$1,H64,"PSFTID"),""))</f>
        <v/>
      </c>
      <c r="N64" s="106" t="str">
        <f>IF(_epmOfflineCondition_,"SMERF",IF(_xll.EVDES(H64,$B$1)="#NODATA","",_xll.EVDES(H64,$B$1)))</f>
        <v>SMERF</v>
      </c>
      <c r="O64" s="281"/>
      <c r="P64" s="282"/>
      <c r="Q64" s="282">
        <v>20398.47</v>
      </c>
      <c r="R64" s="282"/>
      <c r="S64" s="282">
        <v>7672</v>
      </c>
      <c r="T64" s="282">
        <v>3582</v>
      </c>
      <c r="U64" s="282">
        <v>1495</v>
      </c>
      <c r="V64" s="282">
        <v>498</v>
      </c>
      <c r="W64" s="282">
        <v>10815</v>
      </c>
      <c r="X64" s="282">
        <v>6454</v>
      </c>
      <c r="Y64" s="282">
        <v>27128</v>
      </c>
      <c r="Z64" s="282">
        <v>10413</v>
      </c>
      <c r="AA64" s="282">
        <f t="shared" si="6"/>
        <v>88455.47</v>
      </c>
      <c r="AB64" s="283">
        <f t="shared" si="1"/>
        <v>7.8344886164479991E-3</v>
      </c>
      <c r="AC64" s="140"/>
      <c r="AD64" s="284">
        <v>184064.35</v>
      </c>
      <c r="AE64" s="283">
        <f t="shared" si="2"/>
        <v>1.7534093992797994E-2</v>
      </c>
      <c r="AF64" s="285">
        <f t="shared" si="3"/>
        <v>-95608.88</v>
      </c>
      <c r="AG64" s="285">
        <v>70398</v>
      </c>
      <c r="AH64" s="283">
        <f t="shared" si="4"/>
        <v>7.4977193957566661E-3</v>
      </c>
      <c r="AI64" s="286">
        <f t="shared" si="5"/>
        <v>18057.47</v>
      </c>
    </row>
    <row r="65" spans="1:35" x14ac:dyDescent="0.25">
      <c r="A65" s="11"/>
      <c r="B65" s="11"/>
      <c r="C65" s="11"/>
      <c r="D65" s="11"/>
      <c r="E65" s="11"/>
      <c r="F65" s="11"/>
      <c r="G65" s="11"/>
      <c r="H65" s="88" t="s">
        <v>64</v>
      </c>
      <c r="I65" s="89" t="str">
        <f>IF(_epmOfflineCondition_,"T4",_xll.EVPRO($B$1,$H65,"STYLE"))</f>
        <v>T4</v>
      </c>
      <c r="J65" s="89" t="str">
        <f>IF(_epmOfflineCondition_,"Y",_xll.EVPRO($B$1,$H65,"CALC"))</f>
        <v>Y</v>
      </c>
      <c r="K65" s="107"/>
      <c r="L65" s="106" t="str">
        <f>IF(_epmOfflineCondition_,"401000",_xll.EVPRO($B$1,H65,"JDEID"))</f>
        <v>401000</v>
      </c>
      <c r="M65" s="90" t="str">
        <f>IF(_epmOfflineCondition_,"",IF(AND(I65="N",J65="N"),_xll.EVPRO($B$1,H65,"PSFTID"),""))</f>
        <v/>
      </c>
      <c r="N65" s="106" t="str">
        <f>IF(_epmOfflineCondition_,"Total Group Room Rev",IF(_xll.EVDES(H65,$B$1)="#NODATA","",_xll.EVDES(H65,$B$1)))</f>
        <v>Total Group Room Rev</v>
      </c>
      <c r="O65" s="287">
        <v>113091</v>
      </c>
      <c r="P65" s="288">
        <v>77003</v>
      </c>
      <c r="Q65" s="288">
        <v>214302.95</v>
      </c>
      <c r="R65" s="288">
        <v>172820</v>
      </c>
      <c r="S65" s="288">
        <v>287741</v>
      </c>
      <c r="T65" s="288">
        <v>86387.35</v>
      </c>
      <c r="U65" s="288">
        <v>48292</v>
      </c>
      <c r="V65" s="288">
        <v>10481</v>
      </c>
      <c r="W65" s="288">
        <v>29202</v>
      </c>
      <c r="X65" s="288">
        <v>57133</v>
      </c>
      <c r="Y65" s="288">
        <v>128338</v>
      </c>
      <c r="Z65" s="288">
        <v>85990</v>
      </c>
      <c r="AA65" s="288">
        <f t="shared" si="6"/>
        <v>1310781.2999999998</v>
      </c>
      <c r="AB65" s="289">
        <f t="shared" si="1"/>
        <v>0.11609571656227601</v>
      </c>
      <c r="AC65" s="140"/>
      <c r="AD65" s="290">
        <v>787348.15</v>
      </c>
      <c r="AE65" s="289">
        <f t="shared" si="2"/>
        <v>7.5003315238152388E-2</v>
      </c>
      <c r="AF65" s="291">
        <f t="shared" si="3"/>
        <v>523433.14999999979</v>
      </c>
      <c r="AG65" s="291">
        <v>354207.85</v>
      </c>
      <c r="AH65" s="289">
        <f t="shared" si="4"/>
        <v>3.7724808475727546E-2</v>
      </c>
      <c r="AI65" s="292">
        <f t="shared" si="5"/>
        <v>956573.44999999984</v>
      </c>
    </row>
    <row r="66" spans="1:35" x14ac:dyDescent="0.25">
      <c r="A66" s="11"/>
      <c r="B66" s="11"/>
      <c r="C66" s="11"/>
      <c r="D66" s="11"/>
      <c r="E66" s="11"/>
      <c r="F66" s="11"/>
      <c r="G66" s="11"/>
      <c r="H66" s="88" t="s">
        <v>140</v>
      </c>
      <c r="I66" s="104" t="str">
        <f>IF(_epmOfflineCondition_,"T6",_xll.EVPRO($B$1,$H66,"STYLE"))</f>
        <v>T6</v>
      </c>
      <c r="J66" s="104" t="str">
        <f>IF(_epmOfflineCondition_,"Y",_xll.EVPRO($B$1,$H66,"CALC"))</f>
        <v>Y</v>
      </c>
      <c r="K66" s="104"/>
      <c r="L66" s="104" t="str">
        <f>IF(_epmOfflineCondition_,"401700",_xll.EVPRO($B$1,H66,"JDEID"))</f>
        <v>401700</v>
      </c>
      <c r="M66" s="90" t="str">
        <f>IF(_epmOfflineCondition_,"",IF(AND(I66="N",J66="N"),_xll.EVPRO($B$1,H66,"PSFTID"),""))</f>
        <v/>
      </c>
      <c r="N66" s="104" t="str">
        <f>IF(_epmOfflineCondition_,"Contract",IF(_xll.EVDES(H66,$B$1)="#NODATA","",_xll.EVDES(H66,$B$1)))</f>
        <v>Contract</v>
      </c>
      <c r="O66" s="299"/>
      <c r="P66" s="300"/>
      <c r="Q66" s="300"/>
      <c r="R66" s="300"/>
      <c r="S66" s="300"/>
      <c r="T66" s="300"/>
      <c r="U66" s="300"/>
      <c r="V66" s="300"/>
      <c r="W66" s="300"/>
      <c r="X66" s="300"/>
      <c r="Y66" s="300"/>
      <c r="Z66" s="300"/>
      <c r="AA66" s="300">
        <f t="shared" si="6"/>
        <v>0</v>
      </c>
      <c r="AB66" s="301" t="str">
        <f t="shared" si="1"/>
        <v/>
      </c>
      <c r="AC66" s="140"/>
      <c r="AD66" s="302"/>
      <c r="AE66" s="301" t="str">
        <f t="shared" si="2"/>
        <v/>
      </c>
      <c r="AF66" s="303">
        <f t="shared" si="3"/>
        <v>0</v>
      </c>
      <c r="AG66" s="303"/>
      <c r="AH66" s="301" t="str">
        <f t="shared" si="4"/>
        <v/>
      </c>
      <c r="AI66" s="304">
        <f t="shared" si="5"/>
        <v>0</v>
      </c>
    </row>
    <row r="67" spans="1:35" x14ac:dyDescent="0.25">
      <c r="A67" s="11"/>
      <c r="B67" s="11"/>
      <c r="C67" s="11"/>
      <c r="D67" s="11"/>
      <c r="E67" s="11"/>
      <c r="F67" s="11"/>
      <c r="G67" s="11"/>
      <c r="H67" s="88" t="s">
        <v>67</v>
      </c>
      <c r="I67" s="89" t="str">
        <f>IF(_epmOfflineCondition_,"T5",_xll.EVPRO($B$1,$H67,"STYLE"))</f>
        <v>T5</v>
      </c>
      <c r="J67" s="89" t="str">
        <f>IF(_epmOfflineCondition_,"Y",_xll.EVPRO($B$1,$H67,"CALC"))</f>
        <v>Y</v>
      </c>
      <c r="K67" s="107"/>
      <c r="L67" s="106" t="str">
        <f>IF(_epmOfflineCondition_,"403000",_xll.EVPRO($B$1,H67,"JDEID"))</f>
        <v>403000</v>
      </c>
      <c r="M67" s="90" t="str">
        <f>IF(_epmOfflineCondition_,"",IF(AND(I67="N",J67="N"),_xll.EVPRO($B$1,H67,"PSFTID"),""))</f>
        <v/>
      </c>
      <c r="N67" s="106" t="str">
        <f>IF(_epmOfflineCondition_,"Other Rooms Revenue",IF(_xll.EVDES(H67,$B$1)="#NODATA","",_xll.EVDES(H67,$B$1)))</f>
        <v>Other Rooms Revenue</v>
      </c>
      <c r="O67" s="269">
        <v>8082.15</v>
      </c>
      <c r="P67" s="270">
        <v>7137.03</v>
      </c>
      <c r="Q67" s="270">
        <v>12816.25</v>
      </c>
      <c r="R67" s="270">
        <v>7475.72</v>
      </c>
      <c r="S67" s="270">
        <v>12153.86</v>
      </c>
      <c r="T67" s="270">
        <v>5725.29</v>
      </c>
      <c r="U67" s="270">
        <v>7778.88</v>
      </c>
      <c r="V67" s="270">
        <v>6899.82</v>
      </c>
      <c r="W67" s="270">
        <v>4271.71</v>
      </c>
      <c r="X67" s="270">
        <v>8149.67</v>
      </c>
      <c r="Y67" s="270">
        <v>13848.62</v>
      </c>
      <c r="Z67" s="270">
        <v>10719.86</v>
      </c>
      <c r="AA67" s="270">
        <f t="shared" si="6"/>
        <v>105058.86</v>
      </c>
      <c r="AB67" s="271">
        <f t="shared" si="1"/>
        <v>9.3050485484617741E-3</v>
      </c>
      <c r="AC67" s="140"/>
      <c r="AD67" s="272">
        <v>98591.85</v>
      </c>
      <c r="AE67" s="271">
        <f t="shared" si="2"/>
        <v>9.391926056424511E-3</v>
      </c>
      <c r="AF67" s="273">
        <f t="shared" si="3"/>
        <v>6467.0099999999948</v>
      </c>
      <c r="AG67" s="273">
        <v>86577.83</v>
      </c>
      <c r="AH67" s="271">
        <f t="shared" si="4"/>
        <v>9.2209476864900056E-3</v>
      </c>
      <c r="AI67" s="274">
        <f t="shared" si="5"/>
        <v>18481.03</v>
      </c>
    </row>
    <row r="68" spans="1:35" x14ac:dyDescent="0.25">
      <c r="A68" s="11"/>
      <c r="B68" s="11"/>
      <c r="C68" s="11"/>
      <c r="D68" s="11"/>
      <c r="E68" s="11"/>
      <c r="F68" s="11"/>
      <c r="G68" s="11"/>
      <c r="H68" s="88" t="s">
        <v>91</v>
      </c>
      <c r="I68" s="104" t="str">
        <f>IF(_epmOfflineCondition_,"N",_xll.EVPRO($B$1,$H68,"STYLE"))</f>
        <v>N</v>
      </c>
      <c r="J68" s="104" t="str">
        <f>IF(_epmOfflineCondition_,"N",_xll.EVPRO($B$1,$H68,"CALC"))</f>
        <v>N</v>
      </c>
      <c r="K68" s="104"/>
      <c r="L68" s="104" t="str">
        <f>IF(_epmOfflineCondition_,"403990",_xll.EVPRO($B$1,H68,"JDEID"))</f>
        <v>403990</v>
      </c>
      <c r="M68" s="90" t="str">
        <f>IF(_epmOfflineCondition_,"200529",IF(AND(I68="N",J68="N"),_xll.EVPRO($B$1,H68,"PSFTID"),""))</f>
        <v>200529</v>
      </c>
      <c r="N68" s="104" t="str">
        <f>IF(_epmOfflineCondition_,"Rooms: Allowances",IF(_xll.EVDES(H68,$B$1)="#NODATA","",_xll.EVDES(H68,$B$1)))</f>
        <v>Rooms: Allowances</v>
      </c>
      <c r="O68" s="305">
        <v>-4946.3500000000004</v>
      </c>
      <c r="P68" s="306">
        <v>-5477.72</v>
      </c>
      <c r="Q68" s="306">
        <v>-3681.07</v>
      </c>
      <c r="R68" s="306">
        <v>-8141.72</v>
      </c>
      <c r="S68" s="306">
        <v>-468.77</v>
      </c>
      <c r="T68" s="306">
        <v>-1033.1500000000001</v>
      </c>
      <c r="U68" s="306">
        <v>-1564.6</v>
      </c>
      <c r="V68" s="306">
        <v>-1299.43</v>
      </c>
      <c r="W68" s="306">
        <v>-17.2</v>
      </c>
      <c r="X68" s="306">
        <v>-4178.12</v>
      </c>
      <c r="Y68" s="306">
        <v>-2814.75</v>
      </c>
      <c r="Z68" s="306">
        <v>-1539.22</v>
      </c>
      <c r="AA68" s="306">
        <f t="shared" si="6"/>
        <v>-35162.100000000006</v>
      </c>
      <c r="AB68" s="307">
        <f t="shared" si="1"/>
        <v>-3.1143022831760007E-3</v>
      </c>
      <c r="AC68" s="140"/>
      <c r="AD68" s="308">
        <v>-49721.7</v>
      </c>
      <c r="AE68" s="307">
        <f t="shared" si="2"/>
        <v>-4.7365226415745573E-3</v>
      </c>
      <c r="AF68" s="309">
        <f t="shared" si="3"/>
        <v>14559.599999999991</v>
      </c>
      <c r="AG68" s="309">
        <v>-41470.44</v>
      </c>
      <c r="AH68" s="307">
        <f t="shared" si="4"/>
        <v>-4.4167976695156548E-3</v>
      </c>
      <c r="AI68" s="310">
        <f t="shared" si="5"/>
        <v>6308.3399999999965</v>
      </c>
    </row>
    <row r="69" spans="1:35" x14ac:dyDescent="0.25">
      <c r="A69" s="11"/>
      <c r="B69" s="11"/>
      <c r="C69" s="11"/>
      <c r="D69" s="11"/>
      <c r="E69" s="11"/>
      <c r="F69" s="11"/>
      <c r="G69" s="76"/>
      <c r="H69" s="88" t="s">
        <v>72</v>
      </c>
      <c r="I69" s="89" t="str">
        <f>IF(_epmOfflineCondition_,"T4",_xll.EVPRO($B$1,$H69,"STYLE"))</f>
        <v>T4</v>
      </c>
      <c r="J69" s="89" t="str">
        <f>IF(_epmOfflineCondition_,"Y",_xll.EVPRO($B$1,$H69,"CALC"))</f>
        <v>Y</v>
      </c>
      <c r="K69" s="107"/>
      <c r="L69" s="106" t="str">
        <f>IF(_epmOfflineCondition_,"",_xll.EVPRO($B$1,H69,"JDEID"))</f>
        <v/>
      </c>
      <c r="M69" s="90" t="str">
        <f>IF(_epmOfflineCondition_,"",IF(AND(I69="N",J69="N"),_xll.EVPRO($B$1,H69,"PSFTID"),""))</f>
        <v/>
      </c>
      <c r="N69" s="106" t="str">
        <f>IF(_epmOfflineCondition_,"Total Rooms Revenue",IF(_xll.EVDES(H69,$B$1)="#NODATA","",_xll.EVDES(H69,$B$1)))</f>
        <v>Total Rooms Revenue</v>
      </c>
      <c r="O69" s="287">
        <v>1025016.2</v>
      </c>
      <c r="P69" s="288">
        <v>1285573.24</v>
      </c>
      <c r="Q69" s="288">
        <v>1294193.3600000001</v>
      </c>
      <c r="R69" s="288">
        <v>1275725.45</v>
      </c>
      <c r="S69" s="288">
        <v>1132388.8999999999</v>
      </c>
      <c r="T69" s="288">
        <v>682344.89</v>
      </c>
      <c r="U69" s="288">
        <v>798763.55</v>
      </c>
      <c r="V69" s="288">
        <v>627939.34</v>
      </c>
      <c r="W69" s="288">
        <v>494100.26</v>
      </c>
      <c r="X69" s="288">
        <v>644565.39</v>
      </c>
      <c r="Y69" s="288">
        <v>900298.18</v>
      </c>
      <c r="Z69" s="288">
        <v>1129613.74</v>
      </c>
      <c r="AA69" s="288">
        <f t="shared" si="6"/>
        <v>11290522.5</v>
      </c>
      <c r="AB69" s="289">
        <f t="shared" si="1"/>
        <v>1</v>
      </c>
      <c r="AC69" s="140"/>
      <c r="AD69" s="290">
        <v>10497511.310000001</v>
      </c>
      <c r="AE69" s="289">
        <f t="shared" si="2"/>
        <v>1</v>
      </c>
      <c r="AF69" s="291">
        <f t="shared" si="3"/>
        <v>793011.18999999948</v>
      </c>
      <c r="AG69" s="291">
        <v>9389255.0899999999</v>
      </c>
      <c r="AH69" s="289">
        <f t="shared" si="4"/>
        <v>1</v>
      </c>
      <c r="AI69" s="292">
        <f t="shared" si="5"/>
        <v>1901267.4100000001</v>
      </c>
    </row>
    <row r="70" spans="1:35" x14ac:dyDescent="0.25">
      <c r="A70" s="11"/>
      <c r="B70" s="11"/>
      <c r="C70" s="11"/>
      <c r="D70" s="11"/>
      <c r="E70" s="11"/>
      <c r="F70" s="11"/>
      <c r="G70" s="76"/>
      <c r="H70" s="55"/>
      <c r="I70" s="59"/>
      <c r="J70" s="59"/>
      <c r="K70" s="11"/>
      <c r="L70" s="11"/>
      <c r="M70" s="11"/>
      <c r="N70" s="11"/>
      <c r="O70" s="203"/>
      <c r="P70" s="204"/>
      <c r="Q70" s="204"/>
      <c r="R70" s="204"/>
      <c r="S70" s="204"/>
      <c r="T70" s="204"/>
      <c r="U70" s="204"/>
      <c r="V70" s="204"/>
      <c r="W70" s="204"/>
      <c r="X70" s="204"/>
      <c r="Y70" s="204"/>
      <c r="Z70" s="204"/>
      <c r="AA70" s="204"/>
      <c r="AB70" s="118"/>
      <c r="AC70" s="11"/>
      <c r="AD70" s="203"/>
      <c r="AE70" s="204"/>
      <c r="AF70" s="118"/>
      <c r="AG70" s="203"/>
      <c r="AH70" s="204"/>
      <c r="AI70" s="118"/>
    </row>
    <row r="71" spans="1:35" x14ac:dyDescent="0.25">
      <c r="A71" s="11"/>
      <c r="B71" s="11"/>
      <c r="C71" s="11"/>
      <c r="D71" s="11"/>
      <c r="E71" s="11"/>
      <c r="F71" s="11"/>
      <c r="G71" s="76"/>
      <c r="H71" s="11" t="s">
        <v>173</v>
      </c>
      <c r="I71" s="59" t="str">
        <f>IF(_epmOfflineCondition_,"T1",_xll.EVPRO($B$1,$H71,"STYLE"))</f>
        <v>T1</v>
      </c>
      <c r="J71" s="59" t="str">
        <f>IF(_epmOfflineCondition_,"Y",_xll.EVPRO($B$1,$H71,"CALC"))</f>
        <v>Y</v>
      </c>
      <c r="K71" s="11"/>
      <c r="L71" s="11"/>
      <c r="M71" s="11"/>
      <c r="N71" s="105" t="str">
        <f>IF(_epmOfflineCondition_,"Rooms Statistics",IF(_xll.EVDES(H71,$B$1)="#NODATA","",_xll.EVDES(H71,$B$1)))</f>
        <v>Rooms Statistics</v>
      </c>
      <c r="O71" s="203"/>
      <c r="P71" s="204"/>
      <c r="Q71" s="204"/>
      <c r="R71" s="204"/>
      <c r="S71" s="204"/>
      <c r="T71" s="204"/>
      <c r="U71" s="204"/>
      <c r="V71" s="204"/>
      <c r="W71" s="204"/>
      <c r="X71" s="204"/>
      <c r="Y71" s="204"/>
      <c r="Z71" s="204"/>
      <c r="AA71" s="204"/>
      <c r="AB71" s="264" t="s">
        <v>742</v>
      </c>
      <c r="AC71" s="11"/>
      <c r="AD71" s="203"/>
      <c r="AE71" s="204"/>
      <c r="AF71" s="118"/>
      <c r="AG71" s="203"/>
      <c r="AH71" s="204"/>
      <c r="AI71" s="118"/>
    </row>
    <row r="72" spans="1:35" x14ac:dyDescent="0.25">
      <c r="A72" s="11"/>
      <c r="B72" s="11"/>
      <c r="C72" s="11"/>
      <c r="D72" s="11"/>
      <c r="E72" s="11"/>
      <c r="F72" s="11"/>
      <c r="G72" s="11"/>
      <c r="H72" s="88" t="s">
        <v>142</v>
      </c>
      <c r="I72" s="89" t="str">
        <f>IF(_epmOfflineCondition_,"T3",_xll.EVPRO($B$1,$H72,"STYLE"))</f>
        <v>T3</v>
      </c>
      <c r="J72" s="89" t="str">
        <f>IF(_epmOfflineCondition_,"Y",_xll.EVPRO($B$1,$H72,"CALC"))</f>
        <v>Y</v>
      </c>
      <c r="K72" s="265"/>
      <c r="L72" s="106" t="str">
        <f>IF(_epmOfflineCondition_,"",_xll.EVPRO($B$1,H72,"JDEID"))</f>
        <v/>
      </c>
      <c r="M72" s="90" t="str">
        <f>IF(_epmOfflineCondition_,"",IF(AND(I72="N",J72="N"),_xll.EVPRO($B$1,H72,"PSFTID"),""))</f>
        <v/>
      </c>
      <c r="N72" s="106" t="str">
        <f>IF(_epmOfflineCondition_,"Retail",IF(_xll.EVDES(H72,$B$1)="#NODATA","",_xll.EVDES(H72,$B$1)))</f>
        <v>Retail</v>
      </c>
      <c r="O72" s="269">
        <v>1331</v>
      </c>
      <c r="P72" s="270">
        <v>1013</v>
      </c>
      <c r="Q72" s="270">
        <v>1037</v>
      </c>
      <c r="R72" s="270">
        <v>1002</v>
      </c>
      <c r="S72" s="270">
        <v>1387</v>
      </c>
      <c r="T72" s="270">
        <v>1404</v>
      </c>
      <c r="U72" s="270">
        <v>1748</v>
      </c>
      <c r="V72" s="270">
        <v>1650</v>
      </c>
      <c r="W72" s="270">
        <v>1275</v>
      </c>
      <c r="X72" s="270">
        <v>1325</v>
      </c>
      <c r="Y72" s="270">
        <v>1451</v>
      </c>
      <c r="Z72" s="270">
        <v>1735</v>
      </c>
      <c r="AA72" s="270">
        <f t="shared" ref="AA72:AA116" si="7">SUM(O72:Z72)</f>
        <v>16358</v>
      </c>
      <c r="AB72" s="311">
        <f t="shared" ref="AB72:AB116" si="8">IF($H72="907300",TEXT(IFERROR(AA72/AA$20,""),"0.00"),IF(AA72=0,"",IFERROR(AA72/AA$20,"")))</f>
        <v>0.39594326378467348</v>
      </c>
      <c r="AC72" s="140"/>
      <c r="AD72" s="272">
        <v>9900</v>
      </c>
      <c r="AE72" s="311">
        <f t="shared" ref="AE72:AE116" si="9">IF($H72="907300",TEXT(IFERROR(AD72/AD$20,""),"0.00"),IF(AD72=0,"",IFERROR(AD72/AD$20,"""")))</f>
        <v>0.2536380405820865</v>
      </c>
      <c r="AF72" s="273">
        <f t="shared" ref="AF72:AF116" si="10">IF(AND($AA72="",AD72=""),"",$AA72-AD72)</f>
        <v>6458</v>
      </c>
      <c r="AG72" s="273">
        <v>11382</v>
      </c>
      <c r="AH72" s="311">
        <f t="shared" ref="AH72:AH116" si="11">IF($H72="907300",TEXT(IFERROR(AG72/AG$20,""),"0.00"),IF(AG72=0,"",IFERROR(AG72/AG$20,"""")))</f>
        <v>0.28300057186901711</v>
      </c>
      <c r="AI72" s="274">
        <f t="shared" ref="AI72:AI116" si="12">IF(AND($AA72="",AG72=""),"",$AA72-AG72)</f>
        <v>4976</v>
      </c>
    </row>
    <row r="73" spans="1:35" x14ac:dyDescent="0.25">
      <c r="A73" s="11"/>
      <c r="B73" s="11"/>
      <c r="C73" s="11"/>
      <c r="D73" s="11"/>
      <c r="E73" s="11"/>
      <c r="F73" s="11"/>
      <c r="G73" s="11"/>
      <c r="H73" s="88" t="s">
        <v>143</v>
      </c>
      <c r="I73" s="104" t="str">
        <f>IF(_epmOfflineCondition_,"N",_xll.EVPRO($B$1,$H73,"STYLE"))</f>
        <v>N</v>
      </c>
      <c r="J73" s="104" t="str">
        <f>IF(_epmOfflineCondition_,"N",_xll.EVPRO($B$1,$H73,"CALC"))</f>
        <v>N</v>
      </c>
      <c r="K73" s="104"/>
      <c r="L73" s="104" t="str">
        <f>IF(_epmOfflineCondition_,"902100",_xll.EVPRO($B$1,H73,"JDEID"))</f>
        <v>902100</v>
      </c>
      <c r="M73" s="90" t="str">
        <f>IF(_epmOfflineCondition_,"991768",IF(AND(I73="N",J73="N"),_xll.EVPRO($B$1,H73,"PSFTID"),""))</f>
        <v>991768</v>
      </c>
      <c r="N73" s="104" t="str">
        <f>IF(_epmOfflineCondition_,"Room Only",IF(_xll.EVDES(H73,$B$1)="#NODATA","",_xll.EVDES(H73,$B$1)))</f>
        <v>Room Only</v>
      </c>
      <c r="O73" s="275">
        <v>198</v>
      </c>
      <c r="P73" s="276">
        <v>146</v>
      </c>
      <c r="Q73" s="276">
        <v>133</v>
      </c>
      <c r="R73" s="276">
        <v>172</v>
      </c>
      <c r="S73" s="276">
        <v>197</v>
      </c>
      <c r="T73" s="276">
        <v>158</v>
      </c>
      <c r="U73" s="276">
        <v>92</v>
      </c>
      <c r="V73" s="276">
        <v>119</v>
      </c>
      <c r="W73" s="276">
        <v>113</v>
      </c>
      <c r="X73" s="276">
        <v>111</v>
      </c>
      <c r="Y73" s="276">
        <v>180</v>
      </c>
      <c r="Z73" s="276">
        <v>187</v>
      </c>
      <c r="AA73" s="276">
        <f t="shared" si="7"/>
        <v>1806</v>
      </c>
      <c r="AB73" s="312">
        <f t="shared" si="8"/>
        <v>4.3713995255845475E-2</v>
      </c>
      <c r="AC73" s="140"/>
      <c r="AD73" s="278">
        <v>2307</v>
      </c>
      <c r="AE73" s="312">
        <f t="shared" si="9"/>
        <v>5.9105349456855916E-2</v>
      </c>
      <c r="AF73" s="279">
        <f t="shared" si="10"/>
        <v>-501</v>
      </c>
      <c r="AG73" s="279">
        <v>2285</v>
      </c>
      <c r="AH73" s="312">
        <f t="shared" si="11"/>
        <v>5.6813943658469875E-2</v>
      </c>
      <c r="AI73" s="280">
        <f t="shared" si="12"/>
        <v>-479</v>
      </c>
    </row>
    <row r="74" spans="1:35" x14ac:dyDescent="0.25">
      <c r="A74" s="11"/>
      <c r="B74" s="11"/>
      <c r="C74" s="11"/>
      <c r="D74" s="11"/>
      <c r="E74" s="11"/>
      <c r="F74" s="11"/>
      <c r="G74" s="11"/>
      <c r="H74" s="88" t="s">
        <v>144</v>
      </c>
      <c r="I74" s="104" t="str">
        <f>IF(_epmOfflineCondition_,"N",_xll.EVPRO($B$1,$H74,"STYLE"))</f>
        <v>N</v>
      </c>
      <c r="J74" s="104" t="str">
        <f>IF(_epmOfflineCondition_,"N",_xll.EVPRO($B$1,$H74,"CALC"))</f>
        <v>N</v>
      </c>
      <c r="K74" s="104"/>
      <c r="L74" s="104" t="str">
        <f>IF(_epmOfflineCondition_,"902130",_xll.EVPRO($B$1,H74,"JDEID"))</f>
        <v>902130</v>
      </c>
      <c r="M74" s="90" t="str">
        <f>IF(_epmOfflineCondition_,"991755",IF(AND(I74="N",J74="N"),_xll.EVPRO($B$1,H74,"PSFTID"),""))</f>
        <v>991755</v>
      </c>
      <c r="N74" s="104" t="str">
        <f>IF(_epmOfflineCondition_,"Retail Web",IF(_xll.EVDES(H74,$B$1)="#NODATA","",_xll.EVDES(H74,$B$1)))</f>
        <v>Retail Web</v>
      </c>
      <c r="O74" s="275">
        <v>1133</v>
      </c>
      <c r="P74" s="276">
        <v>867</v>
      </c>
      <c r="Q74" s="276">
        <v>904</v>
      </c>
      <c r="R74" s="276">
        <v>830</v>
      </c>
      <c r="S74" s="276">
        <v>1190</v>
      </c>
      <c r="T74" s="276">
        <v>1246</v>
      </c>
      <c r="U74" s="276">
        <v>1656</v>
      </c>
      <c r="V74" s="276">
        <v>1531</v>
      </c>
      <c r="W74" s="276">
        <v>1162</v>
      </c>
      <c r="X74" s="276">
        <v>1214</v>
      </c>
      <c r="Y74" s="276">
        <v>1271</v>
      </c>
      <c r="Z74" s="276">
        <v>1548</v>
      </c>
      <c r="AA74" s="276">
        <f t="shared" si="7"/>
        <v>14552</v>
      </c>
      <c r="AB74" s="312">
        <f t="shared" si="8"/>
        <v>0.35222926852882802</v>
      </c>
      <c r="AC74" s="140"/>
      <c r="AD74" s="278">
        <v>7593</v>
      </c>
      <c r="AE74" s="312">
        <f t="shared" si="9"/>
        <v>0.19453269112523058</v>
      </c>
      <c r="AF74" s="279">
        <f t="shared" si="10"/>
        <v>6959</v>
      </c>
      <c r="AG74" s="279">
        <v>9097</v>
      </c>
      <c r="AH74" s="312">
        <f t="shared" si="11"/>
        <v>0.22618662821054725</v>
      </c>
      <c r="AI74" s="280">
        <f t="shared" si="12"/>
        <v>5455</v>
      </c>
    </row>
    <row r="75" spans="1:35" x14ac:dyDescent="0.25">
      <c r="A75" s="11"/>
      <c r="B75" s="11"/>
      <c r="C75" s="11"/>
      <c r="D75" s="11"/>
      <c r="E75" s="11"/>
      <c r="F75" s="11"/>
      <c r="G75" s="11"/>
      <c r="H75" s="88" t="s">
        <v>145</v>
      </c>
      <c r="I75" s="89" t="str">
        <f>IF(_epmOfflineCondition_,"T3",_xll.EVPRO($B$1,$H75,"STYLE"))</f>
        <v>T3</v>
      </c>
      <c r="J75" s="89" t="str">
        <f>IF(_epmOfflineCondition_,"Y",_xll.EVPRO($B$1,$H75,"CALC"))</f>
        <v>Y</v>
      </c>
      <c r="K75" s="265"/>
      <c r="L75" s="106" t="str">
        <f>IF(_epmOfflineCondition_,"",_xll.EVPRO($B$1,H75,"JDEID"))</f>
        <v/>
      </c>
      <c r="M75" s="90" t="str">
        <f>IF(_epmOfflineCondition_,"",IF(AND(I75="N",J75="N"),_xll.EVPRO($B$1,H75,"PSFTID"),""))</f>
        <v/>
      </c>
      <c r="N75" s="106" t="str">
        <f>IF(_epmOfflineCondition_,"Discount",IF(_xll.EVDES(H75,$B$1)="#NODATA","",_xll.EVDES(H75,$B$1)))</f>
        <v>Discount</v>
      </c>
      <c r="O75" s="269">
        <v>1575</v>
      </c>
      <c r="P75" s="270">
        <v>1744</v>
      </c>
      <c r="Q75" s="270">
        <v>1488</v>
      </c>
      <c r="R75" s="270">
        <v>1583</v>
      </c>
      <c r="S75" s="270">
        <v>1090</v>
      </c>
      <c r="T75" s="270">
        <v>1064</v>
      </c>
      <c r="U75" s="270">
        <v>1152</v>
      </c>
      <c r="V75" s="270">
        <v>1182</v>
      </c>
      <c r="W75" s="270">
        <v>1062</v>
      </c>
      <c r="X75" s="270">
        <v>1165</v>
      </c>
      <c r="Y75" s="270">
        <v>1094</v>
      </c>
      <c r="Z75" s="270">
        <v>1251</v>
      </c>
      <c r="AA75" s="270">
        <f t="shared" si="7"/>
        <v>15450</v>
      </c>
      <c r="AB75" s="311">
        <f t="shared" si="8"/>
        <v>0.37396524180665147</v>
      </c>
      <c r="AC75" s="140"/>
      <c r="AD75" s="272">
        <v>20206</v>
      </c>
      <c r="AE75" s="311">
        <f t="shared" si="9"/>
        <v>0.51767780282844844</v>
      </c>
      <c r="AF75" s="273">
        <f t="shared" si="10"/>
        <v>-4756</v>
      </c>
      <c r="AG75" s="273">
        <v>22220</v>
      </c>
      <c r="AH75" s="311">
        <f t="shared" si="11"/>
        <v>0.55247519828936575</v>
      </c>
      <c r="AI75" s="274">
        <f t="shared" si="12"/>
        <v>-6770</v>
      </c>
    </row>
    <row r="76" spans="1:35" x14ac:dyDescent="0.25">
      <c r="A76" s="11"/>
      <c r="B76" s="11"/>
      <c r="C76" s="11"/>
      <c r="D76" s="11"/>
      <c r="E76" s="11"/>
      <c r="F76" s="11"/>
      <c r="G76" s="76"/>
      <c r="H76" s="88" t="s">
        <v>146</v>
      </c>
      <c r="I76" s="104" t="str">
        <f>IF(_epmOfflineCondition_,"N",_xll.EVPRO($B$1,$H76,"STYLE"))</f>
        <v>N</v>
      </c>
      <c r="J76" s="104" t="str">
        <f>IF(_epmOfflineCondition_,"N",_xll.EVPRO($B$1,$H76,"CALC"))</f>
        <v>N</v>
      </c>
      <c r="K76" s="104"/>
      <c r="L76" s="104" t="str">
        <f>IF(_epmOfflineCondition_,"902530",_xll.EVPRO($B$1,H76,"JDEID"))</f>
        <v>902530</v>
      </c>
      <c r="M76" s="90" t="str">
        <f>IF(_epmOfflineCondition_,"991014",IF(AND(I76="N",J76="N"),_xll.EVPRO($B$1,H76,"PSFTID"),""))</f>
        <v>991014</v>
      </c>
      <c r="N76" s="104" t="str">
        <f>IF(_epmOfflineCondition_,"Package",IF(_xll.EVDES(H76,$B$1)="#NODATA","",_xll.EVDES(H76,$B$1)))</f>
        <v>Package</v>
      </c>
      <c r="O76" s="275">
        <v>27</v>
      </c>
      <c r="P76" s="276">
        <v>21</v>
      </c>
      <c r="Q76" s="276">
        <v>8</v>
      </c>
      <c r="R76" s="276">
        <v>18</v>
      </c>
      <c r="S76" s="276">
        <v>19</v>
      </c>
      <c r="T76" s="276">
        <v>16</v>
      </c>
      <c r="U76" s="276">
        <v>7</v>
      </c>
      <c r="V76" s="276">
        <v>18</v>
      </c>
      <c r="W76" s="276">
        <v>12</v>
      </c>
      <c r="X76" s="276">
        <v>5</v>
      </c>
      <c r="Y76" s="276">
        <v>15</v>
      </c>
      <c r="Z76" s="276">
        <v>32</v>
      </c>
      <c r="AA76" s="276">
        <f t="shared" si="7"/>
        <v>198</v>
      </c>
      <c r="AB76" s="312">
        <f t="shared" si="8"/>
        <v>4.7925642639299023E-3</v>
      </c>
      <c r="AC76" s="140"/>
      <c r="AD76" s="278">
        <v>867</v>
      </c>
      <c r="AE76" s="312">
        <f t="shared" si="9"/>
        <v>2.221254355400697E-2</v>
      </c>
      <c r="AF76" s="279">
        <f t="shared" si="10"/>
        <v>-669</v>
      </c>
      <c r="AG76" s="279">
        <v>284</v>
      </c>
      <c r="AH76" s="312">
        <f t="shared" si="11"/>
        <v>7.0613391680548997E-3</v>
      </c>
      <c r="AI76" s="280">
        <f t="shared" si="12"/>
        <v>-86</v>
      </c>
    </row>
    <row r="77" spans="1:35" x14ac:dyDescent="0.25">
      <c r="A77" s="11"/>
      <c r="B77" s="11"/>
      <c r="C77" s="11"/>
      <c r="D77" s="11"/>
      <c r="E77" s="11"/>
      <c r="F77" s="11"/>
      <c r="G77" s="76"/>
      <c r="H77" s="88" t="s">
        <v>147</v>
      </c>
      <c r="I77" s="104" t="str">
        <f>IF(_epmOfflineCondition_,"N",_xll.EVPRO($B$1,$H77,"STYLE"))</f>
        <v>N</v>
      </c>
      <c r="J77" s="104" t="str">
        <f>IF(_epmOfflineCondition_,"N",_xll.EVPRO($B$1,$H77,"CALC"))</f>
        <v>N</v>
      </c>
      <c r="K77" s="104"/>
      <c r="L77" s="104" t="str">
        <f>IF(_epmOfflineCondition_,"902500",_xll.EVPRO($B$1,H77,"JDEID"))</f>
        <v>902500</v>
      </c>
      <c r="M77" s="90" t="str">
        <f>IF(_epmOfflineCondition_,"991759",IF(AND(I77="N",J77="N"),_xll.EVPRO($B$1,H77,"PSFTID"),""))</f>
        <v>991759</v>
      </c>
      <c r="N77" s="104" t="str">
        <f>IF(_epmOfflineCondition_,"OTA Opaque",IF(_xll.EVDES(H77,$B$1)="#NODATA","",_xll.EVDES(H77,$B$1)))</f>
        <v>OTA Opaque</v>
      </c>
      <c r="O77" s="275">
        <v>128</v>
      </c>
      <c r="P77" s="276">
        <v>102</v>
      </c>
      <c r="Q77" s="276">
        <v>127</v>
      </c>
      <c r="R77" s="276">
        <v>98</v>
      </c>
      <c r="S77" s="276">
        <v>65</v>
      </c>
      <c r="T77" s="276">
        <v>95</v>
      </c>
      <c r="U77" s="276">
        <v>179</v>
      </c>
      <c r="V77" s="276">
        <v>107</v>
      </c>
      <c r="W77" s="276">
        <v>178</v>
      </c>
      <c r="X77" s="276">
        <v>150</v>
      </c>
      <c r="Y77" s="276">
        <v>87</v>
      </c>
      <c r="Z77" s="276">
        <v>82</v>
      </c>
      <c r="AA77" s="276">
        <f t="shared" si="7"/>
        <v>1398</v>
      </c>
      <c r="AB77" s="312">
        <f t="shared" si="8"/>
        <v>3.3838408287747493E-2</v>
      </c>
      <c r="AC77" s="140"/>
      <c r="AD77" s="278">
        <v>2679</v>
      </c>
      <c r="AE77" s="312">
        <f t="shared" si="9"/>
        <v>6.8635990981758557E-2</v>
      </c>
      <c r="AF77" s="279">
        <f t="shared" si="10"/>
        <v>-1281</v>
      </c>
      <c r="AG77" s="279">
        <v>3207</v>
      </c>
      <c r="AH77" s="312">
        <f t="shared" si="11"/>
        <v>7.9738432084338243E-2</v>
      </c>
      <c r="AI77" s="280">
        <f t="shared" si="12"/>
        <v>-1809</v>
      </c>
    </row>
    <row r="78" spans="1:35" x14ac:dyDescent="0.25">
      <c r="A78" s="11"/>
      <c r="B78" s="11"/>
      <c r="C78" s="11"/>
      <c r="D78" s="11"/>
      <c r="E78" s="11"/>
      <c r="F78" s="11"/>
      <c r="G78" s="11"/>
      <c r="H78" s="88" t="s">
        <v>148</v>
      </c>
      <c r="I78" s="104" t="str">
        <f>IF(_epmOfflineCondition_,"N",_xll.EVPRO($B$1,$H78,"STYLE"))</f>
        <v>N</v>
      </c>
      <c r="J78" s="104" t="str">
        <f>IF(_epmOfflineCondition_,"N",_xll.EVPRO($B$1,$H78,"CALC"))</f>
        <v>N</v>
      </c>
      <c r="K78" s="104"/>
      <c r="L78" s="104" t="str">
        <f>IF(_epmOfflineCondition_,"902540",_xll.EVPRO($B$1,H78,"JDEID"))</f>
        <v>902540</v>
      </c>
      <c r="M78" s="90" t="str">
        <f>IF(_epmOfflineCondition_,"991762",IF(AND(I78="N",J78="N"),_xll.EVPRO($B$1,H78,"PSFTID"),""))</f>
        <v>991762</v>
      </c>
      <c r="N78" s="104" t="str">
        <f>IF(_epmOfflineCondition_,"Brand/Media Promotions",IF(_xll.EVDES(H78,$B$1)="#NODATA","",_xll.EVDES(H78,$B$1)))</f>
        <v>Brand/Media Promotions</v>
      </c>
      <c r="O78" s="275">
        <v>173</v>
      </c>
      <c r="P78" s="276">
        <v>129</v>
      </c>
      <c r="Q78" s="276">
        <v>164</v>
      </c>
      <c r="R78" s="276">
        <v>144</v>
      </c>
      <c r="S78" s="276">
        <v>133</v>
      </c>
      <c r="T78" s="276">
        <v>176</v>
      </c>
      <c r="U78" s="276">
        <v>281</v>
      </c>
      <c r="V78" s="276">
        <v>220</v>
      </c>
      <c r="W78" s="276">
        <v>243</v>
      </c>
      <c r="X78" s="276">
        <v>310</v>
      </c>
      <c r="Y78" s="276">
        <v>387</v>
      </c>
      <c r="Z78" s="276">
        <v>710</v>
      </c>
      <c r="AA78" s="276">
        <f t="shared" si="7"/>
        <v>3070</v>
      </c>
      <c r="AB78" s="312">
        <f t="shared" si="8"/>
        <v>7.4308950960933345E-2</v>
      </c>
      <c r="AC78" s="140"/>
      <c r="AD78" s="278">
        <v>3404</v>
      </c>
      <c r="AE78" s="312">
        <f t="shared" si="9"/>
        <v>8.7210493953679039E-2</v>
      </c>
      <c r="AF78" s="279">
        <f t="shared" si="10"/>
        <v>-334</v>
      </c>
      <c r="AG78" s="279">
        <v>4308</v>
      </c>
      <c r="AH78" s="312">
        <f t="shared" si="11"/>
        <v>0.10711355329570602</v>
      </c>
      <c r="AI78" s="280">
        <f t="shared" si="12"/>
        <v>-1238</v>
      </c>
    </row>
    <row r="79" spans="1:35" x14ac:dyDescent="0.25">
      <c r="A79" s="11"/>
      <c r="B79" s="11"/>
      <c r="C79" s="11"/>
      <c r="D79" s="11"/>
      <c r="E79" s="11"/>
      <c r="F79" s="11"/>
      <c r="G79" s="11"/>
      <c r="H79" s="88" t="s">
        <v>149</v>
      </c>
      <c r="I79" s="104" t="str">
        <f>IF(_epmOfflineCondition_,"N",_xll.EVPRO($B$1,$H79,"STYLE"))</f>
        <v>N</v>
      </c>
      <c r="J79" s="104" t="str">
        <f>IF(_epmOfflineCondition_,"N",_xll.EVPRO($B$1,$H79,"CALC"))</f>
        <v>N</v>
      </c>
      <c r="K79" s="104"/>
      <c r="L79" s="104" t="str">
        <f>IF(_epmOfflineCondition_,"902550",_xll.EVPRO($B$1,H79,"JDEID"))</f>
        <v>902550</v>
      </c>
      <c r="M79" s="90" t="str">
        <f>IF(_epmOfflineCondition_,"991764",IF(AND(I79="N",J79="N"),_xll.EVPRO($B$1,H79,"PSFTID"),""))</f>
        <v>991764</v>
      </c>
      <c r="N79" s="104" t="str">
        <f>IF(_epmOfflineCondition_,"Advance Purchases",IF(_xll.EVDES(H79,$B$1)="#NODATA","",_xll.EVDES(H79,$B$1)))</f>
        <v>Advance Purchases</v>
      </c>
      <c r="O79" s="275">
        <v>470</v>
      </c>
      <c r="P79" s="276">
        <v>684</v>
      </c>
      <c r="Q79" s="276">
        <v>594</v>
      </c>
      <c r="R79" s="276">
        <v>553</v>
      </c>
      <c r="S79" s="276">
        <v>410</v>
      </c>
      <c r="T79" s="276">
        <v>392</v>
      </c>
      <c r="U79" s="276">
        <v>253</v>
      </c>
      <c r="V79" s="276">
        <v>151</v>
      </c>
      <c r="W79" s="276">
        <v>55</v>
      </c>
      <c r="X79" s="276">
        <v>62</v>
      </c>
      <c r="Y79" s="276">
        <v>78</v>
      </c>
      <c r="Z79" s="276">
        <v>50</v>
      </c>
      <c r="AA79" s="276">
        <f t="shared" si="7"/>
        <v>3752</v>
      </c>
      <c r="AB79" s="312">
        <f t="shared" si="8"/>
        <v>9.0816672314469674E-2</v>
      </c>
      <c r="AC79" s="140"/>
      <c r="AD79" s="278">
        <v>4331</v>
      </c>
      <c r="AE79" s="312">
        <f t="shared" si="9"/>
        <v>0.11096023775363804</v>
      </c>
      <c r="AF79" s="279">
        <f t="shared" si="10"/>
        <v>-579</v>
      </c>
      <c r="AG79" s="279">
        <v>4036</v>
      </c>
      <c r="AH79" s="312">
        <f t="shared" si="11"/>
        <v>0.10035058057137174</v>
      </c>
      <c r="AI79" s="280">
        <f t="shared" si="12"/>
        <v>-284</v>
      </c>
    </row>
    <row r="80" spans="1:35" x14ac:dyDescent="0.25">
      <c r="A80" s="11"/>
      <c r="B80" s="11"/>
      <c r="C80" s="11"/>
      <c r="D80" s="11"/>
      <c r="E80" s="11"/>
      <c r="F80" s="11"/>
      <c r="G80" s="11"/>
      <c r="H80" s="88" t="s">
        <v>150</v>
      </c>
      <c r="I80" s="104" t="str">
        <f>IF(_epmOfflineCondition_,"N",_xll.EVPRO($B$1,$H80,"STYLE"))</f>
        <v>N</v>
      </c>
      <c r="J80" s="104" t="str">
        <f>IF(_epmOfflineCondition_,"N",_xll.EVPRO($B$1,$H80,"CALC"))</f>
        <v>N</v>
      </c>
      <c r="K80" s="104"/>
      <c r="L80" s="104" t="str">
        <f>IF(_epmOfflineCondition_,"902560",_xll.EVPRO($B$1,H80,"JDEID"))</f>
        <v>902560</v>
      </c>
      <c r="M80" s="90" t="str">
        <f>IF(_epmOfflineCondition_,"991769",IF(AND(I80="N",J80="N"),_xll.EVPRO($B$1,H80,"PSFTID"),""))</f>
        <v>991769</v>
      </c>
      <c r="N80" s="104" t="str">
        <f>IF(_epmOfflineCondition_,"Local Discounts",IF(_xll.EVDES(H80,$B$1)="#NODATA","",_xll.EVDES(H80,$B$1)))</f>
        <v>Local Discounts</v>
      </c>
      <c r="O80" s="275">
        <v>777</v>
      </c>
      <c r="P80" s="276">
        <v>808</v>
      </c>
      <c r="Q80" s="276">
        <v>595</v>
      </c>
      <c r="R80" s="276">
        <v>770</v>
      </c>
      <c r="S80" s="276">
        <v>463</v>
      </c>
      <c r="T80" s="276">
        <v>385</v>
      </c>
      <c r="U80" s="276">
        <v>432</v>
      </c>
      <c r="V80" s="276">
        <v>686</v>
      </c>
      <c r="W80" s="276">
        <v>574</v>
      </c>
      <c r="X80" s="276">
        <v>638</v>
      </c>
      <c r="Y80" s="276">
        <v>527</v>
      </c>
      <c r="Z80" s="276">
        <v>377</v>
      </c>
      <c r="AA80" s="276">
        <f t="shared" si="7"/>
        <v>7032</v>
      </c>
      <c r="AB80" s="312">
        <f t="shared" si="8"/>
        <v>0.17020864597957108</v>
      </c>
      <c r="AC80" s="140"/>
      <c r="AD80" s="278">
        <v>8925</v>
      </c>
      <c r="AE80" s="312">
        <f t="shared" si="9"/>
        <v>0.22865853658536586</v>
      </c>
      <c r="AF80" s="279">
        <f t="shared" si="10"/>
        <v>-1893</v>
      </c>
      <c r="AG80" s="279">
        <v>10385</v>
      </c>
      <c r="AH80" s="312">
        <f t="shared" si="11"/>
        <v>0.25821129316989483</v>
      </c>
      <c r="AI80" s="280">
        <f t="shared" si="12"/>
        <v>-3353</v>
      </c>
    </row>
    <row r="81" spans="1:35" x14ac:dyDescent="0.25">
      <c r="A81" s="11"/>
      <c r="B81" s="11"/>
      <c r="C81" s="11"/>
      <c r="D81" s="11"/>
      <c r="E81" s="11"/>
      <c r="F81" s="11"/>
      <c r="G81" s="11"/>
      <c r="H81" s="88" t="s">
        <v>151</v>
      </c>
      <c r="I81" s="104" t="str">
        <f>IF(_epmOfflineCondition_,"N",_xll.EVPRO($B$1,$H81,"STYLE"))</f>
        <v>N</v>
      </c>
      <c r="J81" s="104" t="str">
        <f>IF(_epmOfflineCondition_,"N",_xll.EVPRO($B$1,$H81,"CALC"))</f>
        <v>N</v>
      </c>
      <c r="K81" s="104"/>
      <c r="L81" s="104" t="str">
        <f>IF(_epmOfflineCondition_,"902600",_xll.EVPRO($B$1,H81,"JDEID"))</f>
        <v>902600</v>
      </c>
      <c r="M81" s="90" t="str">
        <f>IF(_epmOfflineCondition_,"991763",IF(AND(I81="N",J81="N"),_xll.EVPRO($B$1,H81,"PSFTID"),""))</f>
        <v>991763</v>
      </c>
      <c r="N81" s="104" t="str">
        <f>IF(_epmOfflineCondition_,"Package &amp; Promo (Legacy)",IF(_xll.EVDES(H81,$B$1)="#NODATA","",_xll.EVDES(H81,$B$1)))</f>
        <v>Package &amp; Promo (Legacy)</v>
      </c>
      <c r="O81" s="275"/>
      <c r="P81" s="276"/>
      <c r="Q81" s="276"/>
      <c r="R81" s="276"/>
      <c r="S81" s="276"/>
      <c r="T81" s="276"/>
      <c r="U81" s="276"/>
      <c r="V81" s="276"/>
      <c r="W81" s="276"/>
      <c r="X81" s="276"/>
      <c r="Y81" s="276"/>
      <c r="Z81" s="276"/>
      <c r="AA81" s="276">
        <f t="shared" si="7"/>
        <v>0</v>
      </c>
      <c r="AB81" s="312" t="str">
        <f t="shared" si="8"/>
        <v/>
      </c>
      <c r="AC81" s="140"/>
      <c r="AD81" s="278"/>
      <c r="AE81" s="312" t="str">
        <f t="shared" si="9"/>
        <v/>
      </c>
      <c r="AF81" s="279">
        <f t="shared" si="10"/>
        <v>0</v>
      </c>
      <c r="AG81" s="279"/>
      <c r="AH81" s="312" t="str">
        <f t="shared" si="11"/>
        <v/>
      </c>
      <c r="AI81" s="280">
        <f t="shared" si="12"/>
        <v>0</v>
      </c>
    </row>
    <row r="82" spans="1:35" x14ac:dyDescent="0.25">
      <c r="A82" s="11"/>
      <c r="B82" s="11"/>
      <c r="C82" s="11"/>
      <c r="D82" s="11"/>
      <c r="E82" s="11"/>
      <c r="F82" s="11"/>
      <c r="G82" s="11"/>
      <c r="H82" s="88" t="s">
        <v>152</v>
      </c>
      <c r="I82" s="89" t="str">
        <f>IF(_epmOfflineCondition_,"T3",_xll.EVPRO($B$1,$H82,"STYLE"))</f>
        <v>T3</v>
      </c>
      <c r="J82" s="89" t="str">
        <f>IF(_epmOfflineCondition_,"Y",_xll.EVPRO($B$1,$H82,"CALC"))</f>
        <v>Y</v>
      </c>
      <c r="K82" s="265"/>
      <c r="L82" s="106" t="str">
        <f>IF(_epmOfflineCondition_,"",_xll.EVPRO($B$1,H82,"JDEID"))</f>
        <v/>
      </c>
      <c r="M82" s="90" t="str">
        <f>IF(_epmOfflineCondition_,"",IF(AND(I82="N",J82="N"),_xll.EVPRO($B$1,H82,"PSFTID"),""))</f>
        <v/>
      </c>
      <c r="N82" s="106" t="str">
        <f>IF(_epmOfflineCondition_,"Negotiated",IF(_xll.EVDES(H82,$B$1)="#NODATA","",_xll.EVDES(H82,$B$1)))</f>
        <v>Negotiated</v>
      </c>
      <c r="O82" s="269">
        <v>218</v>
      </c>
      <c r="P82" s="270">
        <v>332</v>
      </c>
      <c r="Q82" s="270">
        <v>102</v>
      </c>
      <c r="R82" s="270">
        <v>87</v>
      </c>
      <c r="S82" s="270">
        <v>75</v>
      </c>
      <c r="T82" s="270">
        <v>48</v>
      </c>
      <c r="U82" s="270">
        <v>104</v>
      </c>
      <c r="V82" s="270">
        <v>75</v>
      </c>
      <c r="W82" s="270">
        <v>70</v>
      </c>
      <c r="X82" s="270">
        <v>58</v>
      </c>
      <c r="Y82" s="270">
        <v>156</v>
      </c>
      <c r="Z82" s="270">
        <v>54</v>
      </c>
      <c r="AA82" s="270">
        <f t="shared" si="7"/>
        <v>1379</v>
      </c>
      <c r="AB82" s="311">
        <f t="shared" si="8"/>
        <v>3.3378515757370386E-2</v>
      </c>
      <c r="AC82" s="140"/>
      <c r="AD82" s="272">
        <v>2601</v>
      </c>
      <c r="AE82" s="311">
        <f t="shared" si="9"/>
        <v>6.66376306620209E-2</v>
      </c>
      <c r="AF82" s="273">
        <f t="shared" si="10"/>
        <v>-1222</v>
      </c>
      <c r="AG82" s="273">
        <v>1861</v>
      </c>
      <c r="AH82" s="311">
        <f t="shared" si="11"/>
        <v>4.6271662647007633E-2</v>
      </c>
      <c r="AI82" s="274">
        <f t="shared" si="12"/>
        <v>-482</v>
      </c>
    </row>
    <row r="83" spans="1:35" x14ac:dyDescent="0.25">
      <c r="A83" s="11"/>
      <c r="B83" s="11"/>
      <c r="C83" s="11"/>
      <c r="D83" s="11"/>
      <c r="E83" s="11"/>
      <c r="F83" s="11"/>
      <c r="G83" s="11"/>
      <c r="H83" s="88" t="s">
        <v>153</v>
      </c>
      <c r="I83" s="104" t="str">
        <f>IF(_epmOfflineCondition_,"N",_xll.EVPRO($B$1,$H83,"STYLE"))</f>
        <v>N</v>
      </c>
      <c r="J83" s="104" t="str">
        <f>IF(_epmOfflineCondition_,"N",_xll.EVPRO($B$1,$H83,"CALC"))</f>
        <v>N</v>
      </c>
      <c r="K83" s="104"/>
      <c r="L83" s="104" t="str">
        <f>IF(_epmOfflineCondition_,"902300",_xll.EVPRO($B$1,H83,"JDEID"))</f>
        <v>902300</v>
      </c>
      <c r="M83" s="90" t="str">
        <f>IF(_epmOfflineCondition_,"991757",IF(AND(I83="N",J83="N"),_xll.EVPRO($B$1,H83,"PSFTID"),""))</f>
        <v>991757</v>
      </c>
      <c r="N83" s="104" t="str">
        <f>IF(_epmOfflineCondition_,"Consortia",IF(_xll.EVDES(H83,$B$1)="#NODATA","",_xll.EVDES(H83,$B$1)))</f>
        <v>Consortia</v>
      </c>
      <c r="O83" s="275">
        <v>16</v>
      </c>
      <c r="P83" s="276">
        <v>15</v>
      </c>
      <c r="Q83" s="276">
        <v>10</v>
      </c>
      <c r="R83" s="276">
        <v>16</v>
      </c>
      <c r="S83" s="276">
        <v>8</v>
      </c>
      <c r="T83" s="276">
        <v>21</v>
      </c>
      <c r="U83" s="276">
        <v>21</v>
      </c>
      <c r="V83" s="276">
        <v>22</v>
      </c>
      <c r="W83" s="276">
        <v>17</v>
      </c>
      <c r="X83" s="276">
        <v>9</v>
      </c>
      <c r="Y83" s="276">
        <v>36</v>
      </c>
      <c r="Z83" s="276">
        <v>24</v>
      </c>
      <c r="AA83" s="276">
        <f t="shared" si="7"/>
        <v>215</v>
      </c>
      <c r="AB83" s="312">
        <f t="shared" si="8"/>
        <v>5.2040470542673188E-3</v>
      </c>
      <c r="AC83" s="140"/>
      <c r="AD83" s="278">
        <v>80</v>
      </c>
      <c r="AE83" s="312">
        <f t="shared" si="9"/>
        <v>2.0496003279360524E-3</v>
      </c>
      <c r="AF83" s="279">
        <f t="shared" si="10"/>
        <v>135</v>
      </c>
      <c r="AG83" s="279">
        <v>82</v>
      </c>
      <c r="AH83" s="312">
        <f t="shared" si="11"/>
        <v>2.0388373654243019E-3</v>
      </c>
      <c r="AI83" s="280">
        <f t="shared" si="12"/>
        <v>133</v>
      </c>
    </row>
    <row r="84" spans="1:35" x14ac:dyDescent="0.25">
      <c r="A84" s="11"/>
      <c r="B84" s="11"/>
      <c r="C84" s="11"/>
      <c r="D84" s="11"/>
      <c r="E84" s="11"/>
      <c r="F84" s="11"/>
      <c r="G84" s="11"/>
      <c r="H84" s="88" t="s">
        <v>154</v>
      </c>
      <c r="I84" s="104" t="str">
        <f>IF(_epmOfflineCondition_,"N",_xll.EVPRO($B$1,$H84,"STYLE"))</f>
        <v>N</v>
      </c>
      <c r="J84" s="104" t="str">
        <f>IF(_epmOfflineCondition_,"N",_xll.EVPRO($B$1,$H84,"CALC"))</f>
        <v>N</v>
      </c>
      <c r="K84" s="104"/>
      <c r="L84" s="104" t="str">
        <f>IF(_epmOfflineCondition_,"902350",_xll.EVPRO($B$1,H84,"JDEID"))</f>
        <v>902350</v>
      </c>
      <c r="M84" s="90" t="str">
        <f>IF(_epmOfflineCondition_,"991758",IF(AND(I84="N",J84="N"),_xll.EVPRO($B$1,H84,"PSFTID"),""))</f>
        <v>991758</v>
      </c>
      <c r="N84" s="104" t="str">
        <f>IF(_epmOfflineCondition_,"National Negotiated",IF(_xll.EVDES(H84,$B$1)="#NODATA","",_xll.EVDES(H84,$B$1)))</f>
        <v>National Negotiated</v>
      </c>
      <c r="O84" s="275">
        <v>36</v>
      </c>
      <c r="P84" s="276">
        <v>47</v>
      </c>
      <c r="Q84" s="276">
        <v>29</v>
      </c>
      <c r="R84" s="276">
        <v>37</v>
      </c>
      <c r="S84" s="276">
        <v>59</v>
      </c>
      <c r="T84" s="276">
        <v>19</v>
      </c>
      <c r="U84" s="276">
        <v>41</v>
      </c>
      <c r="V84" s="276">
        <v>31</v>
      </c>
      <c r="W84" s="276">
        <v>27</v>
      </c>
      <c r="X84" s="276">
        <v>40</v>
      </c>
      <c r="Y84" s="276">
        <v>78</v>
      </c>
      <c r="Z84" s="276">
        <v>19</v>
      </c>
      <c r="AA84" s="276">
        <f t="shared" si="7"/>
        <v>463</v>
      </c>
      <c r="AB84" s="312">
        <f t="shared" si="8"/>
        <v>1.1206854819189621E-2</v>
      </c>
      <c r="AC84" s="140"/>
      <c r="AD84" s="278">
        <v>753</v>
      </c>
      <c r="AE84" s="312">
        <f t="shared" si="9"/>
        <v>1.9291863086698093E-2</v>
      </c>
      <c r="AF84" s="279">
        <f t="shared" si="10"/>
        <v>-290</v>
      </c>
      <c r="AG84" s="279">
        <v>510</v>
      </c>
      <c r="AH84" s="312">
        <f t="shared" si="11"/>
        <v>1.2680573858126756E-2</v>
      </c>
      <c r="AI84" s="280">
        <f t="shared" si="12"/>
        <v>-47</v>
      </c>
    </row>
    <row r="85" spans="1:35" x14ac:dyDescent="0.25">
      <c r="A85" s="11"/>
      <c r="B85" s="11"/>
      <c r="C85" s="11"/>
      <c r="D85" s="11"/>
      <c r="E85" s="11"/>
      <c r="F85" s="11"/>
      <c r="G85" s="11"/>
      <c r="H85" s="88" t="s">
        <v>155</v>
      </c>
      <c r="I85" s="104" t="str">
        <f>IF(_epmOfflineCondition_,"N",_xll.EVPRO($B$1,$H85,"STYLE"))</f>
        <v>N</v>
      </c>
      <c r="J85" s="104" t="str">
        <f>IF(_epmOfflineCondition_,"N",_xll.EVPRO($B$1,$H85,"CALC"))</f>
        <v>N</v>
      </c>
      <c r="K85" s="104"/>
      <c r="L85" s="104" t="str">
        <f>IF(_epmOfflineCondition_,"902200",_xll.EVPRO($B$1,H85,"JDEID"))</f>
        <v>902200</v>
      </c>
      <c r="M85" s="90" t="str">
        <f>IF(_epmOfflineCondition_,"991756",IF(AND(I85="N",J85="N"),_xll.EVPRO($B$1,H85,"PSFTID"),""))</f>
        <v>991756</v>
      </c>
      <c r="N85" s="104" t="str">
        <f>IF(_epmOfflineCondition_,"Local Negotiated",IF(_xll.EVDES(H85,$B$1)="#NODATA","",_xll.EVDES(H85,$B$1)))</f>
        <v>Local Negotiated</v>
      </c>
      <c r="O85" s="275">
        <v>166</v>
      </c>
      <c r="P85" s="276">
        <v>270</v>
      </c>
      <c r="Q85" s="276">
        <v>63</v>
      </c>
      <c r="R85" s="276">
        <v>34</v>
      </c>
      <c r="S85" s="276">
        <v>8</v>
      </c>
      <c r="T85" s="276">
        <v>8</v>
      </c>
      <c r="U85" s="276">
        <v>42</v>
      </c>
      <c r="V85" s="276">
        <v>22</v>
      </c>
      <c r="W85" s="276">
        <v>26</v>
      </c>
      <c r="X85" s="276">
        <v>9</v>
      </c>
      <c r="Y85" s="276">
        <v>42</v>
      </c>
      <c r="Z85" s="276">
        <v>11</v>
      </c>
      <c r="AA85" s="276">
        <f t="shared" si="7"/>
        <v>701</v>
      </c>
      <c r="AB85" s="312">
        <f t="shared" si="8"/>
        <v>1.6967613883913442E-2</v>
      </c>
      <c r="AC85" s="140"/>
      <c r="AD85" s="278">
        <v>1768</v>
      </c>
      <c r="AE85" s="312">
        <f t="shared" si="9"/>
        <v>4.5296167247386762E-2</v>
      </c>
      <c r="AF85" s="279">
        <f t="shared" si="10"/>
        <v>-1067</v>
      </c>
      <c r="AG85" s="279">
        <v>1269</v>
      </c>
      <c r="AH85" s="312">
        <f t="shared" si="11"/>
        <v>3.1552251423456572E-2</v>
      </c>
      <c r="AI85" s="280">
        <f t="shared" si="12"/>
        <v>-568</v>
      </c>
    </row>
    <row r="86" spans="1:35" x14ac:dyDescent="0.25">
      <c r="A86" s="11"/>
      <c r="B86" s="11"/>
      <c r="C86" s="11"/>
      <c r="D86" s="11"/>
      <c r="E86" s="11"/>
      <c r="F86" s="11"/>
      <c r="G86" s="11"/>
      <c r="H86" s="88" t="s">
        <v>156</v>
      </c>
      <c r="I86" s="89" t="str">
        <f>IF(_epmOfflineCondition_,"T3",_xll.EVPRO($B$1,$H86,"STYLE"))</f>
        <v>T3</v>
      </c>
      <c r="J86" s="89" t="str">
        <f>IF(_epmOfflineCondition_,"Y",_xll.EVPRO($B$1,$H86,"CALC"))</f>
        <v>Y</v>
      </c>
      <c r="K86" s="265"/>
      <c r="L86" s="106" t="str">
        <f>IF(_epmOfflineCondition_,"",_xll.EVPRO($B$1,H86,"JDEID"))</f>
        <v/>
      </c>
      <c r="M86" s="90" t="str">
        <f>IF(_epmOfflineCondition_,"",IF(AND(I86="N",J86="N"),_xll.EVPRO($B$1,H86,"PSFTID"),""))</f>
        <v/>
      </c>
      <c r="N86" s="106" t="str">
        <f>IF(_epmOfflineCondition_,"Qualified",IF(_xll.EVDES(H86,$B$1)="#NODATA","",_xll.EVDES(H86,$B$1)))</f>
        <v>Qualified</v>
      </c>
      <c r="O86" s="269">
        <v>105</v>
      </c>
      <c r="P86" s="270">
        <v>74</v>
      </c>
      <c r="Q86" s="270">
        <v>85</v>
      </c>
      <c r="R86" s="270">
        <v>80</v>
      </c>
      <c r="S86" s="270">
        <v>98</v>
      </c>
      <c r="T86" s="270">
        <v>73</v>
      </c>
      <c r="U86" s="270">
        <v>74</v>
      </c>
      <c r="V86" s="270">
        <v>93</v>
      </c>
      <c r="W86" s="270">
        <v>64</v>
      </c>
      <c r="X86" s="270">
        <v>79</v>
      </c>
      <c r="Y86" s="270">
        <v>57</v>
      </c>
      <c r="Z86" s="270">
        <v>51</v>
      </c>
      <c r="AA86" s="270">
        <f t="shared" si="7"/>
        <v>933</v>
      </c>
      <c r="AB86" s="311">
        <f t="shared" si="8"/>
        <v>2.2583143728518176E-2</v>
      </c>
      <c r="AC86" s="140"/>
      <c r="AD86" s="272">
        <v>2354</v>
      </c>
      <c r="AE86" s="311">
        <f t="shared" si="9"/>
        <v>6.0309489649518343E-2</v>
      </c>
      <c r="AF86" s="273">
        <f t="shared" si="10"/>
        <v>-1421</v>
      </c>
      <c r="AG86" s="273">
        <v>1716</v>
      </c>
      <c r="AH86" s="311">
        <f t="shared" si="11"/>
        <v>4.2666401452050029E-2</v>
      </c>
      <c r="AI86" s="274">
        <f t="shared" si="12"/>
        <v>-783</v>
      </c>
    </row>
    <row r="87" spans="1:35" x14ac:dyDescent="0.25">
      <c r="A87" s="11"/>
      <c r="B87" s="11"/>
      <c r="C87" s="11"/>
      <c r="D87" s="11"/>
      <c r="E87" s="11"/>
      <c r="F87" s="11"/>
      <c r="G87" s="11"/>
      <c r="H87" s="88" t="s">
        <v>157</v>
      </c>
      <c r="I87" s="104" t="str">
        <f>IF(_epmOfflineCondition_,"N",_xll.EVPRO($B$1,$H87,"STYLE"))</f>
        <v>N</v>
      </c>
      <c r="J87" s="104" t="str">
        <f>IF(_epmOfflineCondition_,"N",_xll.EVPRO($B$1,$H87,"CALC"))</f>
        <v>N</v>
      </c>
      <c r="K87" s="104"/>
      <c r="L87" s="104" t="str">
        <f>IF(_epmOfflineCondition_,"902700",_xll.EVPRO($B$1,H87,"JDEID"))</f>
        <v>902700</v>
      </c>
      <c r="M87" s="90" t="str">
        <f>IF(_epmOfflineCondition_,"991770",IF(AND(I87="N",J87="N"),_xll.EVPRO($B$1,H87,"PSFTID"),""))</f>
        <v>991770</v>
      </c>
      <c r="N87" s="104" t="str">
        <f>IF(_epmOfflineCondition_,"Qualified",IF(_xll.EVDES(H87,$B$1)="#NODATA","",_xll.EVDES(H87,$B$1)))</f>
        <v>Qualified</v>
      </c>
      <c r="O87" s="275">
        <v>105</v>
      </c>
      <c r="P87" s="276">
        <v>74</v>
      </c>
      <c r="Q87" s="276">
        <v>85</v>
      </c>
      <c r="R87" s="276">
        <v>80</v>
      </c>
      <c r="S87" s="276">
        <v>75</v>
      </c>
      <c r="T87" s="276">
        <v>55</v>
      </c>
      <c r="U87" s="276">
        <v>62</v>
      </c>
      <c r="V87" s="276">
        <v>74</v>
      </c>
      <c r="W87" s="276">
        <v>51</v>
      </c>
      <c r="X87" s="276">
        <v>70</v>
      </c>
      <c r="Y87" s="276">
        <v>57</v>
      </c>
      <c r="Z87" s="276">
        <v>48</v>
      </c>
      <c r="AA87" s="276">
        <f t="shared" si="7"/>
        <v>836</v>
      </c>
      <c r="AB87" s="312">
        <f t="shared" si="8"/>
        <v>2.0235271336592923E-2</v>
      </c>
      <c r="AC87" s="140"/>
      <c r="AD87" s="278">
        <v>1577</v>
      </c>
      <c r="AE87" s="312">
        <f t="shared" si="9"/>
        <v>4.0402746464439435E-2</v>
      </c>
      <c r="AF87" s="279">
        <f t="shared" si="10"/>
        <v>-741</v>
      </c>
      <c r="AG87" s="279">
        <v>1072</v>
      </c>
      <c r="AH87" s="312">
        <f t="shared" si="11"/>
        <v>2.6654068972376242E-2</v>
      </c>
      <c r="AI87" s="280">
        <f t="shared" si="12"/>
        <v>-236</v>
      </c>
    </row>
    <row r="88" spans="1:35" x14ac:dyDescent="0.25">
      <c r="A88" s="11"/>
      <c r="B88" s="11"/>
      <c r="C88" s="11"/>
      <c r="D88" s="11"/>
      <c r="E88" s="11"/>
      <c r="F88" s="11"/>
      <c r="G88" s="11"/>
      <c r="H88" s="88" t="s">
        <v>158</v>
      </c>
      <c r="I88" s="104" t="str">
        <f>IF(_epmOfflineCondition_,"N",_xll.EVPRO($B$1,$H88,"STYLE"))</f>
        <v>N</v>
      </c>
      <c r="J88" s="104" t="str">
        <f>IF(_epmOfflineCondition_,"N",_xll.EVPRO($B$1,$H88,"CALC"))</f>
        <v>N</v>
      </c>
      <c r="K88" s="104"/>
      <c r="L88" s="104" t="str">
        <f>IF(_epmOfflineCondition_,"902730",_xll.EVPRO($B$1,H88,"JDEID"))</f>
        <v>902730</v>
      </c>
      <c r="M88" s="90" t="str">
        <f>IF(_epmOfflineCondition_,"991030",IF(AND(I88="N",J88="N"),_xll.EVPRO($B$1,H88,"PSFTID"),""))</f>
        <v>991030</v>
      </c>
      <c r="N88" s="104" t="str">
        <f>IF(_epmOfflineCondition_,"Government",IF(_xll.EVDES(H88,$B$1)="#NODATA","",_xll.EVDES(H88,$B$1)))</f>
        <v>Government</v>
      </c>
      <c r="O88" s="275"/>
      <c r="P88" s="276"/>
      <c r="Q88" s="276"/>
      <c r="R88" s="276"/>
      <c r="S88" s="276">
        <v>23</v>
      </c>
      <c r="T88" s="276">
        <v>18</v>
      </c>
      <c r="U88" s="276">
        <v>12</v>
      </c>
      <c r="V88" s="276">
        <v>19</v>
      </c>
      <c r="W88" s="276">
        <v>13</v>
      </c>
      <c r="X88" s="276">
        <v>9</v>
      </c>
      <c r="Y88" s="276"/>
      <c r="Z88" s="276">
        <v>3</v>
      </c>
      <c r="AA88" s="276">
        <f t="shared" si="7"/>
        <v>97</v>
      </c>
      <c r="AB88" s="312">
        <f t="shared" si="8"/>
        <v>2.3478723919252553E-3</v>
      </c>
      <c r="AC88" s="140"/>
      <c r="AD88" s="278">
        <v>777</v>
      </c>
      <c r="AE88" s="312">
        <f t="shared" si="9"/>
        <v>1.9906743185078908E-2</v>
      </c>
      <c r="AF88" s="279">
        <f t="shared" si="10"/>
        <v>-680</v>
      </c>
      <c r="AG88" s="279">
        <v>644</v>
      </c>
      <c r="AH88" s="312">
        <f t="shared" si="11"/>
        <v>1.6012332479673787E-2</v>
      </c>
      <c r="AI88" s="280">
        <f t="shared" si="12"/>
        <v>-547</v>
      </c>
    </row>
    <row r="89" spans="1:35" x14ac:dyDescent="0.25">
      <c r="A89" s="11"/>
      <c r="B89" s="11"/>
      <c r="C89" s="11"/>
      <c r="D89" s="11"/>
      <c r="E89" s="11"/>
      <c r="F89" s="11"/>
      <c r="G89" s="11"/>
      <c r="H89" s="88" t="s">
        <v>159</v>
      </c>
      <c r="I89" s="89" t="str">
        <f>IF(_epmOfflineCondition_,"T3",_xll.EVPRO($B$1,$H89,"STYLE"))</f>
        <v>T3</v>
      </c>
      <c r="J89" s="89" t="str">
        <f>IF(_epmOfflineCondition_,"N",_xll.EVPRO($B$1,$H89,"CALC"))</f>
        <v>N</v>
      </c>
      <c r="K89" s="265"/>
      <c r="L89" s="106" t="str">
        <f>IF(_epmOfflineCondition_,"902400",_xll.EVPRO($B$1,H89,"JDEID"))</f>
        <v>902400</v>
      </c>
      <c r="M89" s="90" t="str">
        <f>IF(_epmOfflineCondition_,"",IF(AND(I89="N",J89="N"),_xll.EVPRO($B$1,H89,"PSFTID"),""))</f>
        <v/>
      </c>
      <c r="N89" s="106" t="str">
        <f>IF(_epmOfflineCondition_,"Wholesale",IF(_xll.EVDES(H89,$B$1)="#NODATA","",_xll.EVDES(H89,$B$1)))</f>
        <v>Wholesale</v>
      </c>
      <c r="O89" s="281">
        <v>94</v>
      </c>
      <c r="P89" s="282">
        <v>126</v>
      </c>
      <c r="Q89" s="282">
        <v>387</v>
      </c>
      <c r="R89" s="282">
        <v>317</v>
      </c>
      <c r="S89" s="282">
        <v>215</v>
      </c>
      <c r="T89" s="282">
        <v>167</v>
      </c>
      <c r="U89" s="282">
        <v>190</v>
      </c>
      <c r="V89" s="282">
        <v>181</v>
      </c>
      <c r="W89" s="282">
        <v>64</v>
      </c>
      <c r="X89" s="282">
        <v>153</v>
      </c>
      <c r="Y89" s="282">
        <v>177</v>
      </c>
      <c r="Z89" s="282">
        <v>192</v>
      </c>
      <c r="AA89" s="282">
        <f t="shared" si="7"/>
        <v>2263</v>
      </c>
      <c r="AB89" s="313">
        <f t="shared" si="8"/>
        <v>5.477562085491601E-2</v>
      </c>
      <c r="AC89" s="140"/>
      <c r="AD89" s="284">
        <v>1236</v>
      </c>
      <c r="AE89" s="313">
        <f t="shared" si="9"/>
        <v>3.166632506661201E-2</v>
      </c>
      <c r="AF89" s="285">
        <f t="shared" si="10"/>
        <v>1027</v>
      </c>
      <c r="AG89" s="285">
        <v>1549</v>
      </c>
      <c r="AH89" s="313">
        <f t="shared" si="11"/>
        <v>3.8514135110271262E-2</v>
      </c>
      <c r="AI89" s="286">
        <f t="shared" si="12"/>
        <v>714</v>
      </c>
    </row>
    <row r="90" spans="1:35" x14ac:dyDescent="0.25">
      <c r="A90" s="11"/>
      <c r="B90" s="11"/>
      <c r="C90" s="11"/>
      <c r="D90" s="11"/>
      <c r="E90" s="11"/>
      <c r="F90" s="11"/>
      <c r="G90" s="11"/>
      <c r="H90" s="88" t="s">
        <v>141</v>
      </c>
      <c r="I90" s="89" t="str">
        <f>IF(_epmOfflineCondition_,"T2",_xll.EVPRO($B$1,$H90,"STYLE"))</f>
        <v>T2</v>
      </c>
      <c r="J90" s="89" t="str">
        <f>IF(_epmOfflineCondition_,"Y",_xll.EVPRO($B$1,$H90,"CALC"))</f>
        <v>Y</v>
      </c>
      <c r="K90" s="265"/>
      <c r="L90" s="106" t="str">
        <f>IF(_epmOfflineCondition_,"902000",_xll.EVPRO($B$1,H90,"JDEID"))</f>
        <v>902000</v>
      </c>
      <c r="M90" s="90" t="str">
        <f>IF(_epmOfflineCondition_,"",IF(AND(I90="N",J90="N"),_xll.EVPRO($B$1,H90,"PSFTID"),""))</f>
        <v/>
      </c>
      <c r="N90" s="106" t="str">
        <f>IF(_epmOfflineCondition_,"Total Transient Rooms Occupied",IF(_xll.EVDES(H90,$B$1)="#NODATA","",_xll.EVDES(H90,$B$1)))</f>
        <v>Total Transient Rooms Occupied</v>
      </c>
      <c r="O90" s="287">
        <v>3323</v>
      </c>
      <c r="P90" s="288">
        <v>3289</v>
      </c>
      <c r="Q90" s="288">
        <v>3099</v>
      </c>
      <c r="R90" s="288">
        <v>3069</v>
      </c>
      <c r="S90" s="288">
        <v>2865</v>
      </c>
      <c r="T90" s="288">
        <v>2756</v>
      </c>
      <c r="U90" s="288">
        <v>3268</v>
      </c>
      <c r="V90" s="288">
        <v>3181</v>
      </c>
      <c r="W90" s="288">
        <v>2535</v>
      </c>
      <c r="X90" s="288">
        <v>2780</v>
      </c>
      <c r="Y90" s="288">
        <v>2935</v>
      </c>
      <c r="Z90" s="288">
        <v>3283</v>
      </c>
      <c r="AA90" s="288">
        <f t="shared" si="7"/>
        <v>36383</v>
      </c>
      <c r="AB90" s="314">
        <f t="shared" si="8"/>
        <v>0.8806457859321295</v>
      </c>
      <c r="AC90" s="140"/>
      <c r="AD90" s="290">
        <v>36297</v>
      </c>
      <c r="AE90" s="314">
        <f t="shared" si="9"/>
        <v>0.92992928878868619</v>
      </c>
      <c r="AF90" s="291">
        <f t="shared" si="10"/>
        <v>86</v>
      </c>
      <c r="AG90" s="291">
        <v>38728</v>
      </c>
      <c r="AH90" s="314">
        <f t="shared" si="11"/>
        <v>0.96292796936771174</v>
      </c>
      <c r="AI90" s="292">
        <f t="shared" si="12"/>
        <v>-2345</v>
      </c>
    </row>
    <row r="91" spans="1:35" x14ac:dyDescent="0.25">
      <c r="A91" s="11"/>
      <c r="B91" s="11"/>
      <c r="C91" s="11"/>
      <c r="D91" s="11"/>
      <c r="E91" s="11"/>
      <c r="F91" s="11"/>
      <c r="G91" s="11"/>
      <c r="H91" s="88" t="s">
        <v>175</v>
      </c>
      <c r="I91" s="104" t="str">
        <f>IF(_epmOfflineCondition_,"B1",_xll.EVPRO($B$1,$H91,"STYLE"))</f>
        <v>B1</v>
      </c>
      <c r="J91" s="104" t="str">
        <f>IF(_epmOfflineCondition_,"Y",_xll.EVPRO($B$1,$H91,"CALC"))</f>
        <v>Y</v>
      </c>
      <c r="K91" s="104"/>
      <c r="L91" s="104" t="str">
        <f>IF(_epmOfflineCondition_,"",_xll.EVPRO($B$1,H91,"JDEID"))</f>
        <v/>
      </c>
      <c r="M91" s="90" t="str">
        <f>IF(_epmOfflineCondition_,"",IF(AND(I91="N",J91="N"),_xll.EVPRO($B$1,H91,"PSFTID"),""))</f>
        <v/>
      </c>
      <c r="N91" s="104" t="str">
        <f>IF(_epmOfflineCondition_,"BLANKROW",IF(_xll.EVDES(H91,$B$1)="#NODATA","",_xll.EVDES(H91,$B$1)))</f>
        <v>BLANKROW</v>
      </c>
      <c r="O91" s="293"/>
      <c r="P91" s="294"/>
      <c r="Q91" s="294"/>
      <c r="R91" s="294"/>
      <c r="S91" s="294"/>
      <c r="T91" s="294"/>
      <c r="U91" s="294"/>
      <c r="V91" s="294"/>
      <c r="W91" s="294"/>
      <c r="X91" s="294"/>
      <c r="Y91" s="294"/>
      <c r="Z91" s="294"/>
      <c r="AA91" s="294">
        <f t="shared" si="7"/>
        <v>0</v>
      </c>
      <c r="AB91" s="315" t="str">
        <f t="shared" si="8"/>
        <v/>
      </c>
      <c r="AC91" s="140"/>
      <c r="AD91" s="296"/>
      <c r="AE91" s="315" t="str">
        <f t="shared" si="9"/>
        <v/>
      </c>
      <c r="AF91" s="297">
        <f t="shared" si="10"/>
        <v>0</v>
      </c>
      <c r="AG91" s="297"/>
      <c r="AH91" s="315" t="str">
        <f t="shared" si="11"/>
        <v/>
      </c>
      <c r="AI91" s="298">
        <f t="shared" si="12"/>
        <v>0</v>
      </c>
    </row>
    <row r="92" spans="1:35" x14ac:dyDescent="0.25">
      <c r="A92" s="11"/>
      <c r="B92" s="11"/>
      <c r="C92" s="11"/>
      <c r="D92" s="11"/>
      <c r="E92" s="11"/>
      <c r="F92" s="11"/>
      <c r="G92" s="11"/>
      <c r="H92" s="88" t="s">
        <v>161</v>
      </c>
      <c r="I92" s="89" t="str">
        <f>IF(_epmOfflineCondition_,"T3",_xll.EVPRO($B$1,$H92,"STYLE"))</f>
        <v>T3</v>
      </c>
      <c r="J92" s="89" t="str">
        <f>IF(_epmOfflineCondition_,"Y",_xll.EVPRO($B$1,$H92,"CALC"))</f>
        <v>Y</v>
      </c>
      <c r="K92" s="265"/>
      <c r="L92" s="106" t="str">
        <f>IF(_epmOfflineCondition_,"",_xll.EVPRO($B$1,H92,"JDEID"))</f>
        <v/>
      </c>
      <c r="M92" s="90" t="str">
        <f>IF(_epmOfflineCondition_,"",IF(AND(I92="N",J92="N"),_xll.EVPRO($B$1,H92,"PSFTID"),""))</f>
        <v/>
      </c>
      <c r="N92" s="106" t="str">
        <f>IF(_epmOfflineCondition_,"Corporate",IF(_xll.EVDES(H92,$B$1)="#NODATA","",_xll.EVDES(H92,$B$1)))</f>
        <v>Corporate</v>
      </c>
      <c r="O92" s="269">
        <v>413</v>
      </c>
      <c r="P92" s="270">
        <v>278</v>
      </c>
      <c r="Q92" s="270">
        <v>648</v>
      </c>
      <c r="R92" s="270">
        <v>464</v>
      </c>
      <c r="S92" s="270">
        <v>588</v>
      </c>
      <c r="T92" s="270">
        <v>424</v>
      </c>
      <c r="U92" s="270">
        <v>213</v>
      </c>
      <c r="V92" s="270">
        <v>67</v>
      </c>
      <c r="W92" s="270">
        <v>103</v>
      </c>
      <c r="X92" s="270">
        <v>231</v>
      </c>
      <c r="Y92" s="270">
        <v>388</v>
      </c>
      <c r="Z92" s="270">
        <v>222</v>
      </c>
      <c r="AA92" s="270">
        <f t="shared" si="7"/>
        <v>4039</v>
      </c>
      <c r="AB92" s="311">
        <f t="shared" si="8"/>
        <v>9.776347001016604E-2</v>
      </c>
      <c r="AC92" s="140"/>
      <c r="AD92" s="272">
        <v>1680</v>
      </c>
      <c r="AE92" s="311">
        <f t="shared" si="9"/>
        <v>4.3041606886657105E-2</v>
      </c>
      <c r="AF92" s="273">
        <f t="shared" si="10"/>
        <v>2359</v>
      </c>
      <c r="AG92" s="273">
        <v>1094</v>
      </c>
      <c r="AH92" s="311">
        <f t="shared" si="11"/>
        <v>2.7201074119197394E-2</v>
      </c>
      <c r="AI92" s="274">
        <f t="shared" si="12"/>
        <v>2945</v>
      </c>
    </row>
    <row r="93" spans="1:35" x14ac:dyDescent="0.25">
      <c r="A93" s="11"/>
      <c r="B93" s="11"/>
      <c r="C93" s="11"/>
      <c r="D93" s="11"/>
      <c r="E93" s="11"/>
      <c r="F93" s="11"/>
      <c r="G93" s="11"/>
      <c r="H93" s="88" t="s">
        <v>162</v>
      </c>
      <c r="I93" s="104" t="str">
        <f>IF(_epmOfflineCondition_,"N",_xll.EVPRO($B$1,$H93,"STYLE"))</f>
        <v>N</v>
      </c>
      <c r="J93" s="104" t="str">
        <f>IF(_epmOfflineCondition_,"N",_xll.EVPRO($B$1,$H93,"CALC"))</f>
        <v>N</v>
      </c>
      <c r="K93" s="104"/>
      <c r="L93" s="104" t="str">
        <f>IF(_epmOfflineCondition_,"901100",_xll.EVPRO($B$1,H93,"JDEID"))</f>
        <v>901100</v>
      </c>
      <c r="M93" s="90" t="str">
        <f>IF(_epmOfflineCondition_,"991704",IF(AND(I93="N",J93="N"),_xll.EVPRO($B$1,H93,"PSFTID"),""))</f>
        <v>991704</v>
      </c>
      <c r="N93" s="104" t="str">
        <f>IF(_epmOfflineCondition_,"Corporate",IF(_xll.EVDES(H93,$B$1)="#NODATA","",_xll.EVDES(H93,$B$1)))</f>
        <v>Corporate</v>
      </c>
      <c r="O93" s="275">
        <v>206</v>
      </c>
      <c r="P93" s="276">
        <v>140</v>
      </c>
      <c r="Q93" s="276">
        <v>551</v>
      </c>
      <c r="R93" s="276">
        <v>429</v>
      </c>
      <c r="S93" s="276">
        <v>115</v>
      </c>
      <c r="T93" s="276">
        <v>424</v>
      </c>
      <c r="U93" s="276">
        <v>151</v>
      </c>
      <c r="V93" s="276">
        <v>67</v>
      </c>
      <c r="W93" s="276">
        <v>103</v>
      </c>
      <c r="X93" s="276">
        <v>231</v>
      </c>
      <c r="Y93" s="276">
        <v>294</v>
      </c>
      <c r="Z93" s="276">
        <v>222</v>
      </c>
      <c r="AA93" s="276">
        <f t="shared" si="7"/>
        <v>2933</v>
      </c>
      <c r="AB93" s="312">
        <f t="shared" si="8"/>
        <v>7.0992883768214166E-2</v>
      </c>
      <c r="AC93" s="140"/>
      <c r="AD93" s="278">
        <v>1030</v>
      </c>
      <c r="AE93" s="312">
        <f t="shared" si="9"/>
        <v>2.6388604222176676E-2</v>
      </c>
      <c r="AF93" s="279">
        <f t="shared" si="10"/>
        <v>1903</v>
      </c>
      <c r="AG93" s="279">
        <v>422</v>
      </c>
      <c r="AH93" s="312">
        <f t="shared" si="11"/>
        <v>1.0492553270842139E-2</v>
      </c>
      <c r="AI93" s="280">
        <f t="shared" si="12"/>
        <v>2511</v>
      </c>
    </row>
    <row r="94" spans="1:35" x14ac:dyDescent="0.25">
      <c r="A94" s="11"/>
      <c r="B94" s="11"/>
      <c r="C94" s="11"/>
      <c r="D94" s="11"/>
      <c r="E94" s="11"/>
      <c r="F94" s="11"/>
      <c r="G94" s="11"/>
      <c r="H94" s="88" t="s">
        <v>163</v>
      </c>
      <c r="I94" s="104" t="str">
        <f>IF(_epmOfflineCondition_,"N",_xll.EVPRO($B$1,$H94,"STYLE"))</f>
        <v>N</v>
      </c>
      <c r="J94" s="104" t="str">
        <f>IF(_epmOfflineCondition_,"N",_xll.EVPRO($B$1,$H94,"CALC"))</f>
        <v>N</v>
      </c>
      <c r="K94" s="104"/>
      <c r="L94" s="104" t="str">
        <f>IF(_epmOfflineCondition_,"901500",_xll.EVPRO($B$1,H94,"JDEID"))</f>
        <v>901500</v>
      </c>
      <c r="M94" s="90" t="str">
        <f>IF(_epmOfflineCondition_,"991754",IF(AND(I94="N",J94="N"),_xll.EVPRO($B$1,H94,"PSFTID"),""))</f>
        <v>991754</v>
      </c>
      <c r="N94" s="104" t="str">
        <f>IF(_epmOfflineCondition_,"Entertainment/ Sports",IF(_xll.EVDES(H94,$B$1)="#NODATA","",_xll.EVDES(H94,$B$1)))</f>
        <v>Entertainment/ Sports</v>
      </c>
      <c r="O94" s="275">
        <v>207</v>
      </c>
      <c r="P94" s="276">
        <v>138</v>
      </c>
      <c r="Q94" s="276">
        <v>97</v>
      </c>
      <c r="R94" s="276">
        <v>35</v>
      </c>
      <c r="S94" s="276">
        <v>473</v>
      </c>
      <c r="T94" s="276"/>
      <c r="U94" s="276">
        <v>62</v>
      </c>
      <c r="V94" s="276"/>
      <c r="W94" s="276"/>
      <c r="X94" s="276"/>
      <c r="Y94" s="276">
        <v>94</v>
      </c>
      <c r="Z94" s="276"/>
      <c r="AA94" s="276">
        <f t="shared" si="7"/>
        <v>1106</v>
      </c>
      <c r="AB94" s="312">
        <f t="shared" si="8"/>
        <v>2.6770586241951881E-2</v>
      </c>
      <c r="AC94" s="140"/>
      <c r="AD94" s="278">
        <v>650</v>
      </c>
      <c r="AE94" s="312">
        <f t="shared" si="9"/>
        <v>1.6653002664480426E-2</v>
      </c>
      <c r="AF94" s="279">
        <f t="shared" si="10"/>
        <v>456</v>
      </c>
      <c r="AG94" s="279">
        <v>672</v>
      </c>
      <c r="AH94" s="312">
        <f t="shared" si="11"/>
        <v>1.6708520848355255E-2</v>
      </c>
      <c r="AI94" s="280">
        <f t="shared" si="12"/>
        <v>434</v>
      </c>
    </row>
    <row r="95" spans="1:35" x14ac:dyDescent="0.25">
      <c r="A95" s="11"/>
      <c r="B95" s="11"/>
      <c r="C95" s="11"/>
      <c r="D95" s="11"/>
      <c r="E95" s="11"/>
      <c r="F95" s="11"/>
      <c r="G95" s="11"/>
      <c r="H95" s="88" t="s">
        <v>164</v>
      </c>
      <c r="I95" s="89" t="str">
        <f>IF(_epmOfflineCondition_,"T3",_xll.EVPRO($B$1,$H95,"STYLE"))</f>
        <v>T3</v>
      </c>
      <c r="J95" s="89" t="str">
        <f>IF(_epmOfflineCondition_,"Y",_xll.EVPRO($B$1,$H95,"CALC"))</f>
        <v>Y</v>
      </c>
      <c r="K95" s="265"/>
      <c r="L95" s="106" t="str">
        <f>IF(_epmOfflineCondition_,"",_xll.EVPRO($B$1,H95,"JDEID"))</f>
        <v/>
      </c>
      <c r="M95" s="90" t="str">
        <f>IF(_epmOfflineCondition_,"",IF(AND(I95="N",J95="N"),_xll.EVPRO($B$1,H95,"PSFTID"),""))</f>
        <v/>
      </c>
      <c r="N95" s="106" t="str">
        <f>IF(_epmOfflineCondition_,"Association/ Convention",IF(_xll.EVDES(H95,$B$1)="#NODATA","",_xll.EVDES(H95,$B$1)))</f>
        <v>Association/ Convention</v>
      </c>
      <c r="O95" s="269">
        <v>24</v>
      </c>
      <c r="P95" s="270"/>
      <c r="Q95" s="270">
        <v>51</v>
      </c>
      <c r="R95" s="270">
        <v>63</v>
      </c>
      <c r="S95" s="270">
        <v>92</v>
      </c>
      <c r="T95" s="270">
        <v>11</v>
      </c>
      <c r="U95" s="270"/>
      <c r="V95" s="270"/>
      <c r="W95" s="270"/>
      <c r="X95" s="270"/>
      <c r="Y95" s="270"/>
      <c r="Z95" s="270"/>
      <c r="AA95" s="270">
        <f t="shared" si="7"/>
        <v>241</v>
      </c>
      <c r="AB95" s="311">
        <f t="shared" si="8"/>
        <v>5.8333736747833665E-3</v>
      </c>
      <c r="AC95" s="140"/>
      <c r="AD95" s="272">
        <v>170</v>
      </c>
      <c r="AE95" s="311">
        <f t="shared" si="9"/>
        <v>4.3554006968641113E-3</v>
      </c>
      <c r="AF95" s="273">
        <f t="shared" si="10"/>
        <v>71</v>
      </c>
      <c r="AG95" s="273">
        <v>55</v>
      </c>
      <c r="AH95" s="311">
        <f t="shared" si="11"/>
        <v>1.3675128670528854E-3</v>
      </c>
      <c r="AI95" s="274">
        <f t="shared" si="12"/>
        <v>186</v>
      </c>
    </row>
    <row r="96" spans="1:35" x14ac:dyDescent="0.25">
      <c r="A96" s="11"/>
      <c r="B96" s="11"/>
      <c r="C96" s="11"/>
      <c r="D96" s="11"/>
      <c r="E96" s="11"/>
      <c r="F96" s="11"/>
      <c r="G96" s="11"/>
      <c r="H96" s="88" t="s">
        <v>165</v>
      </c>
      <c r="I96" s="104" t="str">
        <f>IF(_epmOfflineCondition_,"N",_xll.EVPRO($B$1,$H96,"STYLE"))</f>
        <v>N</v>
      </c>
      <c r="J96" s="104" t="str">
        <f>IF(_epmOfflineCondition_,"N",_xll.EVPRO($B$1,$H96,"CALC"))</f>
        <v>N</v>
      </c>
      <c r="K96" s="104"/>
      <c r="L96" s="104" t="str">
        <f>IF(_epmOfflineCondition_,"901200",_xll.EVPRO($B$1,H96,"JDEID"))</f>
        <v>901200</v>
      </c>
      <c r="M96" s="90" t="str">
        <f>IF(_epmOfflineCondition_,"991715",IF(AND(I96="N",J96="N"),_xll.EVPRO($B$1,H96,"PSFTID"),""))</f>
        <v>991715</v>
      </c>
      <c r="N96" s="104" t="str">
        <f>IF(_epmOfflineCondition_,"Association",IF(_xll.EVDES(H96,$B$1)="#NODATA","",_xll.EVDES(H96,$B$1)))</f>
        <v>Association</v>
      </c>
      <c r="O96" s="275">
        <v>24</v>
      </c>
      <c r="P96" s="276"/>
      <c r="Q96" s="276">
        <v>51</v>
      </c>
      <c r="R96" s="276"/>
      <c r="S96" s="276">
        <v>92</v>
      </c>
      <c r="T96" s="276"/>
      <c r="U96" s="276"/>
      <c r="V96" s="276"/>
      <c r="W96" s="276"/>
      <c r="X96" s="276"/>
      <c r="Y96" s="276"/>
      <c r="Z96" s="276"/>
      <c r="AA96" s="276">
        <f t="shared" si="7"/>
        <v>167</v>
      </c>
      <c r="AB96" s="312">
        <f t="shared" si="8"/>
        <v>4.042213293314615E-3</v>
      </c>
      <c r="AC96" s="140"/>
      <c r="AD96" s="278"/>
      <c r="AE96" s="312" t="str">
        <f t="shared" si="9"/>
        <v/>
      </c>
      <c r="AF96" s="279">
        <f t="shared" si="10"/>
        <v>167</v>
      </c>
      <c r="AG96" s="279">
        <v>54</v>
      </c>
      <c r="AH96" s="312">
        <f t="shared" si="11"/>
        <v>1.3426489967428329E-3</v>
      </c>
      <c r="AI96" s="280">
        <f t="shared" si="12"/>
        <v>113</v>
      </c>
    </row>
    <row r="97" spans="1:35" x14ac:dyDescent="0.25">
      <c r="A97" s="11"/>
      <c r="B97" s="11"/>
      <c r="C97" s="11"/>
      <c r="D97" s="11"/>
      <c r="E97" s="11"/>
      <c r="F97" s="11"/>
      <c r="G97" s="11"/>
      <c r="H97" s="88" t="s">
        <v>166</v>
      </c>
      <c r="I97" s="104" t="str">
        <f>IF(_epmOfflineCondition_,"N",_xll.EVPRO($B$1,$H97,"STYLE"))</f>
        <v>N</v>
      </c>
      <c r="J97" s="104" t="str">
        <f>IF(_epmOfflineCondition_,"N",_xll.EVPRO($B$1,$H97,"CALC"))</f>
        <v>N</v>
      </c>
      <c r="K97" s="104"/>
      <c r="L97" s="104" t="str">
        <f>IF(_epmOfflineCondition_,"901600",_xll.EVPRO($B$1,H97,"JDEID"))</f>
        <v>901600</v>
      </c>
      <c r="M97" s="90" t="str">
        <f>IF(_epmOfflineCondition_,"991767",IF(AND(I97="N",J97="N"),_xll.EVPRO($B$1,H97,"PSFTID"),""))</f>
        <v>991767</v>
      </c>
      <c r="N97" s="104" t="str">
        <f>IF(_epmOfflineCondition_,"Convention",IF(_xll.EVDES(H97,$B$1)="#NODATA","",_xll.EVDES(H97,$B$1)))</f>
        <v>Convention</v>
      </c>
      <c r="O97" s="275"/>
      <c r="P97" s="276"/>
      <c r="Q97" s="276"/>
      <c r="R97" s="276">
        <v>63</v>
      </c>
      <c r="S97" s="276"/>
      <c r="T97" s="276">
        <v>11</v>
      </c>
      <c r="U97" s="276"/>
      <c r="V97" s="276"/>
      <c r="W97" s="276"/>
      <c r="X97" s="276"/>
      <c r="Y97" s="276"/>
      <c r="Z97" s="276"/>
      <c r="AA97" s="276">
        <f t="shared" si="7"/>
        <v>74</v>
      </c>
      <c r="AB97" s="312">
        <f t="shared" si="8"/>
        <v>1.7911603814687515E-3</v>
      </c>
      <c r="AC97" s="140"/>
      <c r="AD97" s="278">
        <v>170</v>
      </c>
      <c r="AE97" s="312">
        <f t="shared" si="9"/>
        <v>4.3554006968641113E-3</v>
      </c>
      <c r="AF97" s="279">
        <f t="shared" si="10"/>
        <v>-96</v>
      </c>
      <c r="AG97" s="279">
        <v>1</v>
      </c>
      <c r="AH97" s="312">
        <f t="shared" si="11"/>
        <v>2.4863870310052462E-5</v>
      </c>
      <c r="AI97" s="280">
        <f t="shared" si="12"/>
        <v>73</v>
      </c>
    </row>
    <row r="98" spans="1:35" x14ac:dyDescent="0.25">
      <c r="A98" s="11"/>
      <c r="B98" s="11"/>
      <c r="C98" s="11"/>
      <c r="D98" s="11"/>
      <c r="E98" s="11"/>
      <c r="F98" s="11"/>
      <c r="G98" s="11"/>
      <c r="H98" s="88" t="s">
        <v>167</v>
      </c>
      <c r="I98" s="89" t="str">
        <f>IF(_epmOfflineCondition_,"T3",_xll.EVPRO($B$1,$H98,"STYLE"))</f>
        <v>T3</v>
      </c>
      <c r="J98" s="89" t="str">
        <f>IF(_epmOfflineCondition_,"N",_xll.EVPRO($B$1,$H98,"CALC"))</f>
        <v>N</v>
      </c>
      <c r="K98" s="265"/>
      <c r="L98" s="106" t="str">
        <f>IF(_epmOfflineCondition_,"901800",_xll.EVPRO($B$1,H98,"JDEID"))</f>
        <v>901800</v>
      </c>
      <c r="M98" s="90" t="str">
        <f>IF(_epmOfflineCondition_,"",IF(AND(I98="N",J98="N"),_xll.EVPRO($B$1,H98,"PSFTID"),""))</f>
        <v/>
      </c>
      <c r="N98" s="106" t="str">
        <f>IF(_epmOfflineCondition_,"Government",IF(_xll.EVDES(H98,$B$1)="#NODATA","",_xll.EVDES(H98,$B$1)))</f>
        <v>Government</v>
      </c>
      <c r="O98" s="269"/>
      <c r="P98" s="270"/>
      <c r="Q98" s="270"/>
      <c r="R98" s="270"/>
      <c r="S98" s="270"/>
      <c r="T98" s="270"/>
      <c r="U98" s="270"/>
      <c r="V98" s="270"/>
      <c r="W98" s="270"/>
      <c r="X98" s="270"/>
      <c r="Y98" s="270"/>
      <c r="Z98" s="270"/>
      <c r="AA98" s="270">
        <f t="shared" si="7"/>
        <v>0</v>
      </c>
      <c r="AB98" s="311" t="str">
        <f t="shared" si="8"/>
        <v/>
      </c>
      <c r="AC98" s="140"/>
      <c r="AD98" s="272"/>
      <c r="AE98" s="311" t="str">
        <f t="shared" si="9"/>
        <v/>
      </c>
      <c r="AF98" s="273">
        <f t="shared" si="10"/>
        <v>0</v>
      </c>
      <c r="AG98" s="273"/>
      <c r="AH98" s="311" t="str">
        <f t="shared" si="11"/>
        <v/>
      </c>
      <c r="AI98" s="274">
        <f t="shared" si="12"/>
        <v>0</v>
      </c>
    </row>
    <row r="99" spans="1:35" x14ac:dyDescent="0.25">
      <c r="A99" s="11"/>
      <c r="B99" s="11"/>
      <c r="C99" s="11"/>
      <c r="D99" s="11"/>
      <c r="E99" s="11"/>
      <c r="F99" s="11"/>
      <c r="G99" s="11"/>
      <c r="H99" s="88" t="s">
        <v>168</v>
      </c>
      <c r="I99" s="89" t="str">
        <f>IF(_epmOfflineCondition_,"T3",_xll.EVPRO($B$1,$H99,"STYLE"))</f>
        <v>T3</v>
      </c>
      <c r="J99" s="89" t="str">
        <f>IF(_epmOfflineCondition_,"Y",_xll.EVPRO($B$1,$H99,"CALC"))</f>
        <v>Y</v>
      </c>
      <c r="K99" s="265"/>
      <c r="L99" s="106" t="str">
        <f>IF(_epmOfflineCondition_,"",_xll.EVPRO($B$1,H99,"JDEID"))</f>
        <v/>
      </c>
      <c r="M99" s="90" t="str">
        <f>IF(_epmOfflineCondition_,"",IF(AND(I99="N",J99="N"),_xll.EVPRO($B$1,H99,"PSFTID"),""))</f>
        <v/>
      </c>
      <c r="N99" s="106" t="str">
        <f>IF(_epmOfflineCondition_,"Tour/ Wholesalers",IF(_xll.EVDES(H99,$B$1)="#NODATA","",_xll.EVDES(H99,$B$1)))</f>
        <v>Tour/ Wholesalers</v>
      </c>
      <c r="O99" s="269"/>
      <c r="P99" s="270"/>
      <c r="Q99" s="270"/>
      <c r="R99" s="270"/>
      <c r="S99" s="270"/>
      <c r="T99" s="270"/>
      <c r="U99" s="270"/>
      <c r="V99" s="270"/>
      <c r="W99" s="270"/>
      <c r="X99" s="270"/>
      <c r="Y99" s="270"/>
      <c r="Z99" s="270"/>
      <c r="AA99" s="270">
        <f t="shared" si="7"/>
        <v>0</v>
      </c>
      <c r="AB99" s="311" t="str">
        <f t="shared" si="8"/>
        <v/>
      </c>
      <c r="AC99" s="140"/>
      <c r="AD99" s="272">
        <v>190</v>
      </c>
      <c r="AE99" s="311">
        <f t="shared" si="9"/>
        <v>4.8678007788481243E-3</v>
      </c>
      <c r="AF99" s="273">
        <f t="shared" si="10"/>
        <v>-190</v>
      </c>
      <c r="AG99" s="273"/>
      <c r="AH99" s="311" t="str">
        <f t="shared" si="11"/>
        <v/>
      </c>
      <c r="AI99" s="274">
        <f t="shared" si="12"/>
        <v>0</v>
      </c>
    </row>
    <row r="100" spans="1:35" x14ac:dyDescent="0.25">
      <c r="A100" s="11"/>
      <c r="B100" s="11"/>
      <c r="C100" s="11"/>
      <c r="D100" s="11"/>
      <c r="E100" s="11"/>
      <c r="F100" s="11"/>
      <c r="G100" s="11"/>
      <c r="H100" s="88" t="s">
        <v>169</v>
      </c>
      <c r="I100" s="104" t="str">
        <f>IF(_epmOfflineCondition_,"N",_xll.EVPRO($B$1,$H100,"STYLE"))</f>
        <v>N</v>
      </c>
      <c r="J100" s="104" t="str">
        <f>IF(_epmOfflineCondition_,"N",_xll.EVPRO($B$1,$H100,"CALC"))</f>
        <v>N</v>
      </c>
      <c r="K100" s="104"/>
      <c r="L100" s="104" t="str">
        <f>IF(_epmOfflineCondition_,"901300",_xll.EVPRO($B$1,H100,"JDEID"))</f>
        <v>901300</v>
      </c>
      <c r="M100" s="90" t="str">
        <f>IF(_epmOfflineCondition_,"991010",IF(AND(I100="N",J100="N"),_xll.EVPRO($B$1,H100,"PSFTID"),""))</f>
        <v>991010</v>
      </c>
      <c r="N100" s="104" t="str">
        <f>IF(_epmOfflineCondition_,"Tour/ Wholesale",IF(_xll.EVDES(H100,$B$1)="#NODATA","",_xll.EVDES(H100,$B$1)))</f>
        <v>Tour/ Wholesale</v>
      </c>
      <c r="O100" s="275"/>
      <c r="P100" s="276"/>
      <c r="Q100" s="276"/>
      <c r="R100" s="276"/>
      <c r="S100" s="276"/>
      <c r="T100" s="276"/>
      <c r="U100" s="276"/>
      <c r="V100" s="276"/>
      <c r="W100" s="276"/>
      <c r="X100" s="276"/>
      <c r="Y100" s="276"/>
      <c r="Z100" s="276"/>
      <c r="AA100" s="276">
        <f t="shared" si="7"/>
        <v>0</v>
      </c>
      <c r="AB100" s="312" t="str">
        <f t="shared" si="8"/>
        <v/>
      </c>
      <c r="AC100" s="140"/>
      <c r="AD100" s="278"/>
      <c r="AE100" s="312" t="str">
        <f t="shared" si="9"/>
        <v/>
      </c>
      <c r="AF100" s="279">
        <f t="shared" si="10"/>
        <v>0</v>
      </c>
      <c r="AG100" s="279"/>
      <c r="AH100" s="312" t="str">
        <f t="shared" si="11"/>
        <v/>
      </c>
      <c r="AI100" s="280">
        <f t="shared" si="12"/>
        <v>0</v>
      </c>
    </row>
    <row r="101" spans="1:35" x14ac:dyDescent="0.25">
      <c r="A101" s="11"/>
      <c r="B101" s="11"/>
      <c r="C101" s="11"/>
      <c r="D101" s="11"/>
      <c r="E101" s="11"/>
      <c r="F101" s="11"/>
      <c r="G101" s="11"/>
      <c r="H101" s="88" t="s">
        <v>170</v>
      </c>
      <c r="I101" s="104" t="str">
        <f>IF(_epmOfflineCondition_,"N",_xll.EVPRO($B$1,$H101,"STYLE"))</f>
        <v>N</v>
      </c>
      <c r="J101" s="104" t="str">
        <f>IF(_epmOfflineCondition_,"N",_xll.EVPRO($B$1,$H101,"CALC"))</f>
        <v>N</v>
      </c>
      <c r="K101" s="104"/>
      <c r="L101" s="104" t="str">
        <f>IF(_epmOfflineCondition_,"901330",_xll.EVPRO($B$1,H101,"JDEID"))</f>
        <v>901330</v>
      </c>
      <c r="M101" s="90" t="str">
        <f>IF(_epmOfflineCondition_,"991752",IF(AND(I101="N",J101="N"),_xll.EVPRO($B$1,H101,"PSFTID"),""))</f>
        <v>991752</v>
      </c>
      <c r="N101" s="104" t="str">
        <f>IF(_epmOfflineCondition_,"MICE",IF(_xll.EVDES(H101,$B$1)="#NODATA","",_xll.EVDES(H101,$B$1)))</f>
        <v>MICE</v>
      </c>
      <c r="O101" s="275"/>
      <c r="P101" s="276"/>
      <c r="Q101" s="276"/>
      <c r="R101" s="276"/>
      <c r="S101" s="276"/>
      <c r="T101" s="276"/>
      <c r="U101" s="276"/>
      <c r="V101" s="276"/>
      <c r="W101" s="276"/>
      <c r="X101" s="276"/>
      <c r="Y101" s="276"/>
      <c r="Z101" s="276"/>
      <c r="AA101" s="276">
        <f t="shared" si="7"/>
        <v>0</v>
      </c>
      <c r="AB101" s="312" t="str">
        <f t="shared" si="8"/>
        <v/>
      </c>
      <c r="AC101" s="140"/>
      <c r="AD101" s="278">
        <v>190</v>
      </c>
      <c r="AE101" s="312">
        <f t="shared" si="9"/>
        <v>4.8678007788481243E-3</v>
      </c>
      <c r="AF101" s="279">
        <f t="shared" si="10"/>
        <v>-190</v>
      </c>
      <c r="AG101" s="279"/>
      <c r="AH101" s="312" t="str">
        <f t="shared" si="11"/>
        <v/>
      </c>
      <c r="AI101" s="280">
        <f t="shared" si="12"/>
        <v>0</v>
      </c>
    </row>
    <row r="102" spans="1:35" x14ac:dyDescent="0.25">
      <c r="A102" s="11"/>
      <c r="B102" s="11"/>
      <c r="C102" s="11"/>
      <c r="D102" s="11"/>
      <c r="E102" s="11"/>
      <c r="F102" s="11"/>
      <c r="G102" s="11"/>
      <c r="H102" s="88" t="s">
        <v>171</v>
      </c>
      <c r="I102" s="89" t="str">
        <f>IF(_epmOfflineCondition_,"T3",_xll.EVPRO($B$1,$H102,"STYLE"))</f>
        <v>T3</v>
      </c>
      <c r="J102" s="89" t="str">
        <f>IF(_epmOfflineCondition_,"N",_xll.EVPRO($B$1,$H102,"CALC"))</f>
        <v>N</v>
      </c>
      <c r="K102" s="265"/>
      <c r="L102" s="106" t="str">
        <f>IF(_epmOfflineCondition_,"901400",_xll.EVPRO($B$1,H102,"JDEID"))</f>
        <v>901400</v>
      </c>
      <c r="M102" s="90" t="str">
        <f>IF(_epmOfflineCondition_,"",IF(AND(I102="N",J102="N"),_xll.EVPRO($B$1,H102,"PSFTID"),""))</f>
        <v/>
      </c>
      <c r="N102" s="106" t="str">
        <f>IF(_epmOfflineCondition_,"SMERF",IF(_xll.EVDES(H102,$B$1)="#NODATA","",_xll.EVDES(H102,$B$1)))</f>
        <v>SMERF</v>
      </c>
      <c r="O102" s="281"/>
      <c r="P102" s="282"/>
      <c r="Q102" s="282">
        <v>57</v>
      </c>
      <c r="R102" s="282"/>
      <c r="S102" s="282">
        <v>28</v>
      </c>
      <c r="T102" s="282">
        <v>18</v>
      </c>
      <c r="U102" s="282">
        <v>5</v>
      </c>
      <c r="V102" s="282">
        <v>2</v>
      </c>
      <c r="W102" s="282">
        <v>39</v>
      </c>
      <c r="X102" s="282">
        <v>26</v>
      </c>
      <c r="Y102" s="282">
        <v>101</v>
      </c>
      <c r="Z102" s="282">
        <v>28</v>
      </c>
      <c r="AA102" s="282">
        <f t="shared" si="7"/>
        <v>304</v>
      </c>
      <c r="AB102" s="313">
        <f t="shared" si="8"/>
        <v>7.3582804860337896E-3</v>
      </c>
      <c r="AC102" s="140"/>
      <c r="AD102" s="284">
        <v>695</v>
      </c>
      <c r="AE102" s="313">
        <f t="shared" si="9"/>
        <v>1.7805902848944455E-2</v>
      </c>
      <c r="AF102" s="285">
        <f t="shared" si="10"/>
        <v>-391</v>
      </c>
      <c r="AG102" s="285">
        <v>291</v>
      </c>
      <c r="AH102" s="313">
        <f t="shared" si="11"/>
        <v>7.2353862602252666E-3</v>
      </c>
      <c r="AI102" s="286">
        <f t="shared" si="12"/>
        <v>13</v>
      </c>
    </row>
    <row r="103" spans="1:35" x14ac:dyDescent="0.25">
      <c r="A103" s="11"/>
      <c r="B103" s="11"/>
      <c r="C103" s="11"/>
      <c r="D103" s="11"/>
      <c r="E103" s="11"/>
      <c r="F103" s="11"/>
      <c r="G103" s="11"/>
      <c r="H103" s="88" t="s">
        <v>160</v>
      </c>
      <c r="I103" s="89" t="str">
        <f>IF(_epmOfflineCondition_,"T2",_xll.EVPRO($B$1,$H103,"STYLE"))</f>
        <v>T2</v>
      </c>
      <c r="J103" s="89" t="str">
        <f>IF(_epmOfflineCondition_,"Y",_xll.EVPRO($B$1,$H103,"CALC"))</f>
        <v>Y</v>
      </c>
      <c r="K103" s="265"/>
      <c r="L103" s="106" t="str">
        <f>IF(_epmOfflineCondition_,"901000",_xll.EVPRO($B$1,H103,"JDEID"))</f>
        <v>901000</v>
      </c>
      <c r="M103" s="90" t="str">
        <f>IF(_epmOfflineCondition_,"",IF(AND(I103="N",J103="N"),_xll.EVPRO($B$1,H103,"PSFTID"),""))</f>
        <v/>
      </c>
      <c r="N103" s="106" t="str">
        <f>IF(_epmOfflineCondition_,"Total Group Rooms Occupied",IF(_xll.EVDES(H103,$B$1)="#NODATA","",_xll.EVDES(H103,$B$1)))</f>
        <v>Total Group Rooms Occupied</v>
      </c>
      <c r="O103" s="287">
        <v>437</v>
      </c>
      <c r="P103" s="288">
        <v>278</v>
      </c>
      <c r="Q103" s="288">
        <v>756</v>
      </c>
      <c r="R103" s="288">
        <v>527</v>
      </c>
      <c r="S103" s="288">
        <v>708</v>
      </c>
      <c r="T103" s="288">
        <v>453</v>
      </c>
      <c r="U103" s="288">
        <v>218</v>
      </c>
      <c r="V103" s="288">
        <v>69</v>
      </c>
      <c r="W103" s="288">
        <v>142</v>
      </c>
      <c r="X103" s="288">
        <v>257</v>
      </c>
      <c r="Y103" s="288">
        <v>489</v>
      </c>
      <c r="Z103" s="288">
        <v>250</v>
      </c>
      <c r="AA103" s="288">
        <f t="shared" si="7"/>
        <v>4584</v>
      </c>
      <c r="AB103" s="314">
        <f t="shared" si="8"/>
        <v>0.1109551241709832</v>
      </c>
      <c r="AC103" s="140"/>
      <c r="AD103" s="290">
        <v>2735</v>
      </c>
      <c r="AE103" s="314">
        <f t="shared" si="9"/>
        <v>7.0070711211313794E-2</v>
      </c>
      <c r="AF103" s="291">
        <f t="shared" si="10"/>
        <v>1849</v>
      </c>
      <c r="AG103" s="291">
        <v>1440</v>
      </c>
      <c r="AH103" s="314">
        <f t="shared" si="11"/>
        <v>3.5803973246475544E-2</v>
      </c>
      <c r="AI103" s="292">
        <f t="shared" si="12"/>
        <v>3144</v>
      </c>
    </row>
    <row r="104" spans="1:35" x14ac:dyDescent="0.25">
      <c r="A104" s="11"/>
      <c r="B104" s="11"/>
      <c r="C104" s="11"/>
      <c r="D104" s="11"/>
      <c r="E104" s="11"/>
      <c r="F104" s="11"/>
      <c r="G104" s="11"/>
      <c r="H104" s="88" t="s">
        <v>172</v>
      </c>
      <c r="I104" s="104" t="str">
        <f>IF(_epmOfflineCondition_,"N",_xll.EVPRO($B$1,$H104,"STYLE"))</f>
        <v>N</v>
      </c>
      <c r="J104" s="104" t="str">
        <f>IF(_epmOfflineCondition_,"N",_xll.EVPRO($B$1,$H104,"CALC"))</f>
        <v>N</v>
      </c>
      <c r="K104" s="104"/>
      <c r="L104" s="104" t="str">
        <f>IF(_epmOfflineCondition_,"901700",_xll.EVPRO($B$1,H104,"JDEID"))</f>
        <v>901700</v>
      </c>
      <c r="M104" s="90" t="str">
        <f>IF(_epmOfflineCondition_,"991753",IF(AND(I104="N",J104="N"),_xll.EVPRO($B$1,H104,"PSFTID"),""))</f>
        <v>991753</v>
      </c>
      <c r="N104" s="104" t="str">
        <f>IF(_epmOfflineCondition_,"Contract",IF(_xll.EVDES(H104,$B$1)="#NODATA","",_xll.EVDES(H104,$B$1)))</f>
        <v>Contract</v>
      </c>
      <c r="O104" s="316"/>
      <c r="P104" s="317"/>
      <c r="Q104" s="317"/>
      <c r="R104" s="317"/>
      <c r="S104" s="317"/>
      <c r="T104" s="317"/>
      <c r="U104" s="317"/>
      <c r="V104" s="317"/>
      <c r="W104" s="317"/>
      <c r="X104" s="317"/>
      <c r="Y104" s="317"/>
      <c r="Z104" s="317"/>
      <c r="AA104" s="317">
        <f t="shared" si="7"/>
        <v>0</v>
      </c>
      <c r="AB104" s="318" t="str">
        <f t="shared" si="8"/>
        <v/>
      </c>
      <c r="AC104" s="140"/>
      <c r="AD104" s="319"/>
      <c r="AE104" s="318" t="str">
        <f t="shared" si="9"/>
        <v/>
      </c>
      <c r="AF104" s="320">
        <f t="shared" si="10"/>
        <v>0</v>
      </c>
      <c r="AG104" s="320"/>
      <c r="AH104" s="318" t="str">
        <f t="shared" si="11"/>
        <v/>
      </c>
      <c r="AI104" s="321">
        <f t="shared" si="12"/>
        <v>0</v>
      </c>
    </row>
    <row r="105" spans="1:35" x14ac:dyDescent="0.25">
      <c r="A105" s="11"/>
      <c r="B105" s="11"/>
      <c r="C105" s="11"/>
      <c r="D105" s="11"/>
      <c r="E105" s="11"/>
      <c r="F105" s="11"/>
      <c r="G105" s="11"/>
      <c r="H105" s="88" t="s">
        <v>257</v>
      </c>
      <c r="I105" s="89" t="str">
        <f>IF(_epmOfflineCondition_,"T2",_xll.EVPRO($B$1,$H105,"STYLE"))</f>
        <v>T2</v>
      </c>
      <c r="J105" s="89" t="str">
        <f>IF(_epmOfflineCondition_,"Y",_xll.EVPRO($B$1,$H105,"CALC"))</f>
        <v>Y</v>
      </c>
      <c r="K105" s="265"/>
      <c r="L105" s="106" t="str">
        <f>IF(_epmOfflineCondition_,"",_xll.EVPRO($B$1,H105,"JDEID"))</f>
        <v/>
      </c>
      <c r="M105" s="90" t="str">
        <f>IF(_epmOfflineCondition_,"",IF(AND(I105="N",J105="N"),_xll.EVPRO($B$1,H105,"PSFTID"),""))</f>
        <v/>
      </c>
      <c r="N105" s="106" t="str">
        <f>IF(_epmOfflineCondition_,"Total Rooms Sold",IF(_xll.EVDES(H105,$B$1)="#NODATA","",_xll.EVDES(H105,$B$1)))</f>
        <v>Total Rooms Sold</v>
      </c>
      <c r="O105" s="287">
        <v>3760</v>
      </c>
      <c r="P105" s="288">
        <v>3567</v>
      </c>
      <c r="Q105" s="288">
        <v>3855</v>
      </c>
      <c r="R105" s="288">
        <v>3596</v>
      </c>
      <c r="S105" s="288">
        <v>3573</v>
      </c>
      <c r="T105" s="288">
        <v>3209</v>
      </c>
      <c r="U105" s="288">
        <v>3486</v>
      </c>
      <c r="V105" s="288">
        <v>3250</v>
      </c>
      <c r="W105" s="288">
        <v>2677</v>
      </c>
      <c r="X105" s="288">
        <v>3037</v>
      </c>
      <c r="Y105" s="288">
        <v>3424</v>
      </c>
      <c r="Z105" s="288">
        <v>3533</v>
      </c>
      <c r="AA105" s="288">
        <f t="shared" si="7"/>
        <v>40967</v>
      </c>
      <c r="AB105" s="314">
        <f t="shared" si="8"/>
        <v>0.9916009101031128</v>
      </c>
      <c r="AC105" s="140"/>
      <c r="AD105" s="290">
        <v>39032</v>
      </c>
      <c r="AE105" s="314">
        <f t="shared" si="9"/>
        <v>1</v>
      </c>
      <c r="AF105" s="291">
        <f t="shared" si="10"/>
        <v>1935</v>
      </c>
      <c r="AG105" s="291">
        <v>40168</v>
      </c>
      <c r="AH105" s="314">
        <f t="shared" si="11"/>
        <v>0.9987319426141873</v>
      </c>
      <c r="AI105" s="292">
        <f t="shared" si="12"/>
        <v>799</v>
      </c>
    </row>
    <row r="106" spans="1:35" x14ac:dyDescent="0.25">
      <c r="A106" s="11"/>
      <c r="B106" s="11"/>
      <c r="C106" s="11"/>
      <c r="D106" s="11"/>
      <c r="E106" s="11"/>
      <c r="F106" s="11"/>
      <c r="G106" s="11"/>
      <c r="H106" s="88" t="s">
        <v>176</v>
      </c>
      <c r="I106" s="104" t="str">
        <f>IF(_epmOfflineCondition_,"N",_xll.EVPRO($B$1,$H106,"STYLE"))</f>
        <v>N</v>
      </c>
      <c r="J106" s="104" t="str">
        <f>IF(_epmOfflineCondition_,"N",_xll.EVPRO($B$1,$H106,"CALC"))</f>
        <v>N</v>
      </c>
      <c r="K106" s="104"/>
      <c r="L106" s="104" t="str">
        <f>IF(_epmOfflineCondition_,"903100",_xll.EVPRO($B$1,H106,"JDEID"))</f>
        <v>903100</v>
      </c>
      <c r="M106" s="90" t="str">
        <f>IF(_epmOfflineCondition_,"991022",IF(AND(I106="N",J106="N"),_xll.EVPRO($B$1,H106,"PSFTID"),""))</f>
        <v>991022</v>
      </c>
      <c r="N106" s="104" t="str">
        <f>IF(_epmOfflineCondition_,"Comp Rooms",IF(_xll.EVDES(H106,$B$1)="#NODATA","",_xll.EVDES(H106,$B$1)))</f>
        <v>Comp Rooms</v>
      </c>
      <c r="O106" s="316">
        <v>2</v>
      </c>
      <c r="P106" s="317">
        <v>1</v>
      </c>
      <c r="Q106" s="317"/>
      <c r="R106" s="317">
        <v>6</v>
      </c>
      <c r="S106" s="317">
        <v>7</v>
      </c>
      <c r="T106" s="317">
        <v>50</v>
      </c>
      <c r="U106" s="317">
        <v>62</v>
      </c>
      <c r="V106" s="317">
        <v>98</v>
      </c>
      <c r="W106" s="317">
        <v>67</v>
      </c>
      <c r="X106" s="317">
        <v>39</v>
      </c>
      <c r="Y106" s="317">
        <v>7</v>
      </c>
      <c r="Z106" s="317">
        <v>8</v>
      </c>
      <c r="AA106" s="317">
        <f t="shared" si="7"/>
        <v>347</v>
      </c>
      <c r="AB106" s="318">
        <f t="shared" si="8"/>
        <v>8.3990898968872539E-3</v>
      </c>
      <c r="AC106" s="140"/>
      <c r="AD106" s="319"/>
      <c r="AE106" s="318" t="str">
        <f t="shared" si="9"/>
        <v/>
      </c>
      <c r="AF106" s="320">
        <f t="shared" si="10"/>
        <v>347</v>
      </c>
      <c r="AG106" s="320">
        <v>51</v>
      </c>
      <c r="AH106" s="318">
        <f t="shared" si="11"/>
        <v>1.2680573858126756E-3</v>
      </c>
      <c r="AI106" s="321">
        <f t="shared" si="12"/>
        <v>296</v>
      </c>
    </row>
    <row r="107" spans="1:35" x14ac:dyDescent="0.25">
      <c r="A107" s="11"/>
      <c r="B107" s="11"/>
      <c r="C107" s="11"/>
      <c r="D107" s="11"/>
      <c r="E107" s="11"/>
      <c r="F107" s="11"/>
      <c r="G107" s="11"/>
      <c r="H107" s="88" t="s">
        <v>174</v>
      </c>
      <c r="I107" s="89" t="str">
        <f>IF(_epmOfflineCondition_,"T2",_xll.EVPRO($B$1,$H107,"STYLE"))</f>
        <v>T2</v>
      </c>
      <c r="J107" s="89" t="str">
        <f>IF(_epmOfflineCondition_,"Y",_xll.EVPRO($B$1,$H107,"CALC"))</f>
        <v>Y</v>
      </c>
      <c r="K107" s="265"/>
      <c r="L107" s="106" t="str">
        <f>IF(_epmOfflineCondition_,"900200",_xll.EVPRO($B$1,H107,"JDEID"))</f>
        <v>900200</v>
      </c>
      <c r="M107" s="90" t="str">
        <f>IF(_epmOfflineCondition_,"",IF(AND(I107="N",J107="N"),_xll.EVPRO($B$1,H107,"PSFTID"),""))</f>
        <v/>
      </c>
      <c r="N107" s="106" t="str">
        <f>IF(_epmOfflineCondition_,"Total Rooms Occupied",IF(_xll.EVDES(H107,$B$1)="#NODATA","",_xll.EVDES(H107,$B$1)))</f>
        <v>Total Rooms Occupied</v>
      </c>
      <c r="O107" s="287">
        <v>3762</v>
      </c>
      <c r="P107" s="288">
        <v>3568</v>
      </c>
      <c r="Q107" s="288">
        <v>3855</v>
      </c>
      <c r="R107" s="288">
        <v>3602</v>
      </c>
      <c r="S107" s="288">
        <v>3580</v>
      </c>
      <c r="T107" s="288">
        <v>3259</v>
      </c>
      <c r="U107" s="288">
        <v>3548</v>
      </c>
      <c r="V107" s="288">
        <v>3348</v>
      </c>
      <c r="W107" s="288">
        <v>2744</v>
      </c>
      <c r="X107" s="288">
        <v>3076</v>
      </c>
      <c r="Y107" s="288">
        <v>3431</v>
      </c>
      <c r="Z107" s="288">
        <v>3541</v>
      </c>
      <c r="AA107" s="288">
        <f t="shared" si="7"/>
        <v>41314</v>
      </c>
      <c r="AB107" s="314">
        <f t="shared" si="8"/>
        <v>1</v>
      </c>
      <c r="AC107" s="140"/>
      <c r="AD107" s="290">
        <v>39032</v>
      </c>
      <c r="AE107" s="314">
        <f t="shared" si="9"/>
        <v>1</v>
      </c>
      <c r="AF107" s="291">
        <f t="shared" si="10"/>
        <v>2282</v>
      </c>
      <c r="AG107" s="291">
        <v>40219</v>
      </c>
      <c r="AH107" s="314">
        <f t="shared" si="11"/>
        <v>1</v>
      </c>
      <c r="AI107" s="292">
        <f t="shared" si="12"/>
        <v>1095</v>
      </c>
    </row>
    <row r="108" spans="1:35" x14ac:dyDescent="0.25">
      <c r="A108" s="11"/>
      <c r="B108" s="11"/>
      <c r="C108" s="11"/>
      <c r="D108" s="11"/>
      <c r="E108" s="11"/>
      <c r="F108" s="11"/>
      <c r="G108" s="11"/>
      <c r="H108" s="88" t="s">
        <v>175</v>
      </c>
      <c r="I108" s="104" t="str">
        <f>IF(_epmOfflineCondition_,"B1",_xll.EVPRO($B$1,$H108,"STYLE"))</f>
        <v>B1</v>
      </c>
      <c r="J108" s="104" t="str">
        <f>IF(_epmOfflineCondition_,"Y",_xll.EVPRO($B$1,$H108,"CALC"))</f>
        <v>Y</v>
      </c>
      <c r="K108" s="104"/>
      <c r="L108" s="104" t="str">
        <f>IF(_epmOfflineCondition_,"",_xll.EVPRO($B$1,H108,"JDEID"))</f>
        <v/>
      </c>
      <c r="M108" s="90" t="str">
        <f>IF(_epmOfflineCondition_,"",IF(AND(I108="N",J108="N"),_xll.EVPRO($B$1,H108,"PSFTID"),""))</f>
        <v/>
      </c>
      <c r="N108" s="104" t="str">
        <f>IF(_epmOfflineCondition_,"BLANKROW",IF(_xll.EVDES(H108,$B$1)="#NODATA","",_xll.EVDES(H108,$B$1)))</f>
        <v>BLANKROW</v>
      </c>
      <c r="O108" s="293"/>
      <c r="P108" s="294"/>
      <c r="Q108" s="294"/>
      <c r="R108" s="294"/>
      <c r="S108" s="294"/>
      <c r="T108" s="294"/>
      <c r="U108" s="294"/>
      <c r="V108" s="294"/>
      <c r="W108" s="294"/>
      <c r="X108" s="294"/>
      <c r="Y108" s="294"/>
      <c r="Z108" s="294"/>
      <c r="AA108" s="294">
        <f t="shared" si="7"/>
        <v>0</v>
      </c>
      <c r="AB108" s="315" t="str">
        <f t="shared" si="8"/>
        <v/>
      </c>
      <c r="AC108" s="140"/>
      <c r="AD108" s="296"/>
      <c r="AE108" s="315" t="str">
        <f t="shared" si="9"/>
        <v/>
      </c>
      <c r="AF108" s="297">
        <f t="shared" si="10"/>
        <v>0</v>
      </c>
      <c r="AG108" s="297"/>
      <c r="AH108" s="315" t="str">
        <f t="shared" si="11"/>
        <v/>
      </c>
      <c r="AI108" s="298">
        <f t="shared" si="12"/>
        <v>0</v>
      </c>
    </row>
    <row r="109" spans="1:35" x14ac:dyDescent="0.25">
      <c r="A109" s="11"/>
      <c r="B109" s="11"/>
      <c r="C109" s="11"/>
      <c r="D109" s="11"/>
      <c r="E109" s="11"/>
      <c r="F109" s="11"/>
      <c r="G109" s="11"/>
      <c r="H109" s="88" t="s">
        <v>211</v>
      </c>
      <c r="I109" s="104" t="str">
        <f>IF(_epmOfflineCondition_,"N",_xll.EVPRO($B$1,$H109,"STYLE"))</f>
        <v>N</v>
      </c>
      <c r="J109" s="104" t="str">
        <f>IF(_epmOfflineCondition_,"N",_xll.EVPRO($B$1,$H109,"CALC"))</f>
        <v>N</v>
      </c>
      <c r="K109" s="104"/>
      <c r="L109" s="104" t="str">
        <f>IF(_epmOfflineCondition_,"904100",_xll.EVPRO($B$1,H109,"JDEID"))</f>
        <v>904100</v>
      </c>
      <c r="M109" s="90" t="str">
        <f>IF(_epmOfflineCondition_,"991001",IF(AND(I109="N",J109="N"),_xll.EVPRO($B$1,H109,"PSFTID"),""))</f>
        <v>991001</v>
      </c>
      <c r="N109" s="104" t="str">
        <f>IF(_epmOfflineCondition_,"Available rooms",IF(_xll.EVDES(H109,$B$1)="#NODATA","",_xll.EVDES(H109,$B$1)))</f>
        <v>Available rooms</v>
      </c>
      <c r="O109" s="275">
        <v>4092</v>
      </c>
      <c r="P109" s="276">
        <v>3696</v>
      </c>
      <c r="Q109" s="276">
        <v>4092</v>
      </c>
      <c r="R109" s="276">
        <v>3960</v>
      </c>
      <c r="S109" s="276">
        <v>4092</v>
      </c>
      <c r="T109" s="276">
        <v>3960</v>
      </c>
      <c r="U109" s="276">
        <v>4092</v>
      </c>
      <c r="V109" s="276">
        <v>4092</v>
      </c>
      <c r="W109" s="276">
        <v>3960</v>
      </c>
      <c r="X109" s="276">
        <v>4092</v>
      </c>
      <c r="Y109" s="276">
        <v>3960</v>
      </c>
      <c r="Z109" s="276">
        <v>4092</v>
      </c>
      <c r="AA109" s="276">
        <f t="shared" si="7"/>
        <v>48180</v>
      </c>
      <c r="AB109" s="312">
        <f t="shared" si="8"/>
        <v>1.1661906375562763</v>
      </c>
      <c r="AC109" s="140"/>
      <c r="AD109" s="278">
        <v>48180</v>
      </c>
      <c r="AE109" s="312">
        <f t="shared" si="9"/>
        <v>1.2343717974994877</v>
      </c>
      <c r="AF109" s="279">
        <f t="shared" si="10"/>
        <v>0</v>
      </c>
      <c r="AG109" s="279">
        <v>48180</v>
      </c>
      <c r="AH109" s="312">
        <f t="shared" si="11"/>
        <v>1.1979412715383277</v>
      </c>
      <c r="AI109" s="280">
        <f t="shared" si="12"/>
        <v>0</v>
      </c>
    </row>
    <row r="110" spans="1:35" x14ac:dyDescent="0.25">
      <c r="A110" s="11"/>
      <c r="B110" s="11"/>
      <c r="C110" s="11"/>
      <c r="D110" s="11"/>
      <c r="E110" s="11"/>
      <c r="F110" s="11"/>
      <c r="G110" s="11"/>
      <c r="H110" s="88" t="s">
        <v>212</v>
      </c>
      <c r="I110" s="104" t="str">
        <f>IF(_epmOfflineCondition_,"N",_xll.EVPRO($B$1,$H110,"STYLE"))</f>
        <v>N</v>
      </c>
      <c r="J110" s="104" t="str">
        <f>IF(_epmOfflineCondition_,"N",_xll.EVPRO($B$1,$H110,"CALC"))</f>
        <v>N</v>
      </c>
      <c r="K110" s="104"/>
      <c r="L110" s="104" t="str">
        <f>IF(_epmOfflineCondition_,"905100",_xll.EVPRO($B$1,H110,"JDEID"))</f>
        <v>905100</v>
      </c>
      <c r="M110" s="90" t="str">
        <f>IF(_epmOfflineCondition_,"991765",IF(AND(I110="N",J110="N"),_xll.EVPRO($B$1,H110,"PSFTID"),""))</f>
        <v>991765</v>
      </c>
      <c r="N110" s="104" t="str">
        <f>IF(_epmOfflineCondition_,"Seasonally Closed Rooms",IF(_xll.EVDES(H110,$B$1)="#NODATA","",_xll.EVDES(H110,$B$1)))</f>
        <v>Seasonally Closed Rooms</v>
      </c>
      <c r="O110" s="275"/>
      <c r="P110" s="276"/>
      <c r="Q110" s="276"/>
      <c r="R110" s="276"/>
      <c r="S110" s="276"/>
      <c r="T110" s="276"/>
      <c r="U110" s="276"/>
      <c r="V110" s="276"/>
      <c r="W110" s="276"/>
      <c r="X110" s="276"/>
      <c r="Y110" s="276"/>
      <c r="Z110" s="276"/>
      <c r="AA110" s="276">
        <f t="shared" si="7"/>
        <v>0</v>
      </c>
      <c r="AB110" s="312" t="str">
        <f t="shared" si="8"/>
        <v/>
      </c>
      <c r="AC110" s="140"/>
      <c r="AD110" s="278"/>
      <c r="AE110" s="312" t="str">
        <f t="shared" si="9"/>
        <v/>
      </c>
      <c r="AF110" s="279">
        <f t="shared" si="10"/>
        <v>0</v>
      </c>
      <c r="AG110" s="279"/>
      <c r="AH110" s="312" t="str">
        <f t="shared" si="11"/>
        <v/>
      </c>
      <c r="AI110" s="280">
        <f t="shared" si="12"/>
        <v>0</v>
      </c>
    </row>
    <row r="111" spans="1:35" x14ac:dyDescent="0.25">
      <c r="A111" s="11"/>
      <c r="B111" s="11"/>
      <c r="C111" s="11"/>
      <c r="D111" s="11"/>
      <c r="E111" s="11"/>
      <c r="F111" s="11"/>
      <c r="G111" s="11"/>
      <c r="H111" s="88" t="s">
        <v>213</v>
      </c>
      <c r="I111" s="104" t="str">
        <f>IF(_epmOfflineCondition_,"N",_xll.EVPRO($B$1,$H111,"STYLE"))</f>
        <v>N</v>
      </c>
      <c r="J111" s="104" t="str">
        <f>IF(_epmOfflineCondition_,"N",_xll.EVPRO($B$1,$H111,"CALC"))</f>
        <v>N</v>
      </c>
      <c r="K111" s="104"/>
      <c r="L111" s="104" t="str">
        <f>IF(_epmOfflineCondition_,"905200",_xll.EVPRO($B$1,H111,"JDEID"))</f>
        <v>905200</v>
      </c>
      <c r="M111" s="90" t="str">
        <f>IF(_epmOfflineCondition_,"991766",IF(AND(I111="N",J111="N"),_xll.EVPRO($B$1,H111,"PSFTID"),""))</f>
        <v>991766</v>
      </c>
      <c r="N111" s="104" t="str">
        <f>IF(_epmOfflineCondition_,"Extended Closed Rooms",IF(_xll.EVDES(H111,$B$1)="#NODATA","",_xll.EVDES(H111,$B$1)))</f>
        <v>Extended Closed Rooms</v>
      </c>
      <c r="O111" s="275">
        <v>101</v>
      </c>
      <c r="P111" s="276">
        <v>56</v>
      </c>
      <c r="Q111" s="276">
        <v>46</v>
      </c>
      <c r="R111" s="276">
        <v>95</v>
      </c>
      <c r="S111" s="276">
        <v>120</v>
      </c>
      <c r="T111" s="276">
        <v>154</v>
      </c>
      <c r="U111" s="276">
        <v>225</v>
      </c>
      <c r="V111" s="276">
        <v>148</v>
      </c>
      <c r="W111" s="276">
        <v>201</v>
      </c>
      <c r="X111" s="276">
        <v>184</v>
      </c>
      <c r="Y111" s="276">
        <v>148</v>
      </c>
      <c r="Z111" s="276">
        <v>60</v>
      </c>
      <c r="AA111" s="276">
        <f t="shared" si="7"/>
        <v>1538</v>
      </c>
      <c r="AB111" s="312">
        <f t="shared" si="8"/>
        <v>3.7227090090526216E-2</v>
      </c>
      <c r="AC111" s="140"/>
      <c r="AD111" s="278"/>
      <c r="AE111" s="312" t="str">
        <f t="shared" si="9"/>
        <v/>
      </c>
      <c r="AF111" s="279">
        <f t="shared" si="10"/>
        <v>1538</v>
      </c>
      <c r="AG111" s="279">
        <v>2016</v>
      </c>
      <c r="AH111" s="312">
        <f t="shared" si="11"/>
        <v>5.0125562545065762E-2</v>
      </c>
      <c r="AI111" s="280">
        <f t="shared" si="12"/>
        <v>-478</v>
      </c>
    </row>
    <row r="112" spans="1:35" x14ac:dyDescent="0.25">
      <c r="A112" s="11"/>
      <c r="B112" s="11"/>
      <c r="C112" s="11"/>
      <c r="D112" s="11"/>
      <c r="E112" s="11"/>
      <c r="F112" s="11"/>
      <c r="G112" s="11"/>
      <c r="H112" s="88" t="s">
        <v>214</v>
      </c>
      <c r="I112" s="104" t="str">
        <f>IF(_epmOfflineCondition_,"N",_xll.EVPRO($B$1,$H112,"STYLE"))</f>
        <v>N</v>
      </c>
      <c r="J112" s="104" t="str">
        <f>IF(_epmOfflineCondition_,"N",_xll.EVPRO($B$1,$H112,"CALC"))</f>
        <v>N</v>
      </c>
      <c r="K112" s="104"/>
      <c r="L112" s="104" t="str">
        <f>IF(_epmOfflineCondition_,"905300",_xll.EVPRO($B$1,H112,"JDEID"))</f>
        <v>905300</v>
      </c>
      <c r="M112" s="90" t="str">
        <f>IF(_epmOfflineCondition_,"991009",IF(AND(I112="N",J112="N"),_xll.EVPRO($B$1,H112,"PSFTID"),""))</f>
        <v>991009</v>
      </c>
      <c r="N112" s="104" t="str">
        <f>IF(_epmOfflineCondition_,"Rooms for Permanent House Use",IF(_xll.EVDES(H112,$B$1)="#NODATA","",_xll.EVDES(H112,$B$1)))</f>
        <v>Rooms for Permanent House Use</v>
      </c>
      <c r="O112" s="275"/>
      <c r="P112" s="276"/>
      <c r="Q112" s="276"/>
      <c r="R112" s="276"/>
      <c r="S112" s="276"/>
      <c r="T112" s="276"/>
      <c r="U112" s="276"/>
      <c r="V112" s="276"/>
      <c r="W112" s="276"/>
      <c r="X112" s="276"/>
      <c r="Y112" s="276"/>
      <c r="Z112" s="276"/>
      <c r="AA112" s="276">
        <f t="shared" si="7"/>
        <v>0</v>
      </c>
      <c r="AB112" s="312" t="str">
        <f t="shared" si="8"/>
        <v/>
      </c>
      <c r="AC112" s="140"/>
      <c r="AD112" s="278"/>
      <c r="AE112" s="312" t="str">
        <f t="shared" si="9"/>
        <v/>
      </c>
      <c r="AF112" s="279">
        <f t="shared" si="10"/>
        <v>0</v>
      </c>
      <c r="AG112" s="279"/>
      <c r="AH112" s="312" t="str">
        <f t="shared" si="11"/>
        <v/>
      </c>
      <c r="AI112" s="280">
        <f t="shared" si="12"/>
        <v>0</v>
      </c>
    </row>
    <row r="113" spans="1:35" x14ac:dyDescent="0.25">
      <c r="A113" s="11"/>
      <c r="B113" s="11"/>
      <c r="C113" s="11"/>
      <c r="D113" s="11"/>
      <c r="E113" s="11"/>
      <c r="F113" s="11"/>
      <c r="G113" s="11"/>
      <c r="H113" s="88" t="s">
        <v>215</v>
      </c>
      <c r="I113" s="104" t="str">
        <f>IF(_epmOfflineCondition_,"N",_xll.EVPRO($B$1,$H113,"STYLE"))</f>
        <v>N</v>
      </c>
      <c r="J113" s="104" t="str">
        <f>IF(_epmOfflineCondition_,"N",_xll.EVPRO($B$1,$H113,"CALC"))</f>
        <v>N</v>
      </c>
      <c r="K113" s="104"/>
      <c r="L113" s="104" t="str">
        <f>IF(_epmOfflineCondition_,"906100",_xll.EVPRO($B$1,H113,"JDEID"))</f>
        <v>906100</v>
      </c>
      <c r="M113" s="90" t="str">
        <f>IF(_epmOfflineCondition_,"991008",IF(AND(I113="N",J113="N"),_xll.EVPRO($B$1,H113,"PSFTID"),""))</f>
        <v>991008</v>
      </c>
      <c r="N113" s="104" t="str">
        <f>IF(_epmOfflineCondition_,"Number of Arrivals",IF(_xll.EVDES(H113,$B$1)="#NODATA","",_xll.EVDES(H113,$B$1)))</f>
        <v>Number of Arrivals</v>
      </c>
      <c r="O113" s="275">
        <v>1290</v>
      </c>
      <c r="P113" s="276">
        <v>1166</v>
      </c>
      <c r="Q113" s="276">
        <v>1294</v>
      </c>
      <c r="R113" s="276"/>
      <c r="S113" s="276">
        <v>1379</v>
      </c>
      <c r="T113" s="276">
        <v>1379</v>
      </c>
      <c r="U113" s="276">
        <v>1373</v>
      </c>
      <c r="V113" s="276">
        <v>1213</v>
      </c>
      <c r="W113" s="276">
        <v>1075</v>
      </c>
      <c r="X113" s="276">
        <v>1229</v>
      </c>
      <c r="Y113" s="276">
        <v>1465</v>
      </c>
      <c r="Z113" s="276">
        <v>1417</v>
      </c>
      <c r="AA113" s="276">
        <f t="shared" si="7"/>
        <v>14280</v>
      </c>
      <c r="AB113" s="312">
        <f t="shared" si="8"/>
        <v>0.34564554388342933</v>
      </c>
      <c r="AC113" s="140"/>
      <c r="AD113" s="278"/>
      <c r="AE113" s="312" t="str">
        <f t="shared" si="9"/>
        <v/>
      </c>
      <c r="AF113" s="279">
        <f t="shared" si="10"/>
        <v>14280</v>
      </c>
      <c r="AG113" s="279">
        <v>15414</v>
      </c>
      <c r="AH113" s="312">
        <f t="shared" si="11"/>
        <v>0.38325169695914868</v>
      </c>
      <c r="AI113" s="280">
        <f t="shared" si="12"/>
        <v>-1134</v>
      </c>
    </row>
    <row r="114" spans="1:35" x14ac:dyDescent="0.25">
      <c r="A114" s="11"/>
      <c r="B114" s="11"/>
      <c r="C114" s="11"/>
      <c r="D114" s="11"/>
      <c r="E114" s="11"/>
      <c r="F114" s="11"/>
      <c r="G114" s="11"/>
      <c r="H114" s="88" t="s">
        <v>216</v>
      </c>
      <c r="I114" s="104" t="str">
        <f>IF(_epmOfflineCondition_,"N",_xll.EVPRO($B$1,$H114,"STYLE"))</f>
        <v>N</v>
      </c>
      <c r="J114" s="104" t="str">
        <f>IF(_epmOfflineCondition_,"N",_xll.EVPRO($B$1,$H114,"CALC"))</f>
        <v>N</v>
      </c>
      <c r="K114" s="104"/>
      <c r="L114" s="104" t="str">
        <f>IF(_epmOfflineCondition_,"907100",_xll.EVPRO($B$1,H114,"JDEID"))</f>
        <v>907100</v>
      </c>
      <c r="M114" s="90" t="str">
        <f>IF(_epmOfflineCondition_,"991007",IF(AND(I114="N",J114="N"),_xll.EVPRO($B$1,H114,"PSFTID"),""))</f>
        <v>991007</v>
      </c>
      <c r="N114" s="104" t="str">
        <f>IF(_epmOfflineCondition_,"Rooms Cleaned",IF(_xll.EVDES(H114,$B$1)="#NODATA","",_xll.EVDES(H114,$B$1)))</f>
        <v>Rooms Cleaned</v>
      </c>
      <c r="O114" s="275">
        <v>2154</v>
      </c>
      <c r="P114" s="276">
        <v>1159</v>
      </c>
      <c r="Q114" s="276">
        <v>1296</v>
      </c>
      <c r="R114" s="276"/>
      <c r="S114" s="276">
        <v>1415</v>
      </c>
      <c r="T114" s="276">
        <v>1415</v>
      </c>
      <c r="U114" s="276">
        <v>1385</v>
      </c>
      <c r="V114" s="276">
        <v>1233</v>
      </c>
      <c r="W114" s="276">
        <v>1107</v>
      </c>
      <c r="X114" s="276">
        <v>1173</v>
      </c>
      <c r="Y114" s="276">
        <v>1462</v>
      </c>
      <c r="Z114" s="276">
        <v>1412</v>
      </c>
      <c r="AA114" s="276">
        <f t="shared" si="7"/>
        <v>15211</v>
      </c>
      <c r="AB114" s="312">
        <f t="shared" si="8"/>
        <v>0.36818027787190782</v>
      </c>
      <c r="AC114" s="140"/>
      <c r="AD114" s="278"/>
      <c r="AE114" s="312" t="str">
        <f t="shared" si="9"/>
        <v/>
      </c>
      <c r="AF114" s="279">
        <f t="shared" si="10"/>
        <v>15211</v>
      </c>
      <c r="AG114" s="279">
        <v>15416</v>
      </c>
      <c r="AH114" s="312">
        <f t="shared" si="11"/>
        <v>0.38330142469976874</v>
      </c>
      <c r="AI114" s="280">
        <f t="shared" si="12"/>
        <v>-205</v>
      </c>
    </row>
    <row r="115" spans="1:35" x14ac:dyDescent="0.25">
      <c r="A115" s="11"/>
      <c r="B115" s="11"/>
      <c r="C115" s="11"/>
      <c r="D115" s="11"/>
      <c r="E115" s="11"/>
      <c r="F115" s="11"/>
      <c r="G115" s="11"/>
      <c r="H115" s="88" t="s">
        <v>217</v>
      </c>
      <c r="I115" s="104" t="str">
        <f>IF(_epmOfflineCondition_,"N",_xll.EVPRO($B$1,$H115,"STYLE"))</f>
        <v>N</v>
      </c>
      <c r="J115" s="104" t="str">
        <f>IF(_epmOfflineCondition_,"N",_xll.EVPRO($B$1,$H115,"CALC"))</f>
        <v>N</v>
      </c>
      <c r="K115" s="104"/>
      <c r="L115" s="104" t="str">
        <f>IF(_epmOfflineCondition_,"907200",_xll.EVPRO($B$1,H115,"JDEID"))</f>
        <v>907200</v>
      </c>
      <c r="M115" s="90" t="str">
        <f>IF(_epmOfflineCondition_,"991700",IF(AND(I115="N",J115="N"),_xll.EVPRO($B$1,H115,"PSFTID"),""))</f>
        <v>991700</v>
      </c>
      <c r="N115" s="104" t="str">
        <f>IF(_epmOfflineCondition_,"KIT Rooms Occupied",IF(_xll.EVDES(H115,$B$1)="#NODATA","",_xll.EVDES(H115,$B$1)))</f>
        <v>KIT Rooms Occupied</v>
      </c>
      <c r="O115" s="275">
        <v>758</v>
      </c>
      <c r="P115" s="276">
        <v>1010</v>
      </c>
      <c r="Q115" s="276">
        <v>800</v>
      </c>
      <c r="R115" s="276">
        <v>1170</v>
      </c>
      <c r="S115" s="276">
        <v>670</v>
      </c>
      <c r="T115" s="276">
        <v>66</v>
      </c>
      <c r="U115" s="276">
        <v>508</v>
      </c>
      <c r="V115" s="276">
        <v>654</v>
      </c>
      <c r="W115" s="276">
        <v>646</v>
      </c>
      <c r="X115" s="276">
        <v>759</v>
      </c>
      <c r="Y115" s="276">
        <v>759</v>
      </c>
      <c r="Z115" s="276">
        <v>1093</v>
      </c>
      <c r="AA115" s="276">
        <f t="shared" si="7"/>
        <v>8893</v>
      </c>
      <c r="AB115" s="312">
        <f t="shared" si="8"/>
        <v>0.21525390908650821</v>
      </c>
      <c r="AC115" s="140"/>
      <c r="AD115" s="278"/>
      <c r="AE115" s="312" t="str">
        <f t="shared" si="9"/>
        <v/>
      </c>
      <c r="AF115" s="279">
        <f t="shared" si="10"/>
        <v>8893</v>
      </c>
      <c r="AG115" s="279">
        <v>7977</v>
      </c>
      <c r="AH115" s="312">
        <f t="shared" si="11"/>
        <v>0.19833909346328848</v>
      </c>
      <c r="AI115" s="280">
        <f t="shared" si="12"/>
        <v>916</v>
      </c>
    </row>
    <row r="116" spans="1:35" x14ac:dyDescent="0.25">
      <c r="A116" s="11"/>
      <c r="B116" s="11"/>
      <c r="C116" s="11"/>
      <c r="D116" s="11"/>
      <c r="E116" s="11"/>
      <c r="F116" s="11"/>
      <c r="G116" s="11"/>
      <c r="H116" s="88" t="s">
        <v>218</v>
      </c>
      <c r="I116" s="104" t="str">
        <f>IF(_epmOfflineCondition_,"N",_xll.EVPRO($B$1,$H116,"STYLE"))</f>
        <v>N</v>
      </c>
      <c r="J116" s="104" t="str">
        <f>IF(_epmOfflineCondition_,"N",_xll.EVPRO($B$1,$H116,"CALC"))</f>
        <v>N</v>
      </c>
      <c r="K116" s="104"/>
      <c r="L116" s="104" t="str">
        <f>IF(_epmOfflineCondition_,"907300",_xll.EVPRO($B$1,H116,"JDEID"))</f>
        <v>907300</v>
      </c>
      <c r="M116" s="90" t="str">
        <f>IF(_epmOfflineCondition_,"991059",IF(AND(I116="N",J116="N"),_xll.EVPRO($B$1,H116,"PSFTID"),""))</f>
        <v>991059</v>
      </c>
      <c r="N116" s="104" t="str">
        <f>IF(_epmOfflineCondition_,"Number of Guests",IF(_xll.EVDES(H116,$B$1)="#NODATA","",_xll.EVDES(H116,$B$1)))</f>
        <v>Number of Guests</v>
      </c>
      <c r="O116" s="322">
        <v>6369</v>
      </c>
      <c r="P116" s="323">
        <v>6348</v>
      </c>
      <c r="Q116" s="323">
        <v>6868</v>
      </c>
      <c r="R116" s="323">
        <v>6873</v>
      </c>
      <c r="S116" s="323">
        <v>6059</v>
      </c>
      <c r="T116" s="323">
        <v>5829</v>
      </c>
      <c r="U116" s="323">
        <v>6815</v>
      </c>
      <c r="V116" s="323">
        <v>6276</v>
      </c>
      <c r="W116" s="323">
        <v>4787</v>
      </c>
      <c r="X116" s="323">
        <v>5338</v>
      </c>
      <c r="Y116" s="323">
        <v>5806</v>
      </c>
      <c r="Z116" s="323">
        <v>6378</v>
      </c>
      <c r="AA116" s="323">
        <f t="shared" si="7"/>
        <v>73746</v>
      </c>
      <c r="AB116" s="324" t="str">
        <f t="shared" si="8"/>
        <v>1.79</v>
      </c>
      <c r="AC116" s="140"/>
      <c r="AD116" s="325"/>
      <c r="AE116" s="324" t="str">
        <f t="shared" si="9"/>
        <v>0.00</v>
      </c>
      <c r="AF116" s="326">
        <f t="shared" si="10"/>
        <v>73746</v>
      </c>
      <c r="AG116" s="326">
        <v>74231</v>
      </c>
      <c r="AH116" s="324" t="str">
        <f t="shared" si="11"/>
        <v>1.85</v>
      </c>
      <c r="AI116" s="327">
        <f t="shared" si="12"/>
        <v>-485</v>
      </c>
    </row>
    <row r="117" spans="1:35" x14ac:dyDescent="0.25">
      <c r="A117" s="11"/>
      <c r="B117" s="11"/>
      <c r="C117" s="11"/>
      <c r="D117" s="11"/>
      <c r="E117" s="11"/>
      <c r="F117" s="11"/>
      <c r="G117" s="11"/>
      <c r="H117" s="11"/>
      <c r="I117" s="11"/>
      <c r="J117" s="11"/>
      <c r="K117" s="11"/>
      <c r="L117" s="11"/>
      <c r="M117" s="11"/>
      <c r="N117" s="104"/>
      <c r="O117" s="203"/>
      <c r="P117" s="204"/>
      <c r="Q117" s="204"/>
      <c r="R117" s="204"/>
      <c r="S117" s="204"/>
      <c r="T117" s="204"/>
      <c r="U117" s="204"/>
      <c r="V117" s="204"/>
      <c r="W117" s="204"/>
      <c r="X117" s="204"/>
      <c r="Y117" s="204"/>
      <c r="Z117" s="204"/>
      <c r="AA117" s="204"/>
      <c r="AB117" s="118"/>
      <c r="AC117" s="11"/>
      <c r="AD117" s="203"/>
      <c r="AE117" s="204"/>
      <c r="AF117" s="118"/>
      <c r="AG117" s="203"/>
      <c r="AH117" s="204"/>
      <c r="AI117" s="118"/>
    </row>
    <row r="118" spans="1:35" x14ac:dyDescent="0.25">
      <c r="A118" s="11"/>
      <c r="B118" s="11"/>
      <c r="C118" s="11"/>
      <c r="D118" s="11"/>
      <c r="E118" s="11"/>
      <c r="F118" s="11"/>
      <c r="G118" s="11"/>
      <c r="H118" s="11" t="s">
        <v>494</v>
      </c>
      <c r="I118" s="59" t="str">
        <f>IF(_epmOfflineCondition_,"B1",_xll.EVPRO($B$1,$H118,"STYLE"))</f>
        <v>B1</v>
      </c>
      <c r="J118" s="59" t="str">
        <f>IF(_epmOfflineCondition_,"Y",_xll.EVPRO($B$1,$H118,"CALC"))</f>
        <v>Y</v>
      </c>
      <c r="K118" s="11"/>
      <c r="L118" s="11"/>
      <c r="M118" s="11"/>
      <c r="N118" s="105" t="str">
        <f>IF(_epmOfflineCondition_,"ADR &amp; OCC% Calculations",IF(_xll.EVDES(H118,$B$1)="#NODATA","",_xll.EVDES(H118,$B$1)))</f>
        <v>ADR &amp; OCC% Calculations</v>
      </c>
      <c r="O118" s="266" t="s">
        <v>743</v>
      </c>
      <c r="P118" s="266" t="s">
        <v>743</v>
      </c>
      <c r="Q118" s="266" t="s">
        <v>743</v>
      </c>
      <c r="R118" s="266" t="s">
        <v>743</v>
      </c>
      <c r="S118" s="266" t="s">
        <v>743</v>
      </c>
      <c r="T118" s="266" t="s">
        <v>743</v>
      </c>
      <c r="U118" s="266" t="s">
        <v>743</v>
      </c>
      <c r="V118" s="266" t="s">
        <v>743</v>
      </c>
      <c r="W118" s="266" t="s">
        <v>743</v>
      </c>
      <c r="X118" s="266" t="s">
        <v>743</v>
      </c>
      <c r="Y118" s="266" t="s">
        <v>743</v>
      </c>
      <c r="Z118" s="266" t="s">
        <v>743</v>
      </c>
      <c r="AA118" s="266" t="s">
        <v>743</v>
      </c>
      <c r="AB118" s="266" t="s">
        <v>744</v>
      </c>
      <c r="AC118" s="11"/>
      <c r="AD118" s="266" t="s">
        <v>743</v>
      </c>
      <c r="AE118" s="266" t="s">
        <v>744</v>
      </c>
      <c r="AF118" s="266"/>
      <c r="AG118" s="266" t="s">
        <v>743</v>
      </c>
      <c r="AH118" s="266" t="s">
        <v>744</v>
      </c>
      <c r="AI118" s="266"/>
    </row>
    <row r="119" spans="1:35" x14ac:dyDescent="0.25">
      <c r="A119" s="11"/>
      <c r="B119" s="11"/>
      <c r="C119" s="11"/>
      <c r="D119" s="11"/>
      <c r="E119" s="11"/>
      <c r="F119" s="11"/>
      <c r="G119" s="265" t="str">
        <f t="shared" ref="G119:G151" si="13">REPLACE(H119,1,3,"OCC")</f>
        <v>OCC_RETAIL</v>
      </c>
      <c r="H119" s="88" t="s">
        <v>190</v>
      </c>
      <c r="I119" s="89" t="str">
        <f>IF(_epmOfflineCondition_,"T3",_xll.EVPRO($B$1,$H119,"STYLE"))</f>
        <v>T3</v>
      </c>
      <c r="J119" s="89" t="str">
        <f>IF(_epmOfflineCondition_,"Y",_xll.EVPRO($B$1,$H119,"CALC"))</f>
        <v>Y</v>
      </c>
      <c r="K119" s="11"/>
      <c r="L119" s="106" t="str">
        <f>IF(_epmOfflineCondition_,"",_xll.EVPRO($B$1,H119,"JDEID"))</f>
        <v/>
      </c>
      <c r="M119" s="90" t="str">
        <f>IF(_epmOfflineCondition_,"",IF(AND(I119="N",J119="N"),_xll.EVPRO($B$1,H119,"PSFTID"),""))</f>
        <v/>
      </c>
      <c r="N119" s="106" t="str">
        <f>IF(_epmOfflineCondition_,"Retail",IF(_xll.EVDES(H119,$B$1)="#NODATA","",_xll.EVDES(H119,$B$1)))</f>
        <v>Retail</v>
      </c>
      <c r="O119" s="328">
        <v>240.91920360631099</v>
      </c>
      <c r="P119" s="329">
        <v>375.17231984205301</v>
      </c>
      <c r="Q119" s="329">
        <v>360.85798457087799</v>
      </c>
      <c r="R119" s="329">
        <v>373.75088822355298</v>
      </c>
      <c r="S119" s="329">
        <v>278.21383561643802</v>
      </c>
      <c r="T119" s="329">
        <v>207.49706552706601</v>
      </c>
      <c r="U119" s="329">
        <v>225.97516018306601</v>
      </c>
      <c r="V119" s="329">
        <v>198.25436969697</v>
      </c>
      <c r="W119" s="329">
        <v>189.970274509804</v>
      </c>
      <c r="X119" s="329">
        <v>224.16375849056601</v>
      </c>
      <c r="Y119" s="329">
        <v>274.435816678153</v>
      </c>
      <c r="Z119" s="329">
        <v>336.88674351585001</v>
      </c>
      <c r="AA119" s="329">
        <f t="shared" ref="AA119:AA150" si="14">IFERROR(AA34/AA72,0)</f>
        <v>267.18962281452502</v>
      </c>
      <c r="AB119" s="330">
        <f>IF(_epmOfflineCondition_,0.339518472395185,IF(_xll.EVGET($B$1,$B$3,$B$5,$B$6,$B$7,$B$9,AA$16,AA$17,AA$18,$G119)="#NODATA","",_xll.EVGET($B$1,$B$3,$B$5,$B$6,$B$7,$B$9,AA$16,AA$17,AA$18,$G119)))</f>
        <v>0.33951847239518501</v>
      </c>
      <c r="AC119" s="140"/>
      <c r="AD119" s="328">
        <v>299.03979595959601</v>
      </c>
      <c r="AE119" s="330">
        <f>IF(_epmOfflineCondition_,0.205479452054795,IF(_xll.EVGET($B$1,$B$3,$B$5,$B$6,$B$7,$B$9,AD$16,AD$17,AD$18,$G119)="#NODATA","",_xll.EVGET($B$1,$B$3,$B$5,$B$6,$B$7,$B$9,AD$16,AD$17,AD$18,$G119)))</f>
        <v>0.20547945205479501</v>
      </c>
      <c r="AF119" s="331">
        <f t="shared" ref="AF119:AF152" si="15">IF(AND($AA119="",AD119=""),"",$AA119-AD119)</f>
        <v>-31.850173145070983</v>
      </c>
      <c r="AG119" s="328">
        <v>229.808089088034</v>
      </c>
      <c r="AH119" s="330">
        <f>IF(_epmOfflineCondition_,0.236239103362391,IF(_xll.EVGET($B$1,$B$3,$B$5,$B$6,$B$7,$B$9,AG$16,AG$17,AG$18,$G119)="#NODATA","",_xll.EVGET($B$1,$B$3,$B$5,$B$6,$B$7,$B$9,AG$16,AG$17,AG$18,$G119)))</f>
        <v>0.23623910336239101</v>
      </c>
      <c r="AI119" s="332">
        <f t="shared" ref="AI119:AI152" si="16">IF(AND($AA119="",AG119=""),"",$AA119-AG119)</f>
        <v>37.381533726491028</v>
      </c>
    </row>
    <row r="120" spans="1:35" x14ac:dyDescent="0.25">
      <c r="A120" s="11"/>
      <c r="B120" s="11"/>
      <c r="C120" s="11"/>
      <c r="D120" s="11"/>
      <c r="E120" s="11"/>
      <c r="F120" s="11"/>
      <c r="G120" s="267" t="str">
        <f t="shared" si="13"/>
        <v>OCC_ROOM</v>
      </c>
      <c r="H120" s="88" t="s">
        <v>191</v>
      </c>
      <c r="I120" s="104" t="str">
        <f>IF(_epmOfflineCondition_,"N",_xll.EVPRO($B$1,$H120,"STYLE"))</f>
        <v>N</v>
      </c>
      <c r="J120" s="104" t="str">
        <f>IF(_epmOfflineCondition_,"Y",_xll.EVPRO($B$1,$H120,"CALC"))</f>
        <v>Y</v>
      </c>
      <c r="K120" s="11"/>
      <c r="L120" s="104" t="str">
        <f>IF(_epmOfflineCondition_,"",_xll.EVPRO($B$1,H120,"JDEID"))</f>
        <v/>
      </c>
      <c r="M120" s="90" t="str">
        <f>IF(_epmOfflineCondition_,"",IF(AND(I120="N",J120="N"),_xll.EVPRO($B$1,H120,"PSFTID"),""))</f>
        <v/>
      </c>
      <c r="N120" s="104" t="str">
        <f>IF(_epmOfflineCondition_,"Room Only",IF(_xll.EVDES(H120,$B$1)="#NODATA","",_xll.EVDES(H120,$B$1)))</f>
        <v>Room Only</v>
      </c>
      <c r="O120" s="333">
        <v>250.280303030303</v>
      </c>
      <c r="P120" s="334">
        <v>511.28801369862998</v>
      </c>
      <c r="Q120" s="334">
        <v>474.22345864661702</v>
      </c>
      <c r="R120" s="334">
        <v>488.13046511627903</v>
      </c>
      <c r="S120" s="334">
        <v>315.50152284263999</v>
      </c>
      <c r="T120" s="334">
        <v>232.46170886075899</v>
      </c>
      <c r="U120" s="334">
        <v>284.81684782608698</v>
      </c>
      <c r="V120" s="334">
        <v>234.56647058823501</v>
      </c>
      <c r="W120" s="334">
        <v>227.05610619468999</v>
      </c>
      <c r="X120" s="334">
        <v>331.94153153153201</v>
      </c>
      <c r="Y120" s="334">
        <v>485.00211111111099</v>
      </c>
      <c r="Z120" s="334">
        <v>560.05588235294101</v>
      </c>
      <c r="AA120" s="334">
        <f t="shared" si="14"/>
        <v>375.8398117386489</v>
      </c>
      <c r="AB120" s="335">
        <f>IF(_epmOfflineCondition_,0.0374844333748443,IF(_xll.EVGET($B$1,$B$3,$B$5,$B$6,$B$7,$B$9,AA$16,AA$17,AA$18,$G120)="#NODATA","",_xll.EVGET($B$1,$B$3,$B$5,$B$6,$B$7,$B$9,AA$16,AA$17,AA$18,$G120)))</f>
        <v>3.7484433374844299E-2</v>
      </c>
      <c r="AC120" s="140"/>
      <c r="AD120" s="333">
        <v>355.750346770698</v>
      </c>
      <c r="AE120" s="335">
        <f>IF(_epmOfflineCondition_,0.0478829389788294,IF(_xll.EVGET($B$1,$B$3,$B$5,$B$6,$B$7,$B$9,AD$16,AD$17,AD$18,$G120)="#NODATA","",_xll.EVGET($B$1,$B$3,$B$5,$B$6,$B$7,$B$9,AD$16,AD$17,AD$18,$G120)))</f>
        <v>4.7882938978829399E-2</v>
      </c>
      <c r="AF120" s="336">
        <f t="shared" si="15"/>
        <v>20.089464967950903</v>
      </c>
      <c r="AG120" s="333">
        <v>264.06733041575501</v>
      </c>
      <c r="AH120" s="335">
        <f>IF(_epmOfflineCondition_,0.0474263179742632,IF(_xll.EVGET($B$1,$B$3,$B$5,$B$6,$B$7,$B$9,AG$16,AG$17,AG$18,$G120)="#NODATA","",_xll.EVGET($B$1,$B$3,$B$5,$B$6,$B$7,$B$9,AG$16,AG$17,AG$18,$G120)))</f>
        <v>4.74263179742632E-2</v>
      </c>
      <c r="AI120" s="337">
        <f t="shared" si="16"/>
        <v>111.7724813228939</v>
      </c>
    </row>
    <row r="121" spans="1:35" x14ac:dyDescent="0.25">
      <c r="A121" s="11"/>
      <c r="B121" s="11"/>
      <c r="C121" s="11"/>
      <c r="D121" s="11"/>
      <c r="E121" s="11"/>
      <c r="F121" s="11"/>
      <c r="G121" s="267" t="str">
        <f t="shared" si="13"/>
        <v>OCC_RWEB</v>
      </c>
      <c r="H121" s="88" t="s">
        <v>192</v>
      </c>
      <c r="I121" s="104" t="str">
        <f>IF(_epmOfflineCondition_,"N",_xll.EVPRO($B$1,$H121,"STYLE"))</f>
        <v>N</v>
      </c>
      <c r="J121" s="104" t="str">
        <f>IF(_epmOfflineCondition_,"Y",_xll.EVPRO($B$1,$H121,"CALC"))</f>
        <v>Y</v>
      </c>
      <c r="K121" s="11"/>
      <c r="L121" s="104" t="str">
        <f>IF(_epmOfflineCondition_,"",_xll.EVPRO($B$1,H121,"JDEID"))</f>
        <v/>
      </c>
      <c r="M121" s="90" t="str">
        <f>IF(_epmOfflineCondition_,"",IF(AND(I121="N",J121="N"),_xll.EVPRO($B$1,H121,"PSFTID"),""))</f>
        <v/>
      </c>
      <c r="N121" s="104" t="str">
        <f>IF(_epmOfflineCondition_,"Retail Web",IF(_xll.EVDES(H121,$B$1)="#NODATA","",_xll.EVDES(H121,$B$1)))</f>
        <v>Retail Web</v>
      </c>
      <c r="O121" s="333">
        <v>239.28328331862301</v>
      </c>
      <c r="P121" s="334">
        <v>352.25087658592798</v>
      </c>
      <c r="Q121" s="334">
        <v>344.17921460177001</v>
      </c>
      <c r="R121" s="334">
        <v>350.04813253011997</v>
      </c>
      <c r="S121" s="334">
        <v>272.041</v>
      </c>
      <c r="T121" s="334">
        <v>204.33140449438201</v>
      </c>
      <c r="U121" s="334">
        <v>222.70617753623199</v>
      </c>
      <c r="V121" s="334">
        <v>195.43193990855701</v>
      </c>
      <c r="W121" s="334">
        <v>186.36382099827901</v>
      </c>
      <c r="X121" s="334">
        <v>214.309283360791</v>
      </c>
      <c r="Y121" s="334">
        <v>244.61525570417001</v>
      </c>
      <c r="Z121" s="334">
        <v>309.92768087855302</v>
      </c>
      <c r="AA121" s="334">
        <f t="shared" si="14"/>
        <v>253.70541162726769</v>
      </c>
      <c r="AB121" s="335">
        <f>IF(_epmOfflineCondition_,0.30203403902034,IF(_xll.EVGET($B$1,$B$3,$B$5,$B$6,$B$7,$B$9,AA$16,AA$17,AA$18,$G121)="#NODATA","",_xll.EVGET($B$1,$B$3,$B$5,$B$6,$B$7,$B$9,AA$16,AA$17,AA$18,$G121)))</f>
        <v>0.30203403902033998</v>
      </c>
      <c r="AC121" s="140"/>
      <c r="AD121" s="333">
        <v>281.80928881864901</v>
      </c>
      <c r="AE121" s="335">
        <f>IF(_epmOfflineCondition_,0.157596513075965,IF(_xll.EVGET($B$1,$B$3,$B$5,$B$6,$B$7,$B$9,AD$16,AD$17,AD$18,$G121)="#NODATA","",_xll.EVGET($B$1,$B$3,$B$5,$B$6,$B$7,$B$9,AD$16,AD$17,AD$18,$G121)))</f>
        <v>0.15759651307596501</v>
      </c>
      <c r="AF121" s="336">
        <f t="shared" si="15"/>
        <v>-28.103877191381315</v>
      </c>
      <c r="AG121" s="333">
        <v>221.20279432780001</v>
      </c>
      <c r="AH121" s="335">
        <f>IF(_epmOfflineCondition_,0.188812785388128,IF(_xll.EVGET($B$1,$B$3,$B$5,$B$6,$B$7,$B$9,AG$16,AG$17,AG$18,$G121)="#NODATA","",_xll.EVGET($B$1,$B$3,$B$5,$B$6,$B$7,$B$9,AG$16,AG$17,AG$18,$G121)))</f>
        <v>0.18881278538812801</v>
      </c>
      <c r="AI121" s="337">
        <f t="shared" si="16"/>
        <v>32.502617299467687</v>
      </c>
    </row>
    <row r="122" spans="1:35" x14ac:dyDescent="0.25">
      <c r="A122" s="11"/>
      <c r="B122" s="11"/>
      <c r="C122" s="11"/>
      <c r="D122" s="11"/>
      <c r="E122" s="11"/>
      <c r="F122" s="11"/>
      <c r="G122" s="265" t="str">
        <f t="shared" si="13"/>
        <v>OCC_DISCNT</v>
      </c>
      <c r="H122" s="88" t="s">
        <v>193</v>
      </c>
      <c r="I122" s="89" t="str">
        <f>IF(_epmOfflineCondition_,"T3",_xll.EVPRO($B$1,$H122,"STYLE"))</f>
        <v>T3</v>
      </c>
      <c r="J122" s="89" t="str">
        <f>IF(_epmOfflineCondition_,"Y",_xll.EVPRO($B$1,$H122,"CALC"))</f>
        <v>Y</v>
      </c>
      <c r="K122" s="11"/>
      <c r="L122" s="106" t="str">
        <f>IF(_epmOfflineCondition_,"",_xll.EVPRO($B$1,H122,"JDEID"))</f>
        <v/>
      </c>
      <c r="M122" s="90" t="str">
        <f>IF(_epmOfflineCondition_,"",IF(AND(I122="N",J122="N"),_xll.EVPRO($B$1,H122,"PSFTID"),""))</f>
        <v/>
      </c>
      <c r="N122" s="106" t="str">
        <f>IF(_epmOfflineCondition_,"Discount",IF(_xll.EVDES(H122,$B$1)="#NODATA","",_xll.EVDES(H122,$B$1)))</f>
        <v>Discount</v>
      </c>
      <c r="O122" s="328">
        <v>306.327771428571</v>
      </c>
      <c r="P122" s="329">
        <v>378.56049885321102</v>
      </c>
      <c r="Q122" s="329">
        <v>357.74244623655898</v>
      </c>
      <c r="R122" s="329">
        <v>370.48315855969702</v>
      </c>
      <c r="S122" s="329">
        <v>311.13133944954097</v>
      </c>
      <c r="T122" s="329">
        <v>229.060272556391</v>
      </c>
      <c r="U122" s="329">
        <v>236.28648437499999</v>
      </c>
      <c r="V122" s="329">
        <v>191.65984771573599</v>
      </c>
      <c r="W122" s="329">
        <v>171.651657250471</v>
      </c>
      <c r="X122" s="329">
        <v>201.633184549356</v>
      </c>
      <c r="Y122" s="329">
        <v>272.81501828153603</v>
      </c>
      <c r="Z122" s="329">
        <v>326.97001598720999</v>
      </c>
      <c r="AA122" s="329">
        <f t="shared" si="14"/>
        <v>289.17569255663432</v>
      </c>
      <c r="AB122" s="330">
        <f>IF(_epmOfflineCondition_,0.320672478206725,IF(_xll.EVGET($B$1,$B$3,$B$5,$B$6,$B$7,$B$9,AA$16,AA$17,AA$18,$G122)="#NODATA","",_xll.EVGET($B$1,$B$3,$B$5,$B$6,$B$7,$B$9,AA$16,AA$17,AA$18,$G122)))</f>
        <v>0.32067247820672501</v>
      </c>
      <c r="AC122" s="140"/>
      <c r="AD122" s="328">
        <v>260.81197565079702</v>
      </c>
      <c r="AE122" s="330">
        <f>IF(_epmOfflineCondition_,0.419385637193856,IF(_xll.EVGET($B$1,$B$3,$B$5,$B$6,$B$7,$B$9,AD$16,AD$17,AD$18,$G122)="#NODATA","",_xll.EVGET($B$1,$B$3,$B$5,$B$6,$B$7,$B$9,AD$16,AD$17,AD$18,$G122)))</f>
        <v>0.41938563719385602</v>
      </c>
      <c r="AF122" s="331">
        <f t="shared" si="15"/>
        <v>28.363716905837293</v>
      </c>
      <c r="AG122" s="328">
        <v>242.60845499550001</v>
      </c>
      <c r="AH122" s="330">
        <f>IF(_epmOfflineCondition_,0.461187214611872,IF(_xll.EVGET($B$1,$B$3,$B$5,$B$6,$B$7,$B$9,AG$16,AG$17,AG$18,$G122)="#NODATA","",_xll.EVGET($B$1,$B$3,$B$5,$B$6,$B$7,$B$9,AG$16,AG$17,AG$18,$G122)))</f>
        <v>0.46118721461187201</v>
      </c>
      <c r="AI122" s="332">
        <f t="shared" si="16"/>
        <v>46.567237561134306</v>
      </c>
    </row>
    <row r="123" spans="1:35" x14ac:dyDescent="0.25">
      <c r="A123" s="11"/>
      <c r="B123" s="11"/>
      <c r="C123" s="11"/>
      <c r="D123" s="11"/>
      <c r="E123" s="11"/>
      <c r="F123" s="11"/>
      <c r="G123" s="267" t="str">
        <f t="shared" si="13"/>
        <v>OCC_PACK</v>
      </c>
      <c r="H123" s="88" t="s">
        <v>194</v>
      </c>
      <c r="I123" s="104" t="str">
        <f>IF(_epmOfflineCondition_,"N",_xll.EVPRO($B$1,$H123,"STYLE"))</f>
        <v>N</v>
      </c>
      <c r="J123" s="104" t="str">
        <f>IF(_epmOfflineCondition_,"Y",_xll.EVPRO($B$1,$H123,"CALC"))</f>
        <v>Y</v>
      </c>
      <c r="K123" s="11"/>
      <c r="L123" s="104" t="str">
        <f>IF(_epmOfflineCondition_,"",_xll.EVPRO($B$1,H123,"JDEID"))</f>
        <v/>
      </c>
      <c r="M123" s="90" t="str">
        <f>IF(_epmOfflineCondition_,"",IF(AND(I123="N",J123="N"),_xll.EVPRO($B$1,H123,"PSFTID"),""))</f>
        <v/>
      </c>
      <c r="N123" s="104" t="str">
        <f>IF(_epmOfflineCondition_,"Package",IF(_xll.EVDES(H123,$B$1)="#NODATA","",_xll.EVDES(H123,$B$1)))</f>
        <v>Package</v>
      </c>
      <c r="O123" s="333">
        <v>419.251851851852</v>
      </c>
      <c r="P123" s="334">
        <v>453.84285714285699</v>
      </c>
      <c r="Q123" s="334">
        <v>554.13750000000005</v>
      </c>
      <c r="R123" s="334">
        <v>568.93666666666695</v>
      </c>
      <c r="S123" s="334">
        <v>335.947368421053</v>
      </c>
      <c r="T123" s="334">
        <v>314.58749999999998</v>
      </c>
      <c r="U123" s="334">
        <v>420.82857142857102</v>
      </c>
      <c r="V123" s="334">
        <v>267.18388888888899</v>
      </c>
      <c r="W123" s="334">
        <v>330.808333333333</v>
      </c>
      <c r="X123" s="334">
        <v>522.66</v>
      </c>
      <c r="Y123" s="334">
        <v>365.05200000000002</v>
      </c>
      <c r="Z123" s="334">
        <v>368.19375000000002</v>
      </c>
      <c r="AA123" s="334">
        <f t="shared" si="14"/>
        <v>396.65126262626262</v>
      </c>
      <c r="AB123" s="335">
        <f>IF(_epmOfflineCondition_,0.00410958904109589,IF(_xll.EVGET($B$1,$B$3,$B$5,$B$6,$B$7,$B$9,AA$16,AA$17,AA$18,$G123)="#NODATA","",_xll.EVGET($B$1,$B$3,$B$5,$B$6,$B$7,$B$9,AA$16,AA$17,AA$18,$G123)))</f>
        <v>4.10958904109589E-3</v>
      </c>
      <c r="AC123" s="140"/>
      <c r="AD123" s="333">
        <v>317.96891580161503</v>
      </c>
      <c r="AE123" s="335">
        <f>IF(_epmOfflineCondition_,0.0179950186799502,IF(_xll.EVGET($B$1,$B$3,$B$5,$B$6,$B$7,$B$9,AD$16,AD$17,AD$18,$G123)="#NODATA","",_xll.EVGET($B$1,$B$3,$B$5,$B$6,$B$7,$B$9,AD$16,AD$17,AD$18,$G123)))</f>
        <v>1.7995018679950198E-2</v>
      </c>
      <c r="AF123" s="336">
        <f t="shared" si="15"/>
        <v>78.682346824647595</v>
      </c>
      <c r="AG123" s="333">
        <v>339.64954225352102</v>
      </c>
      <c r="AH123" s="335">
        <f>IF(_epmOfflineCondition_,0.00589456205894562,IF(_xll.EVGET($B$1,$B$3,$B$5,$B$6,$B$7,$B$9,AG$16,AG$17,AG$18,$G123)="#NODATA","",_xll.EVGET($B$1,$B$3,$B$5,$B$6,$B$7,$B$9,AG$16,AG$17,AG$18,$G123)))</f>
        <v>5.89456205894562E-3</v>
      </c>
      <c r="AI123" s="337">
        <f t="shared" si="16"/>
        <v>57.001720372741602</v>
      </c>
    </row>
    <row r="124" spans="1:35" x14ac:dyDescent="0.25">
      <c r="A124" s="11"/>
      <c r="B124" s="11"/>
      <c r="C124" s="11"/>
      <c r="D124" s="11"/>
      <c r="E124" s="11"/>
      <c r="F124" s="11"/>
      <c r="G124" s="267" t="str">
        <f t="shared" si="13"/>
        <v>OCC_OTA</v>
      </c>
      <c r="H124" s="88" t="s">
        <v>195</v>
      </c>
      <c r="I124" s="104" t="str">
        <f>IF(_epmOfflineCondition_,"N",_xll.EVPRO($B$1,$H124,"STYLE"))</f>
        <v>N</v>
      </c>
      <c r="J124" s="104" t="str">
        <f>IF(_epmOfflineCondition_,"Y",_xll.EVPRO($B$1,$H124,"CALC"))</f>
        <v>Y</v>
      </c>
      <c r="K124" s="11"/>
      <c r="L124" s="104" t="str">
        <f>IF(_epmOfflineCondition_,"",_xll.EVPRO($B$1,H124,"JDEID"))</f>
        <v/>
      </c>
      <c r="M124" s="90" t="str">
        <f>IF(_epmOfflineCondition_,"",IF(AND(I124="N",J124="N"),_xll.EVPRO($B$1,H124,"PSFTID"),""))</f>
        <v/>
      </c>
      <c r="N124" s="104" t="str">
        <f>IF(_epmOfflineCondition_,"OTA Opaque",IF(_xll.EVDES(H124,$B$1)="#NODATA","",_xll.EVDES(H124,$B$1)))</f>
        <v>OTA Opaque</v>
      </c>
      <c r="O124" s="333">
        <v>237.796875</v>
      </c>
      <c r="P124" s="334">
        <v>344.87049019607798</v>
      </c>
      <c r="Q124" s="334">
        <v>331.426299212598</v>
      </c>
      <c r="R124" s="334">
        <v>338.35969387755102</v>
      </c>
      <c r="S124" s="334">
        <v>258.82892307692299</v>
      </c>
      <c r="T124" s="334">
        <v>194.484842105263</v>
      </c>
      <c r="U124" s="334">
        <v>187.00469273742999</v>
      </c>
      <c r="V124" s="334">
        <v>167.58906542056101</v>
      </c>
      <c r="W124" s="334">
        <v>140.83921348314601</v>
      </c>
      <c r="X124" s="334">
        <v>138.683333333333</v>
      </c>
      <c r="Y124" s="334">
        <v>224.651954022989</v>
      </c>
      <c r="Z124" s="334">
        <v>276.32195121951202</v>
      </c>
      <c r="AA124" s="334">
        <f t="shared" si="14"/>
        <v>225.78396995708155</v>
      </c>
      <c r="AB124" s="335">
        <f>IF(_epmOfflineCondition_,0.0290161892901619,IF(_xll.EVGET($B$1,$B$3,$B$5,$B$6,$B$7,$B$9,AA$16,AA$17,AA$18,$G124)="#NODATA","",_xll.EVGET($B$1,$B$3,$B$5,$B$6,$B$7,$B$9,AA$16,AA$17,AA$18,$G124)))</f>
        <v>2.9016189290161899E-2</v>
      </c>
      <c r="AC124" s="140"/>
      <c r="AD124" s="333">
        <v>221.27440089585701</v>
      </c>
      <c r="AE124" s="335">
        <f>IF(_epmOfflineCondition_,0.0556039850560398,IF(_xll.EVGET($B$1,$B$3,$B$5,$B$6,$B$7,$B$9,AD$16,AD$17,AD$18,$G124)="#NODATA","",_xll.EVGET($B$1,$B$3,$B$5,$B$6,$B$7,$B$9,AD$16,AD$17,AD$18,$G124)))</f>
        <v>5.5603985056039799E-2</v>
      </c>
      <c r="AF124" s="336">
        <f t="shared" si="15"/>
        <v>4.5095690612245392</v>
      </c>
      <c r="AG124" s="333">
        <v>202.70081072653599</v>
      </c>
      <c r="AH124" s="335">
        <f>IF(_epmOfflineCondition_,0.0665628891656289,IF(_xll.EVGET($B$1,$B$3,$B$5,$B$6,$B$7,$B$9,AG$16,AG$17,AG$18,$G124)="#NODATA","",_xll.EVGET($B$1,$B$3,$B$5,$B$6,$B$7,$B$9,AG$16,AG$17,AG$18,$G124)))</f>
        <v>6.65628891656289E-2</v>
      </c>
      <c r="AI124" s="337">
        <f t="shared" si="16"/>
        <v>23.083159230545562</v>
      </c>
    </row>
    <row r="125" spans="1:35" x14ac:dyDescent="0.25">
      <c r="A125" s="11"/>
      <c r="B125" s="11"/>
      <c r="C125" s="11"/>
      <c r="D125" s="11"/>
      <c r="E125" s="11"/>
      <c r="F125" s="11"/>
      <c r="G125" s="267" t="str">
        <f t="shared" si="13"/>
        <v>OCC_BMPRO</v>
      </c>
      <c r="H125" s="88" t="s">
        <v>196</v>
      </c>
      <c r="I125" s="104" t="str">
        <f>IF(_epmOfflineCondition_,"N",_xll.EVPRO($B$1,$H125,"STYLE"))</f>
        <v>N</v>
      </c>
      <c r="J125" s="104" t="str">
        <f>IF(_epmOfflineCondition_,"Y",_xll.EVPRO($B$1,$H125,"CALC"))</f>
        <v>Y</v>
      </c>
      <c r="K125" s="11"/>
      <c r="L125" s="104" t="str">
        <f>IF(_epmOfflineCondition_,"",_xll.EVPRO($B$1,H125,"JDEID"))</f>
        <v/>
      </c>
      <c r="M125" s="90" t="str">
        <f>IF(_epmOfflineCondition_,"",IF(AND(I125="N",J125="N"),_xll.EVPRO($B$1,H125,"PSFTID"),""))</f>
        <v/>
      </c>
      <c r="N125" s="104" t="str">
        <f>IF(_epmOfflineCondition_,"Brand/Media Promotions",IF(_xll.EVDES(H125,$B$1)="#NODATA","",_xll.EVDES(H125,$B$1)))</f>
        <v>Brand/Media Promotions</v>
      </c>
      <c r="O125" s="333">
        <v>269.05260115606899</v>
      </c>
      <c r="P125" s="334">
        <v>347.55968992248103</v>
      </c>
      <c r="Q125" s="334">
        <v>162.68487804878001</v>
      </c>
      <c r="R125" s="334">
        <v>71.630555555555503</v>
      </c>
      <c r="S125" s="334">
        <v>113.448721804511</v>
      </c>
      <c r="T125" s="334">
        <v>83.423011363636405</v>
      </c>
      <c r="U125" s="334">
        <v>155.16103202847</v>
      </c>
      <c r="V125" s="334">
        <v>92.7291363636364</v>
      </c>
      <c r="W125" s="334">
        <v>119.104979423868</v>
      </c>
      <c r="X125" s="334">
        <v>165.51341935483899</v>
      </c>
      <c r="Y125" s="334">
        <v>234.20258397932801</v>
      </c>
      <c r="Z125" s="334">
        <v>281.49753521126797</v>
      </c>
      <c r="AA125" s="334">
        <f t="shared" si="14"/>
        <v>193.12688273615635</v>
      </c>
      <c r="AB125" s="335">
        <f>IF(_epmOfflineCondition_,0.0637193856371939,IF(_xll.EVGET($B$1,$B$3,$B$5,$B$6,$B$7,$B$9,AA$16,AA$17,AA$18,$G125)="#NODATA","",_xll.EVGET($B$1,$B$3,$B$5,$B$6,$B$7,$B$9,AA$16,AA$17,AA$18,$G125)))</f>
        <v>6.3719385637193898E-2</v>
      </c>
      <c r="AC125" s="140"/>
      <c r="AD125" s="333">
        <v>244.20044653349001</v>
      </c>
      <c r="AE125" s="335">
        <f>IF(_epmOfflineCondition_,0.0706517227065172,IF(_xll.EVGET($B$1,$B$3,$B$5,$B$6,$B$7,$B$9,AD$16,AD$17,AD$18,$G125)="#NODATA","",_xll.EVGET($B$1,$B$3,$B$5,$B$6,$B$7,$B$9,AD$16,AD$17,AD$18,$G125)))</f>
        <v>7.0651722706517206E-2</v>
      </c>
      <c r="AF125" s="336">
        <f t="shared" si="15"/>
        <v>-51.073563797333662</v>
      </c>
      <c r="AG125" s="333">
        <v>212.43830315691699</v>
      </c>
      <c r="AH125" s="335">
        <f>IF(_epmOfflineCondition_,0.089414694894147,IF(_xll.EVGET($B$1,$B$3,$B$5,$B$6,$B$7,$B$9,AG$16,AG$17,AG$18,$G125)="#NODATA","",_xll.EVGET($B$1,$B$3,$B$5,$B$6,$B$7,$B$9,AG$16,AG$17,AG$18,$G125)))</f>
        <v>8.9414694894146995E-2</v>
      </c>
      <c r="AI125" s="337">
        <f t="shared" si="16"/>
        <v>-19.311420420760641</v>
      </c>
    </row>
    <row r="126" spans="1:35" x14ac:dyDescent="0.25">
      <c r="A126" s="11"/>
      <c r="B126" s="11"/>
      <c r="C126" s="11"/>
      <c r="D126" s="11"/>
      <c r="E126" s="11"/>
      <c r="F126" s="11"/>
      <c r="G126" s="267" t="str">
        <f t="shared" si="13"/>
        <v>OCC_ADVPR</v>
      </c>
      <c r="H126" s="88" t="s">
        <v>197</v>
      </c>
      <c r="I126" s="104" t="str">
        <f>IF(_epmOfflineCondition_,"N",_xll.EVPRO($B$1,$H126,"STYLE"))</f>
        <v>N</v>
      </c>
      <c r="J126" s="104" t="str">
        <f>IF(_epmOfflineCondition_,"Y",_xll.EVPRO($B$1,$H126,"CALC"))</f>
        <v>Y</v>
      </c>
      <c r="K126" s="11"/>
      <c r="L126" s="104" t="str">
        <f>IF(_epmOfflineCondition_,"",_xll.EVPRO($B$1,H126,"JDEID"))</f>
        <v/>
      </c>
      <c r="M126" s="90" t="str">
        <f>IF(_epmOfflineCondition_,"",IF(AND(I126="N",J126="N"),_xll.EVPRO($B$1,H126,"PSFTID"),""))</f>
        <v/>
      </c>
      <c r="N126" s="104" t="str">
        <f>IF(_epmOfflineCondition_,"Advance Purchases",IF(_xll.EVDES(H126,$B$1)="#NODATA","",_xll.EVDES(H126,$B$1)))</f>
        <v>Advance Purchases</v>
      </c>
      <c r="O126" s="333">
        <v>342.08965957446799</v>
      </c>
      <c r="P126" s="334">
        <v>419.02054093567301</v>
      </c>
      <c r="Q126" s="334">
        <v>430.50276094276097</v>
      </c>
      <c r="R126" s="334">
        <v>415.92452079565999</v>
      </c>
      <c r="S126" s="334">
        <v>357.86592682926801</v>
      </c>
      <c r="T126" s="334">
        <v>290.78122448979599</v>
      </c>
      <c r="U126" s="334">
        <v>305.73747035573098</v>
      </c>
      <c r="V126" s="334">
        <v>268.03761589404002</v>
      </c>
      <c r="W126" s="334">
        <v>254.375272727273</v>
      </c>
      <c r="X126" s="334">
        <v>279.41322580645198</v>
      </c>
      <c r="Y126" s="334">
        <v>314.62153846153802</v>
      </c>
      <c r="Z126" s="334">
        <v>374.73239999999998</v>
      </c>
      <c r="AA126" s="334">
        <f t="shared" si="14"/>
        <v>369.4682782515992</v>
      </c>
      <c r="AB126" s="335">
        <f>IF(_epmOfflineCondition_,0.0778746367787464,IF(_xll.EVGET($B$1,$B$3,$B$5,$B$6,$B$7,$B$9,AA$16,AA$17,AA$18,$G126)="#NODATA","",_xll.EVGET($B$1,$B$3,$B$5,$B$6,$B$7,$B$9,AA$16,AA$17,AA$18,$G126)))</f>
        <v>7.7874636778746398E-2</v>
      </c>
      <c r="AC126" s="140"/>
      <c r="AD126" s="333">
        <v>274.78570076194899</v>
      </c>
      <c r="AE126" s="335">
        <f>IF(_epmOfflineCondition_,0.0898920713989207,IF(_xll.EVGET($B$1,$B$3,$B$5,$B$6,$B$7,$B$9,AD$16,AD$17,AD$18,$G126)="#NODATA","",_xll.EVGET($B$1,$B$3,$B$5,$B$6,$B$7,$B$9,AD$16,AD$17,AD$18,$G126)))</f>
        <v>8.9892071398920706E-2</v>
      </c>
      <c r="AF126" s="336">
        <f t="shared" si="15"/>
        <v>94.682577489650214</v>
      </c>
      <c r="AG126" s="333">
        <v>287.67417988107002</v>
      </c>
      <c r="AH126" s="335">
        <f>IF(_epmOfflineCondition_,0.083769198837692,IF(_xll.EVGET($B$1,$B$3,$B$5,$B$6,$B$7,$B$9,AG$16,AG$17,AG$18,$G126)="#NODATA","",_xll.EVGET($B$1,$B$3,$B$5,$B$6,$B$7,$B$9,AG$16,AG$17,AG$18,$G126)))</f>
        <v>8.3769198837692002E-2</v>
      </c>
      <c r="AI126" s="337">
        <f t="shared" si="16"/>
        <v>81.794098370529184</v>
      </c>
    </row>
    <row r="127" spans="1:35" x14ac:dyDescent="0.25">
      <c r="A127" s="11"/>
      <c r="B127" s="11"/>
      <c r="C127" s="11"/>
      <c r="D127" s="11"/>
      <c r="E127" s="11"/>
      <c r="F127" s="11"/>
      <c r="G127" s="267" t="str">
        <f t="shared" si="13"/>
        <v>OCC_LDISCNT</v>
      </c>
      <c r="H127" s="88" t="s">
        <v>198</v>
      </c>
      <c r="I127" s="104" t="str">
        <f>IF(_epmOfflineCondition_,"N",_xll.EVPRO($B$1,$H127,"STYLE"))</f>
        <v>N</v>
      </c>
      <c r="J127" s="104" t="str">
        <f>IF(_epmOfflineCondition_,"Y",_xll.EVPRO($B$1,$H127,"CALC"))</f>
        <v>Y</v>
      </c>
      <c r="K127" s="11"/>
      <c r="L127" s="104" t="str">
        <f>IF(_epmOfflineCondition_,"",_xll.EVPRO($B$1,H127,"JDEID"))</f>
        <v/>
      </c>
      <c r="M127" s="90" t="str">
        <f>IF(_epmOfflineCondition_,"",IF(AND(I127="N",J127="N"),_xll.EVPRO($B$1,H127,"PSFTID"),""))</f>
        <v/>
      </c>
      <c r="N127" s="104" t="str">
        <f>IF(_epmOfflineCondition_,"Local Discounts",IF(_xll.EVDES(H127,$B$1)="#NODATA","",_xll.EVDES(H127,$B$1)))</f>
        <v>Local Discounts</v>
      </c>
      <c r="O127" s="333">
        <v>300.36061776061803</v>
      </c>
      <c r="P127" s="334">
        <v>351.55540841584201</v>
      </c>
      <c r="Q127" s="334">
        <v>341.84463865546201</v>
      </c>
      <c r="R127" s="334">
        <v>393.18658441558398</v>
      </c>
      <c r="S127" s="334">
        <v>332.85652267818602</v>
      </c>
      <c r="T127" s="334">
        <v>237.77137662337699</v>
      </c>
      <c r="U127" s="334">
        <v>265.811481481481</v>
      </c>
      <c r="V127" s="334">
        <v>208.34768221574299</v>
      </c>
      <c r="W127" s="334">
        <v>192.19831010453001</v>
      </c>
      <c r="X127" s="334">
        <v>223.90921630093999</v>
      </c>
      <c r="Y127" s="334">
        <v>300.30787476280801</v>
      </c>
      <c r="Z127" s="334">
        <v>413.79050397878001</v>
      </c>
      <c r="AA127" s="334">
        <f t="shared" si="14"/>
        <v>297.84371444823665</v>
      </c>
      <c r="AB127" s="335">
        <f>IF(_epmOfflineCondition_,0.145952677459527,IF(_xll.EVGET($B$1,$B$3,$B$5,$B$6,$B$7,$B$9,AA$16,AA$17,AA$18,$G127)="#NODATA","",_xll.EVGET($B$1,$B$3,$B$5,$B$6,$B$7,$B$9,AA$16,AA$17,AA$18,$G127)))</f>
        <v>0.145952677459527</v>
      </c>
      <c r="AC127" s="140"/>
      <c r="AD127" s="333">
        <v>266.68217591036398</v>
      </c>
      <c r="AE127" s="335">
        <f>IF(_epmOfflineCondition_,0.185242839352428,IF(_xll.EVGET($B$1,$B$3,$B$5,$B$6,$B$7,$B$9,AD$16,AD$17,AD$18,$G127)="#NODATA","",_xll.EVGET($B$1,$B$3,$B$5,$B$6,$B$7,$B$9,AD$16,AD$17,AD$18,$G127)))</f>
        <v>0.185242839352428</v>
      </c>
      <c r="AF127" s="336">
        <f t="shared" si="15"/>
        <v>31.161538537872673</v>
      </c>
      <c r="AG127" s="333">
        <v>247.27979778526699</v>
      </c>
      <c r="AH127" s="335">
        <f>IF(_epmOfflineCondition_,0.215545869655459,IF(_xll.EVGET($B$1,$B$3,$B$5,$B$6,$B$7,$B$9,AG$16,AG$17,AG$18,$G127)="#NODATA","",_xll.EVGET($B$1,$B$3,$B$5,$B$6,$B$7,$B$9,AG$16,AG$17,AG$18,$G127)))</f>
        <v>0.21554586965545899</v>
      </c>
      <c r="AI127" s="337">
        <f t="shared" si="16"/>
        <v>50.56391666296966</v>
      </c>
    </row>
    <row r="128" spans="1:35" x14ac:dyDescent="0.25">
      <c r="A128" s="11"/>
      <c r="B128" s="11"/>
      <c r="C128" s="11"/>
      <c r="D128" s="11"/>
      <c r="E128" s="11"/>
      <c r="F128" s="11"/>
      <c r="G128" s="267" t="str">
        <f t="shared" si="13"/>
        <v>OCC_PAPR</v>
      </c>
      <c r="H128" s="88" t="s">
        <v>199</v>
      </c>
      <c r="I128" s="104" t="str">
        <f>IF(_epmOfflineCondition_,"N",_xll.EVPRO($B$1,$H128,"STYLE"))</f>
        <v>N</v>
      </c>
      <c r="J128" s="104" t="str">
        <f>IF(_epmOfflineCondition_,"Y",_xll.EVPRO($B$1,$H128,"CALC"))</f>
        <v>Y</v>
      </c>
      <c r="K128" s="11"/>
      <c r="L128" s="104" t="str">
        <f>IF(_epmOfflineCondition_,"",_xll.EVPRO($B$1,H128,"JDEID"))</f>
        <v/>
      </c>
      <c r="M128" s="90" t="str">
        <f>IF(_epmOfflineCondition_,"",IF(AND(I128="N",J128="N"),_xll.EVPRO($B$1,H128,"PSFTID"),""))</f>
        <v/>
      </c>
      <c r="N128" s="104" t="str">
        <f>IF(_epmOfflineCondition_,"Package &amp; Promo (Legacy)",IF(_xll.EVDES(H128,$B$1)="#NODATA","",_xll.EVDES(H128,$B$1)))</f>
        <v>Package &amp; Promo (Legacy)</v>
      </c>
      <c r="O128" s="333"/>
      <c r="P128" s="334"/>
      <c r="Q128" s="334"/>
      <c r="R128" s="334"/>
      <c r="S128" s="334"/>
      <c r="T128" s="334"/>
      <c r="U128" s="334"/>
      <c r="V128" s="334"/>
      <c r="W128" s="334"/>
      <c r="X128" s="334"/>
      <c r="Y128" s="334"/>
      <c r="Z128" s="334"/>
      <c r="AA128" s="334">
        <f t="shared" si="14"/>
        <v>0</v>
      </c>
      <c r="AB128" s="335">
        <f>IF(_epmOfflineCondition_,0,IF(_xll.EVGET($B$1,$B$3,$B$5,$B$6,$B$7,$B$9,AA$16,AA$17,AA$18,$G128)="#NODATA","",_xll.EVGET($B$1,$B$3,$B$5,$B$6,$B$7,$B$9,AA$16,AA$17,AA$18,$G128)))</f>
        <v>0</v>
      </c>
      <c r="AC128" s="140"/>
      <c r="AD128" s="333"/>
      <c r="AE128" s="335">
        <f>IF(_epmOfflineCondition_,0,IF(_xll.EVGET($B$1,$B$3,$B$5,$B$6,$B$7,$B$9,AD$16,AD$17,AD$18,$G128)="#NODATA","",_xll.EVGET($B$1,$B$3,$B$5,$B$6,$B$7,$B$9,AD$16,AD$17,AD$18,$G128)))</f>
        <v>0</v>
      </c>
      <c r="AF128" s="336">
        <f t="shared" si="15"/>
        <v>0</v>
      </c>
      <c r="AG128" s="333"/>
      <c r="AH128" s="335">
        <f>IF(_epmOfflineCondition_,0,IF(_xll.EVGET($B$1,$B$3,$B$5,$B$6,$B$7,$B$9,AG$16,AG$17,AG$18,$G128)="#NODATA","",_xll.EVGET($B$1,$B$3,$B$5,$B$6,$B$7,$B$9,AG$16,AG$17,AG$18,$G128)))</f>
        <v>0</v>
      </c>
      <c r="AI128" s="337">
        <f t="shared" si="16"/>
        <v>0</v>
      </c>
    </row>
    <row r="129" spans="1:35" x14ac:dyDescent="0.25">
      <c r="A129" s="11"/>
      <c r="B129" s="11"/>
      <c r="C129" s="11"/>
      <c r="D129" s="11"/>
      <c r="E129" s="11"/>
      <c r="F129" s="11"/>
      <c r="G129" s="265" t="str">
        <f t="shared" si="13"/>
        <v>OCC_NEGOT</v>
      </c>
      <c r="H129" s="88" t="s">
        <v>200</v>
      </c>
      <c r="I129" s="89" t="str">
        <f>IF(_epmOfflineCondition_,"T3",_xll.EVPRO($B$1,$H129,"STYLE"))</f>
        <v>T3</v>
      </c>
      <c r="J129" s="89" t="str">
        <f>IF(_epmOfflineCondition_,"Y",_xll.EVPRO($B$1,$H129,"CALC"))</f>
        <v>Y</v>
      </c>
      <c r="K129" s="11"/>
      <c r="L129" s="106" t="str">
        <f>IF(_epmOfflineCondition_,"",_xll.EVPRO($B$1,H129,"JDEID"))</f>
        <v/>
      </c>
      <c r="M129" s="90" t="str">
        <f>IF(_epmOfflineCondition_,"",IF(AND(I129="N",J129="N"),_xll.EVPRO($B$1,H129,"PSFTID"),""))</f>
        <v/>
      </c>
      <c r="N129" s="106" t="str">
        <f>IF(_epmOfflineCondition_,"Negotiated",IF(_xll.EVDES(H129,$B$1)="#NODATA","",_xll.EVDES(H129,$B$1)))</f>
        <v>Negotiated</v>
      </c>
      <c r="O129" s="328">
        <v>268.251743119266</v>
      </c>
      <c r="P129" s="329">
        <v>322.35506024096401</v>
      </c>
      <c r="Q129" s="329">
        <v>391.81401960784302</v>
      </c>
      <c r="R129" s="329">
        <v>477.76137931034498</v>
      </c>
      <c r="S129" s="329">
        <v>365.95226666666701</v>
      </c>
      <c r="T129" s="329">
        <v>291.52791666666701</v>
      </c>
      <c r="U129" s="329">
        <v>284.46644230769198</v>
      </c>
      <c r="V129" s="329">
        <v>184.0052</v>
      </c>
      <c r="W129" s="329">
        <v>219.004285714286</v>
      </c>
      <c r="X129" s="329">
        <v>286.35396551724102</v>
      </c>
      <c r="Y129" s="329">
        <v>290.382564102564</v>
      </c>
      <c r="Z129" s="329">
        <v>418.45240740740701</v>
      </c>
      <c r="AA129" s="329">
        <f t="shared" si="14"/>
        <v>313.04614213197971</v>
      </c>
      <c r="AB129" s="330">
        <f>IF(_epmOfflineCondition_,0.0286218347862183,IF(_xll.EVGET($B$1,$B$3,$B$5,$B$6,$B$7,$B$9,AA$16,AA$17,AA$18,$G129)="#NODATA","",_xll.EVGET($B$1,$B$3,$B$5,$B$6,$B$7,$B$9,AA$16,AA$17,AA$18,$G129)))</f>
        <v>2.8621834786218301E-2</v>
      </c>
      <c r="AC129" s="140"/>
      <c r="AD129" s="328">
        <v>244.62482506728199</v>
      </c>
      <c r="AE129" s="330">
        <f>IF(_epmOfflineCondition_,0.0539850560398506,IF(_xll.EVGET($B$1,$B$3,$B$5,$B$6,$B$7,$B$9,AD$16,AD$17,AD$18,$G129)="#NODATA","",_xll.EVGET($B$1,$B$3,$B$5,$B$6,$B$7,$B$9,AD$16,AD$17,AD$18,$G129)))</f>
        <v>5.3985056039850599E-2</v>
      </c>
      <c r="AF129" s="331">
        <f t="shared" si="15"/>
        <v>68.421317064697718</v>
      </c>
      <c r="AG129" s="328">
        <v>216.13746910263299</v>
      </c>
      <c r="AH129" s="330">
        <f>IF(_epmOfflineCondition_,0.0386259858862599,IF(_xll.EVGET($B$1,$B$3,$B$5,$B$6,$B$7,$B$9,AG$16,AG$17,AG$18,$G129)="#NODATA","",_xll.EVGET($B$1,$B$3,$B$5,$B$6,$B$7,$B$9,AG$16,AG$17,AG$18,$G129)))</f>
        <v>3.86259858862599E-2</v>
      </c>
      <c r="AI129" s="332">
        <f t="shared" si="16"/>
        <v>96.908673029346716</v>
      </c>
    </row>
    <row r="130" spans="1:35" x14ac:dyDescent="0.25">
      <c r="A130" s="11"/>
      <c r="B130" s="11"/>
      <c r="C130" s="11"/>
      <c r="D130" s="11"/>
      <c r="E130" s="11"/>
      <c r="F130" s="11"/>
      <c r="G130" s="267" t="str">
        <f t="shared" si="13"/>
        <v>OCC_CONS</v>
      </c>
      <c r="H130" s="88" t="s">
        <v>201</v>
      </c>
      <c r="I130" s="104" t="str">
        <f>IF(_epmOfflineCondition_,"N",_xll.EVPRO($B$1,$H130,"STYLE"))</f>
        <v>N</v>
      </c>
      <c r="J130" s="104" t="str">
        <f>IF(_epmOfflineCondition_,"Y",_xll.EVPRO($B$1,$H130,"CALC"))</f>
        <v>Y</v>
      </c>
      <c r="K130" s="11"/>
      <c r="L130" s="104" t="str">
        <f>IF(_epmOfflineCondition_,"",_xll.EVPRO($B$1,H130,"JDEID"))</f>
        <v/>
      </c>
      <c r="M130" s="90" t="str">
        <f>IF(_epmOfflineCondition_,"",IF(AND(I130="N",J130="N"),_xll.EVPRO($B$1,H130,"PSFTID"),""))</f>
        <v/>
      </c>
      <c r="N130" s="104" t="str">
        <f>IF(_epmOfflineCondition_,"Consortia",IF(_xll.EVDES(H130,$B$1)="#NODATA","",_xll.EVDES(H130,$B$1)))</f>
        <v>Consortia</v>
      </c>
      <c r="O130" s="333">
        <v>322.72312499999998</v>
      </c>
      <c r="P130" s="334">
        <v>402.47533333333303</v>
      </c>
      <c r="Q130" s="334">
        <v>425.65800000000002</v>
      </c>
      <c r="R130" s="334">
        <v>617.52</v>
      </c>
      <c r="S130" s="334">
        <v>848.82249999999999</v>
      </c>
      <c r="T130" s="334">
        <v>353.57619047619102</v>
      </c>
      <c r="U130" s="334">
        <v>288.15285714285699</v>
      </c>
      <c r="V130" s="334">
        <v>234.36727272727299</v>
      </c>
      <c r="W130" s="334">
        <v>244.88235294117601</v>
      </c>
      <c r="X130" s="334">
        <v>387.88888888888903</v>
      </c>
      <c r="Y130" s="334">
        <v>360.49388888888899</v>
      </c>
      <c r="Z130" s="334">
        <v>528.037916666667</v>
      </c>
      <c r="AA130" s="334">
        <f t="shared" si="14"/>
        <v>391.00120930232561</v>
      </c>
      <c r="AB130" s="335">
        <f>IF(_epmOfflineCondition_,0.00446243254462433,IF(_xll.EVGET($B$1,$B$3,$B$5,$B$6,$B$7,$B$9,AA$16,AA$17,AA$18,$G130)="#NODATA","",_xll.EVGET($B$1,$B$3,$B$5,$B$6,$B$7,$B$9,AA$16,AA$17,AA$18,$G130)))</f>
        <v>4.4624325446243297E-3</v>
      </c>
      <c r="AC130" s="140"/>
      <c r="AD130" s="333">
        <v>319.55037499999997</v>
      </c>
      <c r="AE130" s="335">
        <f>IF(_epmOfflineCondition_,0.0016604400166044,IF(_xll.EVGET($B$1,$B$3,$B$5,$B$6,$B$7,$B$9,AD$16,AD$17,AD$18,$G130)="#NODATA","",_xll.EVGET($B$1,$B$3,$B$5,$B$6,$B$7,$B$9,AD$16,AD$17,AD$18,$G130)))</f>
        <v>1.6604400166043999E-3</v>
      </c>
      <c r="AF130" s="336">
        <f t="shared" si="15"/>
        <v>71.450834302325632</v>
      </c>
      <c r="AG130" s="333">
        <v>313.23548780487801</v>
      </c>
      <c r="AH130" s="335">
        <f>IF(_epmOfflineCondition_,0.00170195101701951,IF(_xll.EVGET($B$1,$B$3,$B$5,$B$6,$B$7,$B$9,AG$16,AG$17,AG$18,$G130)="#NODATA","",_xll.EVGET($B$1,$B$3,$B$5,$B$6,$B$7,$B$9,AG$16,AG$17,AG$18,$G130)))</f>
        <v>1.7019510170195101E-3</v>
      </c>
      <c r="AI130" s="337">
        <f t="shared" si="16"/>
        <v>77.765721497447601</v>
      </c>
    </row>
    <row r="131" spans="1:35" x14ac:dyDescent="0.25">
      <c r="A131" s="11"/>
      <c r="B131" s="11"/>
      <c r="C131" s="11"/>
      <c r="D131" s="11"/>
      <c r="E131" s="11"/>
      <c r="F131" s="11"/>
      <c r="G131" s="267" t="str">
        <f t="shared" si="13"/>
        <v>OCC_NNEG</v>
      </c>
      <c r="H131" s="88" t="s">
        <v>202</v>
      </c>
      <c r="I131" s="104" t="str">
        <f>IF(_epmOfflineCondition_,"N",_xll.EVPRO($B$1,$H131,"STYLE"))</f>
        <v>N</v>
      </c>
      <c r="J131" s="104" t="str">
        <f>IF(_epmOfflineCondition_,"Y",_xll.EVPRO($B$1,$H131,"CALC"))</f>
        <v>Y</v>
      </c>
      <c r="K131" s="11"/>
      <c r="L131" s="104" t="str">
        <f>IF(_epmOfflineCondition_,"",_xll.EVPRO($B$1,H131,"JDEID"))</f>
        <v/>
      </c>
      <c r="M131" s="90" t="str">
        <f>IF(_epmOfflineCondition_,"",IF(AND(I131="N",J131="N"),_xll.EVPRO($B$1,H131,"PSFTID"),""))</f>
        <v/>
      </c>
      <c r="N131" s="104" t="str">
        <f>IF(_epmOfflineCondition_,"National Negotiated",IF(_xll.EVDES(H131,$B$1)="#NODATA","",_xll.EVDES(H131,$B$1)))</f>
        <v>National Negotiated</v>
      </c>
      <c r="O131" s="333">
        <v>323.69749999999999</v>
      </c>
      <c r="P131" s="334">
        <v>323.24744680851097</v>
      </c>
      <c r="Q131" s="334">
        <v>420.41724137930998</v>
      </c>
      <c r="R131" s="334">
        <v>491.84648648648601</v>
      </c>
      <c r="S131" s="334">
        <v>301.25152542372899</v>
      </c>
      <c r="T131" s="334">
        <v>258.40315789473698</v>
      </c>
      <c r="U131" s="334">
        <v>276.08536585365903</v>
      </c>
      <c r="V131" s="334">
        <v>195.46</v>
      </c>
      <c r="W131" s="334">
        <v>186.15925925925899</v>
      </c>
      <c r="X131" s="334">
        <v>252.83324999999999</v>
      </c>
      <c r="Y131" s="334">
        <v>254.14487179487199</v>
      </c>
      <c r="Z131" s="334">
        <v>295.553684210526</v>
      </c>
      <c r="AA131" s="334">
        <f t="shared" si="14"/>
        <v>297.79021598272135</v>
      </c>
      <c r="AB131" s="335">
        <f>IF(_epmOfflineCondition_,0.00960979659609797,IF(_xll.EVGET($B$1,$B$3,$B$5,$B$6,$B$7,$B$9,AA$16,AA$17,AA$18,$G131)="#NODATA","",_xll.EVGET($B$1,$B$3,$B$5,$B$6,$B$7,$B$9,AA$16,AA$17,AA$18,$G131)))</f>
        <v>9.6097965960979699E-3</v>
      </c>
      <c r="AC131" s="140"/>
      <c r="AD131" s="333">
        <v>298.10464807436898</v>
      </c>
      <c r="AE131" s="335">
        <f>IF(_epmOfflineCondition_,0.0156288916562889,IF(_xll.EVGET($B$1,$B$3,$B$5,$B$6,$B$7,$B$9,AD$16,AD$17,AD$18,$G131)="#NODATA","",_xll.EVGET($B$1,$B$3,$B$5,$B$6,$B$7,$B$9,AD$16,AD$17,AD$18,$G131)))</f>
        <v>1.5628891656288901E-2</v>
      </c>
      <c r="AF131" s="336">
        <f t="shared" si="15"/>
        <v>-0.31443209164763175</v>
      </c>
      <c r="AG131" s="333">
        <v>262.262058823529</v>
      </c>
      <c r="AH131" s="335">
        <f>IF(_epmOfflineCondition_,0.0105853051058531,IF(_xll.EVGET($B$1,$B$3,$B$5,$B$6,$B$7,$B$9,AG$16,AG$17,AG$18,$G131)="#NODATA","",_xll.EVGET($B$1,$B$3,$B$5,$B$6,$B$7,$B$9,AG$16,AG$17,AG$18,$G131)))</f>
        <v>1.05853051058531E-2</v>
      </c>
      <c r="AI131" s="337">
        <f t="shared" si="16"/>
        <v>35.528157159192347</v>
      </c>
    </row>
    <row r="132" spans="1:35" x14ac:dyDescent="0.25">
      <c r="A132" s="11"/>
      <c r="B132" s="11"/>
      <c r="C132" s="11"/>
      <c r="D132" s="11"/>
      <c r="E132" s="11"/>
      <c r="F132" s="11"/>
      <c r="G132" s="267" t="str">
        <f t="shared" si="13"/>
        <v>OCC_LNEG</v>
      </c>
      <c r="H132" s="88" t="s">
        <v>203</v>
      </c>
      <c r="I132" s="104" t="str">
        <f>IF(_epmOfflineCondition_,"N",_xll.EVPRO($B$1,$H132,"STYLE"))</f>
        <v>N</v>
      </c>
      <c r="J132" s="104" t="str">
        <f>IF(_epmOfflineCondition_,"Y",_xll.EVPRO($B$1,$H132,"CALC"))</f>
        <v>Y</v>
      </c>
      <c r="K132" s="11"/>
      <c r="L132" s="104" t="str">
        <f>IF(_epmOfflineCondition_,"",_xll.EVPRO($B$1,H132,"JDEID"))</f>
        <v/>
      </c>
      <c r="M132" s="90" t="str">
        <f>IF(_epmOfflineCondition_,"",IF(AND(I132="N",J132="N"),_xll.EVPRO($B$1,H132,"PSFTID"),""))</f>
        <v/>
      </c>
      <c r="N132" s="104" t="str">
        <f>IF(_epmOfflineCondition_,"Local Negotiated",IF(_xll.EVDES(H132,$B$1)="#NODATA","",_xll.EVDES(H132,$B$1)))</f>
        <v>Local Negotiated</v>
      </c>
      <c r="O132" s="333">
        <v>250.977108433735</v>
      </c>
      <c r="P132" s="334">
        <v>317.74859259259301</v>
      </c>
      <c r="Q132" s="334">
        <v>373.27539682539702</v>
      </c>
      <c r="R132" s="334">
        <v>396.66470588235302</v>
      </c>
      <c r="S132" s="334">
        <v>360.25</v>
      </c>
      <c r="T132" s="334">
        <v>207.32249999999999</v>
      </c>
      <c r="U132" s="334">
        <v>290.80476190476202</v>
      </c>
      <c r="V132" s="334">
        <v>117.502272727273</v>
      </c>
      <c r="W132" s="334">
        <v>236.19230769230799</v>
      </c>
      <c r="X132" s="334">
        <v>333.8</v>
      </c>
      <c r="Y132" s="334">
        <v>297.585714285714</v>
      </c>
      <c r="Z132" s="334">
        <v>391.63636363636402</v>
      </c>
      <c r="AA132" s="334">
        <f t="shared" si="14"/>
        <v>299.21326676176886</v>
      </c>
      <c r="AB132" s="335">
        <f>IF(_epmOfflineCondition_,0.0145496056454961,IF(_xll.EVGET($B$1,$B$3,$B$5,$B$6,$B$7,$B$9,AA$16,AA$17,AA$18,$G132)="#NODATA","",_xll.EVGET($B$1,$B$3,$B$5,$B$6,$B$7,$B$9,AA$16,AA$17,AA$18,$G132)))</f>
        <v>1.4549605645496099E-2</v>
      </c>
      <c r="AC132" s="140"/>
      <c r="AD132" s="333">
        <v>218.45720588235301</v>
      </c>
      <c r="AE132" s="335">
        <f>IF(_epmOfflineCondition_,0.0366957243669572,IF(_xll.EVGET($B$1,$B$3,$B$5,$B$6,$B$7,$B$9,AD$16,AD$17,AD$18,$G132)="#NODATA","",_xll.EVGET($B$1,$B$3,$B$5,$B$6,$B$7,$B$9,AD$16,AD$17,AD$18,$G132)))</f>
        <v>3.66957243669572E-2</v>
      </c>
      <c r="AF132" s="336">
        <f t="shared" si="15"/>
        <v>80.756060879415855</v>
      </c>
      <c r="AG132" s="333">
        <v>191.32613869188299</v>
      </c>
      <c r="AH132" s="335">
        <f>IF(_epmOfflineCondition_,0.0263387297633873,IF(_xll.EVGET($B$1,$B$3,$B$5,$B$6,$B$7,$B$9,AG$16,AG$17,AG$18,$G132)="#NODATA","",_xll.EVGET($B$1,$B$3,$B$5,$B$6,$B$7,$B$9,AG$16,AG$17,AG$18,$G132)))</f>
        <v>2.63387297633873E-2</v>
      </c>
      <c r="AI132" s="337">
        <f t="shared" si="16"/>
        <v>107.88712806988588</v>
      </c>
    </row>
    <row r="133" spans="1:35" x14ac:dyDescent="0.25">
      <c r="A133" s="11"/>
      <c r="B133" s="11"/>
      <c r="C133" s="11"/>
      <c r="D133" s="11"/>
      <c r="E133" s="11"/>
      <c r="F133" s="11"/>
      <c r="G133" s="265" t="str">
        <f t="shared" si="13"/>
        <v>OCC_QUALF</v>
      </c>
      <c r="H133" s="88" t="s">
        <v>204</v>
      </c>
      <c r="I133" s="89" t="str">
        <f>IF(_epmOfflineCondition_,"T3",_xll.EVPRO($B$1,$H133,"STYLE"))</f>
        <v>T3</v>
      </c>
      <c r="J133" s="89" t="str">
        <f>IF(_epmOfflineCondition_,"Y",_xll.EVPRO($B$1,$H133,"CALC"))</f>
        <v>Y</v>
      </c>
      <c r="K133" s="11"/>
      <c r="L133" s="106" t="str">
        <f>IF(_epmOfflineCondition_,"",_xll.EVPRO($B$1,H133,"JDEID"))</f>
        <v/>
      </c>
      <c r="M133" s="90" t="str">
        <f>IF(_epmOfflineCondition_,"",IF(AND(I133="N",J133="N"),_xll.EVPRO($B$1,H133,"PSFTID"),""))</f>
        <v/>
      </c>
      <c r="N133" s="106" t="str">
        <f>IF(_epmOfflineCondition_,"Qualified",IF(_xll.EVDES(H133,$B$1)="#NODATA","",_xll.EVDES(H133,$B$1)))</f>
        <v>Qualified</v>
      </c>
      <c r="O133" s="328">
        <v>198.43</v>
      </c>
      <c r="P133" s="329">
        <v>236.74270270270301</v>
      </c>
      <c r="Q133" s="329">
        <v>238.91188235294101</v>
      </c>
      <c r="R133" s="329">
        <v>185.65625</v>
      </c>
      <c r="S133" s="329">
        <v>203.82</v>
      </c>
      <c r="T133" s="329">
        <v>161.598630136986</v>
      </c>
      <c r="U133" s="329">
        <v>137.85743243243201</v>
      </c>
      <c r="V133" s="329">
        <v>136.37580645161299</v>
      </c>
      <c r="W133" s="329">
        <v>128.72734374999999</v>
      </c>
      <c r="X133" s="329">
        <v>170.65936708860801</v>
      </c>
      <c r="Y133" s="329">
        <v>185.39385964912299</v>
      </c>
      <c r="Z133" s="329">
        <v>201.48627450980399</v>
      </c>
      <c r="AA133" s="329">
        <f t="shared" si="14"/>
        <v>182.99407288317252</v>
      </c>
      <c r="AB133" s="330">
        <f>IF(_epmOfflineCondition_,0.0193648816936488,IF(_xll.EVGET($B$1,$B$3,$B$5,$B$6,$B$7,$B$9,AA$16,AA$17,AA$18,$G133)="#NODATA","",_xll.EVGET($B$1,$B$3,$B$5,$B$6,$B$7,$B$9,AA$16,AA$17,AA$18,$G133)))</f>
        <v>1.9364881693648799E-2</v>
      </c>
      <c r="AC133" s="140"/>
      <c r="AD133" s="328">
        <v>210.26313508921001</v>
      </c>
      <c r="AE133" s="330">
        <f>IF(_epmOfflineCondition_,0.0488584474885845,IF(_xll.EVGET($B$1,$B$3,$B$5,$B$6,$B$7,$B$9,AD$16,AD$17,AD$18,$G133)="#NODATA","",_xll.EVGET($B$1,$B$3,$B$5,$B$6,$B$7,$B$9,AD$16,AD$17,AD$18,$G133)))</f>
        <v>4.8858447488584499E-2</v>
      </c>
      <c r="AF133" s="331">
        <f t="shared" si="15"/>
        <v>-27.269062206037489</v>
      </c>
      <c r="AG133" s="328">
        <v>174.62257575757599</v>
      </c>
      <c r="AH133" s="330">
        <f>IF(_epmOfflineCondition_,0.0356164383561644,IF(_xll.EVGET($B$1,$B$3,$B$5,$B$6,$B$7,$B$9,AG$16,AG$17,AG$18,$G133)="#NODATA","",_xll.EVGET($B$1,$B$3,$B$5,$B$6,$B$7,$B$9,AG$16,AG$17,AG$18,$G133)))</f>
        <v>3.5616438356164397E-2</v>
      </c>
      <c r="AI133" s="332">
        <f t="shared" si="16"/>
        <v>8.3714971255965338</v>
      </c>
    </row>
    <row r="134" spans="1:35" x14ac:dyDescent="0.25">
      <c r="A134" s="11"/>
      <c r="B134" s="11"/>
      <c r="C134" s="11"/>
      <c r="D134" s="11"/>
      <c r="E134" s="11"/>
      <c r="F134" s="11"/>
      <c r="G134" s="267" t="str">
        <f t="shared" si="13"/>
        <v>OCC_QUDI</v>
      </c>
      <c r="H134" s="88" t="s">
        <v>205</v>
      </c>
      <c r="I134" s="104" t="str">
        <f>IF(_epmOfflineCondition_,"N",_xll.EVPRO($B$1,$H134,"STYLE"))</f>
        <v>N</v>
      </c>
      <c r="J134" s="104" t="str">
        <f>IF(_epmOfflineCondition_,"Y",_xll.EVPRO($B$1,$H134,"CALC"))</f>
        <v>Y</v>
      </c>
      <c r="K134" s="11"/>
      <c r="L134" s="104" t="str">
        <f>IF(_epmOfflineCondition_,"",_xll.EVPRO($B$1,H134,"JDEID"))</f>
        <v/>
      </c>
      <c r="M134" s="90" t="str">
        <f>IF(_epmOfflineCondition_,"",IF(AND(I134="N",J134="N"),_xll.EVPRO($B$1,H134,"PSFTID"),""))</f>
        <v/>
      </c>
      <c r="N134" s="104" t="str">
        <f>IF(_epmOfflineCondition_,"Qualified",IF(_xll.EVDES(H134,$B$1)="#NODATA","",_xll.EVDES(H134,$B$1)))</f>
        <v>Qualified</v>
      </c>
      <c r="O134" s="333">
        <v>198.43</v>
      </c>
      <c r="P134" s="334">
        <v>236.74270270270301</v>
      </c>
      <c r="Q134" s="334">
        <v>238.91188235294101</v>
      </c>
      <c r="R134" s="334">
        <v>185.65625</v>
      </c>
      <c r="S134" s="334">
        <v>220.32480000000001</v>
      </c>
      <c r="T134" s="334">
        <v>176.84909090909099</v>
      </c>
      <c r="U134" s="334">
        <v>142.281451612903</v>
      </c>
      <c r="V134" s="334">
        <v>141.86418918918901</v>
      </c>
      <c r="W134" s="334">
        <v>132.226470588235</v>
      </c>
      <c r="X134" s="334">
        <v>173.82985714285701</v>
      </c>
      <c r="Y134" s="334">
        <v>185.39385964912299</v>
      </c>
      <c r="Z134" s="334">
        <v>200.64166666666699</v>
      </c>
      <c r="AA134" s="334">
        <f t="shared" si="14"/>
        <v>189.22783492822967</v>
      </c>
      <c r="AB134" s="335">
        <f>IF(_epmOfflineCondition_,0.017351598173516,IF(_xll.EVGET($B$1,$B$3,$B$5,$B$6,$B$7,$B$9,AA$16,AA$17,AA$18,$G134)="#NODATA","",_xll.EVGET($B$1,$B$3,$B$5,$B$6,$B$7,$B$9,AA$16,AA$17,AA$18,$G134)))</f>
        <v>1.7351598173516E-2</v>
      </c>
      <c r="AC134" s="140"/>
      <c r="AD134" s="333">
        <v>240.56145846544101</v>
      </c>
      <c r="AE134" s="335">
        <f>IF(_epmOfflineCondition_,0.0327314238273142,IF(_xll.EVGET($B$1,$B$3,$B$5,$B$6,$B$7,$B$9,AD$16,AD$17,AD$18,$G134)="#NODATA","",_xll.EVGET($B$1,$B$3,$B$5,$B$6,$B$7,$B$9,AD$16,AD$17,AD$18,$G134)))</f>
        <v>3.2731423827314199E-2</v>
      </c>
      <c r="AF134" s="336">
        <f t="shared" si="15"/>
        <v>-51.333623537211338</v>
      </c>
      <c r="AG134" s="333">
        <v>191.27830223880599</v>
      </c>
      <c r="AH134" s="335">
        <f>IF(_epmOfflineCondition_,0.022249896222499,IF(_xll.EVGET($B$1,$B$3,$B$5,$B$6,$B$7,$B$9,AG$16,AG$17,AG$18,$G134)="#NODATA","",_xll.EVGET($B$1,$B$3,$B$5,$B$6,$B$7,$B$9,AG$16,AG$17,AG$18,$G134)))</f>
        <v>2.2249896222499E-2</v>
      </c>
      <c r="AI134" s="337">
        <f t="shared" si="16"/>
        <v>-2.0504673105763231</v>
      </c>
    </row>
    <row r="135" spans="1:35" x14ac:dyDescent="0.25">
      <c r="A135" s="11"/>
      <c r="B135" s="11"/>
      <c r="C135" s="11"/>
      <c r="D135" s="11"/>
      <c r="E135" s="11"/>
      <c r="F135" s="11"/>
      <c r="G135" s="267" t="str">
        <f t="shared" si="13"/>
        <v>OCC_TGOV</v>
      </c>
      <c r="H135" s="88" t="s">
        <v>206</v>
      </c>
      <c r="I135" s="104" t="str">
        <f>IF(_epmOfflineCondition_,"N",_xll.EVPRO($B$1,$H135,"STYLE"))</f>
        <v>N</v>
      </c>
      <c r="J135" s="104" t="str">
        <f>IF(_epmOfflineCondition_,"Y",_xll.EVPRO($B$1,$H135,"CALC"))</f>
        <v>Y</v>
      </c>
      <c r="K135" s="11"/>
      <c r="L135" s="104" t="str">
        <f>IF(_epmOfflineCondition_,"",_xll.EVPRO($B$1,H135,"JDEID"))</f>
        <v/>
      </c>
      <c r="M135" s="90" t="str">
        <f>IF(_epmOfflineCondition_,"",IF(AND(I135="N",J135="N"),_xll.EVPRO($B$1,H135,"PSFTID"),""))</f>
        <v/>
      </c>
      <c r="N135" s="104" t="str">
        <f>IF(_epmOfflineCondition_,"Government",IF(_xll.EVDES(H135,$B$1)="#NODATA","",_xll.EVDES(H135,$B$1)))</f>
        <v>Government</v>
      </c>
      <c r="O135" s="333"/>
      <c r="P135" s="334"/>
      <c r="Q135" s="334"/>
      <c r="R135" s="334"/>
      <c r="S135" s="334">
        <v>150</v>
      </c>
      <c r="T135" s="334">
        <v>115</v>
      </c>
      <c r="U135" s="334">
        <v>115</v>
      </c>
      <c r="V135" s="334">
        <v>115</v>
      </c>
      <c r="W135" s="334">
        <v>115</v>
      </c>
      <c r="X135" s="334">
        <v>146</v>
      </c>
      <c r="Y135" s="334"/>
      <c r="Z135" s="334">
        <v>215</v>
      </c>
      <c r="AA135" s="334">
        <f t="shared" si="14"/>
        <v>129.26804123711341</v>
      </c>
      <c r="AB135" s="335">
        <f>IF(_epmOfflineCondition_,0.00201328352013284,IF(_xll.EVGET($B$1,$B$3,$B$5,$B$6,$B$7,$B$9,AA$16,AA$17,AA$18,$G135)="#NODATA","",_xll.EVGET($B$1,$B$3,$B$5,$B$6,$B$7,$B$9,AA$16,AA$17,AA$18,$G135)))</f>
        <v>2.0132835201328398E-3</v>
      </c>
      <c r="AC135" s="140"/>
      <c r="AD135" s="333">
        <v>148.769626769627</v>
      </c>
      <c r="AE135" s="335">
        <f>IF(_epmOfflineCondition_,0.0161270236612702,IF(_xll.EVGET($B$1,$B$3,$B$5,$B$6,$B$7,$B$9,AD$16,AD$17,AD$18,$G135)="#NODATA","",_xll.EVGET($B$1,$B$3,$B$5,$B$6,$B$7,$B$9,AD$16,AD$17,AD$18,$G135)))</f>
        <v>1.6127023661270199E-2</v>
      </c>
      <c r="AF135" s="336">
        <f t="shared" si="15"/>
        <v>-19.501585532513587</v>
      </c>
      <c r="AG135" s="333">
        <v>146.89751552794999</v>
      </c>
      <c r="AH135" s="335">
        <f>IF(_epmOfflineCondition_,0.0133665421336654,IF(_xll.EVGET($B$1,$B$3,$B$5,$B$6,$B$7,$B$9,AG$16,AG$17,AG$18,$G135)="#NODATA","",_xll.EVGET($B$1,$B$3,$B$5,$B$6,$B$7,$B$9,AG$16,AG$17,AG$18,$G135)))</f>
        <v>1.33665421336654E-2</v>
      </c>
      <c r="AI135" s="337">
        <f t="shared" si="16"/>
        <v>-17.629474290836583</v>
      </c>
    </row>
    <row r="136" spans="1:35" x14ac:dyDescent="0.25">
      <c r="A136" s="11"/>
      <c r="B136" s="11"/>
      <c r="C136" s="11"/>
      <c r="D136" s="11"/>
      <c r="E136" s="11"/>
      <c r="F136" s="11"/>
      <c r="G136" s="265" t="str">
        <f t="shared" si="13"/>
        <v>OCC_WHOL</v>
      </c>
      <c r="H136" s="88" t="s">
        <v>207</v>
      </c>
      <c r="I136" s="89" t="str">
        <f>IF(_epmOfflineCondition_,"T3",_xll.EVPRO($B$1,$H136,"STYLE"))</f>
        <v>T3</v>
      </c>
      <c r="J136" s="89" t="str">
        <f>IF(_epmOfflineCondition_,"Y",_xll.EVPRO($B$1,$H136,"CALC"))</f>
        <v>Y</v>
      </c>
      <c r="K136" s="11"/>
      <c r="L136" s="106" t="str">
        <f>IF(_epmOfflineCondition_,"",_xll.EVPRO($B$1,H136,"JDEID"))</f>
        <v/>
      </c>
      <c r="M136" s="90" t="str">
        <f>IF(_epmOfflineCondition_,"",IF(AND(I136="N",J136="N"),_xll.EVPRO($B$1,H136,"PSFTID"),""))</f>
        <v/>
      </c>
      <c r="N136" s="106" t="str">
        <f>IF(_epmOfflineCondition_,"Wholesale",IF(_xll.EVDES(H136,$B$1)="#NODATA","",_xll.EVDES(H136,$B$1)))</f>
        <v>Wholesale</v>
      </c>
      <c r="O136" s="338">
        <v>280.27308510638301</v>
      </c>
      <c r="P136" s="339">
        <v>334.21444444444398</v>
      </c>
      <c r="Q136" s="339">
        <v>268.61033591731302</v>
      </c>
      <c r="R136" s="339">
        <v>271.86271293375398</v>
      </c>
      <c r="S136" s="339">
        <v>281.517581395349</v>
      </c>
      <c r="T136" s="339">
        <v>182.21167664670699</v>
      </c>
      <c r="U136" s="339">
        <v>196.13</v>
      </c>
      <c r="V136" s="339">
        <v>175.20972375690599</v>
      </c>
      <c r="W136" s="339">
        <v>196.3865625</v>
      </c>
      <c r="X136" s="339">
        <v>140.19986928104601</v>
      </c>
      <c r="Y136" s="339">
        <v>47.419096045197698</v>
      </c>
      <c r="Z136" s="339">
        <v>41.8379166666667</v>
      </c>
      <c r="AA136" s="339">
        <f t="shared" si="14"/>
        <v>207.23289438798056</v>
      </c>
      <c r="AB136" s="340">
        <f>IF(_epmOfflineCondition_,0.046969696969697,IF(_xll.EVGET($B$1,$B$3,$B$5,$B$6,$B$7,$B$9,AA$16,AA$17,AA$18,$G136)="#NODATA","",_xll.EVGET($B$1,$B$3,$B$5,$B$6,$B$7,$B$9,AA$16,AA$17,AA$18,$G136)))</f>
        <v>4.6969696969697002E-2</v>
      </c>
      <c r="AC136" s="140"/>
      <c r="AD136" s="338">
        <v>242.39778317152101</v>
      </c>
      <c r="AE136" s="340">
        <f>IF(_epmOfflineCondition_,0.025653798256538,IF(_xll.EVGET($B$1,$B$3,$B$5,$B$6,$B$7,$B$9,AD$16,AD$17,AD$18,$G136)="#NODATA","",_xll.EVGET($B$1,$B$3,$B$5,$B$6,$B$7,$B$9,AD$16,AD$17,AD$18,$G136)))</f>
        <v>2.5653798256538001E-2</v>
      </c>
      <c r="AF136" s="341">
        <f t="shared" si="15"/>
        <v>-35.164888783540448</v>
      </c>
      <c r="AG136" s="338">
        <v>181.80770819883799</v>
      </c>
      <c r="AH136" s="340">
        <f>IF(_epmOfflineCondition_,0.0321502698215027,IF(_xll.EVGET($B$1,$B$3,$B$5,$B$6,$B$7,$B$9,AG$16,AG$17,AG$18,$G136)="#NODATA","",_xll.EVGET($B$1,$B$3,$B$5,$B$6,$B$7,$B$9,AG$16,AG$17,AG$18,$G136)))</f>
        <v>3.2150269821502701E-2</v>
      </c>
      <c r="AI136" s="342">
        <f t="shared" si="16"/>
        <v>25.425186189142579</v>
      </c>
    </row>
    <row r="137" spans="1:35" x14ac:dyDescent="0.25">
      <c r="A137" s="11"/>
      <c r="B137" s="11"/>
      <c r="C137" s="11"/>
      <c r="D137" s="11"/>
      <c r="E137" s="11"/>
      <c r="F137" s="11"/>
      <c r="G137" s="265" t="str">
        <f t="shared" si="13"/>
        <v>OCC_INDT</v>
      </c>
      <c r="H137" s="88" t="s">
        <v>177</v>
      </c>
      <c r="I137" s="89" t="str">
        <f>IF(_epmOfflineCondition_,"T2",_xll.EVPRO($B$1,$H137,"STYLE"))</f>
        <v>T2</v>
      </c>
      <c r="J137" s="89" t="str">
        <f>IF(_epmOfflineCondition_,"Y",_xll.EVPRO($B$1,$H137,"CALC"))</f>
        <v>Y</v>
      </c>
      <c r="K137" s="11"/>
      <c r="L137" s="106" t="str">
        <f>IF(_epmOfflineCondition_,"",_xll.EVPRO($B$1,H137,"JDEID"))</f>
        <v/>
      </c>
      <c r="M137" s="90" t="str">
        <f>IF(_epmOfflineCondition_,"",IF(AND(I137="N",J137="N"),_xll.EVPRO($B$1,H137,"PSFTID"),""))</f>
        <v/>
      </c>
      <c r="N137" s="106" t="str">
        <f>IF(_epmOfflineCondition_,"Total Transient ADR",IF(_xll.EVDES(H137,$B$1)="#NODATA","",_xll.EVDES(H137,$B$1)))</f>
        <v>Total Transient ADR</v>
      </c>
      <c r="O137" s="343">
        <v>273.484622329221</v>
      </c>
      <c r="P137" s="344">
        <v>366.95376406202502</v>
      </c>
      <c r="Q137" s="344">
        <v>345.516369796709</v>
      </c>
      <c r="R137" s="344">
        <v>359.58665689149598</v>
      </c>
      <c r="S137" s="344">
        <v>290.73745549738197</v>
      </c>
      <c r="T137" s="344">
        <v>214.537518142235</v>
      </c>
      <c r="U137" s="344">
        <v>227.74090269277801</v>
      </c>
      <c r="V137" s="344">
        <v>192.34767368752</v>
      </c>
      <c r="W137" s="344">
        <v>181.71351084812599</v>
      </c>
      <c r="X137" s="344">
        <v>209.87799999999999</v>
      </c>
      <c r="Y137" s="344">
        <v>259.25939011924999</v>
      </c>
      <c r="Z137" s="344">
        <v>315.09080109655798</v>
      </c>
      <c r="AA137" s="344">
        <f t="shared" si="14"/>
        <v>272.37568204930875</v>
      </c>
      <c r="AB137" s="345">
        <f>IF(_epmOfflineCondition_,0.755147364051474,IF(_xll.EVGET($B$1,$B$3,$B$5,$B$6,$B$7,$B$9,AA$16,AA$17,AA$18,$G137)="#NODATA","",_xll.EVGET($B$1,$B$3,$B$5,$B$6,$B$7,$B$9,AA$16,AA$17,AA$18,$G137)))</f>
        <v>0.75514736405147398</v>
      </c>
      <c r="AC137" s="140"/>
      <c r="AD137" s="343">
        <v>266.17332038460501</v>
      </c>
      <c r="AE137" s="345">
        <f>IF(_epmOfflineCondition_,0.753362391033624,IF(_xll.EVGET($B$1,$B$3,$B$5,$B$6,$B$7,$B$9,AD$16,AD$17,AD$18,$G137)="#NODATA","",_xll.EVGET($B$1,$B$3,$B$5,$B$6,$B$7,$B$9,AD$16,AD$17,AD$18,$G137)))</f>
        <v>0.75336239103362401</v>
      </c>
      <c r="AF137" s="346">
        <f t="shared" si="15"/>
        <v>6.2023616647037443</v>
      </c>
      <c r="AG137" s="343">
        <v>232.13023781243501</v>
      </c>
      <c r="AH137" s="345">
        <f>IF(_epmOfflineCondition_,0.80381901203819,IF(_xll.EVGET($B$1,$B$3,$B$5,$B$6,$B$7,$B$9,AG$16,AG$17,AG$18,$G137)="#NODATA","",_xll.EVGET($B$1,$B$3,$B$5,$B$6,$B$7,$B$9,AG$16,AG$17,AG$18,$G137)))</f>
        <v>0.80381901203818995</v>
      </c>
      <c r="AI137" s="347">
        <f t="shared" si="16"/>
        <v>40.245444236873738</v>
      </c>
    </row>
    <row r="138" spans="1:35" x14ac:dyDescent="0.25">
      <c r="A138" s="11"/>
      <c r="B138" s="11"/>
      <c r="C138" s="11"/>
      <c r="D138" s="11"/>
      <c r="E138" s="11"/>
      <c r="F138" s="11"/>
      <c r="G138" s="267" t="str">
        <f t="shared" si="13"/>
        <v>OCCNKROW</v>
      </c>
      <c r="H138" s="88" t="s">
        <v>175</v>
      </c>
      <c r="I138" s="104" t="str">
        <f>IF(_epmOfflineCondition_,"B1",_xll.EVPRO($B$1,$H138,"STYLE"))</f>
        <v>B1</v>
      </c>
      <c r="J138" s="104" t="str">
        <f>IF(_epmOfflineCondition_,"Y",_xll.EVPRO($B$1,$H138,"CALC"))</f>
        <v>Y</v>
      </c>
      <c r="K138" s="11"/>
      <c r="L138" s="104" t="str">
        <f>IF(_epmOfflineCondition_,"",_xll.EVPRO($B$1,H138,"JDEID"))</f>
        <v/>
      </c>
      <c r="M138" s="90" t="str">
        <f>IF(_epmOfflineCondition_,"",IF(AND(I138="N",J138="N"),_xll.EVPRO($B$1,H138,"PSFTID"),""))</f>
        <v/>
      </c>
      <c r="N138" s="104" t="str">
        <f>IF(_epmOfflineCondition_,"BLANKROW",IF(_xll.EVDES(H138,$B$1)="#NODATA","",_xll.EVDES(H138,$B$1)))</f>
        <v>BLANKROW</v>
      </c>
      <c r="O138" s="348"/>
      <c r="P138" s="349"/>
      <c r="Q138" s="349"/>
      <c r="R138" s="349"/>
      <c r="S138" s="349"/>
      <c r="T138" s="349"/>
      <c r="U138" s="349"/>
      <c r="V138" s="349"/>
      <c r="W138" s="349"/>
      <c r="X138" s="349"/>
      <c r="Y138" s="349"/>
      <c r="Z138" s="349"/>
      <c r="AA138" s="349">
        <f t="shared" si="14"/>
        <v>0</v>
      </c>
      <c r="AB138" s="350" t="str">
        <f>IF(_epmOfflineCondition_,"",IF(_xll.EVGET($B$1,$B$3,$B$5,$B$6,$B$7,$B$9,AA$16,AA$17,AA$18,$G138)="#NODATA","",_xll.EVGET($B$1,$B$3,$B$5,$B$6,$B$7,$B$9,AA$16,AA$17,AA$18,$G138)))</f>
        <v/>
      </c>
      <c r="AC138" s="140"/>
      <c r="AD138" s="348"/>
      <c r="AE138" s="350" t="str">
        <f>IF(_epmOfflineCondition_,"",IF(_xll.EVGET($B$1,$B$3,$B$5,$B$6,$B$7,$B$9,AD$16,AD$17,AD$18,$G138)="#NODATA","",_xll.EVGET($B$1,$B$3,$B$5,$B$6,$B$7,$B$9,AD$16,AD$17,AD$18,$G138)))</f>
        <v/>
      </c>
      <c r="AF138" s="351">
        <f t="shared" si="15"/>
        <v>0</v>
      </c>
      <c r="AG138" s="348"/>
      <c r="AH138" s="350" t="str">
        <f>IF(_epmOfflineCondition_,"",IF(_xll.EVGET($B$1,$B$3,$B$5,$B$6,$B$7,$B$9,AG$16,AG$17,AG$18,$G138)="#NODATA","",_xll.EVGET($B$1,$B$3,$B$5,$B$6,$B$7,$B$9,AG$16,AG$17,AG$18,$G138)))</f>
        <v/>
      </c>
      <c r="AI138" s="352">
        <f t="shared" si="16"/>
        <v>0</v>
      </c>
    </row>
    <row r="139" spans="1:35" x14ac:dyDescent="0.25">
      <c r="A139" s="11"/>
      <c r="B139" s="11"/>
      <c r="C139" s="11"/>
      <c r="D139" s="11"/>
      <c r="E139" s="11"/>
      <c r="F139" s="11"/>
      <c r="G139" s="265" t="str">
        <f t="shared" si="13"/>
        <v>OCC_CORPT</v>
      </c>
      <c r="H139" s="88" t="s">
        <v>179</v>
      </c>
      <c r="I139" s="89" t="str">
        <f>IF(_epmOfflineCondition_,"T3",_xll.EVPRO($B$1,$H139,"STYLE"))</f>
        <v>T3</v>
      </c>
      <c r="J139" s="89" t="str">
        <f>IF(_epmOfflineCondition_,"Y",_xll.EVPRO($B$1,$H139,"CALC"))</f>
        <v>Y</v>
      </c>
      <c r="K139" s="11"/>
      <c r="L139" s="106" t="str">
        <f>IF(_epmOfflineCondition_,"",_xll.EVPRO($B$1,H139,"JDEID"))</f>
        <v/>
      </c>
      <c r="M139" s="90" t="str">
        <f>IF(_epmOfflineCondition_,"",IF(AND(I139="N",J139="N"),_xll.EVPRO($B$1,H139,"PSFTID"),""))</f>
        <v/>
      </c>
      <c r="N139" s="106" t="str">
        <f>IF(_epmOfflineCondition_,"Corporate",IF(_xll.EVDES(H139,$B$1)="#NODATA","",_xll.EVDES(H139,$B$1)))</f>
        <v>Corporate</v>
      </c>
      <c r="O139" s="328">
        <v>259.939467312349</v>
      </c>
      <c r="P139" s="329">
        <v>276.98920863309399</v>
      </c>
      <c r="Q139" s="329">
        <v>277.46216049382701</v>
      </c>
      <c r="R139" s="329">
        <v>329.62931034482801</v>
      </c>
      <c r="S139" s="329">
        <v>429.52551020408202</v>
      </c>
      <c r="T139" s="329">
        <v>188.50554245283001</v>
      </c>
      <c r="U139" s="329">
        <v>219.70422535211301</v>
      </c>
      <c r="V139" s="329">
        <v>149</v>
      </c>
      <c r="W139" s="329">
        <v>178.514563106796</v>
      </c>
      <c r="X139" s="329">
        <v>219.38961038961</v>
      </c>
      <c r="Y139" s="329">
        <v>260.85051546391799</v>
      </c>
      <c r="Z139" s="329">
        <v>340.436936936937</v>
      </c>
      <c r="AA139" s="329">
        <f t="shared" si="14"/>
        <v>285.27403565238922</v>
      </c>
      <c r="AB139" s="330">
        <f>IF(_epmOfflineCondition_,0.0838314653383146,IF(_xll.EVGET($B$1,$B$3,$B$5,$B$6,$B$7,$B$9,AA$16,AA$17,AA$18,$G139)="#NODATA","",_xll.EVGET($B$1,$B$3,$B$5,$B$6,$B$7,$B$9,AA$16,AA$17,AA$18,$G139)))</f>
        <v>8.3831465338314606E-2</v>
      </c>
      <c r="AC139" s="140"/>
      <c r="AD139" s="328">
        <v>306.068630952381</v>
      </c>
      <c r="AE139" s="330">
        <f>IF(_epmOfflineCondition_,0.0348692403486924,IF(_xll.EVGET($B$1,$B$3,$B$5,$B$6,$B$7,$B$9,AD$16,AD$17,AD$18,$G139)="#NODATA","",_xll.EVGET($B$1,$B$3,$B$5,$B$6,$B$7,$B$9,AD$16,AD$17,AD$18,$G139)))</f>
        <v>3.4869240348692397E-2</v>
      </c>
      <c r="AF139" s="331">
        <f t="shared" si="15"/>
        <v>-20.794595299991784</v>
      </c>
      <c r="AG139" s="328">
        <v>246.76220292504601</v>
      </c>
      <c r="AH139" s="330">
        <f>IF(_epmOfflineCondition_,0.0227065172270652,IF(_xll.EVGET($B$1,$B$3,$B$5,$B$6,$B$7,$B$9,AG$16,AG$17,AG$18,$G139)="#NODATA","",_xll.EVGET($B$1,$B$3,$B$5,$B$6,$B$7,$B$9,AG$16,AG$17,AG$18,$G139)))</f>
        <v>2.2706517227065199E-2</v>
      </c>
      <c r="AI139" s="332">
        <f t="shared" si="16"/>
        <v>38.511832727343204</v>
      </c>
    </row>
    <row r="140" spans="1:35" x14ac:dyDescent="0.25">
      <c r="A140" s="11"/>
      <c r="B140" s="11"/>
      <c r="C140" s="11"/>
      <c r="D140" s="11"/>
      <c r="E140" s="11"/>
      <c r="F140" s="11"/>
      <c r="G140" s="267" t="str">
        <f t="shared" si="13"/>
        <v>OCC_CORP</v>
      </c>
      <c r="H140" s="88" t="s">
        <v>180</v>
      </c>
      <c r="I140" s="104" t="str">
        <f>IF(_epmOfflineCondition_,"N",_xll.EVPRO($B$1,$H140,"STYLE"))</f>
        <v>N</v>
      </c>
      <c r="J140" s="104" t="str">
        <f>IF(_epmOfflineCondition_,"Y",_xll.EVPRO($B$1,$H140,"CALC"))</f>
        <v>Y</v>
      </c>
      <c r="K140" s="11"/>
      <c r="L140" s="104" t="str">
        <f>IF(_epmOfflineCondition_,"",_xll.EVPRO($B$1,H140,"JDEID"))</f>
        <v/>
      </c>
      <c r="M140" s="90" t="str">
        <f>IF(_epmOfflineCondition_,"",IF(AND(I140="N",J140="N"),_xll.EVPRO($B$1,H140,"PSFTID"),""))</f>
        <v/>
      </c>
      <c r="N140" s="104" t="str">
        <f>IF(_epmOfflineCondition_,"Corporate",IF(_xll.EVDES(H140,$B$1)="#NODATA","",_xll.EVDES(H140,$B$1)))</f>
        <v>Corporate</v>
      </c>
      <c r="O140" s="333">
        <v>262.635922330097</v>
      </c>
      <c r="P140" s="334">
        <v>287.98571428571398</v>
      </c>
      <c r="Q140" s="334">
        <v>267.68145190562598</v>
      </c>
      <c r="R140" s="334">
        <v>307.02331002330999</v>
      </c>
      <c r="S140" s="334">
        <v>218.565217391304</v>
      </c>
      <c r="T140" s="334">
        <v>188.50554245283001</v>
      </c>
      <c r="U140" s="334">
        <v>195.35761589404001</v>
      </c>
      <c r="V140" s="334">
        <v>149</v>
      </c>
      <c r="W140" s="334">
        <v>178.514563106796</v>
      </c>
      <c r="X140" s="334">
        <v>219.38961038961</v>
      </c>
      <c r="Y140" s="334">
        <v>263.69047619047598</v>
      </c>
      <c r="Z140" s="334">
        <v>340.436936936937</v>
      </c>
      <c r="AA140" s="334">
        <f t="shared" si="14"/>
        <v>252.41658029321513</v>
      </c>
      <c r="AB140" s="335">
        <f>IF(_epmOfflineCondition_,0.0608758821087588,IF(_xll.EVGET($B$1,$B$3,$B$5,$B$6,$B$7,$B$9,AA$16,AA$17,AA$18,$G140)="#NODATA","",_xll.EVGET($B$1,$B$3,$B$5,$B$6,$B$7,$B$9,AA$16,AA$17,AA$18,$G140)))</f>
        <v>6.08758821087588E-2</v>
      </c>
      <c r="AC140" s="140"/>
      <c r="AD140" s="333">
        <v>260.02747572815503</v>
      </c>
      <c r="AE140" s="335">
        <f>IF(_epmOfflineCondition_,0.0213781652137817,IF(_xll.EVGET($B$1,$B$3,$B$5,$B$6,$B$7,$B$9,AD$16,AD$17,AD$18,$G140)="#NODATA","",_xll.EVGET($B$1,$B$3,$B$5,$B$6,$B$7,$B$9,AD$16,AD$17,AD$18,$G140)))</f>
        <v>2.1378165213781702E-2</v>
      </c>
      <c r="AF140" s="336">
        <f t="shared" si="15"/>
        <v>-7.6108954349398914</v>
      </c>
      <c r="AG140" s="333">
        <v>186.573104265403</v>
      </c>
      <c r="AH140" s="335">
        <f>IF(_epmOfflineCondition_,0.00875882108758821,IF(_xll.EVGET($B$1,$B$3,$B$5,$B$6,$B$7,$B$9,AG$16,AG$17,AG$18,$G140)="#NODATA","",_xll.EVGET($B$1,$B$3,$B$5,$B$6,$B$7,$B$9,AG$16,AG$17,AG$18,$G140)))</f>
        <v>8.7588210875882092E-3</v>
      </c>
      <c r="AI140" s="337">
        <f t="shared" si="16"/>
        <v>65.84347602781213</v>
      </c>
    </row>
    <row r="141" spans="1:35" x14ac:dyDescent="0.25">
      <c r="A141" s="11"/>
      <c r="B141" s="11"/>
      <c r="C141" s="11"/>
      <c r="D141" s="11"/>
      <c r="E141" s="11"/>
      <c r="F141" s="11"/>
      <c r="G141" s="267" t="str">
        <f t="shared" si="13"/>
        <v>OCC_ENTR</v>
      </c>
      <c r="H141" s="88" t="s">
        <v>181</v>
      </c>
      <c r="I141" s="104" t="str">
        <f>IF(_epmOfflineCondition_,"N",_xll.EVPRO($B$1,$H141,"STYLE"))</f>
        <v>N</v>
      </c>
      <c r="J141" s="104" t="str">
        <f>IF(_epmOfflineCondition_,"Y",_xll.EVPRO($B$1,$H141,"CALC"))</f>
        <v>Y</v>
      </c>
      <c r="K141" s="11"/>
      <c r="L141" s="104" t="str">
        <f>IF(_epmOfflineCondition_,"",_xll.EVPRO($B$1,H141,"JDEID"))</f>
        <v/>
      </c>
      <c r="M141" s="90" t="str">
        <f>IF(_epmOfflineCondition_,"",IF(AND(I141="N",J141="N"),_xll.EVPRO($B$1,H141,"PSFTID"),""))</f>
        <v/>
      </c>
      <c r="N141" s="104" t="str">
        <f>IF(_epmOfflineCondition_,"Entertainment/Sports",IF(_xll.EVDES(H141,$B$1)="#NODATA","",_xll.EVDES(H141,$B$1)))</f>
        <v>Entertainment/Sports</v>
      </c>
      <c r="O141" s="333">
        <v>257.25603864734302</v>
      </c>
      <c r="P141" s="334">
        <v>265.83333333333297</v>
      </c>
      <c r="Q141" s="334">
        <v>333.02061855670098</v>
      </c>
      <c r="R141" s="334">
        <v>606.71428571428601</v>
      </c>
      <c r="S141" s="334">
        <v>480.816067653277</v>
      </c>
      <c r="T141" s="334"/>
      <c r="U141" s="334">
        <v>279</v>
      </c>
      <c r="V141" s="334"/>
      <c r="W141" s="334"/>
      <c r="X141" s="334"/>
      <c r="Y141" s="334">
        <v>251.968085106383</v>
      </c>
      <c r="Z141" s="334"/>
      <c r="AA141" s="334">
        <f t="shared" si="14"/>
        <v>372.40867992766727</v>
      </c>
      <c r="AB141" s="335">
        <f>IF(_epmOfflineCondition_,0.0229555832295558,IF(_xll.EVGET($B$1,$B$3,$B$5,$B$6,$B$7,$B$9,AA$16,AA$17,AA$18,$G141)="#NODATA","",_xll.EVGET($B$1,$B$3,$B$5,$B$6,$B$7,$B$9,AA$16,AA$17,AA$18,$G141)))</f>
        <v>2.29555832295558E-2</v>
      </c>
      <c r="AC141" s="140"/>
      <c r="AD141" s="333">
        <v>379.02615384615399</v>
      </c>
      <c r="AE141" s="335">
        <f>IF(_epmOfflineCondition_,0.0134910751349108,IF(_xll.EVGET($B$1,$B$3,$B$5,$B$6,$B$7,$B$9,AD$16,AD$17,AD$18,$G141)="#NODATA","",_xll.EVGET($B$1,$B$3,$B$5,$B$6,$B$7,$B$9,AD$16,AD$17,AD$18,$G141)))</f>
        <v>1.3491075134910799E-2</v>
      </c>
      <c r="AF141" s="336">
        <f t="shared" si="15"/>
        <v>-6.6174739184867235</v>
      </c>
      <c r="AG141" s="333">
        <v>284.55952380952402</v>
      </c>
      <c r="AH141" s="335">
        <f>IF(_epmOfflineCondition_,0.013947696139477,IF(_xll.EVGET($B$1,$B$3,$B$5,$B$6,$B$7,$B$9,AG$16,AG$17,AG$18,$G141)="#NODATA","",_xll.EVGET($B$1,$B$3,$B$5,$B$6,$B$7,$B$9,AG$16,AG$17,AG$18,$G141)))</f>
        <v>1.3947696139477E-2</v>
      </c>
      <c r="AI141" s="337">
        <f t="shared" si="16"/>
        <v>87.849156118143242</v>
      </c>
    </row>
    <row r="142" spans="1:35" x14ac:dyDescent="0.25">
      <c r="A142" s="11"/>
      <c r="B142" s="11"/>
      <c r="C142" s="11"/>
      <c r="D142" s="11"/>
      <c r="E142" s="11"/>
      <c r="F142" s="11"/>
      <c r="G142" s="265" t="str">
        <f t="shared" si="13"/>
        <v>OCC_ASSCN</v>
      </c>
      <c r="H142" s="88" t="s">
        <v>182</v>
      </c>
      <c r="I142" s="89" t="str">
        <f>IF(_epmOfflineCondition_,"T3",_xll.EVPRO($B$1,$H142,"STYLE"))</f>
        <v>T3</v>
      </c>
      <c r="J142" s="89" t="str">
        <f>IF(_epmOfflineCondition_,"Y",_xll.EVPRO($B$1,$H142,"CALC"))</f>
        <v>Y</v>
      </c>
      <c r="K142" s="11"/>
      <c r="L142" s="106" t="str">
        <f>IF(_epmOfflineCondition_,"",_xll.EVPRO($B$1,H142,"JDEID"))</f>
        <v/>
      </c>
      <c r="M142" s="90" t="str">
        <f>IF(_epmOfflineCondition_,"",IF(AND(I142="N",J142="N"),_xll.EVPRO($B$1,H142,"PSFTID"),""))</f>
        <v/>
      </c>
      <c r="N142" s="106" t="str">
        <f>IF(_epmOfflineCondition_,"Association/Convention",IF(_xll.EVDES(H142,$B$1)="#NODATA","",_xll.EVDES(H142,$B$1)))</f>
        <v>Association/Convention</v>
      </c>
      <c r="O142" s="328">
        <v>239</v>
      </c>
      <c r="P142" s="329"/>
      <c r="Q142" s="329">
        <v>276.64705882352899</v>
      </c>
      <c r="R142" s="329">
        <v>315.42857142857099</v>
      </c>
      <c r="S142" s="329">
        <v>299</v>
      </c>
      <c r="T142" s="329">
        <v>261.72727272727298</v>
      </c>
      <c r="U142" s="329"/>
      <c r="V142" s="329"/>
      <c r="W142" s="329"/>
      <c r="X142" s="329"/>
      <c r="Y142" s="329"/>
      <c r="Z142" s="329"/>
      <c r="AA142" s="329">
        <f t="shared" si="14"/>
        <v>290.88796680497927</v>
      </c>
      <c r="AB142" s="330">
        <f>IF(_epmOfflineCondition_,0.00500207555002076,IF(_xll.EVGET($B$1,$B$3,$B$5,$B$6,$B$7,$B$9,AA$16,AA$17,AA$18,$G142)="#NODATA","",_xll.EVGET($B$1,$B$3,$B$5,$B$6,$B$7,$B$9,AA$16,AA$17,AA$18,$G142)))</f>
        <v>5.0020755500207598E-3</v>
      </c>
      <c r="AC142" s="140"/>
      <c r="AD142" s="328">
        <v>272.27941176470603</v>
      </c>
      <c r="AE142" s="330">
        <f>IF(_epmOfflineCondition_,0.00352843503528435,IF(_xll.EVGET($B$1,$B$3,$B$5,$B$6,$B$7,$B$9,AD$16,AD$17,AD$18,$G142)="#NODATA","",_xll.EVGET($B$1,$B$3,$B$5,$B$6,$B$7,$B$9,AD$16,AD$17,AD$18,$G142)))</f>
        <v>3.52843503528435E-3</v>
      </c>
      <c r="AF142" s="331">
        <f t="shared" si="15"/>
        <v>18.608555040273245</v>
      </c>
      <c r="AG142" s="328">
        <v>251.85454545454499</v>
      </c>
      <c r="AH142" s="330">
        <f>IF(_epmOfflineCondition_,0.00114155251141553,IF(_xll.EVGET($B$1,$B$3,$B$5,$B$6,$B$7,$B$9,AG$16,AG$17,AG$18,$G142)="#NODATA","",_xll.EVGET($B$1,$B$3,$B$5,$B$6,$B$7,$B$9,AG$16,AG$17,AG$18,$G142)))</f>
        <v>1.14155251141553E-3</v>
      </c>
      <c r="AI142" s="332">
        <f t="shared" si="16"/>
        <v>39.033421350434281</v>
      </c>
    </row>
    <row r="143" spans="1:35" x14ac:dyDescent="0.25">
      <c r="A143" s="11"/>
      <c r="B143" s="11"/>
      <c r="C143" s="11"/>
      <c r="D143" s="11"/>
      <c r="E143" s="11"/>
      <c r="F143" s="11"/>
      <c r="G143" s="267" t="str">
        <f t="shared" si="13"/>
        <v>OCC_ASSC</v>
      </c>
      <c r="H143" s="88" t="s">
        <v>183</v>
      </c>
      <c r="I143" s="104" t="str">
        <f>IF(_epmOfflineCondition_,"N",_xll.EVPRO($B$1,$H143,"STYLE"))</f>
        <v>N</v>
      </c>
      <c r="J143" s="104" t="str">
        <f>IF(_epmOfflineCondition_,"Y",_xll.EVPRO($B$1,$H143,"CALC"))</f>
        <v>Y</v>
      </c>
      <c r="K143" s="11"/>
      <c r="L143" s="104" t="str">
        <f>IF(_epmOfflineCondition_,"",_xll.EVPRO($B$1,H143,"JDEID"))</f>
        <v/>
      </c>
      <c r="M143" s="90" t="str">
        <f>IF(_epmOfflineCondition_,"",IF(AND(I143="N",J143="N"),_xll.EVPRO($B$1,H143,"PSFTID"),""))</f>
        <v/>
      </c>
      <c r="N143" s="104" t="str">
        <f>IF(_epmOfflineCondition_,"Association",IF(_xll.EVDES(H143,$B$1)="#NODATA","",_xll.EVDES(H143,$B$1)))</f>
        <v>Association</v>
      </c>
      <c r="O143" s="333">
        <v>239</v>
      </c>
      <c r="P143" s="334"/>
      <c r="Q143" s="334">
        <v>276.64705882352899</v>
      </c>
      <c r="R143" s="334"/>
      <c r="S143" s="334">
        <v>299</v>
      </c>
      <c r="T143" s="334"/>
      <c r="U143" s="334"/>
      <c r="V143" s="334"/>
      <c r="W143" s="334"/>
      <c r="X143" s="334"/>
      <c r="Y143" s="334"/>
      <c r="Z143" s="334"/>
      <c r="AA143" s="334">
        <f t="shared" si="14"/>
        <v>283.55089820359279</v>
      </c>
      <c r="AB143" s="335">
        <f>IF(_epmOfflineCondition_,0.00346616853466169,IF(_xll.EVGET($B$1,$B$3,$B$5,$B$6,$B$7,$B$9,AA$16,AA$17,AA$18,$G143)="#NODATA","",_xll.EVGET($B$1,$B$3,$B$5,$B$6,$B$7,$B$9,AA$16,AA$17,AA$18,$G143)))</f>
        <v>3.4661685346616899E-3</v>
      </c>
      <c r="AC143" s="140"/>
      <c r="AD143" s="333"/>
      <c r="AE143" s="335">
        <f>IF(_epmOfflineCondition_,0,IF(_xll.EVGET($B$1,$B$3,$B$5,$B$6,$B$7,$B$9,AD$16,AD$17,AD$18,$G143)="#NODATA","",_xll.EVGET($B$1,$B$3,$B$5,$B$6,$B$7,$B$9,AD$16,AD$17,AD$18,$G143)))</f>
        <v>0</v>
      </c>
      <c r="AF143" s="336">
        <f t="shared" si="15"/>
        <v>283.55089820359279</v>
      </c>
      <c r="AG143" s="333">
        <v>252.833333333333</v>
      </c>
      <c r="AH143" s="335">
        <f>IF(_epmOfflineCondition_,0.00112079701120797,IF(_xll.EVGET($B$1,$B$3,$B$5,$B$6,$B$7,$B$9,AG$16,AG$17,AG$18,$G143)="#NODATA","",_xll.EVGET($B$1,$B$3,$B$5,$B$6,$B$7,$B$9,AG$16,AG$17,AG$18,$G143)))</f>
        <v>1.1207970112079701E-3</v>
      </c>
      <c r="AI143" s="337">
        <f t="shared" si="16"/>
        <v>30.717564870259793</v>
      </c>
    </row>
    <row r="144" spans="1:35" x14ac:dyDescent="0.25">
      <c r="A144" s="11"/>
      <c r="B144" s="11"/>
      <c r="C144" s="11"/>
      <c r="D144" s="11"/>
      <c r="E144" s="11"/>
      <c r="F144" s="11"/>
      <c r="G144" s="267" t="str">
        <f t="shared" si="13"/>
        <v>OCC_CONV</v>
      </c>
      <c r="H144" s="88" t="s">
        <v>184</v>
      </c>
      <c r="I144" s="104" t="str">
        <f>IF(_epmOfflineCondition_,"N",_xll.EVPRO($B$1,$H144,"STYLE"))</f>
        <v>N</v>
      </c>
      <c r="J144" s="104" t="str">
        <f>IF(_epmOfflineCondition_,"Y",_xll.EVPRO($B$1,$H144,"CALC"))</f>
        <v>Y</v>
      </c>
      <c r="K144" s="11"/>
      <c r="L144" s="104" t="str">
        <f>IF(_epmOfflineCondition_,"",_xll.EVPRO($B$1,H144,"JDEID"))</f>
        <v/>
      </c>
      <c r="M144" s="90" t="str">
        <f>IF(_epmOfflineCondition_,"",IF(AND(I144="N",J144="N"),_xll.EVPRO($B$1,H144,"PSFTID"),""))</f>
        <v/>
      </c>
      <c r="N144" s="104" t="str">
        <f>IF(_epmOfflineCondition_,"Convention",IF(_xll.EVDES(H144,$B$1)="#NODATA","",_xll.EVDES(H144,$B$1)))</f>
        <v>Convention</v>
      </c>
      <c r="O144" s="333"/>
      <c r="P144" s="334"/>
      <c r="Q144" s="334"/>
      <c r="R144" s="334">
        <v>315.42857142857099</v>
      </c>
      <c r="S144" s="334"/>
      <c r="T144" s="334">
        <v>261.72727272727298</v>
      </c>
      <c r="U144" s="334"/>
      <c r="V144" s="334"/>
      <c r="W144" s="334"/>
      <c r="X144" s="334"/>
      <c r="Y144" s="334"/>
      <c r="Z144" s="334"/>
      <c r="AA144" s="334">
        <f t="shared" si="14"/>
        <v>307.44594594594594</v>
      </c>
      <c r="AB144" s="335">
        <f>IF(_epmOfflineCondition_,0.00153590701535907,IF(_xll.EVGET($B$1,$B$3,$B$5,$B$6,$B$7,$B$9,AA$16,AA$17,AA$18,$G144)="#NODATA","",_xll.EVGET($B$1,$B$3,$B$5,$B$6,$B$7,$B$9,AA$16,AA$17,AA$18,$G144)))</f>
        <v>1.5359070153590699E-3</v>
      </c>
      <c r="AC144" s="140"/>
      <c r="AD144" s="333">
        <v>272.27941176470603</v>
      </c>
      <c r="AE144" s="335">
        <f>IF(_epmOfflineCondition_,0.00352843503528435,IF(_xll.EVGET($B$1,$B$3,$B$5,$B$6,$B$7,$B$9,AD$16,AD$17,AD$18,$G144)="#NODATA","",_xll.EVGET($B$1,$B$3,$B$5,$B$6,$B$7,$B$9,AD$16,AD$17,AD$18,$G144)))</f>
        <v>3.52843503528435E-3</v>
      </c>
      <c r="AF144" s="336">
        <f t="shared" si="15"/>
        <v>35.166534181239911</v>
      </c>
      <c r="AG144" s="333">
        <v>199</v>
      </c>
      <c r="AH144" s="335">
        <f>IF(_epmOfflineCondition_,0.000020755500207555,IF(_xll.EVGET($B$1,$B$3,$B$5,$B$6,$B$7,$B$9,AG$16,AG$17,AG$18,$G144)="#NODATA","",_xll.EVGET($B$1,$B$3,$B$5,$B$6,$B$7,$B$9,AG$16,AG$17,AG$18,$G144)))</f>
        <v>2.0755500207555E-5</v>
      </c>
      <c r="AI144" s="337">
        <f t="shared" si="16"/>
        <v>108.44594594594594</v>
      </c>
    </row>
    <row r="145" spans="1:35" x14ac:dyDescent="0.25">
      <c r="A145" s="11"/>
      <c r="B145" s="11"/>
      <c r="C145" s="11"/>
      <c r="D145" s="11"/>
      <c r="E145" s="11"/>
      <c r="F145" s="11"/>
      <c r="G145" s="265" t="str">
        <f t="shared" si="13"/>
        <v>OCC_GGOV</v>
      </c>
      <c r="H145" s="88" t="s">
        <v>185</v>
      </c>
      <c r="I145" s="89" t="str">
        <f>IF(_epmOfflineCondition_,"T3",_xll.EVPRO($B$1,$H145,"STYLE"))</f>
        <v>T3</v>
      </c>
      <c r="J145" s="89" t="str">
        <f>IF(_epmOfflineCondition_,"Y",_xll.EVPRO($B$1,$H145,"CALC"))</f>
        <v>Y</v>
      </c>
      <c r="K145" s="11"/>
      <c r="L145" s="106" t="str">
        <f>IF(_epmOfflineCondition_,"",_xll.EVPRO($B$1,H145,"JDEID"))</f>
        <v/>
      </c>
      <c r="M145" s="90" t="str">
        <f>IF(_epmOfflineCondition_,"",IF(AND(I145="N",J145="N"),_xll.EVPRO($B$1,H145,"PSFTID"),""))</f>
        <v/>
      </c>
      <c r="N145" s="106" t="str">
        <f>IF(_epmOfflineCondition_,"Government",IF(_xll.EVDES(H145,$B$1)="#NODATA","",_xll.EVDES(H145,$B$1)))</f>
        <v>Government</v>
      </c>
      <c r="O145" s="328"/>
      <c r="P145" s="329"/>
      <c r="Q145" s="329"/>
      <c r="R145" s="329"/>
      <c r="S145" s="329"/>
      <c r="T145" s="329"/>
      <c r="U145" s="329"/>
      <c r="V145" s="329"/>
      <c r="W145" s="329"/>
      <c r="X145" s="329"/>
      <c r="Y145" s="329"/>
      <c r="Z145" s="329"/>
      <c r="AA145" s="329">
        <f t="shared" si="14"/>
        <v>0</v>
      </c>
      <c r="AB145" s="330">
        <f>IF(_epmOfflineCondition_,0,IF(_xll.EVGET($B$1,$B$3,$B$5,$B$6,$B$7,$B$9,AA$16,AA$17,AA$18,$G145)="#NODATA","",_xll.EVGET($B$1,$B$3,$B$5,$B$6,$B$7,$B$9,AA$16,AA$17,AA$18,$G145)))</f>
        <v>0</v>
      </c>
      <c r="AC145" s="140"/>
      <c r="AD145" s="328"/>
      <c r="AE145" s="330">
        <f>IF(_epmOfflineCondition_,0,IF(_xll.EVGET($B$1,$B$3,$B$5,$B$6,$B$7,$B$9,AD$16,AD$17,AD$18,$G145)="#NODATA","",_xll.EVGET($B$1,$B$3,$B$5,$B$6,$B$7,$B$9,AD$16,AD$17,AD$18,$G145)))</f>
        <v>0</v>
      </c>
      <c r="AF145" s="331">
        <f t="shared" si="15"/>
        <v>0</v>
      </c>
      <c r="AG145" s="328"/>
      <c r="AH145" s="330">
        <f>IF(_epmOfflineCondition_,0,IF(_xll.EVGET($B$1,$B$3,$B$5,$B$6,$B$7,$B$9,AG$16,AG$17,AG$18,$G145)="#NODATA","",_xll.EVGET($B$1,$B$3,$B$5,$B$6,$B$7,$B$9,AG$16,AG$17,AG$18,$G145)))</f>
        <v>0</v>
      </c>
      <c r="AI145" s="332">
        <f t="shared" si="16"/>
        <v>0</v>
      </c>
    </row>
    <row r="146" spans="1:35" x14ac:dyDescent="0.25">
      <c r="A146" s="11"/>
      <c r="B146" s="11"/>
      <c r="C146" s="11"/>
      <c r="D146" s="11"/>
      <c r="E146" s="11"/>
      <c r="F146" s="11"/>
      <c r="G146" s="265" t="str">
        <f t="shared" si="13"/>
        <v>OCC_TOURW</v>
      </c>
      <c r="H146" s="88" t="s">
        <v>186</v>
      </c>
      <c r="I146" s="89" t="str">
        <f>IF(_epmOfflineCondition_,"T3",_xll.EVPRO($B$1,$H146,"STYLE"))</f>
        <v>T3</v>
      </c>
      <c r="J146" s="89" t="str">
        <f>IF(_epmOfflineCondition_,"Y",_xll.EVPRO($B$1,$H146,"CALC"))</f>
        <v>Y</v>
      </c>
      <c r="K146" s="11"/>
      <c r="L146" s="106" t="str">
        <f>IF(_epmOfflineCondition_,"",_xll.EVPRO($B$1,H146,"JDEID"))</f>
        <v/>
      </c>
      <c r="M146" s="90" t="str">
        <f>IF(_epmOfflineCondition_,"",IF(AND(I146="N",J146="N"),_xll.EVPRO($B$1,H146,"PSFTID"),""))</f>
        <v/>
      </c>
      <c r="N146" s="106" t="str">
        <f>IF(_epmOfflineCondition_,"Tour/Wholesalers",IF(_xll.EVDES(H146,$B$1)="#NODATA","",_xll.EVDES(H146,$B$1)))</f>
        <v>Tour/Wholesalers</v>
      </c>
      <c r="O146" s="328"/>
      <c r="P146" s="329"/>
      <c r="Q146" s="329"/>
      <c r="R146" s="329"/>
      <c r="S146" s="329"/>
      <c r="T146" s="329"/>
      <c r="U146" s="329"/>
      <c r="V146" s="329"/>
      <c r="W146" s="329"/>
      <c r="X146" s="329"/>
      <c r="Y146" s="329"/>
      <c r="Z146" s="329"/>
      <c r="AA146" s="329">
        <f t="shared" si="14"/>
        <v>0</v>
      </c>
      <c r="AB146" s="330">
        <f>IF(_epmOfflineCondition_,0,IF(_xll.EVGET($B$1,$B$3,$B$5,$B$6,$B$7,$B$9,AA$16,AA$17,AA$18,$G146)="#NODATA","",_xll.EVGET($B$1,$B$3,$B$5,$B$6,$B$7,$B$9,AA$16,AA$17,AA$18,$G146)))</f>
        <v>0</v>
      </c>
      <c r="AC146" s="140"/>
      <c r="AD146" s="328">
        <v>225.26842105263199</v>
      </c>
      <c r="AE146" s="330">
        <f>IF(_epmOfflineCondition_,0.00394354503943545,IF(_xll.EVGET($B$1,$B$3,$B$5,$B$6,$B$7,$B$9,AD$16,AD$17,AD$18,$G146)="#NODATA","",_xll.EVGET($B$1,$B$3,$B$5,$B$6,$B$7,$B$9,AD$16,AD$17,AD$18,$G146)))</f>
        <v>3.9435450394354503E-3</v>
      </c>
      <c r="AF146" s="331">
        <f t="shared" si="15"/>
        <v>-225.26842105263199</v>
      </c>
      <c r="AG146" s="328"/>
      <c r="AH146" s="330">
        <f>IF(_epmOfflineCondition_,0,IF(_xll.EVGET($B$1,$B$3,$B$5,$B$6,$B$7,$B$9,AG$16,AG$17,AG$18,$G146)="#NODATA","",_xll.EVGET($B$1,$B$3,$B$5,$B$6,$B$7,$B$9,AG$16,AG$17,AG$18,$G146)))</f>
        <v>0</v>
      </c>
      <c r="AI146" s="332">
        <f t="shared" si="16"/>
        <v>0</v>
      </c>
    </row>
    <row r="147" spans="1:35" x14ac:dyDescent="0.25">
      <c r="A147" s="11"/>
      <c r="B147" s="11"/>
      <c r="C147" s="11"/>
      <c r="D147" s="11"/>
      <c r="E147" s="11"/>
      <c r="F147" s="11"/>
      <c r="G147" s="267" t="str">
        <f t="shared" si="13"/>
        <v>OCC_WHTT</v>
      </c>
      <c r="H147" s="88" t="s">
        <v>187</v>
      </c>
      <c r="I147" s="104" t="str">
        <f>IF(_epmOfflineCondition_,"N",_xll.EVPRO($B$1,$H147,"STYLE"))</f>
        <v>N</v>
      </c>
      <c r="J147" s="104" t="str">
        <f>IF(_epmOfflineCondition_,"Y",_xll.EVPRO($B$1,$H147,"CALC"))</f>
        <v>Y</v>
      </c>
      <c r="K147" s="11"/>
      <c r="L147" s="104" t="str">
        <f>IF(_epmOfflineCondition_,"",_xll.EVPRO($B$1,H147,"JDEID"))</f>
        <v/>
      </c>
      <c r="M147" s="90" t="str">
        <f>IF(_epmOfflineCondition_,"",IF(AND(I147="N",J147="N"),_xll.EVPRO($B$1,H147,"PSFTID"),""))</f>
        <v/>
      </c>
      <c r="N147" s="104" t="str">
        <f>IF(_epmOfflineCondition_,"Tour/Wholesale",IF(_xll.EVDES(H147,$B$1)="#NODATA","",_xll.EVDES(H147,$B$1)))</f>
        <v>Tour/Wholesale</v>
      </c>
      <c r="O147" s="333"/>
      <c r="P147" s="334"/>
      <c r="Q147" s="334"/>
      <c r="R147" s="334"/>
      <c r="S147" s="334"/>
      <c r="T147" s="334"/>
      <c r="U147" s="334"/>
      <c r="V147" s="334"/>
      <c r="W147" s="334"/>
      <c r="X147" s="334"/>
      <c r="Y147" s="334"/>
      <c r="Z147" s="334"/>
      <c r="AA147" s="334">
        <f t="shared" si="14"/>
        <v>0</v>
      </c>
      <c r="AB147" s="335">
        <f>IF(_epmOfflineCondition_,0,IF(_xll.EVGET($B$1,$B$3,$B$5,$B$6,$B$7,$B$9,AA$16,AA$17,AA$18,$G147)="#NODATA","",_xll.EVGET($B$1,$B$3,$B$5,$B$6,$B$7,$B$9,AA$16,AA$17,AA$18,$G147)))</f>
        <v>0</v>
      </c>
      <c r="AC147" s="140"/>
      <c r="AD147" s="333"/>
      <c r="AE147" s="335">
        <f>IF(_epmOfflineCondition_,0,IF(_xll.EVGET($B$1,$B$3,$B$5,$B$6,$B$7,$B$9,AD$16,AD$17,AD$18,$G147)="#NODATA","",_xll.EVGET($B$1,$B$3,$B$5,$B$6,$B$7,$B$9,AD$16,AD$17,AD$18,$G147)))</f>
        <v>0</v>
      </c>
      <c r="AF147" s="336">
        <f t="shared" si="15"/>
        <v>0</v>
      </c>
      <c r="AG147" s="333"/>
      <c r="AH147" s="335">
        <f>IF(_epmOfflineCondition_,0,IF(_xll.EVGET($B$1,$B$3,$B$5,$B$6,$B$7,$B$9,AG$16,AG$17,AG$18,$G147)="#NODATA","",_xll.EVGET($B$1,$B$3,$B$5,$B$6,$B$7,$B$9,AG$16,AG$17,AG$18,$G147)))</f>
        <v>0</v>
      </c>
      <c r="AI147" s="337">
        <f t="shared" si="16"/>
        <v>0</v>
      </c>
    </row>
    <row r="148" spans="1:35" x14ac:dyDescent="0.25">
      <c r="A148" s="11"/>
      <c r="B148" s="11"/>
      <c r="C148" s="11"/>
      <c r="D148" s="11"/>
      <c r="E148" s="11"/>
      <c r="F148" s="11"/>
      <c r="G148" s="267" t="str">
        <f t="shared" si="13"/>
        <v>OCC_MICE</v>
      </c>
      <c r="H148" s="88" t="s">
        <v>188</v>
      </c>
      <c r="I148" s="104" t="str">
        <f>IF(_epmOfflineCondition_,"N",_xll.EVPRO($B$1,$H148,"STYLE"))</f>
        <v>N</v>
      </c>
      <c r="J148" s="104" t="str">
        <f>IF(_epmOfflineCondition_,"Y",_xll.EVPRO($B$1,$H148,"CALC"))</f>
        <v>Y</v>
      </c>
      <c r="K148" s="11"/>
      <c r="L148" s="104" t="str">
        <f>IF(_epmOfflineCondition_,"",_xll.EVPRO($B$1,H148,"JDEID"))</f>
        <v/>
      </c>
      <c r="M148" s="90" t="str">
        <f>IF(_epmOfflineCondition_,"",IF(AND(I148="N",J148="N"),_xll.EVPRO($B$1,H148,"PSFTID"),""))</f>
        <v/>
      </c>
      <c r="N148" s="104" t="str">
        <f>IF(_epmOfflineCondition_,"MICE",IF(_xll.EVDES(H148,$B$1)="#NODATA","",_xll.EVDES(H148,$B$1)))</f>
        <v>MICE</v>
      </c>
      <c r="O148" s="333"/>
      <c r="P148" s="334"/>
      <c r="Q148" s="334"/>
      <c r="R148" s="334"/>
      <c r="S148" s="334"/>
      <c r="T148" s="334"/>
      <c r="U148" s="334"/>
      <c r="V148" s="334"/>
      <c r="W148" s="334"/>
      <c r="X148" s="334"/>
      <c r="Y148" s="334"/>
      <c r="Z148" s="334"/>
      <c r="AA148" s="334">
        <f t="shared" si="14"/>
        <v>0</v>
      </c>
      <c r="AB148" s="335">
        <f>IF(_epmOfflineCondition_,0,IF(_xll.EVGET($B$1,$B$3,$B$5,$B$6,$B$7,$B$9,AA$16,AA$17,AA$18,$G148)="#NODATA","",_xll.EVGET($B$1,$B$3,$B$5,$B$6,$B$7,$B$9,AA$16,AA$17,AA$18,$G148)))</f>
        <v>0</v>
      </c>
      <c r="AC148" s="140"/>
      <c r="AD148" s="333">
        <v>225.26842105263199</v>
      </c>
      <c r="AE148" s="335">
        <f>IF(_epmOfflineCondition_,0.00394354503943545,IF(_xll.EVGET($B$1,$B$3,$B$5,$B$6,$B$7,$B$9,AD$16,AD$17,AD$18,$G148)="#NODATA","",_xll.EVGET($B$1,$B$3,$B$5,$B$6,$B$7,$B$9,AD$16,AD$17,AD$18,$G148)))</f>
        <v>3.9435450394354503E-3</v>
      </c>
      <c r="AF148" s="336">
        <f t="shared" si="15"/>
        <v>-225.26842105263199</v>
      </c>
      <c r="AG148" s="333"/>
      <c r="AH148" s="335">
        <f>IF(_epmOfflineCondition_,0,IF(_xll.EVGET($B$1,$B$3,$B$5,$B$6,$B$7,$B$9,AG$16,AG$17,AG$18,$G148)="#NODATA","",_xll.EVGET($B$1,$B$3,$B$5,$B$6,$B$7,$B$9,AG$16,AG$17,AG$18,$G148)))</f>
        <v>0</v>
      </c>
      <c r="AI148" s="337">
        <f t="shared" si="16"/>
        <v>0</v>
      </c>
    </row>
    <row r="149" spans="1:35" x14ac:dyDescent="0.25">
      <c r="A149" s="11"/>
      <c r="B149" s="11"/>
      <c r="C149" s="11"/>
      <c r="D149" s="11"/>
      <c r="E149" s="11"/>
      <c r="F149" s="11"/>
      <c r="G149" s="265" t="str">
        <f t="shared" si="13"/>
        <v>OCC_SMERF</v>
      </c>
      <c r="H149" s="88" t="s">
        <v>189</v>
      </c>
      <c r="I149" s="89" t="str">
        <f>IF(_epmOfflineCondition_,"T3",_xll.EVPRO($B$1,$H149,"STYLE"))</f>
        <v>T3</v>
      </c>
      <c r="J149" s="89" t="str">
        <f>IF(_epmOfflineCondition_,"Y",_xll.EVPRO($B$1,$H149,"CALC"))</f>
        <v>Y</v>
      </c>
      <c r="K149" s="11"/>
      <c r="L149" s="106" t="str">
        <f>IF(_epmOfflineCondition_,"",_xll.EVPRO($B$1,H149,"JDEID"))</f>
        <v/>
      </c>
      <c r="M149" s="90" t="str">
        <f>IF(_epmOfflineCondition_,"",IF(AND(I149="N",J149="N"),_xll.EVPRO($B$1,H149,"PSFTID"),""))</f>
        <v/>
      </c>
      <c r="N149" s="106" t="str">
        <f>IF(_epmOfflineCondition_,"SMERF",IF(_xll.EVDES(H149,$B$1)="#NODATA","",_xll.EVDES(H149,$B$1)))</f>
        <v>SMERF</v>
      </c>
      <c r="O149" s="338"/>
      <c r="P149" s="339"/>
      <c r="Q149" s="339">
        <v>357.867894736842</v>
      </c>
      <c r="R149" s="339"/>
      <c r="S149" s="339">
        <v>274</v>
      </c>
      <c r="T149" s="339">
        <v>199</v>
      </c>
      <c r="U149" s="339">
        <v>299</v>
      </c>
      <c r="V149" s="339">
        <v>249</v>
      </c>
      <c r="W149" s="339">
        <v>277.30769230769198</v>
      </c>
      <c r="X149" s="339">
        <v>248.230769230769</v>
      </c>
      <c r="Y149" s="339">
        <v>268.59405940594098</v>
      </c>
      <c r="Z149" s="339">
        <v>371.892857142857</v>
      </c>
      <c r="AA149" s="339">
        <f t="shared" si="14"/>
        <v>290.97194078947371</v>
      </c>
      <c r="AB149" s="340">
        <f>IF(_epmOfflineCondition_,0.00630967206309672,IF(_xll.EVGET($B$1,$B$3,$B$5,$B$6,$B$7,$B$9,AA$16,AA$17,AA$18,$G149)="#NODATA","",_xll.EVGET($B$1,$B$3,$B$5,$B$6,$B$7,$B$9,AA$16,AA$17,AA$18,$G149)))</f>
        <v>6.3096720630967202E-3</v>
      </c>
      <c r="AC149" s="140"/>
      <c r="AD149" s="338">
        <v>264.84079136690701</v>
      </c>
      <c r="AE149" s="340">
        <f>IF(_epmOfflineCondition_,0.0144250726442507,IF(_xll.EVGET($B$1,$B$3,$B$5,$B$6,$B$7,$B$9,AD$16,AD$17,AD$18,$G149)="#NODATA","",_xll.EVGET($B$1,$B$3,$B$5,$B$6,$B$7,$B$9,AD$16,AD$17,AD$18,$G149)))</f>
        <v>1.44250726442507E-2</v>
      </c>
      <c r="AF149" s="341">
        <f t="shared" si="15"/>
        <v>26.131149422566693</v>
      </c>
      <c r="AG149" s="338">
        <v>241.91752577319599</v>
      </c>
      <c r="AH149" s="340">
        <f>IF(_epmOfflineCondition_,0.00603985056039851,IF(_xll.EVGET($B$1,$B$3,$B$5,$B$6,$B$7,$B$9,AG$16,AG$17,AG$18,$G149)="#NODATA","",_xll.EVGET($B$1,$B$3,$B$5,$B$6,$B$7,$B$9,AG$16,AG$17,AG$18,$G149)))</f>
        <v>6.03985056039851E-3</v>
      </c>
      <c r="AI149" s="342">
        <f t="shared" si="16"/>
        <v>49.054415016277716</v>
      </c>
    </row>
    <row r="150" spans="1:35" x14ac:dyDescent="0.25">
      <c r="A150" s="11"/>
      <c r="B150" s="11"/>
      <c r="C150" s="11"/>
      <c r="D150" s="11"/>
      <c r="E150" s="11"/>
      <c r="F150" s="11"/>
      <c r="G150" s="265" t="str">
        <f t="shared" si="13"/>
        <v>OCC_GROP</v>
      </c>
      <c r="H150" s="88" t="s">
        <v>178</v>
      </c>
      <c r="I150" s="89" t="str">
        <f>IF(_epmOfflineCondition_,"T2",_xll.EVPRO($B$1,$H150,"STYLE"))</f>
        <v>T2</v>
      </c>
      <c r="J150" s="89" t="str">
        <f>IF(_epmOfflineCondition_,"Y",_xll.EVPRO($B$1,$H150,"CALC"))</f>
        <v>Y</v>
      </c>
      <c r="K150" s="11"/>
      <c r="L150" s="106" t="str">
        <f>IF(_epmOfflineCondition_,"",_xll.EVPRO($B$1,H150,"JDEID"))</f>
        <v/>
      </c>
      <c r="M150" s="90" t="str">
        <f>IF(_epmOfflineCondition_,"",IF(AND(I150="N",J150="N"),_xll.EVPRO($B$1,H150,"PSFTID"),""))</f>
        <v/>
      </c>
      <c r="N150" s="106" t="str">
        <f>IF(_epmOfflineCondition_,"Total Group ADR",IF(_xll.EVDES(H150,$B$1)="#NODATA","",_xll.EVDES(H150,$B$1)))</f>
        <v>Total Group ADR</v>
      </c>
      <c r="O150" s="343">
        <v>258.78947368421098</v>
      </c>
      <c r="P150" s="344">
        <v>276.98920863309399</v>
      </c>
      <c r="Q150" s="344">
        <v>283.46951058201103</v>
      </c>
      <c r="R150" s="344">
        <v>327.93168880455403</v>
      </c>
      <c r="S150" s="344">
        <v>406.41384180790999</v>
      </c>
      <c r="T150" s="344">
        <v>190.70055187637999</v>
      </c>
      <c r="U150" s="344">
        <v>221.522935779817</v>
      </c>
      <c r="V150" s="344">
        <v>151.898550724638</v>
      </c>
      <c r="W150" s="344">
        <v>205.64788732394399</v>
      </c>
      <c r="X150" s="344">
        <v>222.307392996109</v>
      </c>
      <c r="Y150" s="344">
        <v>262.44989775051101</v>
      </c>
      <c r="Z150" s="344">
        <v>343.96</v>
      </c>
      <c r="AA150" s="344">
        <f t="shared" si="14"/>
        <v>285.94705497382193</v>
      </c>
      <c r="AB150" s="345">
        <f>IF(_epmOfflineCondition_,0.0951432129514321,IF(_xll.EVGET($B$1,$B$3,$B$5,$B$6,$B$7,$B$9,AA$16,AA$17,AA$18,$G150)="#NODATA","",_xll.EVGET($B$1,$B$3,$B$5,$B$6,$B$7,$B$9,AA$16,AA$17,AA$18,$G150)))</f>
        <v>9.5143212951432105E-2</v>
      </c>
      <c r="AC150" s="140"/>
      <c r="AD150" s="343">
        <v>287.87866544789802</v>
      </c>
      <c r="AE150" s="345">
        <f>IF(_epmOfflineCondition_,0.0567662930676629,IF(_xll.EVGET($B$1,$B$3,$B$5,$B$6,$B$7,$B$9,AD$16,AD$17,AD$18,$G150)="#NODATA","",_xll.EVGET($B$1,$B$3,$B$5,$B$6,$B$7,$B$9,AD$16,AD$17,AD$18,$G150)))</f>
        <v>5.6766293067662899E-2</v>
      </c>
      <c r="AF150" s="346">
        <f t="shared" si="15"/>
        <v>-1.9316104740760807</v>
      </c>
      <c r="AG150" s="343">
        <v>245.97767361111099</v>
      </c>
      <c r="AH150" s="345">
        <f>IF(_epmOfflineCondition_,0.0298879202988792,IF(_xll.EVGET($B$1,$B$3,$B$5,$B$6,$B$7,$B$9,AG$16,AG$17,AG$18,$G150)="#NODATA","",_xll.EVGET($B$1,$B$3,$B$5,$B$6,$B$7,$B$9,AG$16,AG$17,AG$18,$G150)))</f>
        <v>2.9887920298879201E-2</v>
      </c>
      <c r="AI150" s="347">
        <f t="shared" si="16"/>
        <v>39.969381362710948</v>
      </c>
    </row>
    <row r="151" spans="1:35" x14ac:dyDescent="0.25">
      <c r="A151" s="11"/>
      <c r="B151" s="11"/>
      <c r="C151" s="11"/>
      <c r="D151" s="11"/>
      <c r="E151" s="11"/>
      <c r="F151" s="11"/>
      <c r="G151" s="267" t="str">
        <f t="shared" si="13"/>
        <v>OCC_CONT</v>
      </c>
      <c r="H151" s="88" t="s">
        <v>210</v>
      </c>
      <c r="I151" s="104" t="str">
        <f>IF(_epmOfflineCondition_,"N",_xll.EVPRO($B$1,$H151,"STYLE"))</f>
        <v>N</v>
      </c>
      <c r="J151" s="104" t="str">
        <f>IF(_epmOfflineCondition_,"Y",_xll.EVPRO($B$1,$H151,"CALC"))</f>
        <v>Y</v>
      </c>
      <c r="K151" s="11"/>
      <c r="L151" s="104" t="str">
        <f>IF(_epmOfflineCondition_,"",_xll.EVPRO($B$1,H151,"JDEID"))</f>
        <v/>
      </c>
      <c r="M151" s="90" t="str">
        <f>IF(_epmOfflineCondition_,"",IF(AND(I151="N",J151="N"),_xll.EVPRO($B$1,H151,"PSFTID"),""))</f>
        <v/>
      </c>
      <c r="N151" s="104" t="str">
        <f>IF(_epmOfflineCondition_,"Contract",IF(_xll.EVDES(H151,$B$1)="#NODATA","",_xll.EVDES(H151,$B$1)))</f>
        <v>Contract</v>
      </c>
      <c r="O151" s="353"/>
      <c r="P151" s="354"/>
      <c r="Q151" s="354"/>
      <c r="R151" s="354"/>
      <c r="S151" s="354"/>
      <c r="T151" s="354"/>
      <c r="U151" s="354"/>
      <c r="V151" s="354"/>
      <c r="W151" s="354"/>
      <c r="X151" s="354"/>
      <c r="Y151" s="354"/>
      <c r="Z151" s="354"/>
      <c r="AA151" s="354"/>
      <c r="AB151" s="355">
        <f>IF(_epmOfflineCondition_,0,IF(_xll.EVGET($B$1,$B$3,$B$5,$B$6,$B$7,$B$9,AA$16,AA$17,AA$18,$G151)="#NODATA","",_xll.EVGET($B$1,$B$3,$B$5,$B$6,$B$7,$B$9,AA$16,AA$17,AA$18,$G151)))</f>
        <v>0</v>
      </c>
      <c r="AC151" s="140"/>
      <c r="AD151" s="353"/>
      <c r="AE151" s="355">
        <f>IF(_epmOfflineCondition_,0,IF(_xll.EVGET($B$1,$B$3,$B$5,$B$6,$B$7,$B$9,AD$16,AD$17,AD$18,$G151)="#NODATA","",_xll.EVGET($B$1,$B$3,$B$5,$B$6,$B$7,$B$9,AD$16,AD$17,AD$18,$G151)))</f>
        <v>0</v>
      </c>
      <c r="AF151" s="356" t="str">
        <f t="shared" si="15"/>
        <v/>
      </c>
      <c r="AG151" s="353"/>
      <c r="AH151" s="355">
        <f>IF(_epmOfflineCondition_,0,IF(_xll.EVGET($B$1,$B$3,$B$5,$B$6,$B$7,$B$9,AG$16,AG$17,AG$18,$G151)="#NODATA","",_xll.EVGET($B$1,$B$3,$B$5,$B$6,$B$7,$B$9,AG$16,AG$17,AG$18,$G151)))</f>
        <v>0</v>
      </c>
      <c r="AI151" s="357" t="str">
        <f t="shared" si="16"/>
        <v/>
      </c>
    </row>
    <row r="152" spans="1:35" x14ac:dyDescent="0.25">
      <c r="A152" s="11"/>
      <c r="B152" s="11"/>
      <c r="C152" s="11"/>
      <c r="D152" s="11"/>
      <c r="E152" s="11"/>
      <c r="F152" s="11"/>
      <c r="G152" s="265" t="s">
        <v>495</v>
      </c>
      <c r="H152" s="88" t="s">
        <v>208</v>
      </c>
      <c r="I152" s="89" t="str">
        <f>IF(_epmOfflineCondition_,"T2",_xll.EVPRO($B$1,$H152,"STYLE"))</f>
        <v>T2</v>
      </c>
      <c r="J152" s="89" t="str">
        <f>IF(_epmOfflineCondition_,"Y",_xll.EVPRO($B$1,$H152,"CALC"))</f>
        <v>Y</v>
      </c>
      <c r="K152" s="11"/>
      <c r="L152" s="106" t="str">
        <f>IF(_epmOfflineCondition_,"",_xll.EVPRO($B$1,H152,"JDEID"))</f>
        <v/>
      </c>
      <c r="M152" s="90" t="str">
        <f>IF(_epmOfflineCondition_,"",IF(AND(I152="N",J152="N"),_xll.EVPRO($B$1,H152,"PSFTID"),""))</f>
        <v/>
      </c>
      <c r="N152" s="106" t="s">
        <v>496</v>
      </c>
      <c r="O152" s="358">
        <f>IF(_epmOfflineCondition_,272.610691489362,IF(_xll.EVGET($B$1,$B$3,$B$5,$B$6,$B$7,$B$9,O$16,O$17,O$18,$H152)="#NODATA","",_xll.EVGET($B$1,$B$3,$B$5,$B$6,$B$7,$B$9,O$16,O$17,O$18,$H152)))</f>
        <v>272.61069148936201</v>
      </c>
      <c r="P152" s="358">
        <f>IF(_epmOfflineCondition_,360.407412391365,IF(_xll.EVGET($B$1,$B$3,$B$5,$B$6,$B$7,$B$9,P$16,P$17,P$18,$H152)="#NODATA","",_xll.EVGET($B$1,$B$3,$B$5,$B$6,$B$7,$B$9,P$16,P$17,P$18,$H152)))</f>
        <v>360.40741239136503</v>
      </c>
      <c r="Q152" s="358">
        <f>IF(_epmOfflineCondition_,335.718121919585,IF(_xll.EVGET($B$1,$B$3,$B$5,$B$6,$B$7,$B$9,Q$16,Q$17,Q$18,$H152)="#NODATA","",_xll.EVGET($B$1,$B$3,$B$5,$B$6,$B$7,$B$9,Q$16,Q$17,Q$18,$H152)))</f>
        <v>335.71812191958497</v>
      </c>
      <c r="R152" s="358">
        <f>IF(_epmOfflineCondition_,354.762360956618,IF(_xll.EVGET($B$1,$B$3,$B$5,$B$6,$B$7,$B$9,R$16,R$17,R$18,$H152)="#NODATA","",_xll.EVGET($B$1,$B$3,$B$5,$B$6,$B$7,$B$9,R$16,R$17,R$18,$H152)))</f>
        <v>354.76236095661801</v>
      </c>
      <c r="S152" s="358">
        <f>IF(_epmOfflineCondition_,316.92944304506,IF(_xll.EVGET($B$1,$B$3,$B$5,$B$6,$B$7,$B$9,S$16,S$17,S$18,$H152)="#NODATA","",_xll.EVGET($B$1,$B$3,$B$5,$B$6,$B$7,$B$9,S$16,S$17,S$18,$H152)))</f>
        <v>316.92944304506</v>
      </c>
      <c r="T152" s="358">
        <f>IF(_epmOfflineCondition_,212.634742910564,IF(_xll.EVGET($B$1,$B$3,$B$5,$B$6,$B$7,$B$9,T$16,T$17,T$18,$H152)="#NODATA","",_xll.EVGET($B$1,$B$3,$B$5,$B$6,$B$7,$B$9,T$16,T$17,T$18,$H152)))</f>
        <v>212.634742910564</v>
      </c>
      <c r="U152" s="358">
        <f>IF(_epmOfflineCondition_,229.134695926563,IF(_xll.EVGET($B$1,$B$3,$B$5,$B$6,$B$7,$B$9,U$16,U$17,U$18,$H152)="#NODATA","",_xll.EVGET($B$1,$B$3,$B$5,$B$6,$B$7,$B$9,U$16,U$17,U$18,$H152)))</f>
        <v>229.13469592656301</v>
      </c>
      <c r="V152" s="358">
        <f>IF(_epmOfflineCondition_,193.212104615385,IF(_xll.EVGET($B$1,$B$3,$B$5,$B$6,$B$7,$B$9,V$16,V$17,V$18,$H152)="#NODATA","",_xll.EVGET($B$1,$B$3,$B$5,$B$6,$B$7,$B$9,V$16,V$17,V$18,$H152)))</f>
        <v>193.21210461538499</v>
      </c>
      <c r="W152" s="358">
        <f>IF(_epmOfflineCondition_,184.572379529324,IF(_xll.EVGET($B$1,$B$3,$B$5,$B$6,$B$7,$B$9,W$16,W$17,W$18,$H152)="#NODATA","",_xll.EVGET($B$1,$B$3,$B$5,$B$6,$B$7,$B$9,W$16,W$17,W$18,$H152)))</f>
        <v>184.572379529324</v>
      </c>
      <c r="X152" s="358">
        <f>IF(_epmOfflineCondition_,212.237533750412,IF(_xll.EVGET($B$1,$B$3,$B$5,$B$6,$B$7,$B$9,X$16,X$17,X$18,$H152)="#NODATA","",_xll.EVGET($B$1,$B$3,$B$5,$B$6,$B$7,$B$9,X$16,X$17,X$18,$H152)))</f>
        <v>212.23753375041201</v>
      </c>
      <c r="Y152" s="358">
        <f>IF(_epmOfflineCondition_,262.937552570093,IF(_xll.EVGET($B$1,$B$3,$B$5,$B$6,$B$7,$B$9,Y$16,Y$17,Y$18,$H152)="#NODATA","",_xll.EVGET($B$1,$B$3,$B$5,$B$6,$B$7,$B$9,Y$16,Y$17,Y$18,$H152)))</f>
        <v>262.93755257009298</v>
      </c>
      <c r="Z152" s="358">
        <f>IF(_epmOfflineCondition_,319.732165298613,IF(_xll.EVGET($B$1,$B$3,$B$5,$B$6,$B$7,$B$9,Z$16,Z$17,Z$18,$H152)="#NODATA","",_xll.EVGET($B$1,$B$3,$B$5,$B$6,$B$7,$B$9,Z$16,Z$17,Z$18,$H152)))</f>
        <v>319.73216529861298</v>
      </c>
      <c r="AA152" s="358">
        <f>IF(_epmOfflineCondition_,275.600422291112,IF(_xll.EVGET($B$1,$B$3,$B$5,$B$6,$B$7,$B$9,AA$16,AA$17,AA$18,$H152)="#NODATA","",_xll.EVGET($B$1,$B$3,$B$5,$B$6,$B$7,$B$9,AA$16,AA$17,AA$18,$H152)))</f>
        <v>275.60042229111201</v>
      </c>
      <c r="AB152" s="359">
        <f>IF(_epmOfflineCondition_,0.850290577002906,IF(_xll.EVGET($B$1,$B$3,$B$5,$B$6,$B$7,$B$9,AA$16,AA$17,AA$18,$G152)="#NODATA","",_xll.EVGET($B$1,$B$3,$B$5,$B$6,$B$7,$B$9,AA$16,AA$17,AA$18,$G152)))</f>
        <v>0.850290577002906</v>
      </c>
      <c r="AC152" s="140"/>
      <c r="AD152" s="358">
        <f>IF(_epmOfflineCondition_,268.946282793605,IF(_xll.EVGET($B$1,$B$3,$B$5,$B$6,$B$7,$B$9,AD$16,AD$17,AD$18,$H152)="#NODATA","",_xll.EVGET($B$1,$B$3,$B$5,$B$6,$B$7,$B$9,AD$16,AD$17,AD$18,$H152)))</f>
        <v>268.94628279360501</v>
      </c>
      <c r="AE152" s="359">
        <f>IF(_epmOfflineCondition_,0.810128684101287,IF(_xll.EVGET($B$1,$B$3,$B$5,$B$6,$B$7,$B$9,AD$16,AD$17,AD$18,$G152)="#NODATA","",_xll.EVGET($B$1,$B$3,$B$5,$B$6,$B$7,$B$9,AD$16,AD$17,AD$18,$G152)))</f>
        <v>0.81012868410128702</v>
      </c>
      <c r="AF152" s="360">
        <f t="shared" si="15"/>
        <v>6.6541394975070034</v>
      </c>
      <c r="AG152" s="358">
        <f>IF(_epmOfflineCondition_,233.749628809002,IF(_xll.EVGET($B$1,$B$3,$B$5,$B$6,$B$7,$B$9,AG$16,AG$17,AG$18,$H152)="#NODATA","",_xll.EVGET($B$1,$B$3,$B$5,$B$6,$B$7,$B$9,AG$16,AG$17,AG$18,$H152)))</f>
        <v>233.74962880900199</v>
      </c>
      <c r="AH152" s="359">
        <f>IF(_epmOfflineCondition_,0.833706932337069,IF(_xll.EVGET($B$1,$B$3,$B$5,$B$6,$B$7,$B$9,AG$16,AG$17,AG$18,$G152)="#NODATA","",_xll.EVGET($B$1,$B$3,$B$5,$B$6,$B$7,$B$9,AG$16,AG$17,AG$18,$G152)))</f>
        <v>0.83370693233706905</v>
      </c>
      <c r="AI152" s="360">
        <f t="shared" si="16"/>
        <v>41.850793482110021</v>
      </c>
    </row>
    <row r="153" spans="1:35"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11"/>
      <c r="J154" s="11"/>
      <c r="K154" s="11"/>
      <c r="L154" s="11"/>
      <c r="M154" s="11"/>
      <c r="N154" s="104" t="str">
        <f>N152&amp;" - Check"</f>
        <v>Total ADR/ OCC% - Check</v>
      </c>
      <c r="O154" s="102">
        <f t="shared" ref="O154:AA154" si="17">IFERROR(O69/O105,0)</f>
        <v>272.61069148936167</v>
      </c>
      <c r="P154" s="102">
        <f t="shared" si="17"/>
        <v>360.40741239136531</v>
      </c>
      <c r="Q154" s="102">
        <f t="shared" si="17"/>
        <v>335.71812191958497</v>
      </c>
      <c r="R154" s="102">
        <f t="shared" si="17"/>
        <v>354.76236095661847</v>
      </c>
      <c r="S154" s="102">
        <f t="shared" si="17"/>
        <v>316.92944304506017</v>
      </c>
      <c r="T154" s="102">
        <f t="shared" si="17"/>
        <v>212.63474291056406</v>
      </c>
      <c r="U154" s="102">
        <f t="shared" si="17"/>
        <v>229.13469592656341</v>
      </c>
      <c r="V154" s="102">
        <f t="shared" si="17"/>
        <v>193.21210461538462</v>
      </c>
      <c r="W154" s="102">
        <f t="shared" si="17"/>
        <v>184.57237952932388</v>
      </c>
      <c r="X154" s="102">
        <f t="shared" si="17"/>
        <v>212.23753375041159</v>
      </c>
      <c r="Y154" s="102">
        <f t="shared" si="17"/>
        <v>262.93755257009349</v>
      </c>
      <c r="Z154" s="102">
        <f t="shared" si="17"/>
        <v>319.7321652986131</v>
      </c>
      <c r="AA154" s="102">
        <f t="shared" si="17"/>
        <v>275.60042229111235</v>
      </c>
      <c r="AB154" s="268">
        <f>IFERROR(AA105/AA109,0)</f>
        <v>0.85029057700290578</v>
      </c>
      <c r="AC154" s="11"/>
      <c r="AD154" s="102">
        <f>IFERROR(AD69/AD105,0)</f>
        <v>268.94628279360523</v>
      </c>
      <c r="AE154" s="268">
        <f>IFERROR(AD105/AD109,0)</f>
        <v>0.8101286841012868</v>
      </c>
      <c r="AF154" s="91"/>
      <c r="AG154" s="102">
        <f>IFERROR(AG69/AG105,0)</f>
        <v>233.74962880900219</v>
      </c>
      <c r="AH154" s="268">
        <f>IFERROR(AG105/AG109,0)</f>
        <v>0.83370693233706927</v>
      </c>
      <c r="AI154" s="91"/>
    </row>
  </sheetData>
  <sheetProtection algorithmName="SHA-512" hashValue="IW/cdw5vT+XLneX6Xsoh3SXEzXSO6wefaIUx+kFH5NxyJbmw3hnzhfK2xoeJ4EIkDhmLQONhhcV5YPLzeeVKzQ==" saltValue="WR/pTTtz608v0Sf28B/XOg==" spinCount="100000" sheet="1" scenarios="1"/>
  <mergeCells count="2">
    <mergeCell ref="AD31:AE31"/>
    <mergeCell ref="AG31:AH31"/>
  </mergeCells>
  <conditionalFormatting sqref="AF34:AF69 AI34:AI69 AF72:AF116 AI72:AI116">
    <cfRule type="expression" dxfId="179" priority="12">
      <formula>AF$32="Variance"</formula>
    </cfRule>
  </conditionalFormatting>
  <conditionalFormatting sqref="AF119:AF152">
    <cfRule type="expression" dxfId="178" priority="4">
      <formula>AF$32="Variance"</formula>
    </cfRule>
  </conditionalFormatting>
  <conditionalFormatting sqref="AI119:AI152">
    <cfRule type="expression" dxfId="177" priority="3">
      <formula>AI$32="Variance"</formula>
    </cfRule>
  </conditionalFormatting>
  <pageMargins left="0.25" right="0.25" top="0.5" bottom="0.5" header="0.3" footer="0.3"/>
  <pageSetup scale="50" fitToHeight="0" orientation="landscape" r:id="rId1"/>
  <headerFooter>
    <oddFooter>&amp;L&amp;F&amp;C&amp;P of &amp;N&amp;R&amp;D</oddFooter>
  </headerFooter>
  <rowBreaks count="2" manualBreakCount="2">
    <brk id="70" min="13" max="30" man="1"/>
    <brk id="117" min="13" max="30"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61122"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61122" r:id="rId7"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pageSetUpPr fitToPage="1"/>
  </sheetPr>
  <dimension ref="A1:AO11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41.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0" t="str">
        <f>IF(_epmOfflineCondition_,"FCST",_xll.EVPRO($B$1,$B$4,"GROUP"))</f>
        <v>FCST</v>
      </c>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237</v>
      </c>
      <c r="C6" s="11" t="str">
        <f>IF(_epmOfflineCondition_,"Reservations",_xll.EVDES(B6,$B$1))</f>
        <v>Reservations</v>
      </c>
      <c r="D6" s="11"/>
      <c r="E6" s="58" t="str">
        <f>IF(_epmOfflineCondition_,"D1122",_xll.EVPRO($B$1,$B$6,$F$6))</f>
        <v>D1122</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IF(_epmOfflineCondition_,"'Resv'!$B$2:$B$10",_xll.EVRNG($B$2:$B$10))</f>
        <v>'Resv'!$B$2:$B$10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IF(_epmOfflineCondition_,"'Resv'!$O$16:$AN$18",_xll.EVRNG($O$16:$AN$18))</f>
        <v>'Resv'!$O$16:$AN$18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IF(_epmOfflineCondition_,"'Resv'!$H$34:$H$45",_xll.EVRNG(H34:H45))</f>
        <v>'Resv'!$H$34:$H$45</v>
      </c>
      <c r="C19" s="11"/>
      <c r="D19" s="11"/>
      <c r="E19" s="11"/>
      <c r="F19" s="11"/>
      <c r="G19" s="67" t="str">
        <f>$B$6</f>
        <v>D_RESV_CON</v>
      </c>
      <c r="H19" s="67">
        <v>700000</v>
      </c>
      <c r="I19" s="68"/>
      <c r="J19" s="68"/>
      <c r="K19" s="67"/>
      <c r="L19" s="67"/>
      <c r="M19" s="67"/>
      <c r="N19" s="67" t="str">
        <f>IF(_epmOfflineCondition_,"Total Operations Expense",_xll.EVDES(H19))</f>
        <v>Total Operations Expense</v>
      </c>
      <c r="O19" s="69">
        <f>IF(_epmOfflineCondition_,12759.86,_xll.EVGTS($B$1,1,$B$3,$B$5,$B$7,$B$9,O$16,O$17,O$18,$G$19,$H$19))</f>
        <v>12759.86</v>
      </c>
      <c r="P19" s="69">
        <f>IF(_epmOfflineCondition_,11720.56,_xll.EVGTS($B$1,1,$B$3,$B$5,$B$7,$B$9,P$16,P$17,P$18,$G$19,$H$19))</f>
        <v>11720.56</v>
      </c>
      <c r="Q19" s="69">
        <f>IF(_epmOfflineCondition_,12814.5,_xll.EVGTS($B$1,1,$B$3,$B$5,$B$7,$B$9,Q$16,Q$17,Q$18,$G$19,$H$19))</f>
        <v>12814.5</v>
      </c>
      <c r="R19" s="69">
        <f>IF(_epmOfflineCondition_,12425.56,_xll.EVGTS($B$1,1,$B$3,$B$5,$B$7,$B$9,R$16,R$17,R$18,$G$19,$H$19))</f>
        <v>12425.56</v>
      </c>
      <c r="S19" s="69">
        <f>IF(_epmOfflineCondition_,10921,_xll.EVGTS($B$1,1,$B$3,$B$5,$B$7,$B$9,S$16,S$17,S$18,$G$19,$H$19))</f>
        <v>10921</v>
      </c>
      <c r="T19" s="69">
        <f>IF(_epmOfflineCondition_,6849.6,_xll.EVGTS($B$1,1,$B$3,$B$5,$B$7,$B$9,T$16,T$17,T$18,$G$19,$H$19))</f>
        <v>6849.6</v>
      </c>
      <c r="U19" s="69">
        <f>IF(_epmOfflineCondition_,8873.38,_xll.EVGTS($B$1,1,$B$3,$B$5,$B$7,$B$9,U$16,U$17,U$18,$G$19,$H$19))</f>
        <v>8873.3799999999992</v>
      </c>
      <c r="V19" s="69">
        <f>IF(_epmOfflineCondition_,6436.39,_xll.EVGTS($B$1,1,$B$3,$B$5,$B$7,$B$9,V$16,V$17,V$18,$G$19,$H$19))</f>
        <v>6436.39</v>
      </c>
      <c r="W19" s="69">
        <f>IF(_epmOfflineCondition_,5040,_xll.EVGTS($B$1,1,$B$3,$B$5,$B$7,$B$9,W$16,W$17,W$18,$G$19,$H$19))</f>
        <v>5040</v>
      </c>
      <c r="X19" s="69">
        <f>IF(_epmOfflineCondition_,6828.97,_xll.EVGTS($B$1,1,$B$3,$B$5,$B$7,$B$9,X$16,X$17,X$18,$G$19,$H$19))</f>
        <v>6828.97</v>
      </c>
      <c r="Y19" s="69">
        <f>IF(_epmOfflineCondition_,9111.78,_xll.EVGTS($B$1,1,$B$3,$B$5,$B$7,$B$9,Y$16,Y$17,Y$18,$G$19,$H$19))</f>
        <v>9111.7800000000007</v>
      </c>
      <c r="Z19" s="69">
        <f>IF(_epmOfflineCondition_,11869.54,_xll.EVGTS($B$1,1,$B$3,$B$5,$B$7,$B$9,Z$16,Z$17,Z$18,$G$19,$H$19))</f>
        <v>11869.54</v>
      </c>
      <c r="AA19" s="69">
        <f>SUM(O19:Z19)</f>
        <v>115651.14000000001</v>
      </c>
      <c r="AB19" s="67"/>
      <c r="AC19" s="67"/>
      <c r="AD19" s="69">
        <f>IF(_epmOfflineCondition_,106573.9611,_xll.EVGTS($B$1,1,$B$3,$B$5,$B$7,$B$9,AD$16,AD$17,AD$18,$G$19,$H$19))</f>
        <v>106573.9611</v>
      </c>
      <c r="AE19" s="67"/>
      <c r="AF19" s="67"/>
      <c r="AG19" s="69">
        <f>IF(_epmOfflineCondition_,93595.62,_xll.EVGTS($B$1,1,$B$3,$B$5,$B$7,$B$9,AG$16,AG$17,AG$18,$G$19,$H$19))</f>
        <v>93595.62</v>
      </c>
      <c r="AH19" s="67"/>
      <c r="AI19" s="67"/>
      <c r="AJ19" s="11"/>
      <c r="AK19" s="11"/>
      <c r="AL19" s="11"/>
      <c r="AM19" s="11"/>
      <c r="AN19" s="11"/>
      <c r="AO19" s="11"/>
    </row>
    <row r="20" spans="1:41" hidden="1" outlineLevel="1" x14ac:dyDescent="0.25">
      <c r="A20" s="65" t="s">
        <v>5</v>
      </c>
      <c r="B20" s="66"/>
      <c r="C20" s="11"/>
      <c r="D20" s="11"/>
      <c r="E20" s="11"/>
      <c r="F20" s="11"/>
      <c r="G20" s="67" t="str">
        <f>$B$6</f>
        <v>D_RESV_CON</v>
      </c>
      <c r="H20" s="67" t="s">
        <v>236</v>
      </c>
      <c r="I20" s="68"/>
      <c r="J20" s="68"/>
      <c r="K20" s="67"/>
      <c r="L20" s="67"/>
      <c r="M20" s="67"/>
      <c r="N20" s="67" t="str">
        <f>IF(_epmOfflineCondition_,"Total # of Net Reservation Taken",_xll.EVDES(H20))</f>
        <v>Total # of Net Reservation Taken</v>
      </c>
      <c r="O20" s="69">
        <f>IF(_epmOfflineCondition_,55,_xll.EVGTS($B$1,1,$B$3,$B$5,$B$7,$B$9,O$16,O$17,O$18,$G$20,$H$20))</f>
        <v>55</v>
      </c>
      <c r="P20" s="69">
        <f>IF(_epmOfflineCondition_,106,_xll.EVGTS($B$1,1,$B$3,$B$5,$B$7,$B$9,P$16,P$17,P$18,$G$20,$H$20))</f>
        <v>106</v>
      </c>
      <c r="Q20" s="69">
        <f>IF(_epmOfflineCondition_,277,_xll.EVGTS($B$1,1,$B$3,$B$5,$B$7,$B$9,Q$16,Q$17,Q$18,$G$20,$H$20))</f>
        <v>277</v>
      </c>
      <c r="R20" s="69">
        <f>IF(_epmOfflineCondition_,-231,_xll.EVGTS($B$1,1,$B$3,$B$5,$B$7,$B$9,R$16,R$17,R$18,$G$20,$H$20))</f>
        <v>-231</v>
      </c>
      <c r="S20" s="69">
        <f>IF(_epmOfflineCondition_,23,_xll.EVGTS($B$1,1,$B$3,$B$5,$B$7,$B$9,S$16,S$17,S$18,$G$20,$H$20))</f>
        <v>23</v>
      </c>
      <c r="T20" s="69">
        <f>IF(_epmOfflineCondition_,53,_xll.EVGTS($B$1,1,$B$3,$B$5,$B$7,$B$9,T$16,T$17,T$18,$G$20,$H$20))</f>
        <v>53</v>
      </c>
      <c r="U20" s="69">
        <f>IF(_epmOfflineCondition_,-17,_xll.EVGTS($B$1,1,$B$3,$B$5,$B$7,$B$9,U$16,U$17,U$18,$G$20,$H$20))</f>
        <v>-17</v>
      </c>
      <c r="V20" s="69">
        <f>IF(_epmOfflineCondition_,46,_xll.EVGTS($B$1,1,$B$3,$B$5,$B$7,$B$9,V$16,V$17,V$18,$G$20,$H$20))</f>
        <v>46</v>
      </c>
      <c r="W20" s="69">
        <f>IF(_epmOfflineCondition_,15,_xll.EVGTS($B$1,1,$B$3,$B$5,$B$7,$B$9,W$16,W$17,W$18,$G$20,$H$20))</f>
        <v>15</v>
      </c>
      <c r="X20" s="69">
        <f>IF(_epmOfflineCondition_,55,_xll.EVGTS($B$1,1,$B$3,$B$5,$B$7,$B$9,X$16,X$17,X$18,$G$20,$H$20))</f>
        <v>55</v>
      </c>
      <c r="Y20" s="69">
        <f>IF(_epmOfflineCondition_,17,_xll.EVGTS($B$1,1,$B$3,$B$5,$B$7,$B$9,Y$16,Y$17,Y$18,$G$20,$H$20))</f>
        <v>17</v>
      </c>
      <c r="Z20" s="69">
        <f>IF(_epmOfflineCondition_,63,_xll.EVGTS($B$1,1,$B$3,$B$5,$B$7,$B$9,Z$16,Z$17,Z$18,$G$20,$H$20))</f>
        <v>63</v>
      </c>
      <c r="AA20" s="69">
        <f>SUM(O20:Z20)</f>
        <v>462</v>
      </c>
      <c r="AB20" s="67"/>
      <c r="AC20" s="67"/>
      <c r="AD20" s="69">
        <f>IF(_epmOfflineCondition_,249.82,_xll.EVGTS($B$1,1,$B$3,$B$5,$B$7,$B$9,AD$16,AD$17,AD$18,$G$20,$H$20))</f>
        <v>249.82</v>
      </c>
      <c r="AE20" s="67"/>
      <c r="AF20" s="67"/>
      <c r="AG20" s="69">
        <f>IF(_epmOfflineCondition_,275,_xll.EVGTS($B$1,1,$B$3,$B$5,$B$7,$B$9,AG$16,AG$17,AG$18,$G$20,$H$20))</f>
        <v>275</v>
      </c>
      <c r="AH20" s="67"/>
      <c r="AI20" s="67"/>
      <c r="AJ20" s="11"/>
      <c r="AK20" s="11"/>
      <c r="AL20" s="11"/>
      <c r="AM20" s="11"/>
      <c r="AN20" s="11"/>
      <c r="AO20" s="11"/>
    </row>
    <row r="21" spans="1:41" hidden="1" outlineLevel="1" x14ac:dyDescent="0.25">
      <c r="A21" s="65" t="s">
        <v>6</v>
      </c>
      <c r="B21" s="66"/>
      <c r="C21" s="11"/>
      <c r="D21" s="11"/>
      <c r="E21" s="11"/>
      <c r="F21" s="11"/>
      <c r="G21" s="67" t="s">
        <v>254</v>
      </c>
      <c r="H21" s="67">
        <v>990100</v>
      </c>
      <c r="I21" s="361" t="str">
        <f>IF($G$4="ACTUAL","CURRENT",$B$4)</f>
        <v>CURRENT</v>
      </c>
      <c r="J21" s="68"/>
      <c r="K21" s="67"/>
      <c r="L21" s="67"/>
      <c r="M21" s="67"/>
      <c r="N21" s="67" t="str">
        <f>IF(_epmOfflineCondition_,"Number of Rooms on Property",_xll.EVDES(H21))</f>
        <v>Number of Rooms on Property</v>
      </c>
      <c r="O21" s="69">
        <f>IF(_epmOfflineCondition_,132,_xll.EVGTS($B$1,1,$B$3,$B$5,$B$7,$B$9,O$16,$I$21,O$18,$G$21,$H$21))</f>
        <v>132</v>
      </c>
      <c r="P21" s="69">
        <f>IF(_epmOfflineCondition_,132,_xll.EVGTS($B$1,1,$B$3,$B$5,$B$7,$B$9,P$16,$I$21,P$18,$G$21,$H$21))</f>
        <v>132</v>
      </c>
      <c r="Q21" s="69">
        <f>IF(_epmOfflineCondition_,132,_xll.EVGTS($B$1,1,$B$3,$B$5,$B$7,$B$9,Q$16,$I$21,Q$18,$G$21,$H$21))</f>
        <v>132</v>
      </c>
      <c r="R21" s="69">
        <f>IF(_epmOfflineCondition_,132,_xll.EVGTS($B$1,1,$B$3,$B$5,$B$7,$B$9,R$16,$I$21,R$18,$G$21,$H$21))</f>
        <v>132</v>
      </c>
      <c r="S21" s="69">
        <f>IF(_epmOfflineCondition_,132,_xll.EVGTS($B$1,1,$B$3,$B$5,$B$7,$B$9,S$16,$I$21,S$18,$G$21,$H$21))</f>
        <v>132</v>
      </c>
      <c r="T21" s="69">
        <f>IF(_epmOfflineCondition_,132,_xll.EVGTS($B$1,1,$B$3,$B$5,$B$7,$B$9,T$16,$I$21,T$18,$G$21,$H$21))</f>
        <v>132</v>
      </c>
      <c r="U21" s="69">
        <f>IF(_epmOfflineCondition_,132,_xll.EVGTS($B$1,1,$B$3,$B$5,$B$7,$B$9,U$16,$I$21,U$18,$G$21,$H$21))</f>
        <v>132</v>
      </c>
      <c r="V21" s="69">
        <f>IF(_epmOfflineCondition_,132,_xll.EVGTS($B$1,1,$B$3,$B$5,$B$7,$B$9,V$16,$I$21,V$18,$G$21,$H$21))</f>
        <v>132</v>
      </c>
      <c r="W21" s="69">
        <f>IF(_epmOfflineCondition_,132,_xll.EVGTS($B$1,1,$B$3,$B$5,$B$7,$B$9,W$16,$I$21,W$18,$G$21,$H$21))</f>
        <v>132</v>
      </c>
      <c r="X21" s="69">
        <f>IF(_epmOfflineCondition_,132,_xll.EVGTS($B$1,1,$B$3,$B$5,$B$7,$B$9,X$16,$I$21,X$18,$G$21,$H$21))</f>
        <v>132</v>
      </c>
      <c r="Y21" s="69">
        <f>IF(_epmOfflineCondition_,132,_xll.EVGTS($B$1,1,$B$3,$B$5,$B$7,$B$9,Y$16,$I$21,Y$18,$G$21,$H$21))</f>
        <v>132</v>
      </c>
      <c r="Z21" s="69">
        <f>IF(_epmOfflineCondition_,132,_xll.EVGTS($B$1,1,$B$3,$B$5,$B$7,$B$9,Z$16,$I$21,Z$18,$G$21,$H$21))</f>
        <v>132</v>
      </c>
      <c r="AA21" s="69">
        <f>SUM(O21:Z21)</f>
        <v>1584</v>
      </c>
      <c r="AB21" s="67"/>
      <c r="AC21" s="67"/>
      <c r="AD21" s="362">
        <f>IF(_epmOfflineCondition_,1584,_xll.EVGTS($B$1,1,$B$3,$B$5,$B$7,$B$9,AD$16,$AE$21,"PERIODIC",$G$21,$H$21))</f>
        <v>1584</v>
      </c>
      <c r="AE21" s="67" t="s">
        <v>255</v>
      </c>
      <c r="AF21" s="67"/>
      <c r="AG21" s="362">
        <f>IF(_epmOfflineCondition_,1584,_xll.EVGTS($B$1,1,$B$3,$B$5,$B$7,$B$9,AG$16,$AH$21,"PERIODIC",$G$21,$H$21))</f>
        <v>1584</v>
      </c>
      <c r="AH21" s="67" t="s">
        <v>255</v>
      </c>
      <c r="AI21" s="67"/>
      <c r="AJ21" s="11"/>
      <c r="AK21" s="11"/>
      <c r="AL21" s="11"/>
      <c r="AM21" s="11"/>
      <c r="AN21" s="11"/>
      <c r="AO21" s="11"/>
    </row>
    <row r="22" spans="1:41" hidden="1" outlineLevel="1" x14ac:dyDescent="0.25">
      <c r="A22" s="65" t="s">
        <v>7</v>
      </c>
      <c r="B22" s="66" t="str">
        <f>IF(_epmOfflineCondition_,"'Resv'!$A$36:$F$41",_xll.EVRNG(A36:F41))</f>
        <v>'Resv'!$A$36:$F$41</v>
      </c>
      <c r="C22" s="11"/>
      <c r="D22" s="11"/>
      <c r="E22" s="11"/>
      <c r="F22" s="11"/>
      <c r="G22" s="67" t="s">
        <v>749</v>
      </c>
      <c r="H22" s="67">
        <v>900200</v>
      </c>
      <c r="I22" s="68"/>
      <c r="J22" s="68"/>
      <c r="K22" s="67"/>
      <c r="L22" s="68"/>
      <c r="M22" s="68"/>
      <c r="N22" s="67" t="str">
        <f>IF(_epmOfflineCondition_,"Total Rooms Occupied",_xll.EVDES(H22))</f>
        <v>Total Rooms Occupied</v>
      </c>
      <c r="O22" s="69">
        <f>IF(_epmOfflineCondition_,3762,_xll.EVGTS($B$1,1,$B$3,$B$5,$B$7,$B$9,O$16,O$17,O$18,$G$22,$H$22))</f>
        <v>3762</v>
      </c>
      <c r="P22" s="69">
        <f>IF(_epmOfflineCondition_,3568,_xll.EVGTS($B$1,1,$B$3,$B$5,$B$7,$B$9,P$16,P$17,P$18,$G$22,$H$22))</f>
        <v>3568</v>
      </c>
      <c r="Q22" s="69">
        <f>IF(_epmOfflineCondition_,3855,_xll.EVGTS($B$1,1,$B$3,$B$5,$B$7,$B$9,Q$16,Q$17,Q$18,$G$22,$H$22))</f>
        <v>3855</v>
      </c>
      <c r="R22" s="69">
        <f>IF(_epmOfflineCondition_,3602,_xll.EVGTS($B$1,1,$B$3,$B$5,$B$7,$B$9,R$16,R$17,R$18,$G$22,$H$22))</f>
        <v>3602</v>
      </c>
      <c r="S22" s="69">
        <f>IF(_epmOfflineCondition_,3580,_xll.EVGTS($B$1,1,$B$3,$B$5,$B$7,$B$9,S$16,S$17,S$18,$G$22,$H$22))</f>
        <v>3580</v>
      </c>
      <c r="T22" s="69">
        <f>IF(_epmOfflineCondition_,3259,_xll.EVGTS($B$1,1,$B$3,$B$5,$B$7,$B$9,T$16,T$17,T$18,$G$22,$H$22))</f>
        <v>3259</v>
      </c>
      <c r="U22" s="69">
        <f>IF(_epmOfflineCondition_,3548,_xll.EVGTS($B$1,1,$B$3,$B$5,$B$7,$B$9,U$16,U$17,U$18,$G$22,$H$22))</f>
        <v>3548</v>
      </c>
      <c r="V22" s="69">
        <f>IF(_epmOfflineCondition_,3348,_xll.EVGTS($B$1,1,$B$3,$B$5,$B$7,$B$9,V$16,V$17,V$18,$G$22,$H$22))</f>
        <v>3348</v>
      </c>
      <c r="W22" s="69">
        <f>IF(_epmOfflineCondition_,2744,_xll.EVGTS($B$1,1,$B$3,$B$5,$B$7,$B$9,W$16,W$17,W$18,$G$22,$H$22))</f>
        <v>2744</v>
      </c>
      <c r="X22" s="69">
        <f>IF(_epmOfflineCondition_,3076,_xll.EVGTS($B$1,1,$B$3,$B$5,$B$7,$B$9,X$16,X$17,X$18,$G$22,$H$22))</f>
        <v>3076</v>
      </c>
      <c r="Y22" s="69">
        <f>IF(_epmOfflineCondition_,3431,_xll.EVGTS($B$1,1,$B$3,$B$5,$B$7,$B$9,Y$16,Y$17,Y$18,$G$22,$H$22))</f>
        <v>3431</v>
      </c>
      <c r="Z22" s="69">
        <f>IF(_epmOfflineCondition_,3541,_xll.EVGTS($B$1,1,$B$3,$B$5,$B$7,$B$9,Z$16,Z$17,Z$18,$G$22,$H$22))</f>
        <v>3541</v>
      </c>
      <c r="AA22" s="69">
        <f>SUM(O22:Z22)</f>
        <v>41314</v>
      </c>
      <c r="AB22" s="67"/>
      <c r="AC22" s="67"/>
      <c r="AD22" s="69">
        <f>IF(_epmOfflineCondition_,39032,_xll.EVGTS($B$1,1,$B$3,$B$5,$B$7,$B$9,AD$16,AD$17,AD$18,$G$22,$H$22))</f>
        <v>39032</v>
      </c>
      <c r="AE22" s="67"/>
      <c r="AF22" s="67"/>
      <c r="AG22" s="69">
        <f>IF(_epmOfflineCondition_,40219,_xll.EVGTS($B$1,1,$B$3,$B$5,$B$7,$B$9,AG$16,AG$17,AG$18,$G$22,$H$22))</f>
        <v>40219</v>
      </c>
      <c r="AH22" s="67"/>
      <c r="AI22" s="67"/>
      <c r="AJ22" s="11"/>
      <c r="AK22" s="11"/>
      <c r="AL22" s="11"/>
      <c r="AM22" s="11"/>
      <c r="AN22" s="11"/>
      <c r="AO22" s="11"/>
    </row>
    <row r="23" spans="1:41" hidden="1" outlineLevel="1" x14ac:dyDescent="0.25">
      <c r="A23" s="65" t="s">
        <v>47</v>
      </c>
      <c r="B23" s="66" t="str">
        <f>IF(_epmOfflineCondition_,"'Resv'!$A$87:$B$108",_xll.EVRNG($A$87:$B$108))</f>
        <v>'Resv'!$A$87:$B$108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IF(_epmOfflineCondition_,"Reservations Department",IF(_xll.EVDES(B6,$B$1)="#NODATA","",_xll.EVDES(B6,$B$1)&amp;" Department"))</f>
        <v>Reservations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256</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4"/>
      <c r="AM30" s="75"/>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77"/>
      <c r="AM31" s="80" t="str">
        <f>IF(_epmOfflineCondition_,"2021",_xll.EVPRO($B$1,AG$16,"YEAR"))</f>
        <v>2021</v>
      </c>
      <c r="AN31" s="77"/>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
        <v>747</v>
      </c>
      <c r="AM32" s="87" t="str">
        <f>AG32</f>
        <v>Actual</v>
      </c>
      <c r="AN32" s="87" t="s">
        <v>747</v>
      </c>
      <c r="AO32" s="83"/>
    </row>
    <row r="33" spans="1:41" x14ac:dyDescent="0.25">
      <c r="A33" s="65" t="s">
        <v>17</v>
      </c>
      <c r="B33" s="66"/>
      <c r="C33" s="11"/>
      <c r="D33" s="11"/>
      <c r="E33" s="11"/>
      <c r="F33" s="11"/>
      <c r="G33" s="76"/>
      <c r="H33" s="11" t="s">
        <v>239</v>
      </c>
      <c r="I33" s="59" t="str">
        <f>IF(_epmOfflineCondition_,"B1",_xll.EVPRO($B$1,$H33,"STYLE"))</f>
        <v>B1</v>
      </c>
      <c r="J33" s="59" t="str">
        <f>IF(_epmOfflineCondition_,"Y",_xll.EVPRO($B$1,$H33,"CALC"))</f>
        <v>Y</v>
      </c>
      <c r="K33" s="11"/>
      <c r="L33" s="133" t="s">
        <v>364</v>
      </c>
      <c r="M33" s="133" t="s">
        <v>782</v>
      </c>
      <c r="N33" s="105" t="str">
        <f>IF(_epmOfflineCondition_,"Reservations Expenses",IF(_xll.EVDES(H33,$B$1)="#NODATA","",_xll.EVDES(H33,$B$1)))</f>
        <v>Reservations Expenses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76"/>
      <c r="H34" s="88" t="s">
        <v>220</v>
      </c>
      <c r="I34" s="122" t="str">
        <f>IF(_epmOfflineCondition_,"N",_xll.EVPRO($B$1,$H34,"STYLE"))</f>
        <v>N</v>
      </c>
      <c r="J34" s="122" t="str">
        <f>IF(_epmOfflineCondition_,"N",_xll.EVPRO($B$1,$H34,"CALC"))</f>
        <v>N</v>
      </c>
      <c r="K34" s="179" t="str">
        <f t="shared" ref="K34:K45" si="0">IF(AND(I34&gt;="T5"),"&gt;","")</f>
        <v/>
      </c>
      <c r="L34" s="90" t="str">
        <f>IF(_epmOfflineCondition_,"710150",_xll.EVPRO($B$1,H34,"JDEID"))</f>
        <v>710150</v>
      </c>
      <c r="M34" s="90" t="str">
        <f>IF(_epmOfflineCondition_,"590165",IF(AND(I34="N",J34="N"),_xll.EVPRO($B$1,H34,"PSFTID"),""))</f>
        <v>590165</v>
      </c>
      <c r="N34" s="90" t="str">
        <f>IF(_epmOfflineCondition_,"CRS Call Fee",IF(_xll.EVDES(H34,$B$1)="#NODATA","",_xll.EVDES(H34,$B$1)))</f>
        <v>CRS Call Fee</v>
      </c>
      <c r="O34" s="138"/>
      <c r="P34" s="138"/>
      <c r="Q34" s="138"/>
      <c r="R34" s="138"/>
      <c r="S34" s="138"/>
      <c r="T34" s="138"/>
      <c r="U34" s="138"/>
      <c r="V34" s="138"/>
      <c r="W34" s="138"/>
      <c r="X34" s="138"/>
      <c r="Y34" s="138"/>
      <c r="Z34" s="138"/>
      <c r="AA34" s="210">
        <f t="shared" ref="AA34:AA45" si="1">IF($I34="B1","",SUM(O34:Z34))</f>
        <v>0</v>
      </c>
      <c r="AB34" s="142" t="str">
        <f t="shared" ref="AB34:AB45" si="2">IF(AA34=0,"",IFERROR(AA34/AA$19,""))</f>
        <v/>
      </c>
      <c r="AC34" s="140"/>
      <c r="AD34" s="138"/>
      <c r="AE34" s="142" t="str">
        <f t="shared" ref="AE34:AE45" si="3">IF(AD34=0,"",IFERROR(AD34/AD$19,""))</f>
        <v/>
      </c>
      <c r="AF34" s="141">
        <f t="shared" ref="AF34:AF45" si="4">IF(AND($AA34="",AD34=""),"",$AA34-AD34)</f>
        <v>0</v>
      </c>
      <c r="AG34" s="138"/>
      <c r="AH34" s="142" t="str">
        <f t="shared" ref="AH34:AH45" si="5">IF(AG34=0,"",IFERROR(AG34/AG$19,""))</f>
        <v/>
      </c>
      <c r="AI34" s="141">
        <f t="shared" ref="AI34:AI45" si="6">IF(AND($AA34="",AG34=""),"",$AA34-AG34)</f>
        <v>0</v>
      </c>
      <c r="AJ34" s="211">
        <f t="shared" ref="AJ34:AJ45" si="7">IFERROR(AA34/AA$22,0)</f>
        <v>0</v>
      </c>
      <c r="AK34" s="212">
        <f t="shared" ref="AK34:AK45" si="8">IFERROR(AD34/AD$22,0)</f>
        <v>0</v>
      </c>
      <c r="AL34" s="213">
        <f t="shared" ref="AL34:AL45" si="9">AJ34-AK34</f>
        <v>0</v>
      </c>
      <c r="AM34" s="214">
        <f t="shared" ref="AM34:AM45" si="10">IFERROR(AG34/AG$22,0)</f>
        <v>0</v>
      </c>
      <c r="AN34" s="213">
        <f t="shared" ref="AN34:AN45" si="11">AJ34-AM34</f>
        <v>0</v>
      </c>
      <c r="AO34" s="11"/>
    </row>
    <row r="35" spans="1:41" x14ac:dyDescent="0.25">
      <c r="A35" s="97" t="s">
        <v>92</v>
      </c>
      <c r="B35" s="98" t="s">
        <v>93</v>
      </c>
      <c r="C35" s="98" t="s">
        <v>94</v>
      </c>
      <c r="D35" s="98" t="s">
        <v>95</v>
      </c>
      <c r="E35" s="98" t="s">
        <v>96</v>
      </c>
      <c r="F35" s="99" t="s">
        <v>97</v>
      </c>
      <c r="G35" s="76"/>
      <c r="H35" s="88" t="s">
        <v>221</v>
      </c>
      <c r="I35" s="122" t="str">
        <f>IF(_epmOfflineCondition_,"N",_xll.EVPRO($B$1,$H35,"STYLE"))</f>
        <v>N</v>
      </c>
      <c r="J35" s="122" t="str">
        <f>IF(_epmOfflineCondition_,"N",_xll.EVPRO($B$1,$H35,"CALC"))</f>
        <v>N</v>
      </c>
      <c r="K35" s="179" t="str">
        <f t="shared" si="0"/>
        <v/>
      </c>
      <c r="L35" s="90" t="str">
        <f>IF(_epmOfflineCondition_,"710140",_xll.EVPRO($B$1,H35,"JDEID"))</f>
        <v>710140</v>
      </c>
      <c r="M35" s="90" t="str">
        <f>IF(_epmOfflineCondition_,"590171",IF(AND(I35="N",J35="N"),_xll.EVPRO($B$1,H35,"PSFTID"),""))</f>
        <v>590171</v>
      </c>
      <c r="N35" s="90" t="str">
        <f>IF(_epmOfflineCondition_,"Net Booking Fee",IF(_xll.EVDES(H35,$B$1)="#NODATA","",_xll.EVDES(H35,$B$1)))</f>
        <v>Net Booking Fee</v>
      </c>
      <c r="O35" s="138"/>
      <c r="P35" s="138"/>
      <c r="Q35" s="138"/>
      <c r="R35" s="138"/>
      <c r="S35" s="138"/>
      <c r="T35" s="138"/>
      <c r="U35" s="138"/>
      <c r="V35" s="138"/>
      <c r="W35" s="138"/>
      <c r="X35" s="138"/>
      <c r="Y35" s="138"/>
      <c r="Z35" s="138"/>
      <c r="AA35" s="210">
        <f t="shared" si="1"/>
        <v>0</v>
      </c>
      <c r="AB35" s="142" t="str">
        <f t="shared" si="2"/>
        <v/>
      </c>
      <c r="AC35" s="140"/>
      <c r="AD35" s="138"/>
      <c r="AE35" s="142" t="str">
        <f t="shared" si="3"/>
        <v/>
      </c>
      <c r="AF35" s="141">
        <f t="shared" si="4"/>
        <v>0</v>
      </c>
      <c r="AG35" s="138"/>
      <c r="AH35" s="142" t="str">
        <f t="shared" si="5"/>
        <v/>
      </c>
      <c r="AI35" s="141">
        <f t="shared" si="6"/>
        <v>0</v>
      </c>
      <c r="AJ35" s="211">
        <f t="shared" si="7"/>
        <v>0</v>
      </c>
      <c r="AK35" s="212">
        <f t="shared" si="8"/>
        <v>0</v>
      </c>
      <c r="AL35" s="213">
        <f t="shared" si="9"/>
        <v>0</v>
      </c>
      <c r="AM35" s="214">
        <f t="shared" si="10"/>
        <v>0</v>
      </c>
      <c r="AN35" s="213">
        <f t="shared" si="11"/>
        <v>0</v>
      </c>
      <c r="AO35" s="11"/>
    </row>
    <row r="36" spans="1:41" x14ac:dyDescent="0.25">
      <c r="A36" s="11"/>
      <c r="B36" s="11"/>
      <c r="C36" s="11"/>
      <c r="D36" s="11"/>
      <c r="E36" s="11"/>
      <c r="F36" s="11"/>
      <c r="G36" s="76"/>
      <c r="H36" s="88" t="s">
        <v>222</v>
      </c>
      <c r="I36" s="122" t="str">
        <f>IF(_epmOfflineCondition_,"N",_xll.EVPRO($B$1,$H36,"STYLE"))</f>
        <v>N</v>
      </c>
      <c r="J36" s="122" t="str">
        <f>IF(_epmOfflineCondition_,"N",_xll.EVPRO($B$1,$H36,"CALC"))</f>
        <v>N</v>
      </c>
      <c r="K36" s="179" t="str">
        <f t="shared" si="0"/>
        <v/>
      </c>
      <c r="L36" s="90" t="str">
        <f>IF(_epmOfflineCondition_,"710145",_xll.EVPRO($B$1,H36,"JDEID"))</f>
        <v>710145</v>
      </c>
      <c r="M36" s="90" t="str">
        <f>IF(_epmOfflineCondition_,"590520",IF(AND(I36="N",J36="N"),_xll.EVPRO($B$1,H36,"PSFTID"),""))</f>
        <v>590520</v>
      </c>
      <c r="N36" s="90" t="str">
        <f>IF(_epmOfflineCondition_,"Net Booking Fee - Rooming List",IF(_xll.EVDES(H36,$B$1)="#NODATA","",_xll.EVDES(H36,$B$1)))</f>
        <v>Net Booking Fee - Rooming List</v>
      </c>
      <c r="O36" s="138"/>
      <c r="P36" s="138"/>
      <c r="Q36" s="138"/>
      <c r="R36" s="138"/>
      <c r="S36" s="138"/>
      <c r="T36" s="138"/>
      <c r="U36" s="138"/>
      <c r="V36" s="138"/>
      <c r="W36" s="138"/>
      <c r="X36" s="138"/>
      <c r="Y36" s="138"/>
      <c r="Z36" s="138"/>
      <c r="AA36" s="210">
        <f t="shared" si="1"/>
        <v>0</v>
      </c>
      <c r="AB36" s="142" t="str">
        <f t="shared" si="2"/>
        <v/>
      </c>
      <c r="AC36" s="140"/>
      <c r="AD36" s="138"/>
      <c r="AE36" s="142" t="str">
        <f t="shared" si="3"/>
        <v/>
      </c>
      <c r="AF36" s="141">
        <f t="shared" si="4"/>
        <v>0</v>
      </c>
      <c r="AG36" s="138"/>
      <c r="AH36" s="142" t="str">
        <f t="shared" si="5"/>
        <v/>
      </c>
      <c r="AI36" s="141">
        <f t="shared" si="6"/>
        <v>0</v>
      </c>
      <c r="AJ36" s="211">
        <f t="shared" si="7"/>
        <v>0</v>
      </c>
      <c r="AK36" s="212">
        <f t="shared" si="8"/>
        <v>0</v>
      </c>
      <c r="AL36" s="213">
        <f t="shared" si="9"/>
        <v>0</v>
      </c>
      <c r="AM36" s="214">
        <f t="shared" si="10"/>
        <v>0</v>
      </c>
      <c r="AN36" s="213">
        <f t="shared" si="11"/>
        <v>0</v>
      </c>
      <c r="AO36" s="11"/>
    </row>
    <row r="37" spans="1:41" x14ac:dyDescent="0.25">
      <c r="A37" s="11" t="s">
        <v>105</v>
      </c>
      <c r="B37" s="11"/>
      <c r="C37" s="104" t="s">
        <v>101</v>
      </c>
      <c r="D37" s="11" t="s">
        <v>106</v>
      </c>
      <c r="E37" s="11"/>
      <c r="F37" s="11" t="s">
        <v>98</v>
      </c>
      <c r="G37" s="76"/>
      <c r="H37" s="88" t="s">
        <v>223</v>
      </c>
      <c r="I37" s="122" t="str">
        <f>IF(_epmOfflineCondition_,"N",_xll.EVPRO($B$1,$H37,"STYLE"))</f>
        <v>N</v>
      </c>
      <c r="J37" s="122" t="str">
        <f>IF(_epmOfflineCondition_,"N",_xll.EVPRO($B$1,$H37,"CALC"))</f>
        <v>N</v>
      </c>
      <c r="K37" s="179" t="str">
        <f t="shared" si="0"/>
        <v/>
      </c>
      <c r="L37" s="90" t="str">
        <f>IF(_epmOfflineCondition_,"710160",_xll.EVPRO($B$1,H37,"JDEID"))</f>
        <v>710160</v>
      </c>
      <c r="M37" s="90" t="str">
        <f>IF(_epmOfflineCondition_,"590525",IF(AND(I37="N",J37="N"),_xll.EVPRO($B$1,H37,"PSFTID"),""))</f>
        <v>590525</v>
      </c>
      <c r="N37" s="90" t="str">
        <f>IF(_epmOfflineCondition_,"Res Cost - Kimpton Fees",IF(_xll.EVDES(H37,$B$1)="#NODATA","",_xll.EVDES(H37,$B$1)))</f>
        <v>Res Cost - Kimpton Fees</v>
      </c>
      <c r="O37" s="138"/>
      <c r="P37" s="138"/>
      <c r="Q37" s="138"/>
      <c r="R37" s="138"/>
      <c r="S37" s="138"/>
      <c r="T37" s="138"/>
      <c r="U37" s="138"/>
      <c r="V37" s="138"/>
      <c r="W37" s="138"/>
      <c r="X37" s="138"/>
      <c r="Y37" s="138"/>
      <c r="Z37" s="138"/>
      <c r="AA37" s="210">
        <f t="shared" si="1"/>
        <v>0</v>
      </c>
      <c r="AB37" s="142" t="str">
        <f t="shared" si="2"/>
        <v/>
      </c>
      <c r="AC37" s="140"/>
      <c r="AD37" s="138"/>
      <c r="AE37" s="142" t="str">
        <f t="shared" si="3"/>
        <v/>
      </c>
      <c r="AF37" s="141">
        <f t="shared" si="4"/>
        <v>0</v>
      </c>
      <c r="AG37" s="138"/>
      <c r="AH37" s="142" t="str">
        <f t="shared" si="5"/>
        <v/>
      </c>
      <c r="AI37" s="141">
        <f t="shared" si="6"/>
        <v>0</v>
      </c>
      <c r="AJ37" s="211">
        <f t="shared" si="7"/>
        <v>0</v>
      </c>
      <c r="AK37" s="212">
        <f t="shared" si="8"/>
        <v>0</v>
      </c>
      <c r="AL37" s="213">
        <f t="shared" si="9"/>
        <v>0</v>
      </c>
      <c r="AM37" s="214">
        <f t="shared" si="10"/>
        <v>0</v>
      </c>
      <c r="AN37" s="213">
        <f t="shared" si="11"/>
        <v>0</v>
      </c>
      <c r="AO37" s="11"/>
    </row>
    <row r="38" spans="1:41" x14ac:dyDescent="0.25">
      <c r="A38" s="11" t="s">
        <v>104</v>
      </c>
      <c r="B38" s="11"/>
      <c r="C38" s="104" t="s">
        <v>101</v>
      </c>
      <c r="D38" s="11" t="s">
        <v>106</v>
      </c>
      <c r="E38" s="11"/>
      <c r="F38" s="11" t="s">
        <v>98</v>
      </c>
      <c r="G38" s="76"/>
      <c r="H38" s="88" t="s">
        <v>224</v>
      </c>
      <c r="I38" s="122" t="str">
        <f>IF(_epmOfflineCondition_,"N",_xll.EVPRO($B$1,$H38,"STYLE"))</f>
        <v>N</v>
      </c>
      <c r="J38" s="122" t="str">
        <f>IF(_epmOfflineCondition_,"N",_xll.EVPRO($B$1,$H38,"CALC"))</f>
        <v>N</v>
      </c>
      <c r="K38" s="179" t="str">
        <f t="shared" si="0"/>
        <v/>
      </c>
      <c r="L38" s="90" t="str">
        <f>IF(_epmOfflineCondition_,"710170",_xll.EVPRO($B$1,H38,"JDEID"))</f>
        <v>710170</v>
      </c>
      <c r="M38" s="90" t="str">
        <f>IF(_epmOfflineCondition_,"590530",IF(AND(I38="N",J38="N"),_xll.EVPRO($B$1,H38,"PSFTID"),""))</f>
        <v>590530</v>
      </c>
      <c r="N38" s="90" t="str">
        <f>IF(_epmOfflineCondition_,"Res Cost - GDS Fees",IF(_xll.EVDES(H38,$B$1)="#NODATA","",_xll.EVDES(H38,$B$1)))</f>
        <v>Res Cost - GDS Fees</v>
      </c>
      <c r="O38" s="138">
        <v>352</v>
      </c>
      <c r="P38" s="138">
        <v>359.2</v>
      </c>
      <c r="Q38" s="138">
        <v>-159.6</v>
      </c>
      <c r="R38" s="138">
        <v>363.8</v>
      </c>
      <c r="S38" s="138">
        <v>121</v>
      </c>
      <c r="T38" s="138">
        <v>349.6</v>
      </c>
      <c r="U38" s="138">
        <v>38.4</v>
      </c>
      <c r="V38" s="138">
        <v>157</v>
      </c>
      <c r="W38" s="138">
        <v>99</v>
      </c>
      <c r="X38" s="138">
        <v>357</v>
      </c>
      <c r="Y38" s="138">
        <v>108.8</v>
      </c>
      <c r="Z38" s="138">
        <v>403.2</v>
      </c>
      <c r="AA38" s="210">
        <f t="shared" si="1"/>
        <v>2549.4</v>
      </c>
      <c r="AB38" s="142">
        <f t="shared" si="2"/>
        <v>2.2043881279510083E-2</v>
      </c>
      <c r="AC38" s="140"/>
      <c r="AD38" s="138">
        <v>1598.848</v>
      </c>
      <c r="AE38" s="142">
        <f t="shared" si="3"/>
        <v>1.5002238665969975E-2</v>
      </c>
      <c r="AF38" s="141">
        <f t="shared" si="4"/>
        <v>950.55200000000013</v>
      </c>
      <c r="AG38" s="138">
        <v>1986.07</v>
      </c>
      <c r="AH38" s="142">
        <f t="shared" si="5"/>
        <v>2.1219689553848779E-2</v>
      </c>
      <c r="AI38" s="141">
        <f t="shared" si="6"/>
        <v>563.33000000000015</v>
      </c>
      <c r="AJ38" s="211">
        <f t="shared" si="7"/>
        <v>6.1707895628600476E-2</v>
      </c>
      <c r="AK38" s="212">
        <f t="shared" si="8"/>
        <v>4.0962492313998768E-2</v>
      </c>
      <c r="AL38" s="213">
        <f t="shared" si="9"/>
        <v>2.0745403314601708E-2</v>
      </c>
      <c r="AM38" s="214">
        <f t="shared" si="10"/>
        <v>4.9381386906685892E-2</v>
      </c>
      <c r="AN38" s="213">
        <f t="shared" si="11"/>
        <v>1.2326508721914584E-2</v>
      </c>
      <c r="AO38" s="11"/>
    </row>
    <row r="39" spans="1:41" x14ac:dyDescent="0.25">
      <c r="A39" s="11" t="s">
        <v>102</v>
      </c>
      <c r="B39" s="11"/>
      <c r="C39" s="106" t="s">
        <v>101</v>
      </c>
      <c r="D39" s="11" t="s">
        <v>106</v>
      </c>
      <c r="E39" s="11"/>
      <c r="F39" s="11" t="s">
        <v>98</v>
      </c>
      <c r="G39" s="76"/>
      <c r="H39" s="88" t="s">
        <v>225</v>
      </c>
      <c r="I39" s="122" t="str">
        <f>IF(_epmOfflineCondition_,"N",_xll.EVPRO($B$1,$H39,"STYLE"))</f>
        <v>N</v>
      </c>
      <c r="J39" s="122" t="str">
        <f>IF(_epmOfflineCondition_,"N",_xll.EVPRO($B$1,$H39,"CALC"))</f>
        <v>N</v>
      </c>
      <c r="K39" s="179" t="str">
        <f t="shared" si="0"/>
        <v/>
      </c>
      <c r="L39" s="90" t="str">
        <f>IF(_epmOfflineCondition_,"710180",_xll.EVPRO($B$1,H39,"JDEID"))</f>
        <v>710180</v>
      </c>
      <c r="M39" s="90" t="str">
        <f>IF(_epmOfflineCondition_,"590535",IF(AND(I39="N",J39="N"),_xll.EVPRO($B$1,H39,"PSFTID"),""))</f>
        <v>590535</v>
      </c>
      <c r="N39" s="90" t="str">
        <f>IF(_epmOfflineCondition_,"Res Cost - Hotel Website",IF(_xll.EVDES(H39,$B$1)="#NODATA","",_xll.EVDES(H39,$B$1)))</f>
        <v>Res Cost - Hotel Website</v>
      </c>
      <c r="O39" s="138"/>
      <c r="P39" s="138"/>
      <c r="Q39" s="138"/>
      <c r="R39" s="138"/>
      <c r="S39" s="138"/>
      <c r="T39" s="138"/>
      <c r="U39" s="138"/>
      <c r="V39" s="138"/>
      <c r="W39" s="138"/>
      <c r="X39" s="138"/>
      <c r="Y39" s="138"/>
      <c r="Z39" s="138"/>
      <c r="AA39" s="210">
        <f t="shared" si="1"/>
        <v>0</v>
      </c>
      <c r="AB39" s="142" t="str">
        <f t="shared" si="2"/>
        <v/>
      </c>
      <c r="AC39" s="140"/>
      <c r="AD39" s="138"/>
      <c r="AE39" s="142" t="str">
        <f t="shared" si="3"/>
        <v/>
      </c>
      <c r="AF39" s="141">
        <f t="shared" si="4"/>
        <v>0</v>
      </c>
      <c r="AG39" s="138"/>
      <c r="AH39" s="142" t="str">
        <f t="shared" si="5"/>
        <v/>
      </c>
      <c r="AI39" s="141">
        <f t="shared" si="6"/>
        <v>0</v>
      </c>
      <c r="AJ39" s="211">
        <f t="shared" si="7"/>
        <v>0</v>
      </c>
      <c r="AK39" s="212">
        <f t="shared" si="8"/>
        <v>0</v>
      </c>
      <c r="AL39" s="213">
        <f t="shared" si="9"/>
        <v>0</v>
      </c>
      <c r="AM39" s="214">
        <f t="shared" si="10"/>
        <v>0</v>
      </c>
      <c r="AN39" s="213">
        <f t="shared" si="11"/>
        <v>0</v>
      </c>
      <c r="AO39" s="11"/>
    </row>
    <row r="40" spans="1:41" x14ac:dyDescent="0.25">
      <c r="A40" s="11" t="s">
        <v>102</v>
      </c>
      <c r="B40" s="11"/>
      <c r="C40" s="109" t="s">
        <v>101</v>
      </c>
      <c r="D40" s="11" t="s">
        <v>107</v>
      </c>
      <c r="E40" s="11"/>
      <c r="F40" s="11" t="s">
        <v>99</v>
      </c>
      <c r="G40" s="76"/>
      <c r="H40" s="88" t="s">
        <v>226</v>
      </c>
      <c r="I40" s="122" t="str">
        <f>IF(_epmOfflineCondition_,"T5",_xll.EVPRO($B$1,$H40,"STYLE"))</f>
        <v>T5</v>
      </c>
      <c r="J40" s="122" t="str">
        <f>IF(_epmOfflineCondition_,"Y",_xll.EVPRO($B$1,$H40,"CALC"))</f>
        <v>Y</v>
      </c>
      <c r="K40" s="179" t="str">
        <f t="shared" si="0"/>
        <v>&gt;</v>
      </c>
      <c r="L40" s="90" t="str">
        <f>IF(_epmOfflineCondition_,"710190",_xll.EVPRO($B$1,H40,"JDEID"))</f>
        <v>710190</v>
      </c>
      <c r="M40" s="90" t="str">
        <f>IF(_epmOfflineCondition_,"",IF(AND(I40="N",J40="N"),_xll.EVPRO($B$1,H40,"PSFTID"),""))</f>
        <v/>
      </c>
      <c r="N40" s="90" t="str">
        <f>IF(_epmOfflineCondition_,"E-Channel Fees",IF(_xll.EVDES(H40,$B$1)="#NODATA","",_xll.EVDES(H40,$B$1)))</f>
        <v>E-Channel Fees</v>
      </c>
      <c r="O40" s="215"/>
      <c r="P40" s="215"/>
      <c r="Q40" s="215"/>
      <c r="R40" s="215"/>
      <c r="S40" s="215"/>
      <c r="T40" s="215"/>
      <c r="U40" s="215"/>
      <c r="V40" s="215"/>
      <c r="W40" s="215"/>
      <c r="X40" s="215"/>
      <c r="Y40" s="215"/>
      <c r="Z40" s="215"/>
      <c r="AA40" s="216">
        <f t="shared" si="1"/>
        <v>0</v>
      </c>
      <c r="AB40" s="217" t="str">
        <f t="shared" si="2"/>
        <v/>
      </c>
      <c r="AC40" s="140"/>
      <c r="AD40" s="215"/>
      <c r="AE40" s="217" t="str">
        <f t="shared" si="3"/>
        <v/>
      </c>
      <c r="AF40" s="218">
        <f t="shared" si="4"/>
        <v>0</v>
      </c>
      <c r="AG40" s="215"/>
      <c r="AH40" s="217" t="str">
        <f t="shared" si="5"/>
        <v/>
      </c>
      <c r="AI40" s="218">
        <f t="shared" si="6"/>
        <v>0</v>
      </c>
      <c r="AJ40" s="219">
        <f t="shared" si="7"/>
        <v>0</v>
      </c>
      <c r="AK40" s="220">
        <f t="shared" si="8"/>
        <v>0</v>
      </c>
      <c r="AL40" s="221">
        <f t="shared" si="9"/>
        <v>0</v>
      </c>
      <c r="AM40" s="222">
        <f t="shared" si="10"/>
        <v>0</v>
      </c>
      <c r="AN40" s="221">
        <f t="shared" si="11"/>
        <v>0</v>
      </c>
      <c r="AO40" s="11"/>
    </row>
    <row r="41" spans="1:41" x14ac:dyDescent="0.25">
      <c r="A41" s="11" t="s">
        <v>244</v>
      </c>
      <c r="B41" s="11"/>
      <c r="C41" s="109" t="s">
        <v>101</v>
      </c>
      <c r="D41" s="11" t="s">
        <v>107</v>
      </c>
      <c r="E41" s="11"/>
      <c r="F41" s="11" t="s">
        <v>99</v>
      </c>
      <c r="G41" s="76"/>
      <c r="H41" s="88" t="s">
        <v>227</v>
      </c>
      <c r="I41" s="188" t="str">
        <f>IF(_epmOfflineCondition_,"T4",_xll.EVPRO($B$1,$H41,"STYLE"))</f>
        <v>T4</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IF(_epmOfflineCondition_,"Total Reservations Fees",IF(_xll.EVDES(H41,$B$1)="#NODATA","",_xll.EVDES(H41,$B$1)))</f>
        <v>Total Reservations Fees</v>
      </c>
      <c r="O41" s="223">
        <v>352</v>
      </c>
      <c r="P41" s="223">
        <v>359.2</v>
      </c>
      <c r="Q41" s="223">
        <v>-159.6</v>
      </c>
      <c r="R41" s="223">
        <v>363.8</v>
      </c>
      <c r="S41" s="223">
        <v>121</v>
      </c>
      <c r="T41" s="223">
        <v>349.6</v>
      </c>
      <c r="U41" s="223">
        <v>38.4</v>
      </c>
      <c r="V41" s="223">
        <v>157</v>
      </c>
      <c r="W41" s="223">
        <v>99</v>
      </c>
      <c r="X41" s="223">
        <v>357</v>
      </c>
      <c r="Y41" s="223">
        <v>108.8</v>
      </c>
      <c r="Z41" s="223">
        <v>403.2</v>
      </c>
      <c r="AA41" s="223">
        <f t="shared" si="1"/>
        <v>2549.4</v>
      </c>
      <c r="AB41" s="224">
        <f t="shared" si="2"/>
        <v>2.2043881279510083E-2</v>
      </c>
      <c r="AC41" s="225"/>
      <c r="AD41" s="223">
        <v>1598.848</v>
      </c>
      <c r="AE41" s="224">
        <f t="shared" si="3"/>
        <v>1.5002238665969975E-2</v>
      </c>
      <c r="AF41" s="226">
        <f t="shared" si="4"/>
        <v>950.55200000000013</v>
      </c>
      <c r="AG41" s="223">
        <v>1986.07</v>
      </c>
      <c r="AH41" s="224">
        <f t="shared" si="5"/>
        <v>2.1219689553848779E-2</v>
      </c>
      <c r="AI41" s="226">
        <f t="shared" si="6"/>
        <v>563.33000000000015</v>
      </c>
      <c r="AJ41" s="227">
        <f t="shared" si="7"/>
        <v>6.1707895628600476E-2</v>
      </c>
      <c r="AK41" s="228">
        <f t="shared" si="8"/>
        <v>4.0962492313998768E-2</v>
      </c>
      <c r="AL41" s="229">
        <f t="shared" si="9"/>
        <v>2.0745403314601708E-2</v>
      </c>
      <c r="AM41" s="230">
        <f t="shared" si="10"/>
        <v>4.9381386906685892E-2</v>
      </c>
      <c r="AN41" s="229">
        <f t="shared" si="11"/>
        <v>1.2326508721914584E-2</v>
      </c>
      <c r="AO41" s="11"/>
    </row>
    <row r="42" spans="1:41" x14ac:dyDescent="0.25">
      <c r="A42" s="11"/>
      <c r="B42" s="11"/>
      <c r="C42" s="11"/>
      <c r="D42" s="11"/>
      <c r="E42" s="11"/>
      <c r="F42" s="11"/>
      <c r="G42" s="76"/>
      <c r="H42" s="185" t="s">
        <v>228</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IF(_epmOfflineCondition_,"Total Telephone Cost    ",IF(_xll.EVDES(H42,$B$1)="#NODATA","",_xll.EVDES(H42,$B$1)))</f>
        <v xml:space="preserve">Total Telephone Cost    </v>
      </c>
      <c r="O42" s="231"/>
      <c r="P42" s="231"/>
      <c r="Q42" s="231"/>
      <c r="R42" s="231"/>
      <c r="S42" s="231"/>
      <c r="T42" s="231"/>
      <c r="U42" s="231"/>
      <c r="V42" s="231"/>
      <c r="W42" s="231"/>
      <c r="X42" s="231"/>
      <c r="Y42" s="231"/>
      <c r="Z42" s="231"/>
      <c r="AA42" s="232">
        <f t="shared" si="1"/>
        <v>0</v>
      </c>
      <c r="AB42" s="233" t="str">
        <f t="shared" si="2"/>
        <v/>
      </c>
      <c r="AC42" s="140"/>
      <c r="AD42" s="231"/>
      <c r="AE42" s="233" t="str">
        <f t="shared" si="3"/>
        <v/>
      </c>
      <c r="AF42" s="234">
        <f t="shared" si="4"/>
        <v>0</v>
      </c>
      <c r="AG42" s="231"/>
      <c r="AH42" s="233" t="str">
        <f t="shared" si="5"/>
        <v/>
      </c>
      <c r="AI42" s="234">
        <f t="shared" si="6"/>
        <v>0</v>
      </c>
      <c r="AJ42" s="235">
        <f t="shared" si="7"/>
        <v>0</v>
      </c>
      <c r="AK42" s="236">
        <f t="shared" si="8"/>
        <v>0</v>
      </c>
      <c r="AL42" s="237">
        <f t="shared" si="9"/>
        <v>0</v>
      </c>
      <c r="AM42" s="238">
        <f t="shared" si="10"/>
        <v>0</v>
      </c>
      <c r="AN42" s="237">
        <f t="shared" si="11"/>
        <v>0</v>
      </c>
      <c r="AO42" s="11"/>
    </row>
    <row r="43" spans="1:41" x14ac:dyDescent="0.25">
      <c r="A43" s="11"/>
      <c r="B43" s="11"/>
      <c r="C43" s="11"/>
      <c r="D43" s="11"/>
      <c r="E43" s="11"/>
      <c r="F43" s="11"/>
      <c r="G43" s="76"/>
      <c r="H43" s="185" t="s">
        <v>241</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IF(_epmOfflineCondition_,"Other Reservations Expenses",IF(_xll.EVDES(H43,$B$1)="#NODATA","",_xll.EVDES(H43,$B$1)))</f>
        <v>Other Reservations Expenses</v>
      </c>
      <c r="O43" s="215"/>
      <c r="P43" s="215"/>
      <c r="Q43" s="215"/>
      <c r="R43" s="215"/>
      <c r="S43" s="215"/>
      <c r="T43" s="215"/>
      <c r="U43" s="215"/>
      <c r="V43" s="215"/>
      <c r="W43" s="215"/>
      <c r="X43" s="215"/>
      <c r="Y43" s="215"/>
      <c r="Z43" s="215"/>
      <c r="AA43" s="216">
        <f t="shared" si="1"/>
        <v>0</v>
      </c>
      <c r="AB43" s="217" t="str">
        <f t="shared" si="2"/>
        <v/>
      </c>
      <c r="AC43" s="140"/>
      <c r="AD43" s="215"/>
      <c r="AE43" s="217" t="str">
        <f t="shared" si="3"/>
        <v/>
      </c>
      <c r="AF43" s="218">
        <f t="shared" si="4"/>
        <v>0</v>
      </c>
      <c r="AG43" s="215"/>
      <c r="AH43" s="217" t="str">
        <f t="shared" si="5"/>
        <v/>
      </c>
      <c r="AI43" s="218">
        <f t="shared" si="6"/>
        <v>0</v>
      </c>
      <c r="AJ43" s="219">
        <f t="shared" si="7"/>
        <v>0</v>
      </c>
      <c r="AK43" s="220">
        <f t="shared" si="8"/>
        <v>0</v>
      </c>
      <c r="AL43" s="221">
        <f t="shared" si="9"/>
        <v>0</v>
      </c>
      <c r="AM43" s="222">
        <f t="shared" si="10"/>
        <v>0</v>
      </c>
      <c r="AN43" s="221">
        <f t="shared" si="11"/>
        <v>0</v>
      </c>
      <c r="AO43" s="11"/>
    </row>
    <row r="44" spans="1:41" x14ac:dyDescent="0.25">
      <c r="A44" s="61" t="str">
        <f>IF(_epmOfflineCondition_,"Evdre:Ok",_xll.EVDRE($B$1,A47:B54))</f>
        <v>Evdre:Ok</v>
      </c>
      <c r="B44" s="11"/>
      <c r="C44" s="11"/>
      <c r="D44" s="11"/>
      <c r="E44" s="11"/>
      <c r="F44" s="11"/>
      <c r="G44" s="76"/>
      <c r="H44" s="185" t="s">
        <v>229</v>
      </c>
      <c r="I44" s="188" t="str">
        <f>IF(_epmOfflineCondition_,"T4",_xll.EVPRO($B$1,$H44,"STYLE"))</f>
        <v>T4</v>
      </c>
      <c r="J44" s="188" t="str">
        <f>IF(_epmOfflineCondition_,"Y",_xll.EVPRO($B$1,$H44,"CALC"))</f>
        <v>Y</v>
      </c>
      <c r="K44" s="189" t="str">
        <f t="shared" si="0"/>
        <v/>
      </c>
      <c r="L44" s="190" t="str">
        <f>IF(_epmOfflineCondition_,"",_xll.EVPRO($B$1,H44,"JDEID"))</f>
        <v/>
      </c>
      <c r="M44" s="190" t="str">
        <f>IF(_epmOfflineCondition_,"",IF(AND(I44="N",J44="N"),_xll.EVPRO($B$1,H44,"PSFTID"),""))</f>
        <v/>
      </c>
      <c r="N44" s="190" t="str">
        <f>IF(_epmOfflineCondition_,"Total Other Reservation Expenses",IF(_xll.EVDES(H44,$B$1)="#NODATA","",_xll.EVDES(H44,$B$1)))</f>
        <v>Total Other Reservation Expenses</v>
      </c>
      <c r="O44" s="242"/>
      <c r="P44" s="242"/>
      <c r="Q44" s="242"/>
      <c r="R44" s="242"/>
      <c r="S44" s="242"/>
      <c r="T44" s="242"/>
      <c r="U44" s="242"/>
      <c r="V44" s="242"/>
      <c r="W44" s="242"/>
      <c r="X44" s="242"/>
      <c r="Y44" s="242"/>
      <c r="Z44" s="242"/>
      <c r="AA44" s="242">
        <f t="shared" si="1"/>
        <v>0</v>
      </c>
      <c r="AB44" s="243" t="str">
        <f t="shared" si="2"/>
        <v/>
      </c>
      <c r="AC44" s="244"/>
      <c r="AD44" s="242"/>
      <c r="AE44" s="243" t="str">
        <f t="shared" si="3"/>
        <v/>
      </c>
      <c r="AF44" s="245">
        <f t="shared" si="4"/>
        <v>0</v>
      </c>
      <c r="AG44" s="242"/>
      <c r="AH44" s="243" t="str">
        <f t="shared" si="5"/>
        <v/>
      </c>
      <c r="AI44" s="245">
        <f t="shared" si="6"/>
        <v>0</v>
      </c>
      <c r="AJ44" s="246">
        <f t="shared" si="7"/>
        <v>0</v>
      </c>
      <c r="AK44" s="247">
        <f t="shared" si="8"/>
        <v>0</v>
      </c>
      <c r="AL44" s="248">
        <f t="shared" si="9"/>
        <v>0</v>
      </c>
      <c r="AM44" s="249">
        <f t="shared" si="10"/>
        <v>0</v>
      </c>
      <c r="AN44" s="248">
        <f t="shared" si="11"/>
        <v>0</v>
      </c>
      <c r="AO44" s="11"/>
    </row>
    <row r="45" spans="1:41" x14ac:dyDescent="0.25">
      <c r="A45" s="11"/>
      <c r="B45" s="11"/>
      <c r="C45" s="11"/>
      <c r="D45" s="11"/>
      <c r="E45" s="11"/>
      <c r="F45" s="11"/>
      <c r="G45" s="76"/>
      <c r="H45" s="185" t="s">
        <v>77</v>
      </c>
      <c r="I45" s="188" t="str">
        <f>IF(_epmOfflineCondition_,"T4",_xll.EVPRO($B$1,$H45,"STYLE"))</f>
        <v>T4</v>
      </c>
      <c r="J45" s="188" t="str">
        <f>IF(_epmOfflineCondition_,"Y",_xll.EVPRO($B$1,$H45,"CALC"))</f>
        <v>Y</v>
      </c>
      <c r="K45" s="189" t="str">
        <f t="shared" si="0"/>
        <v/>
      </c>
      <c r="L45" s="190" t="str">
        <f>IF(_epmOfflineCondition_,"710000",_xll.EVPRO($B$1,H45,"JDEID"))</f>
        <v>710000</v>
      </c>
      <c r="M45" s="190" t="str">
        <f>IF(_epmOfflineCondition_,"",IF(AND(I45="N",J45="N"),_xll.EVPRO($B$1,H45,"PSFTID"),""))</f>
        <v/>
      </c>
      <c r="N45" s="190" t="str">
        <f>IF(_epmOfflineCondition_,"Total Reservations Fees &amp; Other Exp",IF(_xll.EVDES(H45,$B$1)="#NODATA","",_xll.EVDES(H45,$B$1)))</f>
        <v>Total Reservations Fees &amp; Other Exp</v>
      </c>
      <c r="O45" s="223">
        <v>352</v>
      </c>
      <c r="P45" s="223">
        <v>359.2</v>
      </c>
      <c r="Q45" s="223">
        <v>-159.6</v>
      </c>
      <c r="R45" s="223">
        <v>363.8</v>
      </c>
      <c r="S45" s="223">
        <v>121</v>
      </c>
      <c r="T45" s="223">
        <v>349.6</v>
      </c>
      <c r="U45" s="223">
        <v>38.4</v>
      </c>
      <c r="V45" s="223">
        <v>157</v>
      </c>
      <c r="W45" s="223">
        <v>99</v>
      </c>
      <c r="X45" s="223">
        <v>357</v>
      </c>
      <c r="Y45" s="223">
        <v>108.8</v>
      </c>
      <c r="Z45" s="223">
        <v>403.2</v>
      </c>
      <c r="AA45" s="223">
        <f t="shared" si="1"/>
        <v>2549.4</v>
      </c>
      <c r="AB45" s="224">
        <f t="shared" si="2"/>
        <v>2.2043881279510083E-2</v>
      </c>
      <c r="AC45" s="225"/>
      <c r="AD45" s="223">
        <v>1598.848</v>
      </c>
      <c r="AE45" s="224">
        <f t="shared" si="3"/>
        <v>1.5002238665969975E-2</v>
      </c>
      <c r="AF45" s="226">
        <f t="shared" si="4"/>
        <v>950.55200000000013</v>
      </c>
      <c r="AG45" s="223">
        <v>1986.07</v>
      </c>
      <c r="AH45" s="224">
        <f t="shared" si="5"/>
        <v>2.1219689553848779E-2</v>
      </c>
      <c r="AI45" s="226">
        <f t="shared" si="6"/>
        <v>563.33000000000015</v>
      </c>
      <c r="AJ45" s="227">
        <f t="shared" si="7"/>
        <v>6.1707895628600476E-2</v>
      </c>
      <c r="AK45" s="228">
        <f t="shared" si="8"/>
        <v>4.0962492313998768E-2</v>
      </c>
      <c r="AL45" s="229">
        <f t="shared" si="9"/>
        <v>2.0745403314601708E-2</v>
      </c>
      <c r="AM45" s="230">
        <f t="shared" si="10"/>
        <v>4.9381386906685892E-2</v>
      </c>
      <c r="AN45" s="229">
        <f t="shared" si="11"/>
        <v>1.2326508721914584E-2</v>
      </c>
      <c r="AO45" s="11"/>
    </row>
    <row r="46" spans="1:41" x14ac:dyDescent="0.25">
      <c r="A46" s="62" t="s">
        <v>0</v>
      </c>
      <c r="B46" s="63" t="s">
        <v>1</v>
      </c>
      <c r="C46" s="11"/>
      <c r="D46" s="11"/>
      <c r="E46" s="11"/>
      <c r="F46" s="11"/>
      <c r="G46" s="76"/>
      <c r="H46" s="88"/>
      <c r="I46" s="89"/>
      <c r="J46" s="89"/>
      <c r="K46" s="265"/>
      <c r="L46" s="265"/>
      <c r="M46" s="265"/>
      <c r="N46" s="106"/>
      <c r="O46" s="364"/>
      <c r="P46" s="364"/>
      <c r="Q46" s="364"/>
      <c r="R46" s="364"/>
      <c r="S46" s="364"/>
      <c r="T46" s="364"/>
      <c r="U46" s="364"/>
      <c r="V46" s="364"/>
      <c r="W46" s="364"/>
      <c r="X46" s="364"/>
      <c r="Y46" s="364"/>
      <c r="Z46" s="364"/>
      <c r="AA46" s="364"/>
      <c r="AB46" s="365"/>
      <c r="AC46" s="11"/>
      <c r="AD46" s="364"/>
      <c r="AE46" s="365"/>
      <c r="AF46" s="366"/>
      <c r="AG46" s="364"/>
      <c r="AH46" s="365"/>
      <c r="AI46" s="366"/>
      <c r="AJ46" s="11"/>
      <c r="AK46" s="11"/>
      <c r="AL46" s="11"/>
      <c r="AM46" s="11"/>
      <c r="AN46" s="11"/>
      <c r="AO46" s="11"/>
    </row>
    <row r="47" spans="1:41" x14ac:dyDescent="0.25">
      <c r="A47" s="65" t="s">
        <v>2</v>
      </c>
      <c r="B47" s="66" t="str">
        <f>IF(_epmOfflineCondition_,"'Resv'!$B$2:$B$10",_xll.EVRNG($B$2:$B$10))</f>
        <v>'Resv'!$B$2:$B$10</v>
      </c>
      <c r="C47" s="11"/>
      <c r="D47" s="11"/>
      <c r="E47" s="11"/>
      <c r="F47" s="11"/>
      <c r="G47" s="76"/>
      <c r="H47" s="88"/>
      <c r="I47" s="136"/>
      <c r="J47" s="136"/>
      <c r="K47" s="11"/>
      <c r="L47" s="11"/>
      <c r="M47" s="11"/>
      <c r="N47" s="104" t="s">
        <v>242</v>
      </c>
      <c r="O47" s="215">
        <f t="shared" ref="O47:Z47" si="12">SUMIF($H$34:$H$48,"700000",O34:O48)-SUMIF($H$34:$H$48,"710000",O34:O48)</f>
        <v>12407.86</v>
      </c>
      <c r="P47" s="215">
        <f t="shared" si="12"/>
        <v>11361.359999999999</v>
      </c>
      <c r="Q47" s="215">
        <f t="shared" si="12"/>
        <v>12974.1</v>
      </c>
      <c r="R47" s="215">
        <f t="shared" si="12"/>
        <v>12061.76</v>
      </c>
      <c r="S47" s="215">
        <f t="shared" si="12"/>
        <v>10800</v>
      </c>
      <c r="T47" s="215">
        <f t="shared" si="12"/>
        <v>6500</v>
      </c>
      <c r="U47" s="215">
        <f t="shared" si="12"/>
        <v>8834.98</v>
      </c>
      <c r="V47" s="215">
        <f t="shared" si="12"/>
        <v>6279.39</v>
      </c>
      <c r="W47" s="215">
        <f t="shared" si="12"/>
        <v>4941</v>
      </c>
      <c r="X47" s="215">
        <f t="shared" si="12"/>
        <v>6471.97</v>
      </c>
      <c r="Y47" s="215">
        <f t="shared" si="12"/>
        <v>9002.9800000000014</v>
      </c>
      <c r="Z47" s="215">
        <f t="shared" si="12"/>
        <v>11466.34</v>
      </c>
      <c r="AA47" s="215">
        <f>IF($I47="B1","",SUM(O47:Z47))</f>
        <v>113101.73999999999</v>
      </c>
      <c r="AB47" s="217">
        <f>IF(AA47=0,"",IFERROR(AA47/AA$19,""))</f>
        <v>0.97795611872048971</v>
      </c>
      <c r="AC47" s="140"/>
      <c r="AD47" s="215">
        <f>SUMIF($H$34:$H$48,"700000",AD34:AD48)-SUMIF($H$34:$H$48,"710000",AD34:AD48)</f>
        <v>104975.1131</v>
      </c>
      <c r="AE47" s="217">
        <f>IF(AD47=0,"",IFERROR(AD47/AD$19,""))</f>
        <v>0.98499776133403005</v>
      </c>
      <c r="AF47" s="218">
        <f>IF(AND($AA47="",AD47=""),"",$AA47-AD47)</f>
        <v>8126.6268999999884</v>
      </c>
      <c r="AG47" s="215">
        <f>SUMIF($H$34:$H$48,"700000",AG34:AG48)-SUMIF($H$34:$H$48,"710000",AG34:AG48)</f>
        <v>91609.549999999988</v>
      </c>
      <c r="AH47" s="217">
        <f>IF(AG47=0,"",IFERROR(AG47/AG$19,""))</f>
        <v>0.9787803104461511</v>
      </c>
      <c r="AI47" s="218">
        <f>IF(AND($AA47="",AG47=""),"",$AA47-AG47)</f>
        <v>21492.190000000002</v>
      </c>
      <c r="AJ47" s="373">
        <f>IFERROR(AA47/AA$22,0)</f>
        <v>2.7376129157186422</v>
      </c>
      <c r="AK47" s="374">
        <f>IFERROR(AD47/AD$22,0)</f>
        <v>2.6894628279360524</v>
      </c>
      <c r="AL47" s="375">
        <f>AJ47-AK47</f>
        <v>4.8150087782589779E-2</v>
      </c>
      <c r="AM47" s="376">
        <f>IFERROR(AG47/AG$22,0)</f>
        <v>2.2777679703622664</v>
      </c>
      <c r="AN47" s="375">
        <f>AJ47-AM47</f>
        <v>0.45984494535637577</v>
      </c>
      <c r="AO47" s="11"/>
    </row>
    <row r="48" spans="1:41" x14ac:dyDescent="0.25">
      <c r="A48" s="65" t="s">
        <v>3</v>
      </c>
      <c r="B48" s="66" t="str">
        <f>IF(_epmOfflineCondition_,"'Resv'!$O$16:$AN$18",_xll.EVRNG($O$16:$AN$18))</f>
        <v>'Resv'!$O$16:$AN$18</v>
      </c>
      <c r="C48" s="11"/>
      <c r="D48" s="11"/>
      <c r="E48" s="11"/>
      <c r="F48" s="11"/>
      <c r="G48" s="367"/>
      <c r="H48" s="88" t="s">
        <v>79</v>
      </c>
      <c r="I48" s="136" t="str">
        <f>IF(_epmOfflineCondition_,"T3",_xll.EVPRO($B$1,$H48,"STYLE"))</f>
        <v>T3</v>
      </c>
      <c r="J48" s="136" t="str">
        <f>IF(_epmOfflineCondition_,"Y",_xll.EVPRO($B$1,$H48,"CALC"))</f>
        <v>Y</v>
      </c>
      <c r="K48" s="11"/>
      <c r="L48" s="11"/>
      <c r="M48" s="11"/>
      <c r="N48" s="107" t="s">
        <v>243</v>
      </c>
      <c r="O48" s="377">
        <v>12759.86</v>
      </c>
      <c r="P48" s="377">
        <v>11720.56</v>
      </c>
      <c r="Q48" s="377">
        <v>12814.5</v>
      </c>
      <c r="R48" s="377">
        <v>12425.56</v>
      </c>
      <c r="S48" s="377">
        <v>10921</v>
      </c>
      <c r="T48" s="377">
        <v>6849.6</v>
      </c>
      <c r="U48" s="377">
        <v>8873.3799999999992</v>
      </c>
      <c r="V48" s="377">
        <v>6436.39</v>
      </c>
      <c r="W48" s="377">
        <v>5040</v>
      </c>
      <c r="X48" s="377">
        <v>6828.97</v>
      </c>
      <c r="Y48" s="377">
        <v>9111.7800000000007</v>
      </c>
      <c r="Z48" s="377">
        <v>11869.54</v>
      </c>
      <c r="AA48" s="377">
        <f>IF($I48="B1","",SUM(O48:Z48))</f>
        <v>115651.14000000001</v>
      </c>
      <c r="AB48" s="378">
        <f>IF(AA48=0,"",IFERROR(AA48/AA$19,""))</f>
        <v>1</v>
      </c>
      <c r="AC48" s="140"/>
      <c r="AD48" s="377">
        <v>106573.9611</v>
      </c>
      <c r="AE48" s="378">
        <f>IF(AD48=0,"",IFERROR(AD48/AD$19,""))</f>
        <v>1</v>
      </c>
      <c r="AF48" s="379">
        <f>IF(AND($AA48="",AD48=""),"",$AA48-AD48)</f>
        <v>9077.1789000000135</v>
      </c>
      <c r="AG48" s="377">
        <v>93595.62</v>
      </c>
      <c r="AH48" s="378">
        <f>IF(AG48=0,"",IFERROR(AG48/AG$19,""))</f>
        <v>1</v>
      </c>
      <c r="AI48" s="379">
        <f>IF(AND($AA48="",AG48=""),"",$AA48-AG48)</f>
        <v>22055.520000000019</v>
      </c>
      <c r="AJ48" s="235">
        <f>IFERROR(AA48/AA$22,0)</f>
        <v>2.7993208113472434</v>
      </c>
      <c r="AK48" s="236">
        <f>IFERROR(AD48/AD$22,0)</f>
        <v>2.7304253202500512</v>
      </c>
      <c r="AL48" s="237">
        <f>AJ48-AK48</f>
        <v>6.8895491097192174E-2</v>
      </c>
      <c r="AM48" s="238">
        <f>IFERROR(AG48/AG$22,0)</f>
        <v>2.3271493572689526</v>
      </c>
      <c r="AN48" s="237">
        <f>AJ48-AM48</f>
        <v>0.47217145407829086</v>
      </c>
      <c r="AO48" s="11"/>
    </row>
    <row r="49" spans="1:41" x14ac:dyDescent="0.25">
      <c r="A49" s="65" t="s">
        <v>4</v>
      </c>
      <c r="B49" s="66" t="str">
        <f>IF(_epmOfflineCondition_,"'Resv'!$H$47:$H$51",_xll.EVRNG(H47:H51))</f>
        <v>'Resv'!$H$47:$H$51</v>
      </c>
      <c r="C49" s="11"/>
      <c r="D49" s="11"/>
      <c r="E49" s="11"/>
      <c r="F49" s="11"/>
      <c r="G49" s="76"/>
      <c r="H49" s="88"/>
      <c r="I49" s="136"/>
      <c r="J49" s="136"/>
      <c r="K49" s="11"/>
      <c r="L49" s="11"/>
      <c r="M49" s="11"/>
      <c r="N49" s="368"/>
      <c r="O49" s="138"/>
      <c r="P49" s="138"/>
      <c r="Q49" s="138"/>
      <c r="R49" s="138"/>
      <c r="S49" s="138"/>
      <c r="T49" s="138"/>
      <c r="U49" s="138"/>
      <c r="V49" s="138"/>
      <c r="W49" s="138"/>
      <c r="X49" s="138"/>
      <c r="Y49" s="138"/>
      <c r="Z49" s="138"/>
      <c r="AA49" s="138"/>
      <c r="AB49" s="142"/>
      <c r="AC49" s="140"/>
      <c r="AD49" s="138"/>
      <c r="AE49" s="142"/>
      <c r="AF49" s="141"/>
      <c r="AG49" s="138"/>
      <c r="AH49" s="142"/>
      <c r="AI49" s="141"/>
      <c r="AJ49" s="140"/>
      <c r="AK49" s="140"/>
      <c r="AL49" s="140"/>
      <c r="AM49" s="140"/>
      <c r="AN49" s="140"/>
      <c r="AO49" s="11"/>
    </row>
    <row r="50" spans="1:41" x14ac:dyDescent="0.25">
      <c r="A50" s="65" t="s">
        <v>5</v>
      </c>
      <c r="B50" s="66"/>
      <c r="C50" s="11"/>
      <c r="D50" s="11"/>
      <c r="E50" s="11"/>
      <c r="F50" s="11"/>
      <c r="G50" s="76"/>
      <c r="H50" s="88" t="s">
        <v>76</v>
      </c>
      <c r="I50" s="136" t="str">
        <f>IF(_epmOfflineCondition_,"T1",_xll.EVPRO($B$1,$H50,"STYLE"))</f>
        <v>T1</v>
      </c>
      <c r="J50" s="136" t="str">
        <f>IF(_epmOfflineCondition_,"Y",_xll.EVPRO($B$1,$H50,"CALC"))</f>
        <v>Y</v>
      </c>
      <c r="K50" s="11"/>
      <c r="L50" s="11"/>
      <c r="M50" s="11"/>
      <c r="N50" s="368" t="str">
        <f>IF(_epmOfflineCondition_,"Total Labor &amp; Related Exp",IF(_xll.EVDES(H50,$B$1)="#NODATA","",_xll.EVDES(H50,$B$1)))</f>
        <v>Total Labor &amp; Related Exp</v>
      </c>
      <c r="O50" s="215"/>
      <c r="P50" s="215"/>
      <c r="Q50" s="215"/>
      <c r="R50" s="215"/>
      <c r="S50" s="215"/>
      <c r="T50" s="215"/>
      <c r="U50" s="215"/>
      <c r="V50" s="215"/>
      <c r="W50" s="215"/>
      <c r="X50" s="215"/>
      <c r="Y50" s="215"/>
      <c r="Z50" s="215"/>
      <c r="AA50" s="215">
        <f>IF($I50="B1","",SUM(O50:Z50))</f>
        <v>0</v>
      </c>
      <c r="AB50" s="217"/>
      <c r="AC50" s="140"/>
      <c r="AD50" s="215">
        <v>28800</v>
      </c>
      <c r="AE50" s="217"/>
      <c r="AF50" s="218">
        <f>IF(AND($AA50="",AD50=""),"",$AA50-AD50)</f>
        <v>-28800</v>
      </c>
      <c r="AG50" s="215"/>
      <c r="AH50" s="217"/>
      <c r="AI50" s="218">
        <f>IF(AND($AA50="",AG50=""),"",$AA50-AG50)</f>
        <v>0</v>
      </c>
      <c r="AJ50" s="219">
        <f>IFERROR(AA50/AA$22,0)</f>
        <v>0</v>
      </c>
      <c r="AK50" s="220">
        <f>IFERROR(AD50/AD$22,0)</f>
        <v>0.73785611805697893</v>
      </c>
      <c r="AL50" s="221">
        <f>AJ50-AK50</f>
        <v>-0.73785611805697893</v>
      </c>
      <c r="AM50" s="222">
        <f>IFERROR(AG50/AG$22,0)</f>
        <v>0</v>
      </c>
      <c r="AN50" s="221">
        <f>AJ50-AM50</f>
        <v>0</v>
      </c>
      <c r="AO50" s="11"/>
    </row>
    <row r="51" spans="1:41" ht="15.75" thickBot="1" x14ac:dyDescent="0.3">
      <c r="A51" s="65" t="s">
        <v>6</v>
      </c>
      <c r="B51" s="66"/>
      <c r="C51" s="11"/>
      <c r="D51" s="11"/>
      <c r="E51" s="11"/>
      <c r="F51" s="11"/>
      <c r="G51" s="76"/>
      <c r="H51" s="88" t="s">
        <v>80</v>
      </c>
      <c r="I51" s="136" t="str">
        <f>IF(_epmOfflineCondition_,"T3",_xll.EVPRO($B$1,$H51,"STYLE"))</f>
        <v>T3</v>
      </c>
      <c r="J51" s="136" t="str">
        <f>IF(_epmOfflineCondition_,"Y",_xll.EVPRO($B$1,$H51,"CALC"))</f>
        <v>Y</v>
      </c>
      <c r="K51" s="11"/>
      <c r="L51" s="11"/>
      <c r="M51" s="11"/>
      <c r="N51" s="107" t="str">
        <f>IF(_epmOfflineCondition_,"Total Expenses",IF(_xll.EVDES(H51,$B$1)="#NODATA","",_xll.EVDES(H51,$B$1)))</f>
        <v>Total Expenses</v>
      </c>
      <c r="O51" s="165">
        <v>12759.86</v>
      </c>
      <c r="P51" s="165">
        <v>11720.56</v>
      </c>
      <c r="Q51" s="165">
        <v>12814.5</v>
      </c>
      <c r="R51" s="165">
        <v>12425.56</v>
      </c>
      <c r="S51" s="165">
        <v>10921</v>
      </c>
      <c r="T51" s="165">
        <v>6849.6</v>
      </c>
      <c r="U51" s="165">
        <v>8873.3799999999992</v>
      </c>
      <c r="V51" s="165">
        <v>6436.39</v>
      </c>
      <c r="W51" s="165">
        <v>5040</v>
      </c>
      <c r="X51" s="165">
        <v>6828.97</v>
      </c>
      <c r="Y51" s="165">
        <v>9111.7800000000007</v>
      </c>
      <c r="Z51" s="165">
        <v>11869.54</v>
      </c>
      <c r="AA51" s="165">
        <f>IF($I51="B1","",SUM(O51:Z51))</f>
        <v>115651.14000000001</v>
      </c>
      <c r="AB51" s="166"/>
      <c r="AC51" s="140"/>
      <c r="AD51" s="165">
        <v>135373.96109999999</v>
      </c>
      <c r="AE51" s="166"/>
      <c r="AF51" s="167">
        <f>IF(AND($AA51="",AD51=""),"",$AA51-AD51)</f>
        <v>-19722.821099999972</v>
      </c>
      <c r="AG51" s="165">
        <v>93595.62</v>
      </c>
      <c r="AH51" s="166"/>
      <c r="AI51" s="167">
        <f>IF(AND($AA51="",AG51=""),"",$AA51-AG51)</f>
        <v>22055.520000000019</v>
      </c>
      <c r="AJ51" s="380">
        <f>IFERROR(AA51/AA$22,0)</f>
        <v>2.7993208113472434</v>
      </c>
      <c r="AK51" s="381">
        <f>IFERROR(AD51/AD$22,0)</f>
        <v>3.46828143830703</v>
      </c>
      <c r="AL51" s="382">
        <f>AJ51-AK51</f>
        <v>-0.66896062695978653</v>
      </c>
      <c r="AM51" s="383">
        <f>IFERROR(AG51/AG$22,0)</f>
        <v>2.3271493572689526</v>
      </c>
      <c r="AN51" s="382">
        <f>AJ51-AM51</f>
        <v>0.47217145407829086</v>
      </c>
      <c r="AO51" s="11"/>
    </row>
    <row r="52" spans="1:41" ht="15.75" thickTop="1" x14ac:dyDescent="0.25">
      <c r="A52" s="65" t="s">
        <v>7</v>
      </c>
      <c r="B52" s="66"/>
      <c r="C52" s="11"/>
      <c r="D52" s="11"/>
      <c r="E52" s="11"/>
      <c r="F52" s="11"/>
      <c r="G52" s="76"/>
      <c r="H52" s="76"/>
      <c r="I52" s="76"/>
      <c r="J52" s="76"/>
      <c r="K52" s="11"/>
      <c r="L52" s="11"/>
      <c r="M52" s="11"/>
      <c r="N52" s="104"/>
      <c r="O52" s="203"/>
      <c r="P52" s="204"/>
      <c r="Q52" s="204"/>
      <c r="R52" s="204"/>
      <c r="S52" s="204"/>
      <c r="T52" s="204"/>
      <c r="U52" s="204"/>
      <c r="V52" s="204"/>
      <c r="W52" s="204"/>
      <c r="X52" s="204"/>
      <c r="Y52" s="204"/>
      <c r="Z52" s="204"/>
      <c r="AA52" s="204"/>
      <c r="AB52" s="118"/>
      <c r="AC52" s="11"/>
      <c r="AD52" s="203"/>
      <c r="AE52" s="204"/>
      <c r="AF52" s="118"/>
      <c r="AG52" s="203"/>
      <c r="AH52" s="204"/>
      <c r="AI52" s="118"/>
      <c r="AJ52" s="11"/>
      <c r="AK52" s="11"/>
      <c r="AL52" s="11"/>
      <c r="AM52" s="11"/>
      <c r="AN52" s="11"/>
      <c r="AO52" s="11"/>
    </row>
    <row r="53" spans="1:41" x14ac:dyDescent="0.25">
      <c r="A53" s="65" t="s">
        <v>47</v>
      </c>
      <c r="B53" s="66" t="str">
        <f>IF(_epmOfflineCondition_,"'Resv'!$A$87:$B$108",_xll.EVRNG($A$87:$B$108))</f>
        <v>'Resv'!$A$87:$B$108</v>
      </c>
      <c r="C53" s="11"/>
      <c r="D53" s="11"/>
      <c r="E53" s="11"/>
      <c r="F53" s="11"/>
      <c r="G53" s="76"/>
      <c r="H53" s="11" t="s">
        <v>240</v>
      </c>
      <c r="I53" s="59" t="str">
        <f>IF(_epmOfflineCondition_,"B1",_xll.EVPRO($B$1,$H53,"STYLE"))</f>
        <v>B1</v>
      </c>
      <c r="J53" s="59" t="str">
        <f>IF(_epmOfflineCondition_,"Y",_xll.EVPRO($B$1,$H53,"CALC"))</f>
        <v>Y</v>
      </c>
      <c r="K53" s="11"/>
      <c r="L53" s="11"/>
      <c r="M53" s="11"/>
      <c r="N53" s="105" t="str">
        <f>IF(_epmOfflineCondition_,"Reservations Statistics",IF(_xll.EVDES(H53,$B$1)="#NODATA","",_xll.EVDES(H53,$B$1)))</f>
        <v>Reservations Statistics</v>
      </c>
      <c r="O53" s="203"/>
      <c r="P53" s="204"/>
      <c r="Q53" s="204"/>
      <c r="R53" s="204"/>
      <c r="S53" s="204"/>
      <c r="T53" s="204"/>
      <c r="U53" s="204"/>
      <c r="V53" s="204"/>
      <c r="W53" s="204"/>
      <c r="X53" s="204"/>
      <c r="Y53" s="204"/>
      <c r="Z53" s="204"/>
      <c r="AA53" s="204"/>
      <c r="AB53" s="118"/>
      <c r="AC53" s="11"/>
      <c r="AD53" s="203"/>
      <c r="AE53" s="204"/>
      <c r="AF53" s="118"/>
      <c r="AG53" s="203"/>
      <c r="AH53" s="204"/>
      <c r="AI53" s="118"/>
      <c r="AJ53" s="11"/>
      <c r="AK53" s="11"/>
      <c r="AL53" s="11"/>
      <c r="AM53" s="11"/>
      <c r="AN53" s="11"/>
      <c r="AO53" s="11"/>
    </row>
    <row r="54" spans="1:41" x14ac:dyDescent="0.25">
      <c r="A54" s="65" t="s">
        <v>8</v>
      </c>
      <c r="B54" s="66"/>
      <c r="C54" s="11"/>
      <c r="D54" s="11"/>
      <c r="E54" s="11"/>
      <c r="F54" s="11"/>
      <c r="G54" s="76"/>
      <c r="H54" s="88" t="s">
        <v>230</v>
      </c>
      <c r="I54" s="136" t="str">
        <f>IF(_epmOfflineCondition_,"N",_xll.EVPRO($B$1,$H54,"STYLE"))</f>
        <v>N</v>
      </c>
      <c r="J54" s="136" t="str">
        <f>IF(_epmOfflineCondition_,"N",_xll.EVPRO($B$1,$H54,"CALC"))</f>
        <v>N</v>
      </c>
      <c r="K54" s="179" t="str">
        <f t="shared" ref="K54:K61" si="13">IF(AND(I54&gt;="T3"),"&gt;","")</f>
        <v/>
      </c>
      <c r="L54" s="369" t="str">
        <f>IF(_epmOfflineCondition_,"910200",_xll.EVPRO($B$1,H54,"JDEID"))</f>
        <v>910200</v>
      </c>
      <c r="M54" s="90" t="str">
        <f>IF(_epmOfflineCondition_,"994300",IF(AND(I54="N",J54="N"),_xll.EVPRO($B$1,H54,"PSFTID"),""))</f>
        <v>994300</v>
      </c>
      <c r="N54" s="104" t="str">
        <f>IF(_epmOfflineCondition_,"# of CRS Calls Answered",IF(_xll.EVDES(H54,$B$1)="#NODATA","",_xll.EVDES(H54,$B$1)))</f>
        <v># of CRS Calls Answered</v>
      </c>
      <c r="O54" s="138"/>
      <c r="P54" s="138"/>
      <c r="Q54" s="138"/>
      <c r="R54" s="138"/>
      <c r="S54" s="138"/>
      <c r="T54" s="138"/>
      <c r="U54" s="138"/>
      <c r="V54" s="138"/>
      <c r="W54" s="138"/>
      <c r="X54" s="138"/>
      <c r="Y54" s="138"/>
      <c r="Z54" s="138"/>
      <c r="AA54" s="138">
        <f t="shared" ref="AA54:AA61" si="14">IF($I54="B1","",SUM(O54:Z54))</f>
        <v>0</v>
      </c>
      <c r="AB54" s="142" t="str">
        <f t="shared" ref="AB54:AB61" si="15">IF(AA54=0,"",IFERROR(AA54/AA$20,""))</f>
        <v/>
      </c>
      <c r="AC54" s="140"/>
      <c r="AD54" s="138"/>
      <c r="AE54" s="142" t="str">
        <f t="shared" ref="AE54:AE61" si="16">IF(AD54=0,"",IFERROR(AD54/AD$20,""))</f>
        <v/>
      </c>
      <c r="AF54" s="141">
        <f t="shared" ref="AF54:AF61" si="17">IF(AND($AA54="",AD54=""),"",$AA54-AD54)</f>
        <v>0</v>
      </c>
      <c r="AG54" s="138"/>
      <c r="AH54" s="142" t="str">
        <f t="shared" ref="AH54:AH61" si="18">IF(AG54=0,"",IFERROR(AG54/AG$20,""))</f>
        <v/>
      </c>
      <c r="AI54" s="141">
        <f t="shared" ref="AI54:AI61" si="19">IF(AND($AA54="",AG54=""),"",$AA54-AG54)</f>
        <v>0</v>
      </c>
      <c r="AJ54" s="11"/>
      <c r="AK54" s="11"/>
      <c r="AL54" s="11"/>
      <c r="AM54" s="11"/>
      <c r="AN54" s="11"/>
      <c r="AO54" s="11"/>
    </row>
    <row r="55" spans="1:41" x14ac:dyDescent="0.25">
      <c r="A55" s="11"/>
      <c r="B55" s="11"/>
      <c r="C55" s="11"/>
      <c r="D55" s="11"/>
      <c r="E55" s="11"/>
      <c r="F55" s="11"/>
      <c r="G55" s="76"/>
      <c r="H55" s="88" t="s">
        <v>175</v>
      </c>
      <c r="I55" s="188" t="str">
        <f>IF(_epmOfflineCondition_,"B1",_xll.EVPRO($B$1,$H55,"STYLE"))</f>
        <v>B1</v>
      </c>
      <c r="J55" s="188" t="str">
        <f>IF(_epmOfflineCondition_,"Y",_xll.EVPRO($B$1,$H55,"CALC"))</f>
        <v>Y</v>
      </c>
      <c r="K55" s="189" t="str">
        <f t="shared" si="13"/>
        <v/>
      </c>
      <c r="L55" s="106" t="str">
        <f>IF(_epmOfflineCondition_,"",_xll.EVPRO($B$1,H55,"JDEID"))</f>
        <v/>
      </c>
      <c r="M55" s="190" t="str">
        <f>IF(_epmOfflineCondition_,"",IF(AND(I55="N",J55="N"),_xll.EVPRO($B$1,H55,"PSFTID"),""))</f>
        <v/>
      </c>
      <c r="N55" s="190" t="str">
        <f>IF(_epmOfflineCondition_,"BLANKROW",IF(_xll.EVDES(H55,$B$1)="#NODATA","",_xll.EVDES(H55,$B$1)))</f>
        <v>BLANKROW</v>
      </c>
      <c r="O55" s="138"/>
      <c r="P55" s="138"/>
      <c r="Q55" s="138"/>
      <c r="R55" s="138"/>
      <c r="S55" s="138"/>
      <c r="T55" s="138"/>
      <c r="U55" s="138"/>
      <c r="V55" s="138"/>
      <c r="W55" s="138"/>
      <c r="X55" s="138"/>
      <c r="Y55" s="138"/>
      <c r="Z55" s="138"/>
      <c r="AA55" s="138" t="str">
        <f t="shared" si="14"/>
        <v/>
      </c>
      <c r="AB55" s="142" t="str">
        <f t="shared" si="15"/>
        <v/>
      </c>
      <c r="AC55" s="140"/>
      <c r="AD55" s="138"/>
      <c r="AE55" s="142" t="str">
        <f t="shared" si="16"/>
        <v/>
      </c>
      <c r="AF55" s="141" t="str">
        <f t="shared" si="17"/>
        <v/>
      </c>
      <c r="AG55" s="138"/>
      <c r="AH55" s="142" t="str">
        <f t="shared" si="18"/>
        <v/>
      </c>
      <c r="AI55" s="141" t="str">
        <f t="shared" si="19"/>
        <v/>
      </c>
      <c r="AJ55" s="11"/>
      <c r="AK55" s="11"/>
      <c r="AL55" s="11"/>
      <c r="AM55" s="11"/>
      <c r="AN55" s="11"/>
      <c r="AO55" s="11"/>
    </row>
    <row r="56" spans="1:41" x14ac:dyDescent="0.25">
      <c r="A56" s="11"/>
      <c r="B56" s="11"/>
      <c r="C56" s="11"/>
      <c r="D56" s="11"/>
      <c r="E56" s="11"/>
      <c r="F56" s="11"/>
      <c r="G56" s="76"/>
      <c r="H56" s="88" t="s">
        <v>231</v>
      </c>
      <c r="I56" s="122" t="str">
        <f>IF(_epmOfflineCondition_,"T3",_xll.EVPRO($B$1,$H56,"STYLE"))</f>
        <v>T3</v>
      </c>
      <c r="J56" s="122" t="str">
        <f>IF(_epmOfflineCondition_,"Y",_xll.EVPRO($B$1,$H56,"CALC"))</f>
        <v>Y</v>
      </c>
      <c r="K56" s="179" t="str">
        <f t="shared" si="13"/>
        <v>&gt;</v>
      </c>
      <c r="L56" s="369" t="str">
        <f>IF(_epmOfflineCondition_,"",_xll.EVPRO($B$1,H56,"JDEID"))</f>
        <v/>
      </c>
      <c r="M56" s="90" t="str">
        <f>IF(_epmOfflineCondition_,"",IF(AND(I56="N",J56="N"),_xll.EVPRO($B$1,H56,"PSFTID"),""))</f>
        <v/>
      </c>
      <c r="N56" s="90" t="str">
        <f>IF(_epmOfflineCondition_,"Total # of Resv. Taken at Hotel",IF(_xll.EVDES(H56,$B$1)="#NODATA","",_xll.EVDES(H56,$B$1)))</f>
        <v>Total # of Resv. Taken at Hotel</v>
      </c>
      <c r="O56" s="138"/>
      <c r="P56" s="138"/>
      <c r="Q56" s="138"/>
      <c r="R56" s="138"/>
      <c r="S56" s="138"/>
      <c r="T56" s="138"/>
      <c r="U56" s="138"/>
      <c r="V56" s="138"/>
      <c r="W56" s="138"/>
      <c r="X56" s="138"/>
      <c r="Y56" s="138"/>
      <c r="Z56" s="138"/>
      <c r="AA56" s="138">
        <f t="shared" si="14"/>
        <v>0</v>
      </c>
      <c r="AB56" s="142" t="str">
        <f t="shared" si="15"/>
        <v/>
      </c>
      <c r="AC56" s="140"/>
      <c r="AD56" s="138"/>
      <c r="AE56" s="142" t="str">
        <f t="shared" si="16"/>
        <v/>
      </c>
      <c r="AF56" s="141">
        <f t="shared" si="17"/>
        <v>0</v>
      </c>
      <c r="AG56" s="138"/>
      <c r="AH56" s="142" t="str">
        <f t="shared" si="18"/>
        <v/>
      </c>
      <c r="AI56" s="141">
        <f t="shared" si="19"/>
        <v>0</v>
      </c>
      <c r="AJ56" s="11"/>
      <c r="AK56" s="11"/>
      <c r="AL56" s="11"/>
      <c r="AM56" s="11"/>
      <c r="AN56" s="11"/>
      <c r="AO56" s="11"/>
    </row>
    <row r="57" spans="1:41" x14ac:dyDescent="0.25">
      <c r="A57" s="61" t="str">
        <f>IF(_epmOfflineCondition_,"Evdre:Ok",_xll.EVDRE($B$1,A60:B67,A70:B76))</f>
        <v>Evdre:Ok</v>
      </c>
      <c r="B57" s="11"/>
      <c r="C57" s="11"/>
      <c r="D57" s="11"/>
      <c r="E57" s="11"/>
      <c r="F57" s="11"/>
      <c r="G57" s="76"/>
      <c r="H57" s="185" t="s">
        <v>232</v>
      </c>
      <c r="I57" s="136" t="str">
        <f>IF(_epmOfflineCondition_,"N",_xll.EVPRO($B$1,$H57,"STYLE"))</f>
        <v>N</v>
      </c>
      <c r="J57" s="136" t="str">
        <f>IF(_epmOfflineCondition_,"N",_xll.EVPRO($B$1,$H57,"CALC"))</f>
        <v>N</v>
      </c>
      <c r="K57" s="179" t="str">
        <f t="shared" si="13"/>
        <v/>
      </c>
      <c r="L57" s="369" t="str">
        <f>IF(_epmOfflineCondition_,"910220",_xll.EVPRO($B$1,H57,"JDEID"))</f>
        <v>910220</v>
      </c>
      <c r="M57" s="90" t="str">
        <f>IF(_epmOfflineCondition_,"994330",IF(AND(I57="N",J57="N"),_xll.EVPRO($B$1,H57,"PSFTID"),""))</f>
        <v>994330</v>
      </c>
      <c r="N57" s="104" t="str">
        <f>IF(_epmOfflineCondition_,"# of Resv. Taken at CRO",IF(_xll.EVDES(H57,$B$1)="#NODATA","",_xll.EVDES(H57,$B$1)))</f>
        <v># of Resv. Taken at CRO</v>
      </c>
      <c r="O57" s="138"/>
      <c r="P57" s="138"/>
      <c r="Q57" s="138"/>
      <c r="R57" s="138"/>
      <c r="S57" s="138"/>
      <c r="T57" s="138"/>
      <c r="U57" s="138"/>
      <c r="V57" s="138"/>
      <c r="W57" s="138"/>
      <c r="X57" s="138"/>
      <c r="Y57" s="138"/>
      <c r="Z57" s="138"/>
      <c r="AA57" s="138">
        <f t="shared" si="14"/>
        <v>0</v>
      </c>
      <c r="AB57" s="142" t="str">
        <f t="shared" si="15"/>
        <v/>
      </c>
      <c r="AC57" s="140"/>
      <c r="AD57" s="138"/>
      <c r="AE57" s="142" t="str">
        <f t="shared" si="16"/>
        <v/>
      </c>
      <c r="AF57" s="141">
        <f t="shared" si="17"/>
        <v>0</v>
      </c>
      <c r="AG57" s="138"/>
      <c r="AH57" s="142" t="str">
        <f t="shared" si="18"/>
        <v/>
      </c>
      <c r="AI57" s="141">
        <f t="shared" si="19"/>
        <v>0</v>
      </c>
      <c r="AJ57" s="11"/>
      <c r="AK57" s="11"/>
      <c r="AL57" s="11"/>
      <c r="AM57" s="11"/>
      <c r="AN57" s="11"/>
      <c r="AO57" s="11"/>
    </row>
    <row r="58" spans="1:41" x14ac:dyDescent="0.25">
      <c r="A58" s="11"/>
      <c r="B58" s="11"/>
      <c r="C58" s="11"/>
      <c r="D58" s="11"/>
      <c r="E58" s="11"/>
      <c r="F58" s="11"/>
      <c r="G58" s="76"/>
      <c r="H58" s="185" t="s">
        <v>233</v>
      </c>
      <c r="I58" s="136" t="str">
        <f>IF(_epmOfflineCondition_,"N",_xll.EVPRO($B$1,$H58,"STYLE"))</f>
        <v>N</v>
      </c>
      <c r="J58" s="136" t="str">
        <f>IF(_epmOfflineCondition_,"N",_xll.EVPRO($B$1,$H58,"CALC"))</f>
        <v>N</v>
      </c>
      <c r="K58" s="179" t="str">
        <f t="shared" si="13"/>
        <v/>
      </c>
      <c r="L58" s="369" t="str">
        <f>IF(_epmOfflineCondition_,"910230",_xll.EVPRO($B$1,H58,"JDEID"))</f>
        <v>910230</v>
      </c>
      <c r="M58" s="90" t="str">
        <f>IF(_epmOfflineCondition_,"994340",IF(AND(I58="N",J58="N"),_xll.EVPRO($B$1,H58,"PSFTID"),""))</f>
        <v>994340</v>
      </c>
      <c r="N58" s="104" t="str">
        <f>IF(_epmOfflineCondition_,"# of GDS Reservations",IF(_xll.EVDES(H58,$B$1)="#NODATA","",_xll.EVDES(H58,$B$1)))</f>
        <v># of GDS Reservations</v>
      </c>
      <c r="O58" s="138">
        <v>55</v>
      </c>
      <c r="P58" s="138">
        <v>106</v>
      </c>
      <c r="Q58" s="138">
        <v>277</v>
      </c>
      <c r="R58" s="138">
        <v>-231</v>
      </c>
      <c r="S58" s="138">
        <v>23</v>
      </c>
      <c r="T58" s="138">
        <v>53</v>
      </c>
      <c r="U58" s="138">
        <v>-17</v>
      </c>
      <c r="V58" s="138">
        <v>46</v>
      </c>
      <c r="W58" s="138">
        <v>15</v>
      </c>
      <c r="X58" s="138">
        <v>55</v>
      </c>
      <c r="Y58" s="138">
        <v>17</v>
      </c>
      <c r="Z58" s="138">
        <v>63</v>
      </c>
      <c r="AA58" s="138">
        <f t="shared" si="14"/>
        <v>462</v>
      </c>
      <c r="AB58" s="142">
        <f t="shared" si="15"/>
        <v>1</v>
      </c>
      <c r="AC58" s="140"/>
      <c r="AD58" s="138">
        <v>249.82</v>
      </c>
      <c r="AE58" s="142">
        <f t="shared" si="16"/>
        <v>1</v>
      </c>
      <c r="AF58" s="141">
        <f t="shared" si="17"/>
        <v>212.18</v>
      </c>
      <c r="AG58" s="138">
        <v>275</v>
      </c>
      <c r="AH58" s="142">
        <f t="shared" si="18"/>
        <v>1</v>
      </c>
      <c r="AI58" s="141">
        <f t="shared" si="19"/>
        <v>187</v>
      </c>
      <c r="AJ58" s="11"/>
      <c r="AK58" s="11"/>
      <c r="AL58" s="11"/>
      <c r="AM58" s="11"/>
      <c r="AN58" s="11"/>
      <c r="AO58" s="11"/>
    </row>
    <row r="59" spans="1:41" x14ac:dyDescent="0.25">
      <c r="A59" s="62" t="s">
        <v>0</v>
      </c>
      <c r="B59" s="63" t="s">
        <v>1</v>
      </c>
      <c r="C59" s="11"/>
      <c r="D59" s="11"/>
      <c r="E59" s="11"/>
      <c r="F59" s="11"/>
      <c r="G59" s="76"/>
      <c r="H59" s="185" t="s">
        <v>234</v>
      </c>
      <c r="I59" s="136" t="str">
        <f>IF(_epmOfflineCondition_,"N",_xll.EVPRO($B$1,$H59,"STYLE"))</f>
        <v>N</v>
      </c>
      <c r="J59" s="136" t="str">
        <f>IF(_epmOfflineCondition_,"N",_xll.EVPRO($B$1,$H59,"CALC"))</f>
        <v>N</v>
      </c>
      <c r="K59" s="179" t="str">
        <f t="shared" si="13"/>
        <v/>
      </c>
      <c r="L59" s="369" t="str">
        <f>IF(_epmOfflineCondition_,"910240",_xll.EVPRO($B$1,H59,"JDEID"))</f>
        <v>910240</v>
      </c>
      <c r="M59" s="90" t="str">
        <f>IF(_epmOfflineCondition_,"994350",IF(AND(I59="N",J59="N"),_xll.EVPRO($B$1,H59,"PSFTID"),""))</f>
        <v>994350</v>
      </c>
      <c r="N59" s="104" t="str">
        <f>IF(_epmOfflineCondition_,"# of Hotel Website Reservations Processed",IF(_xll.EVDES(H59,$B$1)="#NODATA","",_xll.EVDES(H59,$B$1)))</f>
        <v># of Hotel Website Reservations Processed</v>
      </c>
      <c r="O59" s="138"/>
      <c r="P59" s="138"/>
      <c r="Q59" s="138"/>
      <c r="R59" s="138"/>
      <c r="S59" s="138"/>
      <c r="T59" s="138"/>
      <c r="U59" s="138"/>
      <c r="V59" s="138"/>
      <c r="W59" s="138"/>
      <c r="X59" s="138"/>
      <c r="Y59" s="138"/>
      <c r="Z59" s="138"/>
      <c r="AA59" s="138">
        <f t="shared" si="14"/>
        <v>0</v>
      </c>
      <c r="AB59" s="142" t="str">
        <f t="shared" si="15"/>
        <v/>
      </c>
      <c r="AC59" s="140"/>
      <c r="AD59" s="138"/>
      <c r="AE59" s="142" t="str">
        <f t="shared" si="16"/>
        <v/>
      </c>
      <c r="AF59" s="141">
        <f t="shared" si="17"/>
        <v>0</v>
      </c>
      <c r="AG59" s="138"/>
      <c r="AH59" s="142" t="str">
        <f t="shared" si="18"/>
        <v/>
      </c>
      <c r="AI59" s="141">
        <f t="shared" si="19"/>
        <v>0</v>
      </c>
      <c r="AJ59" s="11"/>
      <c r="AK59" s="11"/>
      <c r="AL59" s="11"/>
      <c r="AM59" s="11"/>
      <c r="AN59" s="11"/>
      <c r="AO59" s="11"/>
    </row>
    <row r="60" spans="1:41" x14ac:dyDescent="0.25">
      <c r="A60" s="65" t="s">
        <v>2</v>
      </c>
      <c r="B60" s="66" t="str">
        <f>IF(_epmOfflineCondition_,"'Resv'!$B$2:$B$10",_xll.EVRNG($B$2:$B$10))</f>
        <v>'Resv'!$B$2:$B$10</v>
      </c>
      <c r="C60" s="11"/>
      <c r="D60" s="11"/>
      <c r="E60" s="11"/>
      <c r="F60" s="11"/>
      <c r="G60" s="76"/>
      <c r="H60" s="185" t="s">
        <v>235</v>
      </c>
      <c r="I60" s="122" t="str">
        <f>IF(_epmOfflineCondition_,"T3",_xll.EVPRO($B$1,$H60,"STYLE"))</f>
        <v>T3</v>
      </c>
      <c r="J60" s="122" t="str">
        <f>IF(_epmOfflineCondition_,"Y",_xll.EVPRO($B$1,$H60,"CALC"))</f>
        <v>Y</v>
      </c>
      <c r="K60" s="179" t="str">
        <f t="shared" si="13"/>
        <v>&gt;</v>
      </c>
      <c r="L60" s="369" t="str">
        <f>IF(_epmOfflineCondition_,"910250",_xll.EVPRO($B$1,H60,"JDEID"))</f>
        <v>910250</v>
      </c>
      <c r="M60" s="90" t="str">
        <f>IF(_epmOfflineCondition_,"",IF(AND(I60="N",J60="N"),_xll.EVPRO($B$1,H60,"PSFTID"),""))</f>
        <v/>
      </c>
      <c r="N60" s="90" t="str">
        <f>IF(_epmOfflineCondition_,"# of E-Channel Reservations",IF(_xll.EVDES(H60,$B$1)="#NODATA","",_xll.EVDES(H60,$B$1)))</f>
        <v># of E-Channel Reservations</v>
      </c>
      <c r="O60" s="215"/>
      <c r="P60" s="215"/>
      <c r="Q60" s="215"/>
      <c r="R60" s="215"/>
      <c r="S60" s="215"/>
      <c r="T60" s="215"/>
      <c r="U60" s="215"/>
      <c r="V60" s="215"/>
      <c r="W60" s="215"/>
      <c r="X60" s="215"/>
      <c r="Y60" s="215"/>
      <c r="Z60" s="215"/>
      <c r="AA60" s="215">
        <f t="shared" si="14"/>
        <v>0</v>
      </c>
      <c r="AB60" s="217" t="str">
        <f t="shared" si="15"/>
        <v/>
      </c>
      <c r="AC60" s="140"/>
      <c r="AD60" s="215"/>
      <c r="AE60" s="217" t="str">
        <f t="shared" si="16"/>
        <v/>
      </c>
      <c r="AF60" s="218">
        <f t="shared" si="17"/>
        <v>0</v>
      </c>
      <c r="AG60" s="215"/>
      <c r="AH60" s="217" t="str">
        <f t="shared" si="18"/>
        <v/>
      </c>
      <c r="AI60" s="218">
        <f t="shared" si="19"/>
        <v>0</v>
      </c>
      <c r="AJ60" s="11"/>
      <c r="AK60" s="11"/>
      <c r="AL60" s="11"/>
      <c r="AM60" s="11"/>
      <c r="AN60" s="11"/>
      <c r="AO60" s="11"/>
    </row>
    <row r="61" spans="1:41" x14ac:dyDescent="0.25">
      <c r="A61" s="65" t="s">
        <v>3</v>
      </c>
      <c r="B61" s="66" t="str">
        <f>IF(_epmOfflineCondition_,"'Resv'!$O$16:$AI$18",_xll.EVRNG(O16:AI18))</f>
        <v>'Resv'!$O$16:$AI$18</v>
      </c>
      <c r="C61" s="11"/>
      <c r="D61" s="11"/>
      <c r="E61" s="11"/>
      <c r="F61" s="11"/>
      <c r="G61" s="76"/>
      <c r="H61" s="185" t="s">
        <v>236</v>
      </c>
      <c r="I61" s="188" t="str">
        <f>IF(_epmOfflineCondition_,"T2",_xll.EVPRO($B$1,$H61,"STYLE"))</f>
        <v>T2</v>
      </c>
      <c r="J61" s="188" t="str">
        <f>IF(_epmOfflineCondition_,"Y",_xll.EVPRO($B$1,$H61,"CALC"))</f>
        <v>Y</v>
      </c>
      <c r="K61" s="189" t="str">
        <f t="shared" si="13"/>
        <v/>
      </c>
      <c r="L61" s="106" t="str">
        <f>IF(_epmOfflineCondition_,"",_xll.EVPRO($B$1,H61,"JDEID"))</f>
        <v/>
      </c>
      <c r="M61" s="190" t="str">
        <f>IF(_epmOfflineCondition_,"",IF(AND(I61="N",J61="N"),_xll.EVPRO($B$1,H61,"PSFTID"),""))</f>
        <v/>
      </c>
      <c r="N61" s="190" t="str">
        <f>IF(_epmOfflineCondition_,"Total # of Net Reservation Taken",IF(_xll.EVDES(H61,$B$1)="#NODATA","",_xll.EVDES(H61,$B$1)))</f>
        <v>Total # of Net Reservation Taken</v>
      </c>
      <c r="O61" s="223">
        <v>55</v>
      </c>
      <c r="P61" s="223">
        <v>106</v>
      </c>
      <c r="Q61" s="223">
        <v>277</v>
      </c>
      <c r="R61" s="223">
        <v>-231</v>
      </c>
      <c r="S61" s="223">
        <v>23</v>
      </c>
      <c r="T61" s="223">
        <v>53</v>
      </c>
      <c r="U61" s="223">
        <v>-17</v>
      </c>
      <c r="V61" s="223">
        <v>46</v>
      </c>
      <c r="W61" s="223">
        <v>15</v>
      </c>
      <c r="X61" s="223">
        <v>55</v>
      </c>
      <c r="Y61" s="223">
        <v>17</v>
      </c>
      <c r="Z61" s="223">
        <v>63</v>
      </c>
      <c r="AA61" s="223">
        <f t="shared" si="14"/>
        <v>462</v>
      </c>
      <c r="AB61" s="224">
        <f t="shared" si="15"/>
        <v>1</v>
      </c>
      <c r="AC61" s="225"/>
      <c r="AD61" s="223">
        <v>249.82</v>
      </c>
      <c r="AE61" s="224">
        <f t="shared" si="16"/>
        <v>1</v>
      </c>
      <c r="AF61" s="226">
        <f t="shared" si="17"/>
        <v>212.18</v>
      </c>
      <c r="AG61" s="223">
        <v>275</v>
      </c>
      <c r="AH61" s="224">
        <f t="shared" si="18"/>
        <v>1</v>
      </c>
      <c r="AI61" s="226">
        <f t="shared" si="19"/>
        <v>187</v>
      </c>
      <c r="AJ61" s="11"/>
      <c r="AK61" s="11"/>
      <c r="AL61" s="11"/>
      <c r="AM61" s="11"/>
      <c r="AN61" s="11"/>
      <c r="AO61" s="11"/>
    </row>
    <row r="62" spans="1:41" x14ac:dyDescent="0.25">
      <c r="A62" s="65" t="s">
        <v>4</v>
      </c>
      <c r="B62" s="66" t="str">
        <f>IF(_epmOfflineCondition_,"'Resv'!$H$54:$H$61",_xll.EVRNG(H54:H61))</f>
        <v>'Resv'!$H$54:$H$61</v>
      </c>
      <c r="C62" s="11"/>
      <c r="D62" s="11"/>
      <c r="E62" s="11"/>
      <c r="F62" s="11"/>
      <c r="G62" s="76"/>
      <c r="H62" s="11"/>
      <c r="I62" s="59"/>
      <c r="J62" s="59"/>
      <c r="K62" s="11"/>
      <c r="L62" s="11"/>
      <c r="M62" s="11"/>
      <c r="N62" s="11"/>
      <c r="O62" s="197"/>
      <c r="P62" s="197"/>
      <c r="Q62" s="197"/>
      <c r="R62" s="197"/>
      <c r="S62" s="197"/>
      <c r="T62" s="197"/>
      <c r="U62" s="197"/>
      <c r="V62" s="197"/>
      <c r="W62" s="197"/>
      <c r="X62" s="197"/>
      <c r="Y62" s="197"/>
      <c r="Z62" s="197"/>
      <c r="AA62" s="197"/>
      <c r="AB62" s="198"/>
      <c r="AC62" s="11"/>
      <c r="AD62" s="197"/>
      <c r="AE62" s="198"/>
      <c r="AF62" s="199"/>
      <c r="AG62" s="197"/>
      <c r="AH62" s="198"/>
      <c r="AI62" s="199"/>
      <c r="AJ62" s="11"/>
      <c r="AK62" s="11"/>
      <c r="AL62" s="11"/>
      <c r="AM62" s="11"/>
      <c r="AN62" s="11"/>
      <c r="AO62" s="11"/>
    </row>
    <row r="63" spans="1:41" x14ac:dyDescent="0.25">
      <c r="A63" s="65" t="s">
        <v>5</v>
      </c>
      <c r="B63" s="66"/>
      <c r="C63" s="11"/>
      <c r="D63" s="11"/>
      <c r="E63" s="11"/>
      <c r="F63" s="11"/>
      <c r="G63" s="76"/>
      <c r="H63" s="11"/>
      <c r="I63" s="59"/>
      <c r="J63" s="59"/>
      <c r="K63" s="104"/>
      <c r="L63" s="104"/>
      <c r="M63" s="104"/>
      <c r="N63" s="104" t="str">
        <f>N21</f>
        <v>Number of Rooms on Property</v>
      </c>
      <c r="O63" s="91">
        <f t="shared" ref="O63:AA63" si="20">O$21</f>
        <v>132</v>
      </c>
      <c r="P63" s="91">
        <f t="shared" si="20"/>
        <v>132</v>
      </c>
      <c r="Q63" s="91">
        <f t="shared" si="20"/>
        <v>132</v>
      </c>
      <c r="R63" s="91">
        <f t="shared" si="20"/>
        <v>132</v>
      </c>
      <c r="S63" s="91">
        <f t="shared" si="20"/>
        <v>132</v>
      </c>
      <c r="T63" s="91">
        <f t="shared" si="20"/>
        <v>132</v>
      </c>
      <c r="U63" s="91">
        <f t="shared" si="20"/>
        <v>132</v>
      </c>
      <c r="V63" s="91">
        <f t="shared" si="20"/>
        <v>132</v>
      </c>
      <c r="W63" s="91">
        <f t="shared" si="20"/>
        <v>132</v>
      </c>
      <c r="X63" s="91">
        <f t="shared" si="20"/>
        <v>132</v>
      </c>
      <c r="Y63" s="91">
        <f t="shared" si="20"/>
        <v>132</v>
      </c>
      <c r="Z63" s="91">
        <f t="shared" si="20"/>
        <v>132</v>
      </c>
      <c r="AA63" s="91">
        <f t="shared" si="20"/>
        <v>1584</v>
      </c>
      <c r="AB63" s="100"/>
      <c r="AC63" s="11"/>
      <c r="AD63" s="91">
        <f>AD$21</f>
        <v>1584</v>
      </c>
      <c r="AE63" s="100"/>
      <c r="AF63" s="183"/>
      <c r="AG63" s="91">
        <f>AG$21</f>
        <v>1584</v>
      </c>
      <c r="AH63" s="100"/>
      <c r="AI63" s="183"/>
      <c r="AJ63" s="11"/>
      <c r="AK63" s="11"/>
      <c r="AL63" s="11"/>
      <c r="AM63" s="11"/>
      <c r="AN63" s="11"/>
      <c r="AO63" s="11"/>
    </row>
    <row r="64" spans="1:41" x14ac:dyDescent="0.25">
      <c r="A64" s="65" t="s">
        <v>6</v>
      </c>
      <c r="B64" s="66"/>
      <c r="C64" s="11"/>
      <c r="D64" s="11"/>
      <c r="E64" s="11"/>
      <c r="F64" s="11"/>
      <c r="G64" s="76"/>
      <c r="H64" s="11"/>
      <c r="I64" s="59"/>
      <c r="J64" s="59"/>
      <c r="K64" s="104"/>
      <c r="L64" s="104"/>
      <c r="M64" s="104"/>
      <c r="N64" s="104"/>
      <c r="O64" s="91"/>
      <c r="P64" s="91"/>
      <c r="Q64" s="91"/>
      <c r="R64" s="91"/>
      <c r="S64" s="91"/>
      <c r="T64" s="91"/>
      <c r="U64" s="91"/>
      <c r="V64" s="91"/>
      <c r="W64" s="91"/>
      <c r="X64" s="91"/>
      <c r="Y64" s="91"/>
      <c r="Z64" s="91"/>
      <c r="AA64" s="91"/>
      <c r="AB64" s="100"/>
      <c r="AC64" s="11"/>
      <c r="AD64" s="91"/>
      <c r="AE64" s="100"/>
      <c r="AF64" s="92"/>
      <c r="AG64" s="91"/>
      <c r="AH64" s="100"/>
      <c r="AI64" s="92"/>
      <c r="AJ64" s="11"/>
      <c r="AK64" s="11"/>
      <c r="AL64" s="11"/>
      <c r="AM64" s="11"/>
      <c r="AN64" s="11"/>
      <c r="AO64" s="11"/>
    </row>
    <row r="65" spans="1:41" x14ac:dyDescent="0.25">
      <c r="A65" s="65" t="s">
        <v>7</v>
      </c>
      <c r="B65" s="66" t="str">
        <f>IF(_epmOfflineCondition_,"'Resv'!$A$79:$F$83",_xll.EVRNG(A79:F83))</f>
        <v>'Resv'!$A$79:$F$83</v>
      </c>
      <c r="C65" s="11"/>
      <c r="D65" s="11"/>
      <c r="E65" s="11"/>
      <c r="F65" s="11"/>
      <c r="G65" s="76"/>
      <c r="H65" s="88"/>
      <c r="I65" s="136"/>
      <c r="J65" s="136"/>
      <c r="K65" s="179"/>
      <c r="L65" s="179"/>
      <c r="M65" s="179"/>
      <c r="N65" s="104" t="s">
        <v>245</v>
      </c>
      <c r="O65" s="209" t="e">
        <f t="shared" ref="O65:AA65" si="21">SUMIF($H$34:$H$45,"710150",O$34:O$45)/SUMIF($H$54:$H$61,"910200",O$54:O$61)</f>
        <v>#DIV/0!</v>
      </c>
      <c r="P65" s="209" t="e">
        <f t="shared" si="21"/>
        <v>#DIV/0!</v>
      </c>
      <c r="Q65" s="209" t="e">
        <f t="shared" si="21"/>
        <v>#DIV/0!</v>
      </c>
      <c r="R65" s="209" t="e">
        <f t="shared" si="21"/>
        <v>#DIV/0!</v>
      </c>
      <c r="S65" s="209" t="e">
        <f t="shared" si="21"/>
        <v>#DIV/0!</v>
      </c>
      <c r="T65" s="209" t="e">
        <f t="shared" si="21"/>
        <v>#DIV/0!</v>
      </c>
      <c r="U65" s="209" t="e">
        <f t="shared" si="21"/>
        <v>#DIV/0!</v>
      </c>
      <c r="V65" s="209" t="e">
        <f t="shared" si="21"/>
        <v>#DIV/0!</v>
      </c>
      <c r="W65" s="209" t="e">
        <f t="shared" si="21"/>
        <v>#DIV/0!</v>
      </c>
      <c r="X65" s="209" t="e">
        <f t="shared" si="21"/>
        <v>#DIV/0!</v>
      </c>
      <c r="Y65" s="209" t="e">
        <f t="shared" si="21"/>
        <v>#DIV/0!</v>
      </c>
      <c r="Z65" s="209" t="e">
        <f t="shared" si="21"/>
        <v>#DIV/0!</v>
      </c>
      <c r="AA65" s="209" t="e">
        <f t="shared" si="21"/>
        <v>#DIV/0!</v>
      </c>
      <c r="AB65" s="100"/>
      <c r="AC65" s="11"/>
      <c r="AD65" s="209" t="e">
        <f>SUMIF($H$34:$H$45,"710150",AD$34:AD$45)/SUMIF($H$54:$H$61,"910200",AD$54:AD$61)</f>
        <v>#DIV/0!</v>
      </c>
      <c r="AE65" s="100"/>
      <c r="AF65" s="183" t="e">
        <f t="shared" ref="AF65:AF74" si="22">IF(AND($AA65="",AD65=""),"",$AA65-AD65)</f>
        <v>#DIV/0!</v>
      </c>
      <c r="AG65" s="209" t="e">
        <f>SUMIF($H$34:$H$45,"710150",AG$34:AG$45)/SUMIF($H$54:$H$61,"910200",AG$54:AG$61)</f>
        <v>#DIV/0!</v>
      </c>
      <c r="AH65" s="100"/>
      <c r="AI65" s="183" t="e">
        <f t="shared" ref="AI65:AI74" si="23">IF(AND($AA65="",AG65=""),"",$AA65-AG65)</f>
        <v>#DIV/0!</v>
      </c>
      <c r="AJ65" s="11"/>
      <c r="AK65" s="11"/>
      <c r="AL65" s="11"/>
      <c r="AM65" s="11"/>
      <c r="AN65" s="11"/>
      <c r="AO65" s="11"/>
    </row>
    <row r="66" spans="1:41" x14ac:dyDescent="0.25">
      <c r="A66" s="65" t="s">
        <v>47</v>
      </c>
      <c r="B66" s="66" t="str">
        <f>IF(_epmOfflineCondition_,"'Resv'!$A$87:$B$108",_xll.EVRNG($A$87:$B$108))</f>
        <v>'Resv'!$A$87:$B$108</v>
      </c>
      <c r="C66" s="11"/>
      <c r="D66" s="11"/>
      <c r="E66" s="11"/>
      <c r="F66" s="11"/>
      <c r="G66" s="76"/>
      <c r="H66" s="88"/>
      <c r="I66" s="136"/>
      <c r="J66" s="136"/>
      <c r="K66" s="179"/>
      <c r="L66" s="179"/>
      <c r="M66" s="179"/>
      <c r="N66" s="104" t="s">
        <v>246</v>
      </c>
      <c r="O66" s="209" t="e">
        <f t="shared" ref="O66:AA66" si="24">(SUMIF($H$34:$H$45,"710140",O$34:O$45)+SUMIF($H$34:$H$45,"710145",O$34:O$45))/(SUMIF($H$54:$H$61,"RESATHOTEL",O$54:O$61)+SUMIF($H$54:$H$61,"910220",O$54:O$61))</f>
        <v>#DIV/0!</v>
      </c>
      <c r="P66" s="209" t="e">
        <f t="shared" si="24"/>
        <v>#DIV/0!</v>
      </c>
      <c r="Q66" s="209" t="e">
        <f t="shared" si="24"/>
        <v>#DIV/0!</v>
      </c>
      <c r="R66" s="209" t="e">
        <f t="shared" si="24"/>
        <v>#DIV/0!</v>
      </c>
      <c r="S66" s="209" t="e">
        <f t="shared" si="24"/>
        <v>#DIV/0!</v>
      </c>
      <c r="T66" s="209" t="e">
        <f t="shared" si="24"/>
        <v>#DIV/0!</v>
      </c>
      <c r="U66" s="209" t="e">
        <f t="shared" si="24"/>
        <v>#DIV/0!</v>
      </c>
      <c r="V66" s="209" t="e">
        <f t="shared" si="24"/>
        <v>#DIV/0!</v>
      </c>
      <c r="W66" s="209" t="e">
        <f t="shared" si="24"/>
        <v>#DIV/0!</v>
      </c>
      <c r="X66" s="209" t="e">
        <f t="shared" si="24"/>
        <v>#DIV/0!</v>
      </c>
      <c r="Y66" s="209" t="e">
        <f t="shared" si="24"/>
        <v>#DIV/0!</v>
      </c>
      <c r="Z66" s="209" t="e">
        <f t="shared" si="24"/>
        <v>#DIV/0!</v>
      </c>
      <c r="AA66" s="209" t="e">
        <f t="shared" si="24"/>
        <v>#DIV/0!</v>
      </c>
      <c r="AB66" s="100"/>
      <c r="AC66" s="11"/>
      <c r="AD66" s="209" t="e">
        <f>(SUMIF($H$34:$H$45,"710140",AD$34:AD$45)+SUMIF($H$34:$H$45,"710145",AD$34:AD$45))/(SUMIF($H$54:$H$61,"RESATHOTEL",AD$54:AD$61)+SUMIF($H$54:$H$61,"910220",AD$54:AD$61))</f>
        <v>#DIV/0!</v>
      </c>
      <c r="AE66" s="100"/>
      <c r="AF66" s="183" t="e">
        <f t="shared" si="22"/>
        <v>#DIV/0!</v>
      </c>
      <c r="AG66" s="209" t="e">
        <f>(SUMIF($H$34:$H$45,"710140",AG$34:AG$45)+SUMIF($H$34:$H$45,"710145",AG$34:AG$45))/(SUMIF($H$54:$H$61,"RESATHOTEL",AG$54:AG$61)+SUMIF($H$54:$H$61,"910220",AG$54:AG$61))</f>
        <v>#DIV/0!</v>
      </c>
      <c r="AH66" s="100"/>
      <c r="AI66" s="183" t="e">
        <f t="shared" si="23"/>
        <v>#DIV/0!</v>
      </c>
      <c r="AJ66" s="11"/>
      <c r="AK66" s="11"/>
      <c r="AL66" s="11"/>
      <c r="AM66" s="11"/>
      <c r="AN66" s="11"/>
      <c r="AO66" s="11"/>
    </row>
    <row r="67" spans="1:41" x14ac:dyDescent="0.25">
      <c r="A67" s="65" t="s">
        <v>8</v>
      </c>
      <c r="B67" s="66"/>
      <c r="C67" s="11"/>
      <c r="D67" s="11"/>
      <c r="E67" s="11"/>
      <c r="F67" s="11"/>
      <c r="G67" s="76"/>
      <c r="H67" s="88"/>
      <c r="I67" s="136"/>
      <c r="J67" s="136"/>
      <c r="K67" s="179"/>
      <c r="L67" s="179"/>
      <c r="M67" s="179"/>
      <c r="N67" s="104" t="s">
        <v>247</v>
      </c>
      <c r="O67" s="209">
        <f t="shared" ref="O67:AA67" si="25">SUMIF($H$34:$H$45,"710160",O$34:O$45)/O$63</f>
        <v>0</v>
      </c>
      <c r="P67" s="209">
        <f t="shared" si="25"/>
        <v>0</v>
      </c>
      <c r="Q67" s="209">
        <f t="shared" si="25"/>
        <v>0</v>
      </c>
      <c r="R67" s="209">
        <f t="shared" si="25"/>
        <v>0</v>
      </c>
      <c r="S67" s="209">
        <f t="shared" si="25"/>
        <v>0</v>
      </c>
      <c r="T67" s="209">
        <f t="shared" si="25"/>
        <v>0</v>
      </c>
      <c r="U67" s="209">
        <f t="shared" si="25"/>
        <v>0</v>
      </c>
      <c r="V67" s="209">
        <f t="shared" si="25"/>
        <v>0</v>
      </c>
      <c r="W67" s="209">
        <f t="shared" si="25"/>
        <v>0</v>
      </c>
      <c r="X67" s="209">
        <f t="shared" si="25"/>
        <v>0</v>
      </c>
      <c r="Y67" s="209">
        <f t="shared" si="25"/>
        <v>0</v>
      </c>
      <c r="Z67" s="209">
        <f t="shared" si="25"/>
        <v>0</v>
      </c>
      <c r="AA67" s="209">
        <f t="shared" si="25"/>
        <v>0</v>
      </c>
      <c r="AB67" s="100"/>
      <c r="AC67" s="11"/>
      <c r="AD67" s="209">
        <f>SUMIF($H$34:$H$45,"710160",AD$34:AD$45)/AD$63</f>
        <v>0</v>
      </c>
      <c r="AE67" s="100"/>
      <c r="AF67" s="183">
        <f t="shared" si="22"/>
        <v>0</v>
      </c>
      <c r="AG67" s="209">
        <f>SUMIF($H$34:$H$45,"710160",AG$34:AG$45)/AG$63</f>
        <v>0</v>
      </c>
      <c r="AH67" s="100"/>
      <c r="AI67" s="183">
        <f t="shared" si="23"/>
        <v>0</v>
      </c>
      <c r="AJ67" s="11"/>
      <c r="AK67" s="11"/>
      <c r="AL67" s="11"/>
      <c r="AM67" s="11"/>
      <c r="AN67" s="11"/>
      <c r="AO67" s="11"/>
    </row>
    <row r="68" spans="1:41" x14ac:dyDescent="0.25">
      <c r="A68" s="11"/>
      <c r="B68" s="11"/>
      <c r="C68" s="11"/>
      <c r="D68" s="11"/>
      <c r="E68" s="11"/>
      <c r="F68" s="11"/>
      <c r="G68" s="76"/>
      <c r="H68" s="88"/>
      <c r="I68" s="136"/>
      <c r="J68" s="136"/>
      <c r="K68" s="179"/>
      <c r="L68" s="179"/>
      <c r="M68" s="179"/>
      <c r="N68" s="104" t="s">
        <v>248</v>
      </c>
      <c r="O68" s="209">
        <f t="shared" ref="O68:AA68" si="26">SUMIF($H$34:$H$45,"710170",O$34:O$45)/SUMIF($H$54:$H$61,"910230",O$54:O$61)</f>
        <v>6.4</v>
      </c>
      <c r="P68" s="209">
        <f t="shared" si="26"/>
        <v>3.3886792452830186</v>
      </c>
      <c r="Q68" s="209">
        <f t="shared" si="26"/>
        <v>-0.57617328519855593</v>
      </c>
      <c r="R68" s="209">
        <f t="shared" si="26"/>
        <v>-1.574891774891775</v>
      </c>
      <c r="S68" s="209">
        <f t="shared" si="26"/>
        <v>5.2608695652173916</v>
      </c>
      <c r="T68" s="209">
        <f t="shared" si="26"/>
        <v>6.5962264150943399</v>
      </c>
      <c r="U68" s="209">
        <f t="shared" si="26"/>
        <v>-2.2588235294117647</v>
      </c>
      <c r="V68" s="209">
        <f t="shared" si="26"/>
        <v>3.4130434782608696</v>
      </c>
      <c r="W68" s="209">
        <f t="shared" si="26"/>
        <v>6.6</v>
      </c>
      <c r="X68" s="209">
        <f t="shared" si="26"/>
        <v>6.4909090909090912</v>
      </c>
      <c r="Y68" s="209">
        <f t="shared" si="26"/>
        <v>6.3999999999999995</v>
      </c>
      <c r="Z68" s="209">
        <f t="shared" si="26"/>
        <v>6.3999999999999995</v>
      </c>
      <c r="AA68" s="209">
        <f t="shared" si="26"/>
        <v>5.5181818181818185</v>
      </c>
      <c r="AB68" s="100"/>
      <c r="AC68" s="11"/>
      <c r="AD68" s="209">
        <f>SUMIF($H$34:$H$45,"710170",AD$34:AD$45)/SUMIF($H$54:$H$61,"910230",AD$54:AD$61)</f>
        <v>6.4</v>
      </c>
      <c r="AE68" s="100"/>
      <c r="AF68" s="183">
        <f t="shared" si="22"/>
        <v>-0.88181818181818183</v>
      </c>
      <c r="AG68" s="209">
        <f>SUMIF($H$34:$H$45,"710170",AG$34:AG$45)/SUMIF($H$54:$H$61,"910230",AG$54:AG$61)</f>
        <v>7.2220727272727272</v>
      </c>
      <c r="AH68" s="100"/>
      <c r="AI68" s="183">
        <f t="shared" si="23"/>
        <v>-1.7038909090909087</v>
      </c>
      <c r="AJ68" s="11"/>
      <c r="AK68" s="11"/>
      <c r="AL68" s="11"/>
      <c r="AM68" s="11"/>
      <c r="AN68" s="11"/>
      <c r="AO68" s="11"/>
    </row>
    <row r="69" spans="1:41" x14ac:dyDescent="0.25">
      <c r="A69" s="62" t="s">
        <v>9</v>
      </c>
      <c r="B69" s="63" t="s">
        <v>10</v>
      </c>
      <c r="C69" s="11"/>
      <c r="D69" s="11"/>
      <c r="E69" s="11"/>
      <c r="F69" s="11"/>
      <c r="G69" s="76"/>
      <c r="H69" s="88"/>
      <c r="I69" s="136"/>
      <c r="J69" s="136"/>
      <c r="K69" s="179"/>
      <c r="L69" s="179"/>
      <c r="M69" s="179"/>
      <c r="N69" s="104" t="s">
        <v>249</v>
      </c>
      <c r="O69" s="209" t="e">
        <f t="shared" ref="O69:AA69" si="27">SUMIF($H$34:$H$45,"710180",O$34:O$45)/SUMIF($H$54:$H$61,"910240",O$54:O$61)</f>
        <v>#DIV/0!</v>
      </c>
      <c r="P69" s="209" t="e">
        <f t="shared" si="27"/>
        <v>#DIV/0!</v>
      </c>
      <c r="Q69" s="209" t="e">
        <f t="shared" si="27"/>
        <v>#DIV/0!</v>
      </c>
      <c r="R69" s="209" t="e">
        <f t="shared" si="27"/>
        <v>#DIV/0!</v>
      </c>
      <c r="S69" s="209" t="e">
        <f t="shared" si="27"/>
        <v>#DIV/0!</v>
      </c>
      <c r="T69" s="209" t="e">
        <f t="shared" si="27"/>
        <v>#DIV/0!</v>
      </c>
      <c r="U69" s="209" t="e">
        <f t="shared" si="27"/>
        <v>#DIV/0!</v>
      </c>
      <c r="V69" s="209" t="e">
        <f t="shared" si="27"/>
        <v>#DIV/0!</v>
      </c>
      <c r="W69" s="209" t="e">
        <f t="shared" si="27"/>
        <v>#DIV/0!</v>
      </c>
      <c r="X69" s="209" t="e">
        <f t="shared" si="27"/>
        <v>#DIV/0!</v>
      </c>
      <c r="Y69" s="209" t="e">
        <f t="shared" si="27"/>
        <v>#DIV/0!</v>
      </c>
      <c r="Z69" s="209" t="e">
        <f t="shared" si="27"/>
        <v>#DIV/0!</v>
      </c>
      <c r="AA69" s="209" t="e">
        <f t="shared" si="27"/>
        <v>#DIV/0!</v>
      </c>
      <c r="AB69" s="100"/>
      <c r="AC69" s="11"/>
      <c r="AD69" s="209" t="e">
        <f>SUMIF($H$34:$H$45,"710180",AD$34:AD$45)/SUMIF($H$54:$H$61,"910240",AD$54:AD$61)</f>
        <v>#DIV/0!</v>
      </c>
      <c r="AE69" s="100"/>
      <c r="AF69" s="183" t="e">
        <f t="shared" si="22"/>
        <v>#DIV/0!</v>
      </c>
      <c r="AG69" s="209" t="e">
        <f>SUMIF($H$34:$H$45,"710180",AG$34:AG$45)/SUMIF($H$54:$H$61,"910240",AG$54:AG$61)</f>
        <v>#DIV/0!</v>
      </c>
      <c r="AH69" s="100"/>
      <c r="AI69" s="183" t="e">
        <f t="shared" si="23"/>
        <v>#DIV/0!</v>
      </c>
      <c r="AJ69" s="11"/>
      <c r="AK69" s="11"/>
      <c r="AL69" s="11"/>
      <c r="AM69" s="11"/>
      <c r="AN69" s="11"/>
      <c r="AO69" s="11"/>
    </row>
    <row r="70" spans="1:41" x14ac:dyDescent="0.25">
      <c r="A70" s="65" t="s">
        <v>11</v>
      </c>
      <c r="B70" s="66" t="s">
        <v>21</v>
      </c>
      <c r="C70" s="11"/>
      <c r="D70" s="11"/>
      <c r="E70" s="11"/>
      <c r="F70" s="11"/>
      <c r="G70" s="76"/>
      <c r="H70" s="88"/>
      <c r="I70" s="136"/>
      <c r="J70" s="136"/>
      <c r="K70" s="179"/>
      <c r="L70" s="179"/>
      <c r="M70" s="179"/>
      <c r="N70" s="104" t="s">
        <v>250</v>
      </c>
      <c r="O70" s="209" t="e">
        <f t="shared" ref="O70:AA70" si="28">SUMIF($H$34:$H$45,"710190",O$34:O$45)/SUMIF($H$54:$H$61,"910250",O$54:O$61)</f>
        <v>#DIV/0!</v>
      </c>
      <c r="P70" s="209" t="e">
        <f t="shared" si="28"/>
        <v>#DIV/0!</v>
      </c>
      <c r="Q70" s="209" t="e">
        <f t="shared" si="28"/>
        <v>#DIV/0!</v>
      </c>
      <c r="R70" s="209" t="e">
        <f t="shared" si="28"/>
        <v>#DIV/0!</v>
      </c>
      <c r="S70" s="209" t="e">
        <f t="shared" si="28"/>
        <v>#DIV/0!</v>
      </c>
      <c r="T70" s="209" t="e">
        <f t="shared" si="28"/>
        <v>#DIV/0!</v>
      </c>
      <c r="U70" s="209" t="e">
        <f t="shared" si="28"/>
        <v>#DIV/0!</v>
      </c>
      <c r="V70" s="209" t="e">
        <f t="shared" si="28"/>
        <v>#DIV/0!</v>
      </c>
      <c r="W70" s="209" t="e">
        <f t="shared" si="28"/>
        <v>#DIV/0!</v>
      </c>
      <c r="X70" s="209" t="e">
        <f t="shared" si="28"/>
        <v>#DIV/0!</v>
      </c>
      <c r="Y70" s="209" t="e">
        <f t="shared" si="28"/>
        <v>#DIV/0!</v>
      </c>
      <c r="Z70" s="209" t="e">
        <f t="shared" si="28"/>
        <v>#DIV/0!</v>
      </c>
      <c r="AA70" s="209" t="e">
        <f t="shared" si="28"/>
        <v>#DIV/0!</v>
      </c>
      <c r="AB70" s="100"/>
      <c r="AC70" s="11"/>
      <c r="AD70" s="209" t="e">
        <f>SUMIF($H$34:$H$45,"710190",AD$34:AD$45)/SUMIF($H$54:$H$61,"910250",AD$54:AD$61)</f>
        <v>#DIV/0!</v>
      </c>
      <c r="AE70" s="100"/>
      <c r="AF70" s="183" t="e">
        <f t="shared" si="22"/>
        <v>#DIV/0!</v>
      </c>
      <c r="AG70" s="209" t="e">
        <f>SUMIF($H$34:$H$45,"710190",AG$34:AG$45)/SUMIF($H$54:$H$61,"910250",AG$54:AG$61)</f>
        <v>#DIV/0!</v>
      </c>
      <c r="AH70" s="100"/>
      <c r="AI70" s="183" t="e">
        <f t="shared" si="23"/>
        <v>#DIV/0!</v>
      </c>
      <c r="AJ70" s="11"/>
      <c r="AK70" s="11"/>
      <c r="AL70" s="11"/>
      <c r="AM70" s="11"/>
      <c r="AN70" s="11"/>
      <c r="AO70" s="11"/>
    </row>
    <row r="71" spans="1:41" x14ac:dyDescent="0.25">
      <c r="A71" s="65" t="s">
        <v>12</v>
      </c>
      <c r="B71" s="66" t="s">
        <v>22</v>
      </c>
      <c r="C71" s="11"/>
      <c r="D71" s="11"/>
      <c r="E71" s="11"/>
      <c r="F71" s="11"/>
      <c r="G71" s="76"/>
      <c r="H71" s="88"/>
      <c r="I71" s="136"/>
      <c r="J71" s="136"/>
      <c r="K71" s="179"/>
      <c r="L71" s="179"/>
      <c r="M71" s="179"/>
      <c r="N71" s="104"/>
      <c r="O71" s="91"/>
      <c r="P71" s="91"/>
      <c r="Q71" s="91"/>
      <c r="R71" s="91"/>
      <c r="S71" s="91"/>
      <c r="T71" s="91"/>
      <c r="U71" s="91"/>
      <c r="V71" s="91"/>
      <c r="W71" s="91"/>
      <c r="X71" s="91"/>
      <c r="Y71" s="91"/>
      <c r="Z71" s="91"/>
      <c r="AA71" s="91"/>
      <c r="AB71" s="100"/>
      <c r="AC71" s="11"/>
      <c r="AD71" s="91"/>
      <c r="AE71" s="100"/>
      <c r="AF71" s="183" t="str">
        <f t="shared" si="22"/>
        <v/>
      </c>
      <c r="AG71" s="91"/>
      <c r="AH71" s="100"/>
      <c r="AI71" s="183" t="str">
        <f t="shared" si="23"/>
        <v/>
      </c>
      <c r="AJ71" s="11"/>
      <c r="AK71" s="11"/>
      <c r="AL71" s="11"/>
      <c r="AM71" s="11"/>
      <c r="AN71" s="11"/>
      <c r="AO71" s="11"/>
    </row>
    <row r="72" spans="1:41" x14ac:dyDescent="0.25">
      <c r="A72" s="65" t="s">
        <v>13</v>
      </c>
      <c r="B72" s="66" t="s">
        <v>238</v>
      </c>
      <c r="C72" s="11"/>
      <c r="D72" s="11"/>
      <c r="E72" s="11"/>
      <c r="F72" s="11"/>
      <c r="G72" s="76"/>
      <c r="H72" s="88"/>
      <c r="I72" s="136"/>
      <c r="J72" s="136"/>
      <c r="K72" s="179"/>
      <c r="L72" s="179"/>
      <c r="M72" s="179"/>
      <c r="N72" s="267" t="s">
        <v>251</v>
      </c>
      <c r="O72" s="209">
        <f t="shared" ref="O72:AA72" si="29">SUMIF($H$34:$H$48,"700000",O$34:O$48)/SUMIF($H$54:$H$61,"TLNETRES",O$54:O$61)</f>
        <v>231.99745454545456</v>
      </c>
      <c r="P72" s="209">
        <f t="shared" si="29"/>
        <v>110.57132075471698</v>
      </c>
      <c r="Q72" s="209">
        <f t="shared" si="29"/>
        <v>46.261732851985556</v>
      </c>
      <c r="R72" s="209">
        <f t="shared" si="29"/>
        <v>-53.790303030303029</v>
      </c>
      <c r="S72" s="209">
        <f t="shared" si="29"/>
        <v>474.82608695652175</v>
      </c>
      <c r="T72" s="209">
        <f t="shared" si="29"/>
        <v>129.23773584905661</v>
      </c>
      <c r="U72" s="209">
        <f t="shared" si="29"/>
        <v>-521.96352941176463</v>
      </c>
      <c r="V72" s="209">
        <f t="shared" si="29"/>
        <v>139.92152173913044</v>
      </c>
      <c r="W72" s="209">
        <f t="shared" si="29"/>
        <v>336</v>
      </c>
      <c r="X72" s="209">
        <f t="shared" si="29"/>
        <v>124.16309090909091</v>
      </c>
      <c r="Y72" s="209">
        <f t="shared" si="29"/>
        <v>535.98705882352942</v>
      </c>
      <c r="Z72" s="209">
        <f t="shared" si="29"/>
        <v>188.40539682539685</v>
      </c>
      <c r="AA72" s="209">
        <f t="shared" si="29"/>
        <v>250.32714285714289</v>
      </c>
      <c r="AB72" s="100"/>
      <c r="AC72" s="11"/>
      <c r="AD72" s="209">
        <f>SUMIF($H$34:$H$48,"700000",AD$34:AD$48)/SUMIF($H$54:$H$61,"TLNETRES",AD$54:AD$61)</f>
        <v>426.60299855896244</v>
      </c>
      <c r="AE72" s="100"/>
      <c r="AF72" s="183">
        <f t="shared" si="22"/>
        <v>-176.27585570181955</v>
      </c>
      <c r="AG72" s="209">
        <f>SUMIF($H$34:$H$48,"700000",AG$34:AG$48)/SUMIF($H$54:$H$61,"TLNETRES",AG$54:AG$61)</f>
        <v>340.34770909090906</v>
      </c>
      <c r="AH72" s="100"/>
      <c r="AI72" s="183">
        <f t="shared" si="23"/>
        <v>-90.020566233766175</v>
      </c>
      <c r="AJ72" s="11"/>
      <c r="AK72" s="11"/>
      <c r="AL72" s="11"/>
      <c r="AM72" s="11"/>
      <c r="AN72" s="11"/>
      <c r="AO72" s="11"/>
    </row>
    <row r="73" spans="1:41" x14ac:dyDescent="0.25">
      <c r="A73" s="65" t="s">
        <v>14</v>
      </c>
      <c r="B73" s="66"/>
      <c r="C73" s="11"/>
      <c r="D73" s="11"/>
      <c r="E73" s="11"/>
      <c r="F73" s="11"/>
      <c r="G73" s="76"/>
      <c r="H73" s="88"/>
      <c r="I73" s="136"/>
      <c r="J73" s="136"/>
      <c r="K73" s="179"/>
      <c r="L73" s="179"/>
      <c r="M73" s="179"/>
      <c r="N73" s="267" t="s">
        <v>252</v>
      </c>
      <c r="O73" s="209">
        <f t="shared" ref="O73:AA73" si="30">SUMIF($H$34:$H$51,"600000",O$34:O$51)/SUMIF($H$54:$H$61,"TLNETRES",O$54:O$61)</f>
        <v>0</v>
      </c>
      <c r="P73" s="209">
        <f t="shared" si="30"/>
        <v>0</v>
      </c>
      <c r="Q73" s="209">
        <f t="shared" si="30"/>
        <v>0</v>
      </c>
      <c r="R73" s="209">
        <f t="shared" si="30"/>
        <v>0</v>
      </c>
      <c r="S73" s="209">
        <f t="shared" si="30"/>
        <v>0</v>
      </c>
      <c r="T73" s="209">
        <f t="shared" si="30"/>
        <v>0</v>
      </c>
      <c r="U73" s="209">
        <f t="shared" si="30"/>
        <v>0</v>
      </c>
      <c r="V73" s="209">
        <f t="shared" si="30"/>
        <v>0</v>
      </c>
      <c r="W73" s="209">
        <f t="shared" si="30"/>
        <v>0</v>
      </c>
      <c r="X73" s="209">
        <f t="shared" si="30"/>
        <v>0</v>
      </c>
      <c r="Y73" s="209">
        <f t="shared" si="30"/>
        <v>0</v>
      </c>
      <c r="Z73" s="209">
        <f t="shared" si="30"/>
        <v>0</v>
      </c>
      <c r="AA73" s="209">
        <f t="shared" si="30"/>
        <v>0</v>
      </c>
      <c r="AB73" s="100"/>
      <c r="AC73" s="11"/>
      <c r="AD73" s="209">
        <f>SUMIF($H$34:$H$51,"600000",AD$34:AD$51)/SUMIF($H$54:$H$61,"TLNETRES",AD$54:AD$61)</f>
        <v>115.28300376270916</v>
      </c>
      <c r="AE73" s="100"/>
      <c r="AF73" s="187">
        <f t="shared" si="22"/>
        <v>-115.28300376270916</v>
      </c>
      <c r="AG73" s="209">
        <f>SUMIF($H$34:$H$51,"600000",AG$34:AG$51)/SUMIF($H$54:$H$61,"TLNETRES",AG$54:AG$61)</f>
        <v>0</v>
      </c>
      <c r="AH73" s="100"/>
      <c r="AI73" s="187">
        <f t="shared" si="23"/>
        <v>0</v>
      </c>
      <c r="AJ73" s="11"/>
      <c r="AK73" s="11"/>
      <c r="AL73" s="11"/>
      <c r="AM73" s="11"/>
      <c r="AN73" s="11"/>
      <c r="AO73" s="11"/>
    </row>
    <row r="74" spans="1:41" x14ac:dyDescent="0.25">
      <c r="A74" s="65" t="s">
        <v>15</v>
      </c>
      <c r="B74" s="66"/>
      <c r="C74" s="11"/>
      <c r="D74" s="11"/>
      <c r="E74" s="11"/>
      <c r="F74" s="11"/>
      <c r="G74" s="76"/>
      <c r="H74" s="88"/>
      <c r="I74" s="136"/>
      <c r="J74" s="136"/>
      <c r="K74" s="179"/>
      <c r="L74" s="179"/>
      <c r="M74" s="179"/>
      <c r="N74" s="106" t="s">
        <v>253</v>
      </c>
      <c r="O74" s="370">
        <f t="shared" ref="O74:AA74" si="31">SUMIF($H$34:$H$51,"TOTDEPTEXP",O$34:O$51)/SUMIF($H$54:$H$61,"TLNETRES",O$54:O$61)</f>
        <v>231.99745454545456</v>
      </c>
      <c r="P74" s="370">
        <f t="shared" si="31"/>
        <v>110.57132075471698</v>
      </c>
      <c r="Q74" s="370">
        <f t="shared" si="31"/>
        <v>46.261732851985556</v>
      </c>
      <c r="R74" s="370">
        <f t="shared" si="31"/>
        <v>-53.790303030303029</v>
      </c>
      <c r="S74" s="370">
        <f t="shared" si="31"/>
        <v>474.82608695652175</v>
      </c>
      <c r="T74" s="370">
        <f t="shared" si="31"/>
        <v>129.23773584905661</v>
      </c>
      <c r="U74" s="370">
        <f t="shared" si="31"/>
        <v>-521.96352941176463</v>
      </c>
      <c r="V74" s="370">
        <f t="shared" si="31"/>
        <v>139.92152173913044</v>
      </c>
      <c r="W74" s="370">
        <f t="shared" si="31"/>
        <v>336</v>
      </c>
      <c r="X74" s="370">
        <f t="shared" si="31"/>
        <v>124.16309090909091</v>
      </c>
      <c r="Y74" s="370">
        <f t="shared" si="31"/>
        <v>535.98705882352942</v>
      </c>
      <c r="Z74" s="370">
        <f t="shared" si="31"/>
        <v>188.40539682539685</v>
      </c>
      <c r="AA74" s="370">
        <f t="shared" si="31"/>
        <v>250.32714285714289</v>
      </c>
      <c r="AB74" s="371"/>
      <c r="AC74" s="11"/>
      <c r="AD74" s="370">
        <f>SUMIF($H$34:$H$51,"TOTDEPTEXP",AD$34:AD$51)/SUMIF($H$54:$H$61,"TLNETRES",AD$54:AD$61)</f>
        <v>541.88600232167153</v>
      </c>
      <c r="AE74" s="371"/>
      <c r="AF74" s="372">
        <f t="shared" si="22"/>
        <v>-291.55885946452861</v>
      </c>
      <c r="AG74" s="370">
        <f>SUMIF($H$34:$H$51,"TOTDEPTEXP",AG$34:AG$51)/SUMIF($H$54:$H$61,"TLNETRES",AG$54:AG$61)</f>
        <v>340.34770909090906</v>
      </c>
      <c r="AH74" s="371"/>
      <c r="AI74" s="372">
        <f t="shared" si="23"/>
        <v>-90.020566233766175</v>
      </c>
      <c r="AJ74" s="11"/>
      <c r="AK74" s="11"/>
      <c r="AL74" s="11"/>
      <c r="AM74" s="11"/>
      <c r="AN74" s="11"/>
      <c r="AO74" s="11"/>
    </row>
    <row r="75" spans="1:41" x14ac:dyDescent="0.25">
      <c r="A75" s="65" t="s">
        <v>16</v>
      </c>
      <c r="B75" s="66"/>
      <c r="C75" s="11"/>
      <c r="D75" s="11"/>
      <c r="E75" s="11"/>
      <c r="F75" s="11"/>
      <c r="G75" s="76"/>
      <c r="H75" s="76"/>
      <c r="I75" s="76"/>
      <c r="J75" s="76"/>
      <c r="K75" s="76"/>
      <c r="L75" s="76"/>
      <c r="M75" s="76"/>
      <c r="N75" s="104"/>
      <c r="O75" s="104"/>
      <c r="P75" s="104"/>
      <c r="Q75" s="104"/>
      <c r="R75" s="104"/>
      <c r="S75" s="104"/>
      <c r="T75" s="104"/>
      <c r="U75" s="104"/>
      <c r="V75" s="104"/>
      <c r="W75" s="104"/>
      <c r="X75" s="104"/>
      <c r="Y75" s="104"/>
      <c r="Z75" s="104"/>
      <c r="AA75" s="104"/>
      <c r="AB75" s="104"/>
      <c r="AC75" s="11"/>
      <c r="AD75" s="104"/>
      <c r="AE75" s="104"/>
      <c r="AF75" s="104"/>
      <c r="AG75" s="104"/>
      <c r="AH75" s="104"/>
      <c r="AI75" s="104"/>
      <c r="AJ75" s="11"/>
      <c r="AK75" s="11"/>
      <c r="AL75" s="11"/>
      <c r="AM75" s="11"/>
      <c r="AN75" s="11"/>
      <c r="AO75" s="11"/>
    </row>
    <row r="76" spans="1:41" x14ac:dyDescent="0.25">
      <c r="A76" s="65" t="s">
        <v>17</v>
      </c>
      <c r="B76" s="66"/>
      <c r="C76" s="11"/>
      <c r="D76" s="11"/>
      <c r="E76" s="11"/>
      <c r="F76" s="11"/>
      <c r="G76" s="76"/>
      <c r="H76" s="11"/>
      <c r="I76" s="59"/>
      <c r="J76" s="59"/>
      <c r="K76" s="11"/>
      <c r="L76" s="11"/>
      <c r="M76" s="11"/>
      <c r="N76" s="104" t="str">
        <f>N51&amp;" - Check"</f>
        <v>Total Expenses - Check</v>
      </c>
      <c r="O76" s="209">
        <f t="shared" ref="O76:AA76" si="32">SUMIF($H$48:$H$51,"700000",O$48:O$51)+SUMIF($H$48:$H$51,"600000",O$48:O$51)-SUMIF($H$48:$H$51,"TOTDEPTEXP",O$48:O$51)</f>
        <v>0</v>
      </c>
      <c r="P76" s="209">
        <f t="shared" si="32"/>
        <v>0</v>
      </c>
      <c r="Q76" s="209">
        <f t="shared" si="32"/>
        <v>0</v>
      </c>
      <c r="R76" s="209">
        <f t="shared" si="32"/>
        <v>0</v>
      </c>
      <c r="S76" s="209">
        <f t="shared" si="32"/>
        <v>0</v>
      </c>
      <c r="T76" s="209">
        <f t="shared" si="32"/>
        <v>0</v>
      </c>
      <c r="U76" s="209">
        <f t="shared" si="32"/>
        <v>0</v>
      </c>
      <c r="V76" s="209">
        <f t="shared" si="32"/>
        <v>0</v>
      </c>
      <c r="W76" s="209">
        <f t="shared" si="32"/>
        <v>0</v>
      </c>
      <c r="X76" s="209">
        <f t="shared" si="32"/>
        <v>0</v>
      </c>
      <c r="Y76" s="209">
        <f t="shared" si="32"/>
        <v>0</v>
      </c>
      <c r="Z76" s="209">
        <f t="shared" si="32"/>
        <v>0</v>
      </c>
      <c r="AA76" s="209">
        <f t="shared" si="32"/>
        <v>0</v>
      </c>
      <c r="AB76" s="100"/>
      <c r="AC76" s="11"/>
      <c r="AD76" s="209">
        <f>SUMIF($H$48:$H$51,"700000",AD$48:AD$51)+SUMIF($H$48:$H$51,"600000",AD$48:AD$51)-SUMIF($H$48:$H$51,"TOTDEPTEXP",AD$48:AD$51)</f>
        <v>0</v>
      </c>
      <c r="AE76" s="100"/>
      <c r="AF76" s="91"/>
      <c r="AG76" s="209">
        <f>SUMIF($H$48:$H$51,"700000",AG$48:AG$51)+SUMIF($H$48:$H$51,"600000",AG$48:AG$51)-SUMIF($H$48:$H$51,"TOTDEPTEXP",AG$48:AG$51)</f>
        <v>0</v>
      </c>
      <c r="AH76" s="100"/>
      <c r="AI76" s="91"/>
      <c r="AJ76" s="11"/>
      <c r="AK76" s="11"/>
      <c r="AL76" s="11"/>
      <c r="AM76" s="11"/>
      <c r="AN76" s="11"/>
      <c r="AO76" s="11"/>
    </row>
    <row r="77" spans="1:41" x14ac:dyDescent="0.25">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97" t="s">
        <v>92</v>
      </c>
      <c r="B78" s="98" t="s">
        <v>93</v>
      </c>
      <c r="C78" s="98" t="s">
        <v>94</v>
      </c>
      <c r="D78" s="98" t="s">
        <v>95</v>
      </c>
      <c r="E78" s="98" t="s">
        <v>96</v>
      </c>
      <c r="F78" s="99" t="s">
        <v>97</v>
      </c>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11"/>
      <c r="B79" s="11"/>
      <c r="C79" s="11"/>
      <c r="D79" s="11"/>
      <c r="E79" s="11"/>
      <c r="F79" s="11"/>
      <c r="G79" s="11"/>
      <c r="H79" s="11"/>
      <c r="I79" s="59"/>
      <c r="J79" s="59"/>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11" t="s">
        <v>108</v>
      </c>
      <c r="B80" s="11"/>
      <c r="C80" s="104" t="s">
        <v>101</v>
      </c>
      <c r="D80" s="11" t="s">
        <v>106</v>
      </c>
      <c r="E80" s="11"/>
      <c r="F80" s="11" t="s">
        <v>98</v>
      </c>
      <c r="G80" s="11"/>
      <c r="H80" s="11"/>
      <c r="I80" s="59"/>
      <c r="J80" s="59"/>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11" t="s">
        <v>100</v>
      </c>
      <c r="B81" s="11"/>
      <c r="C81" s="53" t="s">
        <v>101</v>
      </c>
      <c r="D81" s="11" t="s">
        <v>106</v>
      </c>
      <c r="E81" s="11"/>
      <c r="F81" s="11" t="s">
        <v>98</v>
      </c>
      <c r="G81" s="11"/>
      <c r="H81" s="11"/>
      <c r="I81" s="59"/>
      <c r="J81" s="59"/>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11" t="s">
        <v>109</v>
      </c>
      <c r="B82" s="11"/>
      <c r="C82" s="106" t="s">
        <v>101</v>
      </c>
      <c r="D82" s="11" t="s">
        <v>106</v>
      </c>
      <c r="E82" s="11"/>
      <c r="F82" s="11" t="s">
        <v>98</v>
      </c>
      <c r="G82" s="11"/>
      <c r="H82" s="11"/>
      <c r="I82" s="59"/>
      <c r="J82" s="59"/>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11" t="s">
        <v>109</v>
      </c>
      <c r="B83" s="11"/>
      <c r="C83" s="196" t="s">
        <v>101</v>
      </c>
      <c r="D83" s="11" t="s">
        <v>107</v>
      </c>
      <c r="E83" s="11"/>
      <c r="F83" s="11" t="s">
        <v>99</v>
      </c>
      <c r="G83" s="11"/>
      <c r="H83" s="11"/>
      <c r="I83" s="59"/>
      <c r="J83" s="59"/>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11"/>
      <c r="B84" s="11"/>
      <c r="C84" s="109"/>
      <c r="D84" s="11"/>
      <c r="E84" s="11"/>
      <c r="F84" s="11"/>
      <c r="G84" s="11"/>
      <c r="H84" s="11"/>
      <c r="I84" s="59"/>
      <c r="J84" s="59"/>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11"/>
      <c r="B85" s="11"/>
      <c r="C85" s="208"/>
      <c r="D85" s="11"/>
      <c r="E85" s="11"/>
      <c r="F85" s="11"/>
      <c r="G85" s="11"/>
      <c r="H85" s="11"/>
      <c r="I85" s="59"/>
      <c r="J85" s="59"/>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2" t="s">
        <v>23</v>
      </c>
      <c r="B86" s="63" t="s">
        <v>24</v>
      </c>
      <c r="C86" s="11"/>
      <c r="D86" s="11"/>
      <c r="E86" s="11"/>
      <c r="F86" s="11"/>
      <c r="G86" s="11"/>
      <c r="H86" s="11"/>
      <c r="I86" s="59"/>
      <c r="J86" s="59"/>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25</v>
      </c>
      <c r="B87" s="66"/>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26</v>
      </c>
      <c r="B88" s="66"/>
      <c r="C88" s="11"/>
      <c r="D88" s="11"/>
      <c r="E88" s="11"/>
      <c r="F88" s="11"/>
      <c r="G88" s="11"/>
      <c r="H88" s="11"/>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65" t="s">
        <v>27</v>
      </c>
      <c r="B89" s="66"/>
      <c r="C89" s="11"/>
      <c r="D89" s="11"/>
      <c r="E89" s="11"/>
      <c r="F89" s="11"/>
      <c r="G89" s="11"/>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28</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65" t="s">
        <v>29</v>
      </c>
      <c r="B91" s="66"/>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65" t="s">
        <v>30</v>
      </c>
      <c r="B92" s="66" t="s">
        <v>78</v>
      </c>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5" t="s">
        <v>31</v>
      </c>
      <c r="B93" s="66" t="s">
        <v>78</v>
      </c>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65" t="s">
        <v>32</v>
      </c>
      <c r="B94" s="66"/>
      <c r="C94" s="11"/>
      <c r="D94" s="11"/>
      <c r="E94" s="11"/>
      <c r="F94" s="11"/>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33</v>
      </c>
      <c r="B95" s="66"/>
      <c r="C95" s="11"/>
      <c r="D95" s="11"/>
      <c r="E95" s="11"/>
      <c r="F95" s="11"/>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65" t="s">
        <v>34</v>
      </c>
      <c r="B96" s="66"/>
      <c r="C96" s="11"/>
      <c r="D96" s="11"/>
      <c r="E96" s="11"/>
      <c r="F96" s="11"/>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35</v>
      </c>
      <c r="B97" s="66"/>
      <c r="C97" s="11"/>
      <c r="D97" s="11"/>
      <c r="E97" s="11"/>
      <c r="F97" s="11"/>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65" t="s">
        <v>36</v>
      </c>
      <c r="B98" s="66"/>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37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65" t="s">
        <v>38</v>
      </c>
      <c r="B100" s="66"/>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65" t="s">
        <v>39</v>
      </c>
      <c r="B101" s="66"/>
      <c r="C101" s="11"/>
      <c r="D101" s="11"/>
      <c r="E101" s="11"/>
      <c r="F101" s="11"/>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65" t="s">
        <v>40</v>
      </c>
      <c r="B102" s="66"/>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65" t="s">
        <v>41</v>
      </c>
      <c r="B103" s="66"/>
      <c r="C103" s="11"/>
      <c r="D103" s="11"/>
      <c r="E103" s="11"/>
      <c r="F103" s="11"/>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65" t="s">
        <v>42</v>
      </c>
      <c r="B104" s="66"/>
      <c r="C104" s="11"/>
      <c r="D104" s="11"/>
      <c r="E104" s="11"/>
      <c r="F104" s="11"/>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65" t="s">
        <v>43</v>
      </c>
      <c r="B105" s="66"/>
      <c r="C105" s="11"/>
      <c r="D105" s="11"/>
      <c r="E105" s="11"/>
      <c r="F105" s="11"/>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65" t="s">
        <v>44</v>
      </c>
      <c r="B106" s="66"/>
      <c r="C106" s="11"/>
      <c r="D106" s="11"/>
      <c r="E106" s="11"/>
      <c r="F106" s="11"/>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65" t="s">
        <v>45</v>
      </c>
      <c r="B107" s="66"/>
      <c r="C107" s="11"/>
      <c r="D107" s="11"/>
      <c r="E107" s="11"/>
      <c r="F107" s="11"/>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65" t="s">
        <v>46</v>
      </c>
      <c r="B108" s="66"/>
      <c r="C108" s="11"/>
      <c r="D108" s="11"/>
      <c r="E108" s="11"/>
      <c r="F108" s="11"/>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11"/>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11"/>
      <c r="B111" s="11"/>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208"/>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11"/>
      <c r="B113" s="11"/>
      <c r="C113" s="208"/>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sheetData>
  <sheetProtection algorithmName="SHA-512" hashValue="FmwzY329r7IKA7T1Xdf6a/ILs7PsGnehorPuLk4zwXcXPDf3Iq7u9Nq2O2ohxywy53ujVZzTV56j9x9QUE03jQ==" saltValue="2xLZkTMlzVq0+EkSU25kJQ==" spinCount="100000" sheet="1" scenarios="1"/>
  <mergeCells count="2">
    <mergeCell ref="AD31:AE31"/>
    <mergeCell ref="AG31:AH31"/>
  </mergeCells>
  <dataValidations disablePrompts="1" count="2">
    <dataValidation type="list" allowBlank="1" sqref="B71 B28" xr:uid="{00000000-0002-0000-0400-000000000000}">
      <formula1>"ACCOUNT,BUSINESSUNIT,CATEGORY,DATASRC,DEPARTMENT,INTCO,MEASURES,RPTCURRENCY,TIME"</formula1>
    </dataValidation>
    <dataValidation type="list" allowBlank="1" sqref="B72 B29" xr:uid="{00000000-0002-0000-04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8197"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8197" r:id="rId7" name="FPMExcelClientSheetOptionstb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6" tint="0.39997558519241921"/>
    <pageSetUpPr fitToPage="1"/>
  </sheetPr>
  <dimension ref="A1:AP19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2"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row>
    <row r="2" spans="1:42"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row>
    <row r="3" spans="1:42"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row>
    <row r="4" spans="1:42"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row>
    <row r="5" spans="1:42"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row>
    <row r="6" spans="1:42" hidden="1" outlineLevel="1" x14ac:dyDescent="0.25">
      <c r="A6" s="53" t="s">
        <v>52</v>
      </c>
      <c r="B6" s="56" t="s">
        <v>358</v>
      </c>
      <c r="C6" s="11" t="str">
        <f>IF(_epmOfflineCondition_,"Food &amp; Beverage",_xll.EVDES(B6,$B$1))</f>
        <v>Food &amp; Beverage</v>
      </c>
      <c r="D6" s="11"/>
      <c r="E6" s="58" t="str">
        <f>IF(_epmOfflineCondition_,"D_FB",_xll.EVPRO($B$1,$B$6,$F$6))</f>
        <v>D_FB</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row>
    <row r="9" spans="1:42"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row>
    <row r="10" spans="1:42"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row>
    <row r="11" spans="1:42"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c r="AP11" s="11"/>
    </row>
    <row r="12" spans="1:42"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c r="AP12" s="11"/>
    </row>
    <row r="13" spans="1:42"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c r="AP13" s="11"/>
    </row>
    <row r="14" spans="1:42" hidden="1" outlineLevel="1" x14ac:dyDescent="0.25">
      <c r="A14" s="61" t="str">
        <f>IF(_epmOfflineCondition_,"Evdre:Ok",_xll.EVDRE($B$1,A17:B24))</f>
        <v>Evdre:Ok</v>
      </c>
      <c r="B14" s="53" t="s">
        <v>361</v>
      </c>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c r="AP14" s="11"/>
    </row>
    <row r="15" spans="1:42"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c r="AP15" s="11"/>
    </row>
    <row r="16" spans="1:42"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c r="AP16" s="11"/>
    </row>
    <row r="17" spans="1:42" hidden="1" outlineLevel="1" x14ac:dyDescent="0.25">
      <c r="A17" s="65" t="s">
        <v>2</v>
      </c>
      <c r="B17" s="66" t="str">
        <f>IF(_epmOfflineCondition_,"'FB_Cons'!$B$2:$B$10",_xll.EVRNG($B$2:$B$10))</f>
        <v>'FB_Cons'!$B$2:$B$10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c r="AP17" s="11"/>
    </row>
    <row r="18" spans="1:42" hidden="1" outlineLevel="1" x14ac:dyDescent="0.25">
      <c r="A18" s="65" t="s">
        <v>3</v>
      </c>
      <c r="B18" s="66" t="str">
        <f>IF(_epmOfflineCondition_,"'FB_Cons'!$O$16:$AN$18",_xll.EVRNG($O$16:$AN$18))</f>
        <v>'FB_Cons'!$O$16:$AN$18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c r="AP18" s="11"/>
    </row>
    <row r="19" spans="1:42" hidden="1" outlineLevel="1" x14ac:dyDescent="0.25">
      <c r="A19" s="65" t="s">
        <v>4</v>
      </c>
      <c r="B19" s="66" t="str">
        <f>IF(_epmOfflineCondition_,"'FB_Cons'!$G$35:$H$56",_xll.EVRNG(G35:H56))</f>
        <v>'FB_Cons'!$G$35:$H$56</v>
      </c>
      <c r="C19" s="11"/>
      <c r="D19" s="11"/>
      <c r="E19" s="11"/>
      <c r="F19" s="11"/>
      <c r="G19" s="67" t="str">
        <f>$B$6</f>
        <v>D_REST_CON</v>
      </c>
      <c r="H19" s="67">
        <v>400000</v>
      </c>
      <c r="I19" s="68"/>
      <c r="J19" s="68"/>
      <c r="K19" s="67"/>
      <c r="L19" s="67"/>
      <c r="M19" s="67"/>
      <c r="N19" s="67" t="str">
        <f>IF(_epmOfflineCondition_,"Total Revenue",_xll.EVDES(H19))</f>
        <v>Total Revenue</v>
      </c>
      <c r="O19" s="69">
        <f>IF(_epmOfflineCondition_,181406.37,_xll.EVGTS($B$1,1,$B$3,$B$5,$B$7,$B$9,O$16,O$17,O$18,$G$19,$H$19))</f>
        <v>181406.37</v>
      </c>
      <c r="P19" s="69">
        <f>IF(_epmOfflineCondition_,274883.4,_xll.EVGTS($B$1,1,$B$3,$B$5,$B$7,$B$9,P$16,P$17,P$18,$G$19,$H$19))</f>
        <v>274883.40000000002</v>
      </c>
      <c r="Q19" s="69">
        <f>IF(_epmOfflineCondition_,307247.4,_xll.EVGTS($B$1,1,$B$3,$B$5,$B$7,$B$9,Q$16,Q$17,Q$18,$G$19,$H$19))</f>
        <v>307247.40000000002</v>
      </c>
      <c r="R19" s="69">
        <f>IF(_epmOfflineCondition_,278139.68,_xll.EVGTS($B$1,1,$B$3,$B$5,$B$7,$B$9,R$16,R$17,R$18,$G$19,$H$19))</f>
        <v>278139.68</v>
      </c>
      <c r="S19" s="69">
        <f>IF(_epmOfflineCondition_,249505.86,_xll.EVGTS($B$1,1,$B$3,$B$5,$B$7,$B$9,S$16,S$17,S$18,$G$19,$H$19))</f>
        <v>249505.86</v>
      </c>
      <c r="T19" s="69">
        <f>IF(_epmOfflineCondition_,177467.23,_xll.EVGTS($B$1,1,$B$3,$B$5,$B$7,$B$9,T$16,T$17,T$18,$G$19,$H$19))</f>
        <v>177467.23</v>
      </c>
      <c r="U19" s="69">
        <f>IF(_epmOfflineCondition_,199932.96,_xll.EVGTS($B$1,1,$B$3,$B$5,$B$7,$B$9,U$16,U$17,U$18,$G$19,$H$19))</f>
        <v>199932.96</v>
      </c>
      <c r="V19" s="69">
        <f>IF(_epmOfflineCondition_,143803.66,_xll.EVGTS($B$1,1,$B$3,$B$5,$B$7,$B$9,V$16,V$17,V$18,$G$19,$H$19))</f>
        <v>143803.66</v>
      </c>
      <c r="W19" s="69">
        <f>IF(_epmOfflineCondition_,115657.53,_xll.EVGTS($B$1,1,$B$3,$B$5,$B$7,$B$9,W$16,W$17,W$18,$G$19,$H$19))</f>
        <v>115657.53</v>
      </c>
      <c r="X19" s="69">
        <f>IF(_epmOfflineCondition_,140638.94,_xll.EVGTS($B$1,1,$B$3,$B$5,$B$7,$B$9,X$16,X$17,X$18,$G$19,$H$19))</f>
        <v>140638.94</v>
      </c>
      <c r="Y19" s="69">
        <f>IF(_epmOfflineCondition_,202847.39,_xll.EVGTS($B$1,1,$B$3,$B$5,$B$7,$B$9,Y$16,Y$17,Y$18,$G$19,$H$19))</f>
        <v>202847.39</v>
      </c>
      <c r="Z19" s="69">
        <f>IF(_epmOfflineCondition_,188909.88,_xll.EVGTS($B$1,1,$B$3,$B$5,$B$7,$B$9,Z$16,Z$17,Z$18,$G$19,$H$19))</f>
        <v>188909.88</v>
      </c>
      <c r="AA19" s="69">
        <f>SUM(O19:Z19)</f>
        <v>2460440.2999999998</v>
      </c>
      <c r="AB19" s="67"/>
      <c r="AC19" s="67"/>
      <c r="AD19" s="69">
        <f>IF(_epmOfflineCondition_,3051610.7012649,_xll.EVGTS($B$1,1,$B$3,$B$5,$B$7,$B$9,AD$16,AD$17,AD$18,$G$19,$H$19))</f>
        <v>3051610.7012649002</v>
      </c>
      <c r="AE19" s="67"/>
      <c r="AF19" s="67"/>
      <c r="AG19" s="69">
        <f>IF(_epmOfflineCondition_,1583944.63,_xll.EVGTS($B$1,1,$B$3,$B$5,$B$7,$B$9,AG$16,AG$17,AG$18,$G$19,$H$19))</f>
        <v>1583944.63</v>
      </c>
      <c r="AH19" s="67"/>
      <c r="AI19" s="67"/>
      <c r="AJ19" s="11"/>
      <c r="AK19" s="11"/>
      <c r="AL19" s="11"/>
      <c r="AM19" s="11"/>
      <c r="AN19" s="11"/>
      <c r="AO19" s="11"/>
      <c r="AP19" s="11"/>
    </row>
    <row r="20" spans="1:42" hidden="1" outlineLevel="1" x14ac:dyDescent="0.25">
      <c r="A20" s="65" t="s">
        <v>5</v>
      </c>
      <c r="B20" s="66"/>
      <c r="C20" s="11"/>
      <c r="D20" s="11"/>
      <c r="E20" s="11"/>
      <c r="F20" s="11"/>
      <c r="G20" s="67" t="str">
        <f>$B$6</f>
        <v>D_REST_CON</v>
      </c>
      <c r="H20" s="67">
        <v>946000</v>
      </c>
      <c r="I20" s="68"/>
      <c r="J20" s="68"/>
      <c r="K20" s="67"/>
      <c r="L20" s="68"/>
      <c r="M20" s="68"/>
      <c r="N20" s="67" t="str">
        <f>IF(_epmOfflineCondition_,"Total Customers",_xll.EVDES(H20))</f>
        <v>Total Customers</v>
      </c>
      <c r="O20" s="69">
        <f>IF(_epmOfflineCondition_,4578,_xll.EVGTS($B$1,1,$B$3,$B$5,$B$7,$B$9,O$16,O$17,O$18,$G$20,$H$20))</f>
        <v>4578</v>
      </c>
      <c r="P20" s="69">
        <f>IF(_epmOfflineCondition_,5807,_xll.EVGTS($B$1,1,$B$3,$B$5,$B$7,$B$9,P$16,P$17,P$18,$G$20,$H$20))</f>
        <v>5807</v>
      </c>
      <c r="Q20" s="69">
        <f>IF(_epmOfflineCondition_,6112,_xll.EVGTS($B$1,1,$B$3,$B$5,$B$7,$B$9,Q$16,Q$17,Q$18,$G$20,$H$20))</f>
        <v>6112</v>
      </c>
      <c r="R20" s="69">
        <f>IF(_epmOfflineCondition_,5586,_xll.EVGTS($B$1,1,$B$3,$B$5,$B$7,$B$9,R$16,R$17,R$18,$G$20,$H$20))</f>
        <v>5586</v>
      </c>
      <c r="S20" s="69">
        <f>IF(_epmOfflineCondition_,4848,_xll.EVGTS($B$1,1,$B$3,$B$5,$B$7,$B$9,S$16,S$17,S$18,$G$20,$H$20))</f>
        <v>4848</v>
      </c>
      <c r="T20" s="69">
        <f>IF(_epmOfflineCondition_,4336,_xll.EVGTS($B$1,1,$B$3,$B$5,$B$7,$B$9,T$16,T$17,T$18,$G$20,$H$20))</f>
        <v>4336</v>
      </c>
      <c r="U20" s="69">
        <f>IF(_epmOfflineCondition_,5224,_xll.EVGTS($B$1,1,$B$3,$B$5,$B$7,$B$9,U$16,U$17,U$18,$G$20,$H$20))</f>
        <v>5224</v>
      </c>
      <c r="V20" s="69">
        <f>IF(_epmOfflineCondition_,3734,_xll.EVGTS($B$1,1,$B$3,$B$5,$B$7,$B$9,V$16,V$17,V$18,$G$20,$H$20))</f>
        <v>3734</v>
      </c>
      <c r="W20" s="69">
        <f>IF(_epmOfflineCondition_,3390,_xll.EVGTS($B$1,1,$B$3,$B$5,$B$7,$B$9,W$16,W$17,W$18,$G$20,$H$20))</f>
        <v>3390</v>
      </c>
      <c r="X20" s="69">
        <f>IF(_epmOfflineCondition_,3241,_xll.EVGTS($B$1,1,$B$3,$B$5,$B$7,$B$9,X$16,X$17,X$18,$G$20,$H$20))</f>
        <v>3241</v>
      </c>
      <c r="Y20" s="69">
        <f>IF(_epmOfflineCondition_,4784,_xll.EVGTS($B$1,1,$B$3,$B$5,$B$7,$B$9,Y$16,Y$17,Y$18,$G$20,$H$20))</f>
        <v>4784</v>
      </c>
      <c r="Z20" s="69">
        <f>IF(_epmOfflineCondition_,4693,_xll.EVGTS($B$1,1,$B$3,$B$5,$B$7,$B$9,Z$16,Z$17,Z$18,$G$20,$H$20))</f>
        <v>4693</v>
      </c>
      <c r="AA20" s="69">
        <f>SUM(O20:Z20)</f>
        <v>56333</v>
      </c>
      <c r="AB20" s="67"/>
      <c r="AC20" s="67"/>
      <c r="AD20" s="69">
        <f>IF(_epmOfflineCondition_,70654.54234854,_xll.EVGTS($B$1,1,$B$3,$B$5,$B$7,$B$9,AD$16,AD$17,AD$18,$G$20,$H$20))</f>
        <v>70654.542348539995</v>
      </c>
      <c r="AE20" s="67"/>
      <c r="AF20" s="67"/>
      <c r="AG20" s="69">
        <f>IF(_epmOfflineCondition_,42457,_xll.EVGTS($B$1,1,$B$3,$B$5,$B$7,$B$9,AG$16,AG$17,AG$18,$G$20,$H$20))</f>
        <v>42457</v>
      </c>
      <c r="AH20" s="67"/>
      <c r="AI20" s="67"/>
      <c r="AJ20" s="11"/>
      <c r="AK20" s="11"/>
      <c r="AL20" s="11"/>
      <c r="AM20" s="11"/>
      <c r="AN20" s="11"/>
      <c r="AO20" s="11"/>
      <c r="AP20" s="11"/>
    </row>
    <row r="21" spans="1:42"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row>
    <row r="22" spans="1:42"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row>
    <row r="23" spans="1:42" hidden="1" outlineLevel="1" x14ac:dyDescent="0.25">
      <c r="A23" s="65" t="s">
        <v>47</v>
      </c>
      <c r="B23" s="66" t="str">
        <f>IF(_epmOfflineCondition_,"'FB_Cons'!$A$114:$B$135",_xll.EVRNG($A$114:$B$135))</f>
        <v>'FB_Cons'!$A$114:$B$135</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c r="AP23" s="11"/>
    </row>
    <row r="24" spans="1:42"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row>
    <row r="25" spans="1:42"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row>
    <row r="26" spans="1:42" ht="22.5" x14ac:dyDescent="0.3">
      <c r="A26" s="62" t="s">
        <v>9</v>
      </c>
      <c r="B26" s="63" t="s">
        <v>10</v>
      </c>
      <c r="C26" s="63" t="s">
        <v>357</v>
      </c>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1:42" ht="18" x14ac:dyDescent="0.25">
      <c r="A27" s="65" t="s">
        <v>11</v>
      </c>
      <c r="B27" s="66" t="s">
        <v>21</v>
      </c>
      <c r="C27" s="66" t="s">
        <v>21</v>
      </c>
      <c r="D27" s="11"/>
      <c r="E27" s="11"/>
      <c r="F27" s="11"/>
      <c r="G27" s="11"/>
      <c r="H27" s="11"/>
      <c r="I27" s="59"/>
      <c r="J27" s="59"/>
      <c r="K27" s="11"/>
      <c r="L27" s="11"/>
      <c r="M27" s="11"/>
      <c r="N27" s="71" t="str">
        <f>IF(_epmOfflineCondition_,"Food &amp; Beverage Department",IF(_xll.EVDES(B6,$B$1)="#NODATA","",_xll.EVDES(B6,$B$1)&amp;" Department"))</f>
        <v>Food &amp; Beverage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1:42" ht="15.75" x14ac:dyDescent="0.25">
      <c r="A28" s="65" t="s">
        <v>12</v>
      </c>
      <c r="B28" s="66" t="s">
        <v>52</v>
      </c>
      <c r="C28" s="66" t="s">
        <v>22</v>
      </c>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1:42" ht="15" customHeight="1" x14ac:dyDescent="0.25">
      <c r="A29" s="65" t="s">
        <v>13</v>
      </c>
      <c r="B29" s="66" t="s">
        <v>359</v>
      </c>
      <c r="C29" s="66" t="s">
        <v>360</v>
      </c>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1:42" x14ac:dyDescent="0.25">
      <c r="A30" s="65" t="s">
        <v>14</v>
      </c>
      <c r="B30" s="66"/>
      <c r="C30" s="66"/>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c r="AP30" s="11"/>
    </row>
    <row r="31" spans="1:42" x14ac:dyDescent="0.25">
      <c r="A31" s="65" t="s">
        <v>15</v>
      </c>
      <c r="B31" s="66"/>
      <c r="C31" s="66"/>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c r="AP31" s="11"/>
    </row>
    <row r="32" spans="1:42" s="8" customFormat="1" ht="30" customHeight="1" x14ac:dyDescent="0.25">
      <c r="A32" s="81" t="s">
        <v>16</v>
      </c>
      <c r="B32" s="82"/>
      <c r="C32" s="82"/>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c r="AP32" s="83"/>
    </row>
    <row r="33" spans="1:42" x14ac:dyDescent="0.25">
      <c r="A33" s="65" t="s">
        <v>17</v>
      </c>
      <c r="B33" s="66"/>
      <c r="C33" s="66"/>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c r="AP33" s="11"/>
    </row>
    <row r="34" spans="1:42" x14ac:dyDescent="0.25">
      <c r="A34" s="11"/>
      <c r="B34" s="11"/>
      <c r="C34" s="11"/>
      <c r="D34" s="11"/>
      <c r="E34" s="11"/>
      <c r="F34" s="11"/>
      <c r="G34" s="11"/>
      <c r="H34" s="11" t="s">
        <v>259</v>
      </c>
      <c r="I34" s="59" t="str">
        <f>IF(_epmOfflineCondition_,"B1",_xll.EVPRO($B$1,$H34,"STYLE"))</f>
        <v>B1</v>
      </c>
      <c r="J34" s="59" t="str">
        <f>IF(_epmOfflineCondition_,"Y",_xll.EVPRO($B$1,$H34,"CALC"))</f>
        <v>Y</v>
      </c>
      <c r="K34" s="11"/>
      <c r="L34" s="11"/>
      <c r="M34" s="11"/>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c r="AP34" s="11"/>
    </row>
    <row r="35" spans="1:42" x14ac:dyDescent="0.25">
      <c r="A35" s="11"/>
      <c r="B35" s="11"/>
      <c r="C35" s="11"/>
      <c r="D35" s="11"/>
      <c r="E35" s="11"/>
      <c r="F35" s="11"/>
      <c r="G35" s="88" t="s">
        <v>258</v>
      </c>
      <c r="H35" s="88" t="s">
        <v>265</v>
      </c>
      <c r="I35" s="122" t="str">
        <f>IF(_epmOfflineCondition_,"T4",_xll.EVPRO($B$1,$H35,"STYLE"))</f>
        <v>T4</v>
      </c>
      <c r="J35" s="122" t="str">
        <f>IF(_epmOfflineCondition_,"Y",_xll.EVPRO($B$1,$H35,"CALC"))</f>
        <v>Y</v>
      </c>
      <c r="K35" s="265" t="str">
        <f>IF(AND(I35&gt;="T5"),"&gt;","")</f>
        <v/>
      </c>
      <c r="L35" s="265"/>
      <c r="M35" s="265"/>
      <c r="N35" s="90" t="str">
        <f>IF(_epmOfflineCondition_,"Venues  Food Rev",IF(_xll.EVDES(G35,$B$1)="#NODATA","",_xll.EVDES(G35,$B$1)&amp;" Food Rev"))</f>
        <v>Venues  Food Rev</v>
      </c>
      <c r="O35" s="138">
        <v>69738.58</v>
      </c>
      <c r="P35" s="138">
        <v>92734.75</v>
      </c>
      <c r="Q35" s="138">
        <v>101095.41</v>
      </c>
      <c r="R35" s="138">
        <v>107028.86</v>
      </c>
      <c r="S35" s="138">
        <v>94990.78</v>
      </c>
      <c r="T35" s="138">
        <v>71333.69</v>
      </c>
      <c r="U35" s="138">
        <v>81515.14</v>
      </c>
      <c r="V35" s="138">
        <v>62046.37</v>
      </c>
      <c r="W35" s="138">
        <v>49269.29</v>
      </c>
      <c r="X35" s="138">
        <v>51925.38</v>
      </c>
      <c r="Y35" s="138">
        <v>63236.75</v>
      </c>
      <c r="Z35" s="138">
        <v>88463.28</v>
      </c>
      <c r="AA35" s="210">
        <f t="shared" ref="AA35:AA56" si="0">IF($I35="B1","",SUM(O35:Z35))</f>
        <v>933378.28000000014</v>
      </c>
      <c r="AB35" s="142">
        <f>IF(AA35=0,"",IFERROR(AA35/AA$19,""))</f>
        <v>0.37935416681315137</v>
      </c>
      <c r="AC35" s="140"/>
      <c r="AD35" s="138">
        <v>1265801.9824618001</v>
      </c>
      <c r="AE35" s="142">
        <f>IF(AD35=0,"",IFERROR(AD35/AD$19,""))</f>
        <v>0.41479798912001525</v>
      </c>
      <c r="AF35" s="141">
        <f>IF(AND($AA35="",AD35=""),"",$AA35-AD35)</f>
        <v>-332423.70246179996</v>
      </c>
      <c r="AG35" s="138">
        <v>671211.75</v>
      </c>
      <c r="AH35" s="142">
        <f>IF(AG35=0,"",IFERROR(AG35/AG$19,""))</f>
        <v>0.42375960452607492</v>
      </c>
      <c r="AI35" s="141">
        <f>IF(AND($AA35="",AG35=""),"",$AA35-AG35)</f>
        <v>262166.53000000014</v>
      </c>
      <c r="AJ35" s="211">
        <f t="shared" ref="AJ35:AJ56" si="1">IFERROR(AA35/AA$20,0)</f>
        <v>16.568943248184905</v>
      </c>
      <c r="AK35" s="212">
        <f t="shared" ref="AK35:AK56" si="2">IFERROR(AD35/AD$20,0)</f>
        <v>17.915365953650632</v>
      </c>
      <c r="AL35" s="214">
        <f t="shared" ref="AL35:AL56" si="3">IFERROR(AG35/AG$20,0)</f>
        <v>15.809212850648892</v>
      </c>
      <c r="AM35" s="423" t="str">
        <f t="shared" ref="AM35:AM56" si="4">+IFERROR(ROUND(($AB35-AE35)*100,2)&amp;" pts.",0)</f>
        <v>-3.54 pts.</v>
      </c>
      <c r="AN35" s="424" t="str">
        <f t="shared" ref="AN35:AN56" si="5">+IFERROR(ROUND(($AB35-AH35)*100,2)&amp;" pts.",0)</f>
        <v>-4.44 pts.</v>
      </c>
      <c r="AO35" s="387"/>
      <c r="AP35" s="387"/>
    </row>
    <row r="36" spans="1:42" x14ac:dyDescent="0.25">
      <c r="A36" s="61" t="str">
        <f>IF(_epmOfflineCondition_,"Evdre:Ok",_xll.EVDRE($B$1,A39:B46,A49:B55))</f>
        <v>Evdre:Ok</v>
      </c>
      <c r="B36" s="11"/>
      <c r="C36" s="11"/>
      <c r="D36" s="11"/>
      <c r="E36" s="11"/>
      <c r="F36" s="11"/>
      <c r="G36" s="88" t="s">
        <v>346</v>
      </c>
      <c r="H36" s="88" t="s">
        <v>265</v>
      </c>
      <c r="I36" s="122" t="str">
        <f>IF(_epmOfflineCondition_,"T4",_xll.EVPRO($B$1,$H36,"STYLE"))</f>
        <v>T4</v>
      </c>
      <c r="J36" s="122" t="str">
        <f>IF(_epmOfflineCondition_,"Y",_xll.EVPRO($B$1,$H36,"CALC"))</f>
        <v>Y</v>
      </c>
      <c r="K36" s="265" t="str">
        <f>IF(AND(I36&gt;="T5"),"&gt;","")</f>
        <v/>
      </c>
      <c r="L36" s="265"/>
      <c r="M36" s="265"/>
      <c r="N36" s="90" t="str">
        <f>IF(_epmOfflineCondition_,"In Room Dining Food Rev",IF(_xll.EVDES(G36,$B$1)="#NODATA","",_xll.EVDES(G36,$B$1)&amp;" Food Rev"))</f>
        <v>In Room Dining Food Rev</v>
      </c>
      <c r="O36" s="231"/>
      <c r="P36" s="231"/>
      <c r="Q36" s="231"/>
      <c r="R36" s="231"/>
      <c r="S36" s="231"/>
      <c r="T36" s="231"/>
      <c r="U36" s="231"/>
      <c r="V36" s="231"/>
      <c r="W36" s="231"/>
      <c r="X36" s="231"/>
      <c r="Y36" s="231"/>
      <c r="Z36" s="231"/>
      <c r="AA36" s="231">
        <f t="shared" si="0"/>
        <v>0</v>
      </c>
      <c r="AB36" s="233" t="str">
        <f>IF(AA36=0,"",IFERROR(AA36/AA$19,""))</f>
        <v/>
      </c>
      <c r="AC36" s="140"/>
      <c r="AD36" s="231"/>
      <c r="AE36" s="233" t="str">
        <f>IF(AD36=0,"",IFERROR(AD36/AD$19,""))</f>
        <v/>
      </c>
      <c r="AF36" s="234">
        <f>IF(AND($AA36="",AD36=""),"",$AA36-AD36)</f>
        <v>0</v>
      </c>
      <c r="AG36" s="231"/>
      <c r="AH36" s="233" t="str">
        <f>IF(AG36=0,"",IFERROR(AG36/AG$19,""))</f>
        <v/>
      </c>
      <c r="AI36" s="234">
        <f>IF(AND($AA36="",AG36=""),"",$AA36-AG36)</f>
        <v>0</v>
      </c>
      <c r="AJ36" s="211">
        <f t="shared" si="1"/>
        <v>0</v>
      </c>
      <c r="AK36" s="212">
        <f t="shared" si="2"/>
        <v>0</v>
      </c>
      <c r="AL36" s="214">
        <f t="shared" si="3"/>
        <v>0</v>
      </c>
      <c r="AM36" s="423">
        <f t="shared" si="4"/>
        <v>0</v>
      </c>
      <c r="AN36" s="424">
        <f t="shared" si="5"/>
        <v>0</v>
      </c>
      <c r="AO36" s="11"/>
      <c r="AP36" s="11"/>
    </row>
    <row r="37" spans="1:42" x14ac:dyDescent="0.25">
      <c r="A37" s="11"/>
      <c r="B37" s="11"/>
      <c r="C37" s="11"/>
      <c r="D37" s="11"/>
      <c r="E37" s="11"/>
      <c r="F37" s="11"/>
      <c r="G37" s="88" t="s">
        <v>347</v>
      </c>
      <c r="H37" s="88" t="s">
        <v>265</v>
      </c>
      <c r="I37" s="122" t="str">
        <f>IF(_epmOfflineCondition_,"T4",_xll.EVPRO($B$1,$H37,"STYLE"))</f>
        <v>T4</v>
      </c>
      <c r="J37" s="122" t="str">
        <f>IF(_epmOfflineCondition_,"Y",_xll.EVPRO($B$1,$H37,"CALC"))</f>
        <v>Y</v>
      </c>
      <c r="K37" s="265" t="str">
        <f>IF(AND(I37&gt;="T5"),"&gt;","")</f>
        <v/>
      </c>
      <c r="L37" s="265"/>
      <c r="M37" s="265"/>
      <c r="N37" s="90" t="str">
        <f>IF(_epmOfflineCondition_,"Banquet-Catering &amp; CS Food Rev",IF(_xll.EVDES(G37,$B$1)="#NODATA","",_xll.EVDES(G37,$B$1)&amp;" Food Rev"))</f>
        <v>Banquet-Catering &amp; CS Food Rev</v>
      </c>
      <c r="O37" s="231">
        <v>13797</v>
      </c>
      <c r="P37" s="231">
        <v>34594</v>
      </c>
      <c r="Q37" s="231">
        <v>49478</v>
      </c>
      <c r="R37" s="231">
        <v>27033</v>
      </c>
      <c r="S37" s="231">
        <v>17029.16</v>
      </c>
      <c r="T37" s="231">
        <v>18301</v>
      </c>
      <c r="U37" s="231">
        <v>13125</v>
      </c>
      <c r="V37" s="231">
        <v>7803.77</v>
      </c>
      <c r="W37" s="231">
        <v>2340</v>
      </c>
      <c r="X37" s="231">
        <v>10678</v>
      </c>
      <c r="Y37" s="231">
        <v>27646</v>
      </c>
      <c r="Z37" s="231">
        <v>10700</v>
      </c>
      <c r="AA37" s="231">
        <f t="shared" si="0"/>
        <v>232524.93</v>
      </c>
      <c r="AB37" s="233">
        <f>IF(AA37=0,"",IFERROR(AA37/AA$19,""))</f>
        <v>9.4505414335799981E-2</v>
      </c>
      <c r="AC37" s="140"/>
      <c r="AD37" s="231">
        <v>104997.740949238</v>
      </c>
      <c r="AE37" s="233">
        <f>IF(AD37=0,"",IFERROR(AD37/AD$19,""))</f>
        <v>3.4407318373118882E-2</v>
      </c>
      <c r="AF37" s="234">
        <f>IF(AND($AA37="",AD37=""),"",$AA37-AD37)</f>
        <v>127527.189050762</v>
      </c>
      <c r="AG37" s="231">
        <v>46479.7</v>
      </c>
      <c r="AH37" s="233">
        <f>IF(AG37=0,"",IFERROR(AG37/AG$19,""))</f>
        <v>2.9344270702189888E-2</v>
      </c>
      <c r="AI37" s="234">
        <f>IF(AND($AA37="",AG37=""),"",$AA37-AG37)</f>
        <v>186045.22999999998</v>
      </c>
      <c r="AJ37" s="211">
        <f t="shared" si="1"/>
        <v>4.127685903466884</v>
      </c>
      <c r="AK37" s="212">
        <f t="shared" si="2"/>
        <v>1.4860720550885809</v>
      </c>
      <c r="AL37" s="214">
        <f t="shared" si="3"/>
        <v>1.094747627010858</v>
      </c>
      <c r="AM37" s="423" t="str">
        <f t="shared" si="4"/>
        <v>6.01 pts.</v>
      </c>
      <c r="AN37" s="424" t="str">
        <f t="shared" si="5"/>
        <v>6.52 pts.</v>
      </c>
      <c r="AO37" s="11"/>
      <c r="AP37" s="11"/>
    </row>
    <row r="38" spans="1:42" x14ac:dyDescent="0.25">
      <c r="A38" s="62" t="s">
        <v>0</v>
      </c>
      <c r="B38" s="63" t="s">
        <v>1</v>
      </c>
      <c r="C38" s="11"/>
      <c r="D38" s="11"/>
      <c r="E38" s="11"/>
      <c r="F38" s="11"/>
      <c r="G38" s="88" t="s">
        <v>349</v>
      </c>
      <c r="H38" s="88" t="s">
        <v>265</v>
      </c>
      <c r="I38" s="122" t="str">
        <f>IF(_epmOfflineCondition_,"T4",_xll.EVPRO($B$1,$H38,"STYLE"))</f>
        <v>T4</v>
      </c>
      <c r="J38" s="122" t="str">
        <f>IF(_epmOfflineCondition_,"Y",_xll.EVPRO($B$1,$H38,"CALC"))</f>
        <v>Y</v>
      </c>
      <c r="K38" s="265" t="str">
        <f>IF(AND(I38&gt;="T5"),"&gt;","")</f>
        <v/>
      </c>
      <c r="L38" s="265"/>
      <c r="M38" s="265"/>
      <c r="N38" s="90" t="str">
        <f>IF(_epmOfflineCondition_,"Mini Bar Food Rev",IF(_xll.EVDES(G38,$B$1)="#NODATA","",_xll.EVDES(G38,$B$1)&amp;" Food Rev"))</f>
        <v>Mini Bar Food Rev</v>
      </c>
      <c r="O38" s="231">
        <v>5754.28</v>
      </c>
      <c r="P38" s="231">
        <v>5888.38</v>
      </c>
      <c r="Q38" s="231">
        <v>6499</v>
      </c>
      <c r="R38" s="231">
        <v>6449</v>
      </c>
      <c r="S38" s="231">
        <v>5833</v>
      </c>
      <c r="T38" s="231">
        <v>3215</v>
      </c>
      <c r="U38" s="231">
        <v>4414.34</v>
      </c>
      <c r="V38" s="231">
        <v>3892</v>
      </c>
      <c r="W38" s="231">
        <v>3447.5</v>
      </c>
      <c r="X38" s="231">
        <v>3291.5</v>
      </c>
      <c r="Y38" s="231">
        <v>2216</v>
      </c>
      <c r="Z38" s="231">
        <v>2185.5</v>
      </c>
      <c r="AA38" s="231">
        <f t="shared" si="0"/>
        <v>53085.5</v>
      </c>
      <c r="AB38" s="233">
        <f>IF(AA38=0,"",IFERROR(AA38/AA$19,""))</f>
        <v>2.1575609861373187E-2</v>
      </c>
      <c r="AC38" s="140"/>
      <c r="AD38" s="231">
        <v>56798</v>
      </c>
      <c r="AE38" s="233">
        <f>IF(AD38=0,"",IFERROR(AD38/AD$19,""))</f>
        <v>1.8612465861538988E-2</v>
      </c>
      <c r="AF38" s="234">
        <f>IF(AND($AA38="",AD38=""),"",$AA38-AD38)</f>
        <v>-3712.5</v>
      </c>
      <c r="AG38" s="231">
        <v>37173.74</v>
      </c>
      <c r="AH38" s="233">
        <f>IF(AG38=0,"",IFERROR(AG38/AG$19,""))</f>
        <v>2.3469090583046453E-2</v>
      </c>
      <c r="AI38" s="234">
        <f>IF(AND($AA38="",AG38=""),"",$AA38-AG38)</f>
        <v>15911.760000000002</v>
      </c>
      <c r="AJ38" s="219">
        <f t="shared" si="1"/>
        <v>0.94235172989189286</v>
      </c>
      <c r="AK38" s="220">
        <f t="shared" si="2"/>
        <v>0.8038832056941867</v>
      </c>
      <c r="AL38" s="222">
        <f t="shared" si="3"/>
        <v>0.87556209812280661</v>
      </c>
      <c r="AM38" s="425" t="str">
        <f t="shared" si="4"/>
        <v>0.3 pts.</v>
      </c>
      <c r="AN38" s="426" t="str">
        <f t="shared" si="5"/>
        <v>-0.19 pts.</v>
      </c>
      <c r="AO38" s="11"/>
      <c r="AP38" s="11"/>
    </row>
    <row r="39" spans="1:42" x14ac:dyDescent="0.25">
      <c r="A39" s="65" t="s">
        <v>2</v>
      </c>
      <c r="B39" s="66" t="str">
        <f>IF(_epmOfflineCondition_,"'FB_Cons'!$B$2:$B$10",_xll.EVRNG($B$2:$B$10))</f>
        <v>'FB_Cons'!$B$2:$B$10</v>
      </c>
      <c r="C39" s="11"/>
      <c r="D39" s="11"/>
      <c r="E39" s="11"/>
      <c r="F39" s="11"/>
      <c r="G39" s="88" t="s">
        <v>358</v>
      </c>
      <c r="H39" s="88" t="s">
        <v>265</v>
      </c>
      <c r="I39" s="122" t="str">
        <f>IF(_epmOfflineCondition_,"T4",_xll.EVPRO($B$1,$H39,"STYLE"))</f>
        <v>T4</v>
      </c>
      <c r="J39" s="122" t="str">
        <f>IF(_epmOfflineCondition_,"Y",_xll.EVPRO($B$1,$H39,"CALC"))</f>
        <v>Y</v>
      </c>
      <c r="K39" s="265" t="str">
        <f>IF(AND(I39&gt;="T5"),"&gt;","")</f>
        <v/>
      </c>
      <c r="L39" s="265"/>
      <c r="M39" s="265"/>
      <c r="N39" s="53" t="str">
        <f>IF(_epmOfflineCondition_,"Total Food Revenue",IF(_xll.EVDES(H39,$B$1)="#NODATA","",_xll.EVDES(H39,$B$1)))</f>
        <v>Total Food Revenue</v>
      </c>
      <c r="O39" s="223">
        <v>89289.86</v>
      </c>
      <c r="P39" s="223">
        <v>133217.13</v>
      </c>
      <c r="Q39" s="223">
        <v>157072.41</v>
      </c>
      <c r="R39" s="223">
        <v>140510.85999999999</v>
      </c>
      <c r="S39" s="223">
        <v>117852.94</v>
      </c>
      <c r="T39" s="223">
        <v>92849.69</v>
      </c>
      <c r="U39" s="223">
        <v>99054.48</v>
      </c>
      <c r="V39" s="223">
        <v>73742.14</v>
      </c>
      <c r="W39" s="223">
        <v>55056.79</v>
      </c>
      <c r="X39" s="223">
        <v>65894.880000000005</v>
      </c>
      <c r="Y39" s="223">
        <v>93098.75</v>
      </c>
      <c r="Z39" s="223">
        <v>101348.78</v>
      </c>
      <c r="AA39" s="223">
        <f t="shared" si="0"/>
        <v>1218988.71</v>
      </c>
      <c r="AB39" s="224">
        <f>IF(AA39=0,"",IFERROR(AA39/AA$19,""))</f>
        <v>0.49543519101032446</v>
      </c>
      <c r="AC39" s="140"/>
      <c r="AD39" s="223">
        <v>1427597.7234110399</v>
      </c>
      <c r="AE39" s="224">
        <f>IF(AD39=0,"",IFERROR(AD39/AD$19,""))</f>
        <v>0.46781777335467367</v>
      </c>
      <c r="AF39" s="226">
        <f>IF(AND($AA39="",AD39=""),"",$AA39-AD39)</f>
        <v>-208609.01341103995</v>
      </c>
      <c r="AG39" s="223">
        <v>754865.19</v>
      </c>
      <c r="AH39" s="224">
        <f>IF(AG39=0,"",IFERROR(AG39/AG$19,""))</f>
        <v>0.4765729658113112</v>
      </c>
      <c r="AI39" s="226">
        <f>IF(AND($AA39="",AG39=""),"",$AA39-AG39)</f>
        <v>464123.52</v>
      </c>
      <c r="AJ39" s="435">
        <f t="shared" si="1"/>
        <v>21.638980881543677</v>
      </c>
      <c r="AK39" s="436">
        <f t="shared" si="2"/>
        <v>20.205321214433425</v>
      </c>
      <c r="AL39" s="437">
        <f t="shared" si="3"/>
        <v>17.779522575782554</v>
      </c>
      <c r="AM39" s="438" t="str">
        <f t="shared" si="4"/>
        <v>2.76 pts.</v>
      </c>
      <c r="AN39" s="439" t="str">
        <f t="shared" si="5"/>
        <v>1.89 pts.</v>
      </c>
      <c r="AO39" s="11"/>
      <c r="AP39" s="11"/>
    </row>
    <row r="40" spans="1:42" x14ac:dyDescent="0.25">
      <c r="A40" s="65" t="s">
        <v>3</v>
      </c>
      <c r="B40" s="66" t="str">
        <f>IF(_epmOfflineCondition_,"'FB_Cons'!$O$16:$AN$18",_xll.EVRNG($O$16:$AN$18))</f>
        <v>'FB_Cons'!$O$16:$AN$18</v>
      </c>
      <c r="C40" s="11"/>
      <c r="D40" s="11"/>
      <c r="E40" s="11"/>
      <c r="F40" s="11"/>
      <c r="G40" s="88"/>
      <c r="H40" s="11" t="s">
        <v>266</v>
      </c>
      <c r="I40" s="11" t="str">
        <f>IF(_epmOfflineCondition_,"B1",_xll.EVPRO($B$1,$H40,"STYLE"))</f>
        <v>B1</v>
      </c>
      <c r="J40" s="11" t="str">
        <f>IF(_epmOfflineCondition_,"Y",_xll.EVPRO($B$1,$H40,"CALC"))</f>
        <v>Y</v>
      </c>
      <c r="K40" s="265"/>
      <c r="L40" s="265"/>
      <c r="M40" s="265"/>
      <c r="N40" s="53" t="str">
        <f>IF(_epmOfflineCondition_,"Beverage Revenue",IF(_xll.EVDES(H40,$B$1)="#NODATA","",_xll.EVDES(H40,$B$1)))</f>
        <v>Beverage Revenue</v>
      </c>
      <c r="O40" s="231"/>
      <c r="P40" s="231"/>
      <c r="Q40" s="231"/>
      <c r="R40" s="231"/>
      <c r="S40" s="231"/>
      <c r="T40" s="231"/>
      <c r="U40" s="231"/>
      <c r="V40" s="231"/>
      <c r="W40" s="231"/>
      <c r="X40" s="231"/>
      <c r="Y40" s="231"/>
      <c r="Z40" s="231"/>
      <c r="AA40" s="231" t="str">
        <f t="shared" si="0"/>
        <v/>
      </c>
      <c r="AB40" s="233"/>
      <c r="AC40" s="140"/>
      <c r="AD40" s="231"/>
      <c r="AE40" s="233"/>
      <c r="AF40" s="234"/>
      <c r="AG40" s="231"/>
      <c r="AH40" s="233"/>
      <c r="AI40" s="234"/>
      <c r="AJ40" s="235">
        <f t="shared" si="1"/>
        <v>0</v>
      </c>
      <c r="AK40" s="236">
        <f t="shared" si="2"/>
        <v>0</v>
      </c>
      <c r="AL40" s="238">
        <f t="shared" si="3"/>
        <v>0</v>
      </c>
      <c r="AM40" s="429" t="str">
        <f t="shared" si="4"/>
        <v>0 pts.</v>
      </c>
      <c r="AN40" s="430" t="str">
        <f t="shared" si="5"/>
        <v>0 pts.</v>
      </c>
      <c r="AO40" s="11"/>
      <c r="AP40" s="11"/>
    </row>
    <row r="41" spans="1:42" x14ac:dyDescent="0.25">
      <c r="A41" s="65" t="s">
        <v>4</v>
      </c>
      <c r="B41" s="66" t="str">
        <f>IF(_epmOfflineCondition_,"'FB_Cons'!$H$60:$H$68",_xll.EVRNG(H60:H68))</f>
        <v>'FB_Cons'!$H$60:$H$68</v>
      </c>
      <c r="C41" s="11"/>
      <c r="D41" s="11"/>
      <c r="E41" s="11"/>
      <c r="F41" s="11"/>
      <c r="G41" s="88" t="s">
        <v>258</v>
      </c>
      <c r="H41" s="88" t="s">
        <v>272</v>
      </c>
      <c r="I41" s="122" t="str">
        <f>IF(_epmOfflineCondition_,"T4",_xll.EVPRO($B$1,$H41,"STYLE"))</f>
        <v>T4</v>
      </c>
      <c r="J41" s="122" t="str">
        <f>IF(_epmOfflineCondition_,"Y",_xll.EVPRO($B$1,$H41,"CALC"))</f>
        <v>Y</v>
      </c>
      <c r="K41" s="265" t="str">
        <f>IF(AND(I41&gt;="T5"),"&gt;","")</f>
        <v/>
      </c>
      <c r="L41" s="265"/>
      <c r="M41" s="265"/>
      <c r="N41" s="90" t="str">
        <f>IF(_epmOfflineCondition_,"Venues  Beverage Rev",IF(_xll.EVDES(G41,$B$1)="#NODATA","",_xll.EVDES(G41,$B$1)&amp;" Beverage Rev"))</f>
        <v>Venues  Beverage Rev</v>
      </c>
      <c r="O41" s="231">
        <v>56364.97</v>
      </c>
      <c r="P41" s="231">
        <v>88055.7</v>
      </c>
      <c r="Q41" s="231">
        <v>81582</v>
      </c>
      <c r="R41" s="231">
        <v>74919.89</v>
      </c>
      <c r="S41" s="231">
        <v>76778.75</v>
      </c>
      <c r="T41" s="231">
        <v>46700.02</v>
      </c>
      <c r="U41" s="231">
        <v>58591.6</v>
      </c>
      <c r="V41" s="231">
        <v>39847.199999999997</v>
      </c>
      <c r="W41" s="231">
        <v>40896.42</v>
      </c>
      <c r="X41" s="231">
        <v>40975</v>
      </c>
      <c r="Y41" s="231">
        <v>47863.62</v>
      </c>
      <c r="Z41" s="231">
        <v>46061.78</v>
      </c>
      <c r="AA41" s="231">
        <f t="shared" si="0"/>
        <v>698636.95000000007</v>
      </c>
      <c r="AB41" s="233">
        <f t="shared" ref="AB41:AB47" si="6">IF(AA41=0,"",IFERROR(AA41/AA$19,""))</f>
        <v>0.28394793809872165</v>
      </c>
      <c r="AC41" s="140"/>
      <c r="AD41" s="231">
        <v>1091929.5145382001</v>
      </c>
      <c r="AE41" s="233">
        <f t="shared" ref="AE41:AE47" si="7">IF(AD41=0,"",IFERROR(AD41/AD$19,""))</f>
        <v>0.35782071221784373</v>
      </c>
      <c r="AF41" s="234">
        <f t="shared" ref="AF41:AF47" si="8">IF(AND($AA41="",AD41=""),"",$AA41-AD41)</f>
        <v>-393292.56453820004</v>
      </c>
      <c r="AG41" s="231">
        <v>556707.81999999995</v>
      </c>
      <c r="AH41" s="233">
        <f t="shared" ref="AH41:AH47" si="9">IF(AG41=0,"",IFERROR(AG41/AG$19,""))</f>
        <v>0.35146924296211035</v>
      </c>
      <c r="AI41" s="234">
        <f t="shared" ref="AI41:AI47" si="10">IF(AND($AA41="",AG41=""),"",$AA41-AG41)</f>
        <v>141929.13000000012</v>
      </c>
      <c r="AJ41" s="211">
        <f t="shared" si="1"/>
        <v>12.401912733211441</v>
      </c>
      <c r="AK41" s="212">
        <f t="shared" si="2"/>
        <v>15.454484287106329</v>
      </c>
      <c r="AL41" s="214">
        <f t="shared" si="3"/>
        <v>13.112274065525119</v>
      </c>
      <c r="AM41" s="423" t="str">
        <f t="shared" si="4"/>
        <v>-7.39 pts.</v>
      </c>
      <c r="AN41" s="424" t="str">
        <f t="shared" si="5"/>
        <v>-6.75 pts.</v>
      </c>
      <c r="AO41" s="11"/>
      <c r="AP41" s="11"/>
    </row>
    <row r="42" spans="1:42" x14ac:dyDescent="0.25">
      <c r="A42" s="65" t="s">
        <v>5</v>
      </c>
      <c r="B42" s="66"/>
      <c r="C42" s="11"/>
      <c r="D42" s="11"/>
      <c r="E42" s="11"/>
      <c r="F42" s="384"/>
      <c r="G42" s="88" t="s">
        <v>346</v>
      </c>
      <c r="H42" s="88" t="s">
        <v>272</v>
      </c>
      <c r="I42" s="122" t="str">
        <f>IF(_epmOfflineCondition_,"T4",_xll.EVPRO($B$1,$H42,"STYLE"))</f>
        <v>T4</v>
      </c>
      <c r="J42" s="122" t="str">
        <f>IF(_epmOfflineCondition_,"Y",_xll.EVPRO($B$1,$H42,"CALC"))</f>
        <v>Y</v>
      </c>
      <c r="K42" s="265" t="str">
        <f>IF(AND(I42&gt;="T5"),"&gt;","")</f>
        <v/>
      </c>
      <c r="L42" s="265"/>
      <c r="M42" s="265"/>
      <c r="N42" s="90" t="str">
        <f>IF(_epmOfflineCondition_,"In Room Dining Beverage Rev",IF(_xll.EVDES(G42,$B$1)="#NODATA","",_xll.EVDES(G42,$B$1)&amp;" Beverage Rev"))</f>
        <v>In Room Dining Beverage Rev</v>
      </c>
      <c r="O42" s="231"/>
      <c r="P42" s="231"/>
      <c r="Q42" s="231"/>
      <c r="R42" s="231"/>
      <c r="S42" s="231"/>
      <c r="T42" s="231"/>
      <c r="U42" s="231"/>
      <c r="V42" s="231"/>
      <c r="W42" s="231"/>
      <c r="X42" s="231"/>
      <c r="Y42" s="231"/>
      <c r="Z42" s="231"/>
      <c r="AA42" s="231">
        <f t="shared" si="0"/>
        <v>0</v>
      </c>
      <c r="AB42" s="233" t="str">
        <f t="shared" si="6"/>
        <v/>
      </c>
      <c r="AC42" s="140"/>
      <c r="AD42" s="231"/>
      <c r="AE42" s="233" t="str">
        <f t="shared" si="7"/>
        <v/>
      </c>
      <c r="AF42" s="234">
        <f t="shared" si="8"/>
        <v>0</v>
      </c>
      <c r="AG42" s="231"/>
      <c r="AH42" s="233" t="str">
        <f t="shared" si="9"/>
        <v/>
      </c>
      <c r="AI42" s="234">
        <f t="shared" si="10"/>
        <v>0</v>
      </c>
      <c r="AJ42" s="211">
        <f t="shared" si="1"/>
        <v>0</v>
      </c>
      <c r="AK42" s="212">
        <f t="shared" si="2"/>
        <v>0</v>
      </c>
      <c r="AL42" s="214">
        <f t="shared" si="3"/>
        <v>0</v>
      </c>
      <c r="AM42" s="423">
        <f t="shared" si="4"/>
        <v>0</v>
      </c>
      <c r="AN42" s="424">
        <f t="shared" si="5"/>
        <v>0</v>
      </c>
      <c r="AO42" s="11"/>
      <c r="AP42" s="11"/>
    </row>
    <row r="43" spans="1:42" x14ac:dyDescent="0.25">
      <c r="A43" s="65" t="s">
        <v>6</v>
      </c>
      <c r="B43" s="66"/>
      <c r="C43" s="11"/>
      <c r="D43" s="11"/>
      <c r="E43" s="11"/>
      <c r="F43" s="384"/>
      <c r="G43" s="88" t="s">
        <v>347</v>
      </c>
      <c r="H43" s="88" t="s">
        <v>272</v>
      </c>
      <c r="I43" s="122" t="str">
        <f>IF(_epmOfflineCondition_,"T4",_xll.EVPRO($B$1,$H43,"STYLE"))</f>
        <v>T4</v>
      </c>
      <c r="J43" s="122" t="str">
        <f>IF(_epmOfflineCondition_,"Y",_xll.EVPRO($B$1,$H43,"CALC"))</f>
        <v>Y</v>
      </c>
      <c r="K43" s="265" t="str">
        <f>IF(AND(I43&gt;="T5"),"&gt;","")</f>
        <v/>
      </c>
      <c r="L43" s="265"/>
      <c r="M43" s="265"/>
      <c r="N43" s="90" t="str">
        <f>IF(_epmOfflineCondition_,"Banquet-Catering &amp; CS Beverage Rev",IF(_xll.EVDES(G43,$B$1)="#NODATA","",_xll.EVDES(G43,$B$1)&amp;" Beverage Rev"))</f>
        <v>Banquet-Catering &amp; CS Beverage Rev</v>
      </c>
      <c r="O43" s="231">
        <v>1080</v>
      </c>
      <c r="P43" s="231"/>
      <c r="Q43" s="231">
        <v>2070</v>
      </c>
      <c r="R43" s="231"/>
      <c r="S43" s="231">
        <v>852</v>
      </c>
      <c r="T43" s="231">
        <v>256</v>
      </c>
      <c r="U43" s="231"/>
      <c r="V43" s="231">
        <v>875</v>
      </c>
      <c r="W43" s="231"/>
      <c r="X43" s="231">
        <v>5100</v>
      </c>
      <c r="Y43" s="231">
        <v>11629</v>
      </c>
      <c r="Z43" s="231"/>
      <c r="AA43" s="231">
        <f t="shared" si="0"/>
        <v>21862</v>
      </c>
      <c r="AB43" s="233">
        <f t="shared" si="6"/>
        <v>8.8854015275233473E-3</v>
      </c>
      <c r="AC43" s="140"/>
      <c r="AD43" s="231">
        <v>9500.5990547576002</v>
      </c>
      <c r="AE43" s="233">
        <f t="shared" si="7"/>
        <v>3.1133063764718018E-3</v>
      </c>
      <c r="AF43" s="234">
        <f t="shared" si="8"/>
        <v>12361.4009452424</v>
      </c>
      <c r="AG43" s="231">
        <v>3797</v>
      </c>
      <c r="AH43" s="233">
        <f t="shared" si="9"/>
        <v>2.3971797549514088E-3</v>
      </c>
      <c r="AI43" s="234">
        <f t="shared" si="10"/>
        <v>18065</v>
      </c>
      <c r="AJ43" s="211">
        <f t="shared" si="1"/>
        <v>0.3880851365984414</v>
      </c>
      <c r="AK43" s="212">
        <f t="shared" si="2"/>
        <v>0.1344655097741769</v>
      </c>
      <c r="AL43" s="214">
        <f t="shared" si="3"/>
        <v>8.9431660268035895E-2</v>
      </c>
      <c r="AM43" s="423" t="str">
        <f t="shared" si="4"/>
        <v>0.58 pts.</v>
      </c>
      <c r="AN43" s="424" t="str">
        <f t="shared" si="5"/>
        <v>0.65 pts.</v>
      </c>
      <c r="AO43" s="11"/>
      <c r="AP43" s="11"/>
    </row>
    <row r="44" spans="1:42" x14ac:dyDescent="0.25">
      <c r="A44" s="65" t="s">
        <v>7</v>
      </c>
      <c r="B44" s="66" t="str">
        <f>IF(_epmOfflineCondition_,"'FB_Cons'!$A$58:$F$66",_xll.EVRNG(A58:F66))</f>
        <v>'FB_Cons'!$A$58:$F$66</v>
      </c>
      <c r="C44" s="11"/>
      <c r="D44" s="11"/>
      <c r="E44" s="11"/>
      <c r="F44" s="384"/>
      <c r="G44" s="88" t="s">
        <v>349</v>
      </c>
      <c r="H44" s="88" t="s">
        <v>272</v>
      </c>
      <c r="I44" s="122" t="str">
        <f>IF(_epmOfflineCondition_,"T4",_xll.EVPRO($B$1,$H44,"STYLE"))</f>
        <v>T4</v>
      </c>
      <c r="J44" s="122" t="str">
        <f>IF(_epmOfflineCondition_,"Y",_xll.EVPRO($B$1,$H44,"CALC"))</f>
        <v>Y</v>
      </c>
      <c r="K44" s="265" t="str">
        <f>IF(AND(I44&gt;="T5"),"&gt;","")</f>
        <v/>
      </c>
      <c r="L44" s="265"/>
      <c r="M44" s="265"/>
      <c r="N44" s="90" t="str">
        <f>IF(_epmOfflineCondition_,"Mini Bar Beverage Rev",IF(_xll.EVDES(G44,$B$1)="#NODATA","",_xll.EVDES(G44,$B$1)&amp;" Beverage Rev"))</f>
        <v>Mini Bar Beverage Rev</v>
      </c>
      <c r="O44" s="231">
        <v>989</v>
      </c>
      <c r="P44" s="231">
        <v>788</v>
      </c>
      <c r="Q44" s="231">
        <v>863.35</v>
      </c>
      <c r="R44" s="231">
        <v>325</v>
      </c>
      <c r="S44" s="231">
        <v>155</v>
      </c>
      <c r="T44" s="231">
        <v>130</v>
      </c>
      <c r="U44" s="231">
        <v>777</v>
      </c>
      <c r="V44" s="231">
        <v>617</v>
      </c>
      <c r="W44" s="231">
        <v>350</v>
      </c>
      <c r="X44" s="231">
        <v>1118</v>
      </c>
      <c r="Y44" s="231">
        <v>2924</v>
      </c>
      <c r="Z44" s="231">
        <v>3582</v>
      </c>
      <c r="AA44" s="231">
        <f t="shared" si="0"/>
        <v>12618.35</v>
      </c>
      <c r="AB44" s="233">
        <f t="shared" si="6"/>
        <v>5.1284926523110525E-3</v>
      </c>
      <c r="AC44" s="140"/>
      <c r="AD44" s="231">
        <v>31101.56</v>
      </c>
      <c r="AE44" s="233">
        <f t="shared" si="7"/>
        <v>1.0191850483126281E-2</v>
      </c>
      <c r="AF44" s="234">
        <f t="shared" si="8"/>
        <v>-18483.21</v>
      </c>
      <c r="AG44" s="231">
        <v>15536</v>
      </c>
      <c r="AH44" s="233">
        <f t="shared" si="9"/>
        <v>9.8084236694561729E-3</v>
      </c>
      <c r="AI44" s="234">
        <f t="shared" si="10"/>
        <v>-2917.6499999999996</v>
      </c>
      <c r="AJ44" s="219">
        <f t="shared" si="1"/>
        <v>0.22399570411659242</v>
      </c>
      <c r="AK44" s="220">
        <f t="shared" si="2"/>
        <v>0.44019193906282067</v>
      </c>
      <c r="AL44" s="222">
        <f t="shared" si="3"/>
        <v>0.3659231693242575</v>
      </c>
      <c r="AM44" s="425" t="str">
        <f t="shared" si="4"/>
        <v>-0.51 pts.</v>
      </c>
      <c r="AN44" s="426" t="str">
        <f t="shared" si="5"/>
        <v>-0.47 pts.</v>
      </c>
      <c r="AO44" s="11"/>
      <c r="AP44" s="11"/>
    </row>
    <row r="45" spans="1:42" x14ac:dyDescent="0.25">
      <c r="A45" s="65" t="s">
        <v>47</v>
      </c>
      <c r="B45" s="66" t="str">
        <f>IF(_epmOfflineCondition_,"'FB_Cons'!$A$114:$B$135",_xll.EVRNG($A$114:$B$135))</f>
        <v>'FB_Cons'!$A$114:$B$135</v>
      </c>
      <c r="C45" s="11"/>
      <c r="D45" s="11"/>
      <c r="E45" s="11"/>
      <c r="F45" s="11"/>
      <c r="G45" s="88" t="s">
        <v>358</v>
      </c>
      <c r="H45" s="88" t="s">
        <v>272</v>
      </c>
      <c r="I45" s="122" t="str">
        <f>IF(_epmOfflineCondition_,"T4",_xll.EVPRO($B$1,$H45,"STYLE"))</f>
        <v>T4</v>
      </c>
      <c r="J45" s="122" t="str">
        <f>IF(_epmOfflineCondition_,"Y",_xll.EVPRO($B$1,$H45,"CALC"))</f>
        <v>Y</v>
      </c>
      <c r="K45" s="265" t="str">
        <f>IF(AND(I45&gt;="T5"),"&gt;","")</f>
        <v/>
      </c>
      <c r="L45" s="265"/>
      <c r="M45" s="265"/>
      <c r="N45" s="53" t="str">
        <f>IF(_epmOfflineCondition_,"Total Beverage Revenue",IF(_xll.EVDES(H45,$B$1)="#NODATA","",_xll.EVDES(H45,$B$1)))</f>
        <v>Total Beverage Revenue</v>
      </c>
      <c r="O45" s="223">
        <v>58433.97</v>
      </c>
      <c r="P45" s="223">
        <v>88843.7</v>
      </c>
      <c r="Q45" s="223">
        <v>84515.35</v>
      </c>
      <c r="R45" s="223">
        <v>75244.89</v>
      </c>
      <c r="S45" s="223">
        <v>77785.75</v>
      </c>
      <c r="T45" s="223">
        <v>47086.02</v>
      </c>
      <c r="U45" s="223">
        <v>59368.6</v>
      </c>
      <c r="V45" s="223">
        <v>41339.199999999997</v>
      </c>
      <c r="W45" s="223">
        <v>41246.42</v>
      </c>
      <c r="X45" s="223">
        <v>47193</v>
      </c>
      <c r="Y45" s="223">
        <v>62416.62</v>
      </c>
      <c r="Z45" s="223">
        <v>49643.78</v>
      </c>
      <c r="AA45" s="223">
        <f t="shared" si="0"/>
        <v>733117.3</v>
      </c>
      <c r="AB45" s="224">
        <f t="shared" si="6"/>
        <v>0.29796183227855605</v>
      </c>
      <c r="AC45" s="140"/>
      <c r="AD45" s="223">
        <v>1132531.67359296</v>
      </c>
      <c r="AE45" s="224">
        <f t="shared" si="7"/>
        <v>0.37112586907744255</v>
      </c>
      <c r="AF45" s="226">
        <f t="shared" si="8"/>
        <v>-399414.37359295995</v>
      </c>
      <c r="AG45" s="223">
        <v>576040.81999999995</v>
      </c>
      <c r="AH45" s="224">
        <f t="shared" si="9"/>
        <v>0.36367484638651792</v>
      </c>
      <c r="AI45" s="226">
        <f t="shared" si="10"/>
        <v>157076.4800000001</v>
      </c>
      <c r="AJ45" s="435">
        <f t="shared" si="1"/>
        <v>13.013993573926474</v>
      </c>
      <c r="AK45" s="436">
        <f t="shared" si="2"/>
        <v>16.029141735943359</v>
      </c>
      <c r="AL45" s="437">
        <f t="shared" si="3"/>
        <v>13.567628895117412</v>
      </c>
      <c r="AM45" s="438" t="str">
        <f t="shared" si="4"/>
        <v>-7.32 pts.</v>
      </c>
      <c r="AN45" s="439" t="str">
        <f t="shared" si="5"/>
        <v>-6.57 pts.</v>
      </c>
      <c r="AO45" s="11"/>
      <c r="AP45" s="11"/>
    </row>
    <row r="46" spans="1:42" x14ac:dyDescent="0.25">
      <c r="A46" s="65" t="s">
        <v>8</v>
      </c>
      <c r="B46" s="66"/>
      <c r="C46" s="11"/>
      <c r="D46" s="11"/>
      <c r="E46" s="11"/>
      <c r="F46" s="11"/>
      <c r="G46" s="88" t="s">
        <v>358</v>
      </c>
      <c r="H46" s="88" t="s">
        <v>486</v>
      </c>
      <c r="I46" s="89"/>
      <c r="J46" s="89"/>
      <c r="K46" s="265"/>
      <c r="L46" s="265"/>
      <c r="M46" s="265"/>
      <c r="N46" s="90" t="str">
        <f>IF(_epmOfflineCondition_,"Food &amp; Beverage: Allowances",IF(_xll.EVDES(H46,$B$1)="#NODATA","",_xll.EVDES(H46,$B$1)))</f>
        <v>Food &amp; Beverage: Allowances</v>
      </c>
      <c r="O46" s="231">
        <v>-33</v>
      </c>
      <c r="P46" s="231">
        <v>-470.91</v>
      </c>
      <c r="Q46" s="231">
        <v>-22.05</v>
      </c>
      <c r="R46" s="231">
        <v>-216.09</v>
      </c>
      <c r="S46" s="231">
        <v>-886.88</v>
      </c>
      <c r="T46" s="231">
        <v>-10</v>
      </c>
      <c r="U46" s="231">
        <v>-91.59</v>
      </c>
      <c r="V46" s="231">
        <v>-13.43</v>
      </c>
      <c r="W46" s="231"/>
      <c r="X46" s="231">
        <v>-50.8</v>
      </c>
      <c r="Y46" s="231">
        <v>-134.49</v>
      </c>
      <c r="Z46" s="231">
        <v>-551.46</v>
      </c>
      <c r="AA46" s="231">
        <f t="shared" si="0"/>
        <v>-2480.6999999999998</v>
      </c>
      <c r="AB46" s="233">
        <f t="shared" si="6"/>
        <v>-1.0082341766227776E-3</v>
      </c>
      <c r="AC46" s="140"/>
      <c r="AD46" s="231"/>
      <c r="AE46" s="233" t="str">
        <f t="shared" si="7"/>
        <v/>
      </c>
      <c r="AF46" s="234">
        <f t="shared" si="8"/>
        <v>-2480.6999999999998</v>
      </c>
      <c r="AG46" s="231">
        <v>-1607.29</v>
      </c>
      <c r="AH46" s="233">
        <f t="shared" si="9"/>
        <v>-1.0147387538414143E-3</v>
      </c>
      <c r="AI46" s="234">
        <f t="shared" si="10"/>
        <v>-873.40999999999985</v>
      </c>
      <c r="AJ46" s="235">
        <f t="shared" si="1"/>
        <v>-4.4036355244705588E-2</v>
      </c>
      <c r="AK46" s="236">
        <f t="shared" si="2"/>
        <v>0</v>
      </c>
      <c r="AL46" s="238">
        <f t="shared" si="3"/>
        <v>-3.7856890500977458E-2</v>
      </c>
      <c r="AM46" s="429">
        <f t="shared" si="4"/>
        <v>0</v>
      </c>
      <c r="AN46" s="430" t="str">
        <f t="shared" si="5"/>
        <v>0 pts.</v>
      </c>
      <c r="AO46" s="11"/>
      <c r="AP46" s="11"/>
    </row>
    <row r="47" spans="1:42" x14ac:dyDescent="0.25">
      <c r="A47" s="11"/>
      <c r="B47" s="11"/>
      <c r="C47" s="11"/>
      <c r="D47" s="11"/>
      <c r="E47" s="11"/>
      <c r="F47" s="11"/>
      <c r="G47" s="88" t="s">
        <v>358</v>
      </c>
      <c r="H47" s="88" t="s">
        <v>273</v>
      </c>
      <c r="I47" s="122" t="str">
        <f>IF(_epmOfflineCondition_,"T4",_xll.EVPRO($B$1,$H47,"STYLE"))</f>
        <v>T4</v>
      </c>
      <c r="J47" s="122" t="str">
        <f>IF(_epmOfflineCondition_,"Y",_xll.EVPRO($B$1,$H47,"CALC"))</f>
        <v>Y</v>
      </c>
      <c r="K47" s="265" t="str">
        <f>IF(AND(I47&gt;="T5"),"&gt;","")</f>
        <v/>
      </c>
      <c r="L47" s="265"/>
      <c r="M47" s="265"/>
      <c r="N47" s="53" t="str">
        <f>IF(_epmOfflineCondition_,"Total Food &amp; Beverage Revenue",IF(_xll.EVDES(H47,$B$1)="#NODATA","",_xll.EVDES(H47,$B$1)))</f>
        <v>Total Food &amp; Beverage Revenue</v>
      </c>
      <c r="O47" s="223">
        <v>147690.82999999999</v>
      </c>
      <c r="P47" s="223">
        <v>221589.92</v>
      </c>
      <c r="Q47" s="223">
        <v>241565.71</v>
      </c>
      <c r="R47" s="223">
        <v>215539.66</v>
      </c>
      <c r="S47" s="223">
        <v>194751.81</v>
      </c>
      <c r="T47" s="223">
        <v>139925.71</v>
      </c>
      <c r="U47" s="223">
        <v>158331.49</v>
      </c>
      <c r="V47" s="223">
        <v>115067.91</v>
      </c>
      <c r="W47" s="223">
        <v>96303.21</v>
      </c>
      <c r="X47" s="223">
        <v>113037.08</v>
      </c>
      <c r="Y47" s="223">
        <v>155380.88</v>
      </c>
      <c r="Z47" s="223">
        <v>150441.1</v>
      </c>
      <c r="AA47" s="223">
        <f t="shared" si="0"/>
        <v>1949625.31</v>
      </c>
      <c r="AB47" s="224">
        <f t="shared" si="6"/>
        <v>0.79238878911225774</v>
      </c>
      <c r="AC47" s="140"/>
      <c r="AD47" s="223">
        <v>2560129.3970039999</v>
      </c>
      <c r="AE47" s="224">
        <f t="shared" si="7"/>
        <v>0.83894364243211628</v>
      </c>
      <c r="AF47" s="226">
        <f t="shared" si="8"/>
        <v>-610504.08700399986</v>
      </c>
      <c r="AG47" s="223">
        <v>1329298.72</v>
      </c>
      <c r="AH47" s="224">
        <f t="shared" si="9"/>
        <v>0.83923307344398779</v>
      </c>
      <c r="AI47" s="226">
        <f t="shared" si="10"/>
        <v>620326.59000000008</v>
      </c>
      <c r="AJ47" s="435">
        <f t="shared" si="1"/>
        <v>34.608938100225444</v>
      </c>
      <c r="AK47" s="436">
        <f t="shared" si="2"/>
        <v>36.234462950376781</v>
      </c>
      <c r="AL47" s="437">
        <f t="shared" si="3"/>
        <v>31.309294580398991</v>
      </c>
      <c r="AM47" s="440" t="str">
        <f t="shared" si="4"/>
        <v>-4.66 pts.</v>
      </c>
      <c r="AN47" s="439" t="str">
        <f t="shared" si="5"/>
        <v>-4.68 pts.</v>
      </c>
      <c r="AO47" s="11"/>
      <c r="AP47" s="11"/>
    </row>
    <row r="48" spans="1:42" x14ac:dyDescent="0.25">
      <c r="A48" s="62" t="s">
        <v>9</v>
      </c>
      <c r="B48" s="63" t="s">
        <v>10</v>
      </c>
      <c r="C48" s="11"/>
      <c r="D48" s="11"/>
      <c r="E48" s="11"/>
      <c r="F48" s="11"/>
      <c r="G48" s="88"/>
      <c r="H48" s="11" t="s">
        <v>279</v>
      </c>
      <c r="I48" s="11" t="str">
        <f>IF(_epmOfflineCondition_,"B1",_xll.EVPRO($B$1,$H48,"STYLE"))</f>
        <v>B1</v>
      </c>
      <c r="J48" s="11" t="str">
        <f>IF(_epmOfflineCondition_,"Y",_xll.EVPRO($B$1,$H48,"CALC"))</f>
        <v>Y</v>
      </c>
      <c r="K48" s="265" t="str">
        <f>IF(AND(I48&gt;="T5"),"&gt;","")</f>
        <v/>
      </c>
      <c r="L48" s="265"/>
      <c r="M48" s="265"/>
      <c r="N48" s="106" t="str">
        <f>IF(_epmOfflineCondition_,"Other Revenue",IF(_xll.EVDES(H48,$B$1)="#NODATA","",_xll.EVDES(H48,$B$1)))</f>
        <v>Other Revenue</v>
      </c>
      <c r="O48" s="441"/>
      <c r="P48" s="442"/>
      <c r="Q48" s="442"/>
      <c r="R48" s="442"/>
      <c r="S48" s="442"/>
      <c r="T48" s="442"/>
      <c r="U48" s="442"/>
      <c r="V48" s="442"/>
      <c r="W48" s="442"/>
      <c r="X48" s="442"/>
      <c r="Y48" s="442"/>
      <c r="Z48" s="442"/>
      <c r="AA48" s="442" t="str">
        <f t="shared" si="0"/>
        <v/>
      </c>
      <c r="AB48" s="443"/>
      <c r="AC48" s="140"/>
      <c r="AD48" s="441"/>
      <c r="AE48" s="444"/>
      <c r="AF48" s="445"/>
      <c r="AG48" s="441"/>
      <c r="AH48" s="444"/>
      <c r="AI48" s="445"/>
      <c r="AJ48" s="211">
        <f t="shared" si="1"/>
        <v>0</v>
      </c>
      <c r="AK48" s="212">
        <f t="shared" si="2"/>
        <v>0</v>
      </c>
      <c r="AL48" s="214">
        <f t="shared" si="3"/>
        <v>0</v>
      </c>
      <c r="AM48" s="423" t="str">
        <f t="shared" si="4"/>
        <v>0 pts.</v>
      </c>
      <c r="AN48" s="424" t="str">
        <f t="shared" si="5"/>
        <v>0 pts.</v>
      </c>
      <c r="AO48" s="11"/>
      <c r="AP48" s="11"/>
    </row>
    <row r="49" spans="1:42" x14ac:dyDescent="0.25">
      <c r="A49" s="65" t="s">
        <v>11</v>
      </c>
      <c r="B49" s="66" t="s">
        <v>21</v>
      </c>
      <c r="C49" s="11"/>
      <c r="D49" s="11"/>
      <c r="E49" s="11"/>
      <c r="F49" s="11"/>
      <c r="G49" s="88" t="s">
        <v>358</v>
      </c>
      <c r="H49" s="88" t="s">
        <v>274</v>
      </c>
      <c r="I49" s="122" t="str">
        <f>IF(_epmOfflineCondition_,"T5",_xll.EVPRO($B$1,$H49,"STYLE"))</f>
        <v>T5</v>
      </c>
      <c r="J49" s="122" t="str">
        <f>IF(_epmOfflineCondition_,"Y",_xll.EVPRO($B$1,$H49,"CALC"))</f>
        <v>Y</v>
      </c>
      <c r="K49" s="265"/>
      <c r="L49" s="265"/>
      <c r="M49" s="265"/>
      <c r="N49" s="90" t="str">
        <f>IF(_epmOfflineCondition_,"Audio/Visual Rentals",IF(_xll.EVDES(H49,$B$1)="#NODATA","",_xll.EVDES(H49,$B$1)))</f>
        <v>Audio/Visual Rentals</v>
      </c>
      <c r="O49" s="138">
        <v>575</v>
      </c>
      <c r="P49" s="138">
        <v>100</v>
      </c>
      <c r="Q49" s="138">
        <v>3950</v>
      </c>
      <c r="R49" s="138">
        <v>4050</v>
      </c>
      <c r="S49" s="138">
        <v>3100</v>
      </c>
      <c r="T49" s="138">
        <v>900</v>
      </c>
      <c r="U49" s="138">
        <v>2225</v>
      </c>
      <c r="V49" s="138">
        <v>700</v>
      </c>
      <c r="W49" s="138"/>
      <c r="X49" s="138">
        <v>1365</v>
      </c>
      <c r="Y49" s="138">
        <v>2150</v>
      </c>
      <c r="Z49" s="138">
        <v>2480</v>
      </c>
      <c r="AA49" s="138">
        <f t="shared" si="0"/>
        <v>21595</v>
      </c>
      <c r="AB49" s="142">
        <f t="shared" ref="AB49:AB56" si="11">IF(AA49=0,"",IFERROR(AA49/AA$19,""))</f>
        <v>8.7768843649650846E-3</v>
      </c>
      <c r="AC49" s="140"/>
      <c r="AD49" s="138">
        <v>10800</v>
      </c>
      <c r="AE49" s="142">
        <f t="shared" ref="AE49:AE56" si="12">IF(AD49=0,"",IFERROR(AD49/AD$19,""))</f>
        <v>3.5391146044688377E-3</v>
      </c>
      <c r="AF49" s="141">
        <f t="shared" ref="AF49:AF56" si="13">IF(AND($AA49="",AD49=""),"",$AA49-AD49)</f>
        <v>10795</v>
      </c>
      <c r="AG49" s="138">
        <v>75</v>
      </c>
      <c r="AH49" s="142">
        <f t="shared" ref="AH49:AH56" si="14">IF(AG49=0,"",IFERROR(AG49/AG$19,""))</f>
        <v>4.7350140010891673E-5</v>
      </c>
      <c r="AI49" s="141">
        <f t="shared" ref="AI49:AI56" si="15">IF(AND($AA49="",AG49=""),"",$AA49-AG49)</f>
        <v>21520</v>
      </c>
      <c r="AJ49" s="211">
        <f t="shared" si="1"/>
        <v>0.38334546358262472</v>
      </c>
      <c r="AK49" s="212">
        <f t="shared" si="2"/>
        <v>0.1528564143367234</v>
      </c>
      <c r="AL49" s="214">
        <f t="shared" si="3"/>
        <v>1.7664931577831687E-3</v>
      </c>
      <c r="AM49" s="423" t="str">
        <f t="shared" si="4"/>
        <v>0.52 pts.</v>
      </c>
      <c r="AN49" s="424" t="str">
        <f t="shared" si="5"/>
        <v>0.87 pts.</v>
      </c>
      <c r="AO49" s="11"/>
      <c r="AP49" s="11"/>
    </row>
    <row r="50" spans="1:42" x14ac:dyDescent="0.25">
      <c r="A50" s="65" t="s">
        <v>12</v>
      </c>
      <c r="B50" s="66" t="s">
        <v>22</v>
      </c>
      <c r="C50" s="11"/>
      <c r="D50" s="11"/>
      <c r="E50" s="11"/>
      <c r="F50" s="11"/>
      <c r="G50" s="88" t="s">
        <v>358</v>
      </c>
      <c r="H50" s="88" t="s">
        <v>275</v>
      </c>
      <c r="I50" s="122" t="str">
        <f>IF(_epmOfflineCondition_,"T5",_xll.EVPRO($B$1,$H50,"STYLE"))</f>
        <v>T5</v>
      </c>
      <c r="J50" s="122" t="str">
        <f>IF(_epmOfflineCondition_,"Y",_xll.EVPRO($B$1,$H50,"CALC"))</f>
        <v>Y</v>
      </c>
      <c r="K50" s="265"/>
      <c r="L50" s="265"/>
      <c r="M50" s="265"/>
      <c r="N50" s="90" t="str">
        <f>IF(_epmOfflineCondition_,"Public Room Rental",IF(_xll.EVDES(H50,$B$1)="#NODATA","",_xll.EVDES(H50,$B$1)))</f>
        <v>Public Room Rental</v>
      </c>
      <c r="O50" s="231">
        <v>6550</v>
      </c>
      <c r="P50" s="231">
        <v>11250</v>
      </c>
      <c r="Q50" s="231">
        <v>10800</v>
      </c>
      <c r="R50" s="231">
        <v>15125</v>
      </c>
      <c r="S50" s="231">
        <v>10350</v>
      </c>
      <c r="T50" s="231">
        <v>7000</v>
      </c>
      <c r="U50" s="231">
        <v>9950</v>
      </c>
      <c r="V50" s="231">
        <v>1350</v>
      </c>
      <c r="W50" s="231">
        <v>800</v>
      </c>
      <c r="X50" s="231">
        <v>3630</v>
      </c>
      <c r="Y50" s="231">
        <v>13800</v>
      </c>
      <c r="Z50" s="231">
        <v>6105</v>
      </c>
      <c r="AA50" s="231">
        <f t="shared" si="0"/>
        <v>96710</v>
      </c>
      <c r="AB50" s="233">
        <f t="shared" si="11"/>
        <v>3.9305973000035813E-2</v>
      </c>
      <c r="AC50" s="140"/>
      <c r="AD50" s="231">
        <v>29000</v>
      </c>
      <c r="AE50" s="233">
        <f t="shared" si="12"/>
        <v>9.5031781045922491E-3</v>
      </c>
      <c r="AF50" s="234">
        <f t="shared" si="13"/>
        <v>67710</v>
      </c>
      <c r="AG50" s="231">
        <v>20450</v>
      </c>
      <c r="AH50" s="233">
        <f t="shared" si="14"/>
        <v>1.2910804842969796E-2</v>
      </c>
      <c r="AI50" s="234">
        <f t="shared" si="15"/>
        <v>76260</v>
      </c>
      <c r="AJ50" s="211">
        <f t="shared" si="1"/>
        <v>1.7167557204480499</v>
      </c>
      <c r="AK50" s="212">
        <f t="shared" si="2"/>
        <v>0.41044777923749803</v>
      </c>
      <c r="AL50" s="214">
        <f t="shared" si="3"/>
        <v>0.48166380102221068</v>
      </c>
      <c r="AM50" s="423" t="str">
        <f t="shared" si="4"/>
        <v>2.98 pts.</v>
      </c>
      <c r="AN50" s="424" t="str">
        <f t="shared" si="5"/>
        <v>2.64 pts.</v>
      </c>
      <c r="AO50" s="11"/>
      <c r="AP50" s="11"/>
    </row>
    <row r="51" spans="1:42" x14ac:dyDescent="0.25">
      <c r="A51" s="65" t="s">
        <v>13</v>
      </c>
      <c r="B51" s="66" t="str">
        <f>"DEP(COS_FB) AND "&amp;$E$6&amp;"=Y,COS_FB,COSOTH,DEP(COS_OTHR) AND "&amp;$E$6&amp;"=Y,COS_OTHR,500001"</f>
        <v>DEP(COS_FB) AND D_FB=Y,COS_FB,COSOTH,DEP(COS_OTHR) AND D_FB=Y,COS_OTHR,500001</v>
      </c>
      <c r="C51" s="11"/>
      <c r="D51" s="11"/>
      <c r="E51" s="11"/>
      <c r="F51" s="11"/>
      <c r="G51" s="88" t="s">
        <v>358</v>
      </c>
      <c r="H51" s="88" t="s">
        <v>276</v>
      </c>
      <c r="I51" s="122" t="str">
        <f>IF(_epmOfflineCondition_,"T5",_xll.EVPRO($B$1,$H51,"STYLE"))</f>
        <v>T5</v>
      </c>
      <c r="J51" s="122" t="str">
        <f>IF(_epmOfflineCondition_,"Y",_xll.EVPRO($B$1,$H51,"CALC"))</f>
        <v>Y</v>
      </c>
      <c r="K51" s="265"/>
      <c r="L51" s="265"/>
      <c r="M51" s="265"/>
      <c r="N51" s="90" t="str">
        <f>IF(_epmOfflineCondition_,"Cover Charge",IF(_xll.EVDES(H51,$B$1)="#NODATA","",_xll.EVDES(H51,$B$1)))</f>
        <v>Cover Charge</v>
      </c>
      <c r="O51" s="231"/>
      <c r="P51" s="231"/>
      <c r="Q51" s="231"/>
      <c r="R51" s="231"/>
      <c r="S51" s="231"/>
      <c r="T51" s="231"/>
      <c r="U51" s="231"/>
      <c r="V51" s="231"/>
      <c r="W51" s="231"/>
      <c r="X51" s="231"/>
      <c r="Y51" s="231"/>
      <c r="Z51" s="231"/>
      <c r="AA51" s="231">
        <f t="shared" si="0"/>
        <v>0</v>
      </c>
      <c r="AB51" s="233" t="str">
        <f t="shared" si="11"/>
        <v/>
      </c>
      <c r="AC51" s="140"/>
      <c r="AD51" s="231"/>
      <c r="AE51" s="233" t="str">
        <f t="shared" si="12"/>
        <v/>
      </c>
      <c r="AF51" s="234">
        <f t="shared" si="13"/>
        <v>0</v>
      </c>
      <c r="AG51" s="231"/>
      <c r="AH51" s="233" t="str">
        <f t="shared" si="14"/>
        <v/>
      </c>
      <c r="AI51" s="234">
        <f t="shared" si="15"/>
        <v>0</v>
      </c>
      <c r="AJ51" s="211">
        <f t="shared" si="1"/>
        <v>0</v>
      </c>
      <c r="AK51" s="212">
        <f t="shared" si="2"/>
        <v>0</v>
      </c>
      <c r="AL51" s="214">
        <f t="shared" si="3"/>
        <v>0</v>
      </c>
      <c r="AM51" s="423">
        <f t="shared" si="4"/>
        <v>0</v>
      </c>
      <c r="AN51" s="424">
        <f t="shared" si="5"/>
        <v>0</v>
      </c>
      <c r="AO51" s="11"/>
      <c r="AP51" s="11"/>
    </row>
    <row r="52" spans="1:42" x14ac:dyDescent="0.25">
      <c r="A52" s="65" t="s">
        <v>14</v>
      </c>
      <c r="B52" s="66"/>
      <c r="C52" s="11"/>
      <c r="D52" s="11"/>
      <c r="E52" s="11"/>
      <c r="F52" s="11"/>
      <c r="G52" s="88" t="s">
        <v>358</v>
      </c>
      <c r="H52" s="88" t="s">
        <v>282</v>
      </c>
      <c r="I52" s="122" t="str">
        <f>IF(_epmOfflineCondition_,"T5",_xll.EVPRO($B$1,$H52,"STYLE"))</f>
        <v>T5</v>
      </c>
      <c r="J52" s="122" t="str">
        <f>IF(_epmOfflineCondition_,"Y",_xll.EVPRO($B$1,$H52,"CALC"))</f>
        <v>Y</v>
      </c>
      <c r="K52" s="265"/>
      <c r="L52" s="265"/>
      <c r="M52" s="265"/>
      <c r="N52" s="90" t="str">
        <f>IF(_epmOfflineCondition_,"Surcharges &amp; Services Charges",IF(_xll.EVDES(H52,$B$1)="#NODATA","",_xll.EVDES(H52,$B$1)))</f>
        <v>Surcharges &amp; Services Charges</v>
      </c>
      <c r="O52" s="231">
        <v>26322.54</v>
      </c>
      <c r="P52" s="231">
        <v>40346.480000000003</v>
      </c>
      <c r="Q52" s="231">
        <v>44422.61</v>
      </c>
      <c r="R52" s="231">
        <v>38930.31</v>
      </c>
      <c r="S52" s="231">
        <v>35503.89</v>
      </c>
      <c r="T52" s="231">
        <v>25823.16</v>
      </c>
      <c r="U52" s="231">
        <v>28796.47</v>
      </c>
      <c r="V52" s="231">
        <v>21473.78</v>
      </c>
      <c r="W52" s="231">
        <v>17565.650000000001</v>
      </c>
      <c r="X52" s="231">
        <v>20930.53</v>
      </c>
      <c r="Y52" s="231">
        <v>29440.38</v>
      </c>
      <c r="Z52" s="231">
        <v>27707.81</v>
      </c>
      <c r="AA52" s="231">
        <f t="shared" si="0"/>
        <v>357263.61000000004</v>
      </c>
      <c r="AB52" s="233">
        <f t="shared" si="11"/>
        <v>0.14520312075850816</v>
      </c>
      <c r="AC52" s="140"/>
      <c r="AD52" s="231">
        <v>449581.30426090601</v>
      </c>
      <c r="AE52" s="233">
        <f t="shared" si="12"/>
        <v>0.14732590368573339</v>
      </c>
      <c r="AF52" s="234">
        <f t="shared" si="13"/>
        <v>-92317.694260905962</v>
      </c>
      <c r="AG52" s="231">
        <v>232023.9</v>
      </c>
      <c r="AH52" s="233">
        <f t="shared" si="14"/>
        <v>0.14648485534497505</v>
      </c>
      <c r="AI52" s="234">
        <f t="shared" si="15"/>
        <v>125239.71000000005</v>
      </c>
      <c r="AJ52" s="211">
        <f t="shared" si="1"/>
        <v>6.341995100562726</v>
      </c>
      <c r="AK52" s="212">
        <f t="shared" si="2"/>
        <v>6.3630913076064406</v>
      </c>
      <c r="AL52" s="214">
        <f t="shared" si="3"/>
        <v>5.4649150905622159</v>
      </c>
      <c r="AM52" s="423" t="str">
        <f t="shared" si="4"/>
        <v>-0.21 pts.</v>
      </c>
      <c r="AN52" s="424" t="str">
        <f t="shared" si="5"/>
        <v>-0.13 pts.</v>
      </c>
      <c r="AO52" s="11"/>
      <c r="AP52" s="11"/>
    </row>
    <row r="53" spans="1:42" x14ac:dyDescent="0.25">
      <c r="A53" s="65" t="s">
        <v>15</v>
      </c>
      <c r="B53" s="66"/>
      <c r="C53" s="11"/>
      <c r="D53" s="11"/>
      <c r="E53" s="11"/>
      <c r="F53" s="11"/>
      <c r="G53" s="88" t="s">
        <v>358</v>
      </c>
      <c r="H53" s="88" t="s">
        <v>283</v>
      </c>
      <c r="I53" s="122" t="str">
        <f>IF(_epmOfflineCondition_,"T5",_xll.EVPRO($B$1,$H53,"STYLE"))</f>
        <v>T5</v>
      </c>
      <c r="J53" s="122" t="str">
        <f>IF(_epmOfflineCondition_,"Y",_xll.EVPRO($B$1,$H53,"CALC"))</f>
        <v>Y</v>
      </c>
      <c r="K53" s="265"/>
      <c r="L53" s="265"/>
      <c r="M53" s="265"/>
      <c r="N53" s="90" t="str">
        <f>IF(_epmOfflineCondition_,"Miscellaneous Other Revenue",IF(_xll.EVDES(H53,$B$1)="#NODATA","",_xll.EVDES(H53,$B$1)))</f>
        <v>Miscellaneous Other Revenue</v>
      </c>
      <c r="O53" s="231">
        <v>268</v>
      </c>
      <c r="P53" s="231">
        <v>1597</v>
      </c>
      <c r="Q53" s="231">
        <v>6509.08</v>
      </c>
      <c r="R53" s="231">
        <v>4494.71</v>
      </c>
      <c r="S53" s="231">
        <v>5800.16</v>
      </c>
      <c r="T53" s="231">
        <v>3818.36</v>
      </c>
      <c r="U53" s="231">
        <v>630</v>
      </c>
      <c r="V53" s="231">
        <v>5211.97</v>
      </c>
      <c r="W53" s="231">
        <v>988.67</v>
      </c>
      <c r="X53" s="231">
        <v>1676.33</v>
      </c>
      <c r="Y53" s="231">
        <v>2076.13</v>
      </c>
      <c r="Z53" s="231">
        <v>2175.9699999999998</v>
      </c>
      <c r="AA53" s="231">
        <f t="shared" si="0"/>
        <v>35246.379999999997</v>
      </c>
      <c r="AB53" s="233">
        <f t="shared" si="11"/>
        <v>1.4325232764233297E-2</v>
      </c>
      <c r="AC53" s="140"/>
      <c r="AD53" s="231">
        <v>2100</v>
      </c>
      <c r="AE53" s="233">
        <f t="shared" si="12"/>
        <v>6.8816117309116289E-4</v>
      </c>
      <c r="AF53" s="234">
        <f t="shared" si="13"/>
        <v>33146.379999999997</v>
      </c>
      <c r="AG53" s="231">
        <v>2097.0100000000002</v>
      </c>
      <c r="AH53" s="233">
        <f t="shared" si="14"/>
        <v>1.3239162280565327E-3</v>
      </c>
      <c r="AI53" s="234">
        <f t="shared" si="15"/>
        <v>33149.369999999995</v>
      </c>
      <c r="AJ53" s="211">
        <f t="shared" si="1"/>
        <v>0.62567908685850204</v>
      </c>
      <c r="AK53" s="212">
        <f t="shared" si="2"/>
        <v>2.9722080565473995E-2</v>
      </c>
      <c r="AL53" s="214">
        <f t="shared" si="3"/>
        <v>4.9391384224038444E-2</v>
      </c>
      <c r="AM53" s="423" t="str">
        <f t="shared" si="4"/>
        <v>1.36 pts.</v>
      </c>
      <c r="AN53" s="424" t="str">
        <f t="shared" si="5"/>
        <v>1.3 pts.</v>
      </c>
      <c r="AO53" s="11"/>
      <c r="AP53" s="11"/>
    </row>
    <row r="54" spans="1:42" x14ac:dyDescent="0.25">
      <c r="A54" s="65" t="s">
        <v>16</v>
      </c>
      <c r="B54" s="66"/>
      <c r="C54" s="11"/>
      <c r="D54" s="11"/>
      <c r="E54" s="11"/>
      <c r="F54" s="11"/>
      <c r="G54" s="88" t="s">
        <v>358</v>
      </c>
      <c r="H54" s="88" t="s">
        <v>277</v>
      </c>
      <c r="I54" s="122" t="str">
        <f>IF(_epmOfflineCondition_,"T4",_xll.EVPRO($B$1,$H54,"STYLE"))</f>
        <v>T4</v>
      </c>
      <c r="J54" s="122" t="str">
        <f>IF(_epmOfflineCondition_,"Y",_xll.EVPRO($B$1,$H54,"CALC"))</f>
        <v>Y</v>
      </c>
      <c r="K54" s="265"/>
      <c r="L54" s="265"/>
      <c r="M54" s="265"/>
      <c r="N54" s="53" t="str">
        <f>IF(_epmOfflineCondition_,"Total Other Revenue",IF(_xll.EVDES(H54,$B$1)="#NODATA","",_xll.EVDES(H54,$B$1)))</f>
        <v>Total Other Revenue</v>
      </c>
      <c r="O54" s="223">
        <v>33715.54</v>
      </c>
      <c r="P54" s="223">
        <v>53293.48</v>
      </c>
      <c r="Q54" s="223">
        <v>65681.69</v>
      </c>
      <c r="R54" s="223">
        <v>62600.02</v>
      </c>
      <c r="S54" s="223">
        <v>54754.05</v>
      </c>
      <c r="T54" s="223">
        <v>37541.519999999997</v>
      </c>
      <c r="U54" s="223">
        <v>41601.47</v>
      </c>
      <c r="V54" s="223">
        <v>28735.75</v>
      </c>
      <c r="W54" s="223">
        <v>19354.32</v>
      </c>
      <c r="X54" s="223">
        <v>27601.86</v>
      </c>
      <c r="Y54" s="223">
        <v>47466.51</v>
      </c>
      <c r="Z54" s="223">
        <v>38468.78</v>
      </c>
      <c r="AA54" s="223">
        <f t="shared" si="0"/>
        <v>510814.99</v>
      </c>
      <c r="AB54" s="224">
        <f t="shared" si="11"/>
        <v>0.20761121088774234</v>
      </c>
      <c r="AC54" s="140"/>
      <c r="AD54" s="223">
        <v>491481.30426090601</v>
      </c>
      <c r="AE54" s="224">
        <f t="shared" si="12"/>
        <v>0.16105635756788564</v>
      </c>
      <c r="AF54" s="226">
        <f t="shared" si="13"/>
        <v>19333.685739093984</v>
      </c>
      <c r="AG54" s="223">
        <v>254645.91</v>
      </c>
      <c r="AH54" s="224">
        <f t="shared" si="14"/>
        <v>0.16076692655601227</v>
      </c>
      <c r="AI54" s="226">
        <f t="shared" si="15"/>
        <v>256169.08</v>
      </c>
      <c r="AJ54" s="435">
        <f t="shared" si="1"/>
        <v>9.0677753714519014</v>
      </c>
      <c r="AK54" s="436">
        <f t="shared" si="2"/>
        <v>6.9561175817461365</v>
      </c>
      <c r="AL54" s="437">
        <f t="shared" si="3"/>
        <v>5.9977367689662486</v>
      </c>
      <c r="AM54" s="438" t="str">
        <f t="shared" si="4"/>
        <v>4.66 pts.</v>
      </c>
      <c r="AN54" s="439" t="str">
        <f t="shared" si="5"/>
        <v>4.68 pts.</v>
      </c>
      <c r="AO54" s="387"/>
      <c r="AP54" s="11"/>
    </row>
    <row r="55" spans="1:42" x14ac:dyDescent="0.25">
      <c r="A55" s="65" t="s">
        <v>17</v>
      </c>
      <c r="B55" s="66"/>
      <c r="C55" s="11"/>
      <c r="D55" s="11"/>
      <c r="E55" s="11"/>
      <c r="F55" s="11"/>
      <c r="G55" s="88" t="s">
        <v>358</v>
      </c>
      <c r="H55" s="88" t="s">
        <v>473</v>
      </c>
      <c r="I55" s="122"/>
      <c r="J55" s="122"/>
      <c r="K55" s="265"/>
      <c r="L55" s="265"/>
      <c r="M55" s="265"/>
      <c r="N55" s="90" t="str">
        <f>IF(_epmOfflineCondition_,"Other Revenue: Allowances",IF(_xll.EVDES(H55,$B$1)="#NODATA","",_xll.EVDES(H55,$B$1)))</f>
        <v>Other Revenue: Allowances</v>
      </c>
      <c r="O55" s="231"/>
      <c r="P55" s="231"/>
      <c r="Q55" s="231"/>
      <c r="R55" s="231"/>
      <c r="S55" s="231"/>
      <c r="T55" s="231"/>
      <c r="U55" s="231"/>
      <c r="V55" s="231"/>
      <c r="W55" s="231"/>
      <c r="X55" s="231"/>
      <c r="Y55" s="231"/>
      <c r="Z55" s="231"/>
      <c r="AA55" s="231">
        <f t="shared" si="0"/>
        <v>0</v>
      </c>
      <c r="AB55" s="233" t="str">
        <f t="shared" si="11"/>
        <v/>
      </c>
      <c r="AC55" s="140"/>
      <c r="AD55" s="231"/>
      <c r="AE55" s="233" t="str">
        <f t="shared" si="12"/>
        <v/>
      </c>
      <c r="AF55" s="234">
        <f t="shared" si="13"/>
        <v>0</v>
      </c>
      <c r="AG55" s="231"/>
      <c r="AH55" s="233" t="str">
        <f t="shared" si="14"/>
        <v/>
      </c>
      <c r="AI55" s="234">
        <f t="shared" si="15"/>
        <v>0</v>
      </c>
      <c r="AJ55" s="211">
        <f t="shared" si="1"/>
        <v>0</v>
      </c>
      <c r="AK55" s="212">
        <f t="shared" si="2"/>
        <v>0</v>
      </c>
      <c r="AL55" s="214">
        <f t="shared" si="3"/>
        <v>0</v>
      </c>
      <c r="AM55" s="423">
        <f t="shared" si="4"/>
        <v>0</v>
      </c>
      <c r="AN55" s="424">
        <f t="shared" si="5"/>
        <v>0</v>
      </c>
      <c r="AO55" s="11"/>
      <c r="AP55" s="11"/>
    </row>
    <row r="56" spans="1:42" x14ac:dyDescent="0.25">
      <c r="A56" s="11"/>
      <c r="B56" s="11"/>
      <c r="C56" s="11"/>
      <c r="D56" s="11"/>
      <c r="E56" s="11"/>
      <c r="F56" s="11"/>
      <c r="G56" s="88" t="s">
        <v>358</v>
      </c>
      <c r="H56" s="88" t="s">
        <v>280</v>
      </c>
      <c r="I56" s="122" t="str">
        <f>IF(_epmOfflineCondition_,"T3",_xll.EVPRO($B$1,$H56,"STYLE"))</f>
        <v>T3</v>
      </c>
      <c r="J56" s="122" t="str">
        <f>IF(_epmOfflineCondition_,"Y",_xll.EVPRO($B$1,$H56,"CALC"))</f>
        <v>Y</v>
      </c>
      <c r="K56" s="265"/>
      <c r="L56" s="265"/>
      <c r="M56" s="265"/>
      <c r="N56" s="53" t="str">
        <f>IF(_epmOfflineCondition_,"Total Revenue",IF(_xll.EVDES(H56,$B$1)="#NODATA","",_xll.EVDES(H56,$B$1)))</f>
        <v>Total Revenue</v>
      </c>
      <c r="O56" s="223">
        <v>181406.37</v>
      </c>
      <c r="P56" s="223">
        <v>274883.40000000002</v>
      </c>
      <c r="Q56" s="223">
        <v>307247.40000000002</v>
      </c>
      <c r="R56" s="223">
        <v>278139.68</v>
      </c>
      <c r="S56" s="223">
        <v>249505.86</v>
      </c>
      <c r="T56" s="223">
        <v>177467.23</v>
      </c>
      <c r="U56" s="223">
        <v>199932.96</v>
      </c>
      <c r="V56" s="223">
        <v>143803.66</v>
      </c>
      <c r="W56" s="223">
        <v>115657.53</v>
      </c>
      <c r="X56" s="223">
        <v>140638.94</v>
      </c>
      <c r="Y56" s="223">
        <v>202847.39</v>
      </c>
      <c r="Z56" s="223">
        <v>188909.88</v>
      </c>
      <c r="AA56" s="223">
        <f t="shared" si="0"/>
        <v>2460440.2999999998</v>
      </c>
      <c r="AB56" s="224">
        <f t="shared" si="11"/>
        <v>1</v>
      </c>
      <c r="AC56" s="140"/>
      <c r="AD56" s="223">
        <v>3051610.7012649002</v>
      </c>
      <c r="AE56" s="224">
        <f t="shared" si="12"/>
        <v>1</v>
      </c>
      <c r="AF56" s="226">
        <f t="shared" si="13"/>
        <v>-591170.40126490034</v>
      </c>
      <c r="AG56" s="223">
        <v>1583944.63</v>
      </c>
      <c r="AH56" s="224">
        <f t="shared" si="14"/>
        <v>1</v>
      </c>
      <c r="AI56" s="226">
        <f t="shared" si="15"/>
        <v>876495.66999999993</v>
      </c>
      <c r="AJ56" s="435">
        <f t="shared" si="1"/>
        <v>43.676713471677346</v>
      </c>
      <c r="AK56" s="436">
        <f t="shared" si="2"/>
        <v>43.190580532122837</v>
      </c>
      <c r="AL56" s="437">
        <f t="shared" si="3"/>
        <v>37.307031349365239</v>
      </c>
      <c r="AM56" s="438" t="str">
        <f t="shared" si="4"/>
        <v>0 pts.</v>
      </c>
      <c r="AN56" s="439" t="str">
        <f t="shared" si="5"/>
        <v>0 pts.</v>
      </c>
      <c r="AO56" s="11"/>
      <c r="AP56" s="11"/>
    </row>
    <row r="57" spans="1:42" x14ac:dyDescent="0.25">
      <c r="A57" s="97" t="s">
        <v>92</v>
      </c>
      <c r="B57" s="98" t="s">
        <v>93</v>
      </c>
      <c r="C57" s="98" t="s">
        <v>94</v>
      </c>
      <c r="D57" s="98" t="s">
        <v>95</v>
      </c>
      <c r="E57" s="98" t="s">
        <v>96</v>
      </c>
      <c r="F57" s="99" t="s">
        <v>97</v>
      </c>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393"/>
      <c r="AE57" s="204"/>
      <c r="AF57" s="118"/>
      <c r="AG57" s="393"/>
      <c r="AH57" s="204"/>
      <c r="AI57" s="118"/>
      <c r="AJ57" s="11"/>
      <c r="AK57" s="11"/>
      <c r="AL57" s="11"/>
      <c r="AM57" s="11"/>
      <c r="AN57" s="11"/>
      <c r="AO57" s="11"/>
      <c r="AP57" s="11"/>
    </row>
    <row r="58" spans="1:42" x14ac:dyDescent="0.25">
      <c r="A58" s="11"/>
      <c r="B58" s="11"/>
      <c r="C58" s="11"/>
      <c r="D58" s="11"/>
      <c r="E58" s="11"/>
      <c r="F58" s="11"/>
      <c r="G58" s="11"/>
      <c r="H58" s="11" t="s">
        <v>281</v>
      </c>
      <c r="I58" s="59" t="str">
        <f>IF(_epmOfflineCondition_,"B1",_xll.EVPRO($B$1,$H58,"STYLE"))</f>
        <v>B1</v>
      </c>
      <c r="J58" s="59" t="str">
        <f>IF(_epmOfflineCondition_,"Y",_xll.EVPRO($B$1,$H58,"CALC"))</f>
        <v>Y</v>
      </c>
      <c r="K58" s="11"/>
      <c r="L58" s="11"/>
      <c r="M58" s="11"/>
      <c r="N58" s="105" t="str">
        <f>IF(_epmOfflineCondition_,"Cost of Sales",IF(_xll.EVDES(H58,$B$1)="#NODATA","",_xll.EVDES(H58,$B$1)))</f>
        <v>Cost of Sales</v>
      </c>
      <c r="O58" s="203"/>
      <c r="P58" s="204"/>
      <c r="Q58" s="204"/>
      <c r="R58" s="204"/>
      <c r="S58" s="204"/>
      <c r="T58" s="204"/>
      <c r="U58" s="204"/>
      <c r="V58" s="204"/>
      <c r="W58" s="204"/>
      <c r="X58" s="204"/>
      <c r="Y58" s="204"/>
      <c r="Z58" s="204"/>
      <c r="AA58" s="204"/>
      <c r="AB58" s="118"/>
      <c r="AC58" s="11"/>
      <c r="AD58" s="203"/>
      <c r="AE58" s="204"/>
      <c r="AF58" s="118"/>
      <c r="AG58" s="203"/>
      <c r="AH58" s="204"/>
      <c r="AI58" s="118"/>
      <c r="AJ58" s="11"/>
      <c r="AK58" s="11"/>
      <c r="AL58" s="11"/>
      <c r="AM58" s="11"/>
      <c r="AN58" s="11"/>
      <c r="AO58" s="11"/>
      <c r="AP58" s="11"/>
    </row>
    <row r="59" spans="1:42" x14ac:dyDescent="0.25">
      <c r="A59" s="11" t="s">
        <v>209</v>
      </c>
      <c r="B59" s="11" t="s">
        <v>21</v>
      </c>
      <c r="C59" s="395"/>
      <c r="D59" s="11" t="s">
        <v>590</v>
      </c>
      <c r="E59" s="11"/>
      <c r="F59" s="11" t="s">
        <v>99</v>
      </c>
      <c r="G59" s="76"/>
      <c r="H59" s="11" t="s">
        <v>284</v>
      </c>
      <c r="I59" s="59" t="str">
        <f>IF(_epmOfflineCondition_,"B1",_xll.EVPRO($B$1,$H59,"STYLE"))</f>
        <v>B1</v>
      </c>
      <c r="J59" s="59" t="str">
        <f>IF(_epmOfflineCondition_,"Y",_xll.EVPRO($B$1,$H59,"CALC"))</f>
        <v>Y</v>
      </c>
      <c r="K59" s="11"/>
      <c r="L59" s="11"/>
      <c r="M59" s="11"/>
      <c r="N59" s="53" t="str">
        <f>IF(_epmOfflineCondition_,"Cost of Food &amp; Beverage Sales",IF(_xll.EVDES(H59,$B$1)="#NODATA","",_xll.EVDES(H59,$B$1)))</f>
        <v>Cost of Food &amp; Beverage Sales</v>
      </c>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c r="AP59" s="11"/>
    </row>
    <row r="60" spans="1:42" x14ac:dyDescent="0.25">
      <c r="A60" s="11" t="s">
        <v>105</v>
      </c>
      <c r="B60" s="11"/>
      <c r="C60" s="104" t="s">
        <v>101</v>
      </c>
      <c r="D60" s="11" t="s">
        <v>106</v>
      </c>
      <c r="E60" s="11"/>
      <c r="F60" s="11" t="s">
        <v>98</v>
      </c>
      <c r="G60" s="11"/>
      <c r="H60" s="396" t="s">
        <v>285</v>
      </c>
      <c r="I60" s="122" t="str">
        <f>IF(_epmOfflineCondition_,"T5",_xll.EVPRO($B$1,$H60,"STYLE"))</f>
        <v>T5</v>
      </c>
      <c r="J60" s="122" t="str">
        <f>IF(_epmOfflineCondition_,"Y",_xll.EVPRO($B$1,$H60,"CALC"))</f>
        <v>Y</v>
      </c>
      <c r="K60" s="179" t="str">
        <f t="shared" ref="K60:K70" si="16">IF(AND(I60&gt;="T5"),"&gt;","")</f>
        <v>&gt;</v>
      </c>
      <c r="L60" s="90" t="str">
        <f>IF(_epmOfflineCondition_,"561100",_xll.EVPRO($B$1,H60,"JDEID"))</f>
        <v>561100</v>
      </c>
      <c r="M60" s="90" t="str">
        <f>IF(_epmOfflineCondition_,"",IF(AND(I60="N",J60="N"),_xll.EVPRO($B$1,H60,"PSFTID"),""))</f>
        <v/>
      </c>
      <c r="N60" s="90" t="str">
        <f>IF(_epmOfflineCondition_,"Cost of Food Sales",IF(_xll.EVDES(H60,$B$1)="#NODATA","",_xll.EVDES(H60,$B$1)))</f>
        <v>Cost of Food Sales</v>
      </c>
      <c r="O60" s="457">
        <v>25692.97</v>
      </c>
      <c r="P60" s="210">
        <v>52780.78</v>
      </c>
      <c r="Q60" s="210">
        <v>48235.55</v>
      </c>
      <c r="R60" s="210">
        <v>32343.67</v>
      </c>
      <c r="S60" s="210">
        <v>45112.53</v>
      </c>
      <c r="T60" s="210">
        <v>29424.81</v>
      </c>
      <c r="U60" s="210">
        <v>31783.25</v>
      </c>
      <c r="V60" s="210">
        <v>27779.14</v>
      </c>
      <c r="W60" s="210">
        <v>22257.63</v>
      </c>
      <c r="X60" s="210">
        <v>20282.64</v>
      </c>
      <c r="Y60" s="210">
        <v>19593.71</v>
      </c>
      <c r="Z60" s="210">
        <v>32683.95</v>
      </c>
      <c r="AA60" s="210">
        <f t="shared" ref="AA60:AA68" si="17">IF($I60="B1","",SUM(O60:Z60))</f>
        <v>387970.63000000006</v>
      </c>
      <c r="AB60" s="458">
        <f>IF(_epmOfflineCondition_,0.318272537569277,IF(AA60=0,"",IFERROR(AA60/_xll.EVGTS($B$1,1,_xll.EVPRO($B$1,$H60,"COSBASIS"),$B$3,$B$5,$B$6,$B$7,$B$9,AA$16,AA$17,AA$11),"")))</f>
        <v>0.31827253756927698</v>
      </c>
      <c r="AC60" s="459"/>
      <c r="AD60" s="210">
        <v>419413.79800000001</v>
      </c>
      <c r="AE60" s="458">
        <f>IF(_epmOfflineCondition_,0.293789903921863,IF(AD60=0,"",IFERROR(AD60/_xll.EVGTS($B$1,1,_xll.EVPRO($B$1,$H60,"COSBASIS"),$B$3,$B$5,$B$6,$B$7,$B$9,AD$16,AD$17,AD$18),"")))</f>
        <v>0.29378990392186299</v>
      </c>
      <c r="AF60" s="460">
        <f t="shared" ref="AF60:AF70" si="18">IF(AND($AA60="",AD60=""),"",$AA60-AD60)</f>
        <v>-31443.167999999947</v>
      </c>
      <c r="AG60" s="210">
        <v>252932.57</v>
      </c>
      <c r="AH60" s="458">
        <f>IF(_epmOfflineCondition_,0.335069855320789,IF(AG60=0,"",IFERROR(AG60/_xll.EVGTS($B$1,1,_xll.EVPRO($B$1,$H60,"COSBASIS"),$B$3,$B$5,$B$6,$B$7,$B$9,AG$16,AG$17,AG$18),"")))</f>
        <v>0.33506985532078898</v>
      </c>
      <c r="AI60" s="461">
        <f t="shared" ref="AI60:AI70" si="19">IF(AND($AA60="",AG60=""),"",$AA60-AG60)</f>
        <v>135038.06000000006</v>
      </c>
      <c r="AJ60" s="462">
        <f t="shared" ref="AJ60:AJ68" si="20">IFERROR(AA60/AA$20,0)</f>
        <v>6.8870933555819871</v>
      </c>
      <c r="AK60" s="463">
        <f t="shared" ref="AK60:AK68" si="21">IFERROR(AD60/AD$20,0)</f>
        <v>5.9361193782987796</v>
      </c>
      <c r="AL60" s="464">
        <f t="shared" ref="AL60:AL68" si="22">IFERROR(AG60/AG$20,0)</f>
        <v>5.9573820571401654</v>
      </c>
      <c r="AM60" s="465" t="str">
        <f t="shared" ref="AM60:AM68" si="23">+IFERROR(ROUND(($AB60-AE60)*100,2)&amp;" pts.",0)</f>
        <v>2.45 pts.</v>
      </c>
      <c r="AN60" s="466" t="str">
        <f t="shared" ref="AN60:AN68" si="24">+IFERROR(ROUND(($AB60-AH60)*100,2)&amp;" pts.",0)</f>
        <v>-1.68 pts.</v>
      </c>
      <c r="AO60" s="11"/>
      <c r="AP60" s="11"/>
    </row>
    <row r="61" spans="1:42" x14ac:dyDescent="0.25">
      <c r="A61" s="11" t="s">
        <v>104</v>
      </c>
      <c r="B61" s="11"/>
      <c r="C61" s="104" t="s">
        <v>101</v>
      </c>
      <c r="D61" s="11" t="s">
        <v>106</v>
      </c>
      <c r="E61" s="11"/>
      <c r="F61" s="11" t="s">
        <v>98</v>
      </c>
      <c r="G61" s="11"/>
      <c r="H61" s="396" t="s">
        <v>636</v>
      </c>
      <c r="I61" s="122" t="str">
        <f>IF(_epmOfflineCondition_,"T5",_xll.EVPRO($B$1,$H61,"STYLE"))</f>
        <v>T5</v>
      </c>
      <c r="J61" s="122" t="str">
        <f>IF(_epmOfflineCondition_,"Y",_xll.EVPRO($B$1,$H61,"CALC"))</f>
        <v>Y</v>
      </c>
      <c r="K61" s="179" t="str">
        <f t="shared" si="16"/>
        <v>&gt;</v>
      </c>
      <c r="L61" s="90" t="str">
        <f>IF(_epmOfflineCondition_,"",_xll.EVPRO($B$1,H61,"JDEID"))</f>
        <v/>
      </c>
      <c r="M61" s="90" t="str">
        <f>IF(_epmOfflineCondition_,"",IF(AND(I61="N",J61="N"),_xll.EVPRO($B$1,H61,"PSFTID"),""))</f>
        <v/>
      </c>
      <c r="N61" s="90" t="str">
        <f>IF(_epmOfflineCondition_,"Cost of Beverage Sales",IF(_xll.EVDES(H61,$B$1)="#NODATA","",_xll.EVDES(H61,$B$1)))</f>
        <v>Cost of Beverage Sales</v>
      </c>
      <c r="O61" s="467">
        <v>12481.51</v>
      </c>
      <c r="P61" s="216">
        <v>20078.32</v>
      </c>
      <c r="Q61" s="216">
        <v>16974.53</v>
      </c>
      <c r="R61" s="216">
        <v>12819.07</v>
      </c>
      <c r="S61" s="216">
        <v>17578.07</v>
      </c>
      <c r="T61" s="216">
        <v>9407.5400000000009</v>
      </c>
      <c r="U61" s="216">
        <v>13127.27</v>
      </c>
      <c r="V61" s="216">
        <v>12016.26</v>
      </c>
      <c r="W61" s="216">
        <v>9305.4599999999991</v>
      </c>
      <c r="X61" s="216">
        <v>9494.15</v>
      </c>
      <c r="Y61" s="216">
        <v>14261.36</v>
      </c>
      <c r="Z61" s="216">
        <v>11196.9</v>
      </c>
      <c r="AA61" s="216">
        <f t="shared" si="17"/>
        <v>158740.43999999997</v>
      </c>
      <c r="AB61" s="468">
        <f>IF(_epmOfflineCondition_,0.216528023550938,IF(AA61=0,"",IFERROR(AA61/_xll.EVGTS($B$1,1,_xll.EVPRO($B$1,$H61,"COSBASIS"),$B$3,$B$5,$B$6,$B$7,$B$9,AA$16,AA$17,AA$11),"")))</f>
        <v>0.216528023550938</v>
      </c>
      <c r="AC61" s="459"/>
      <c r="AD61" s="216">
        <v>254093.06012000001</v>
      </c>
      <c r="AE61" s="468">
        <f>IF(_epmOfflineCondition_,0.224358458173526,IF(AD61=0,"",IFERROR(AD61/_xll.EVGTS($B$1,1,_xll.EVPRO($B$1,$H61,"COSBASIS"),$B$3,$B$5,$B$6,$B$7,$B$9,AD$16,AD$17,AD$18),"")))</f>
        <v>0.22435845817352601</v>
      </c>
      <c r="AF61" s="469">
        <f t="shared" si="18"/>
        <v>-95352.620120000036</v>
      </c>
      <c r="AG61" s="216">
        <v>127274.08</v>
      </c>
      <c r="AH61" s="468">
        <f>IF(_epmOfflineCondition_,0.220946286410744,IF(AG61=0,"",IFERROR(AG61/_xll.EVGTS($B$1,1,_xll.EVPRO($B$1,$H61,"COSBASIS"),$B$3,$B$5,$B$6,$B$7,$B$9,AG$16,AG$17,AG$18),"")))</f>
        <v>0.22094628641074399</v>
      </c>
      <c r="AI61" s="470">
        <f t="shared" si="19"/>
        <v>31466.359999999971</v>
      </c>
      <c r="AJ61" s="471">
        <f t="shared" si="20"/>
        <v>2.8178943070669051</v>
      </c>
      <c r="AK61" s="472">
        <f t="shared" si="21"/>
        <v>3.5962735257211751</v>
      </c>
      <c r="AL61" s="473">
        <f t="shared" si="22"/>
        <v>2.9977172197753021</v>
      </c>
      <c r="AM61" s="474" t="str">
        <f t="shared" si="23"/>
        <v>-0.78 pts.</v>
      </c>
      <c r="AN61" s="475" t="str">
        <f t="shared" si="24"/>
        <v>-0.44 pts.</v>
      </c>
      <c r="AO61" s="11"/>
      <c r="AP61" s="11"/>
    </row>
    <row r="62" spans="1:42" x14ac:dyDescent="0.25">
      <c r="A62" s="11" t="s">
        <v>100</v>
      </c>
      <c r="B62" s="11"/>
      <c r="C62" s="53" t="s">
        <v>101</v>
      </c>
      <c r="D62" s="11" t="s">
        <v>106</v>
      </c>
      <c r="E62" s="11"/>
      <c r="F62" s="11" t="s">
        <v>98</v>
      </c>
      <c r="G62" s="11"/>
      <c r="H62" s="396" t="s">
        <v>286</v>
      </c>
      <c r="I62" s="188" t="str">
        <f>IF(_epmOfflineCondition_,"T4",_xll.EVPRO($B$1,$H62,"STYLE"))</f>
        <v>T4</v>
      </c>
      <c r="J62" s="188" t="str">
        <f>IF(_epmOfflineCondition_,"Y",_xll.EVPRO($B$1,$H62,"CALC"))</f>
        <v>Y</v>
      </c>
      <c r="K62" s="189" t="str">
        <f t="shared" si="16"/>
        <v/>
      </c>
      <c r="L62" s="190" t="str">
        <f>IF(_epmOfflineCondition_,"",_xll.EVPRO($B$1,H62,"JDEID"))</f>
        <v/>
      </c>
      <c r="M62" s="190" t="str">
        <f>IF(_epmOfflineCondition_,"",IF(AND(I62="N",J62="N"),_xll.EVPRO($B$1,H62,"PSFTID"),""))</f>
        <v/>
      </c>
      <c r="N62" s="190" t="str">
        <f>IF(_epmOfflineCondition_,"Total Cost of Food &amp; Beverage Sales",IF(_xll.EVDES(H62,$B$1)="#NODATA","",_xll.EVDES(H62,$B$1)))</f>
        <v>Total Cost of Food &amp; Beverage Sales</v>
      </c>
      <c r="O62" s="476">
        <v>38174.480000000003</v>
      </c>
      <c r="P62" s="223">
        <v>72859.100000000006</v>
      </c>
      <c r="Q62" s="223">
        <v>65210.080000000002</v>
      </c>
      <c r="R62" s="223">
        <v>45162.74</v>
      </c>
      <c r="S62" s="223">
        <v>62690.6</v>
      </c>
      <c r="T62" s="223">
        <v>38832.35</v>
      </c>
      <c r="U62" s="223">
        <v>44910.52</v>
      </c>
      <c r="V62" s="223">
        <v>39795.4</v>
      </c>
      <c r="W62" s="223">
        <v>31563.09</v>
      </c>
      <c r="X62" s="223">
        <v>29776.79</v>
      </c>
      <c r="Y62" s="223">
        <v>33855.07</v>
      </c>
      <c r="Z62" s="223">
        <v>43880.85</v>
      </c>
      <c r="AA62" s="223">
        <f t="shared" si="17"/>
        <v>546711.07000000007</v>
      </c>
      <c r="AB62" s="224">
        <f>IF(_epmOfflineCondition_,0.280418533343722,IF(AA62=0,"",IFERROR(AA62/_xll.EVGTS($B$1,1,_xll.EVPRO($B$1,$H62,"COSBASIS"),$B$3,$B$5,$B$6,$B$7,$B$9,AA$16,AA$17,AA$11),"")))</f>
        <v>0.28041853334372202</v>
      </c>
      <c r="AC62" s="225"/>
      <c r="AD62" s="223">
        <v>673506.85811999999</v>
      </c>
      <c r="AE62" s="224">
        <f>IF(_epmOfflineCondition_,0.263075319125734,IF(AD62=0,"",IFERROR(AD62/_xll.EVGTS($B$1,1,_xll.EVPRO($B$1,$H62,"COSBASIS"),$B$3,$B$5,$B$6,$B$7,$B$9,AD$16,AD$17,AD$18),"")))</f>
        <v>0.26307531912573401</v>
      </c>
      <c r="AF62" s="226">
        <f t="shared" si="18"/>
        <v>-126795.78811999992</v>
      </c>
      <c r="AG62" s="223">
        <v>380206.65</v>
      </c>
      <c r="AH62" s="224">
        <f>IF(_epmOfflineCondition_,0.286020474013546,IF(AG62=0,"",IFERROR(AG62/_xll.EVGTS($B$1,1,_xll.EVPRO($B$1,$H62,"COSBASIS"),$B$3,$B$5,$B$6,$B$7,$B$9,AG$16,AG$17,AG$18),"")))</f>
        <v>0.28602047401354602</v>
      </c>
      <c r="AI62" s="477">
        <f t="shared" si="19"/>
        <v>166504.42000000004</v>
      </c>
      <c r="AJ62" s="227">
        <f t="shared" si="20"/>
        <v>9.7049876626488931</v>
      </c>
      <c r="AK62" s="228">
        <f t="shared" si="21"/>
        <v>9.5323929040199538</v>
      </c>
      <c r="AL62" s="230">
        <f t="shared" si="22"/>
        <v>8.9550992769154671</v>
      </c>
      <c r="AM62" s="427" t="str">
        <f t="shared" si="23"/>
        <v>1.73 pts.</v>
      </c>
      <c r="AN62" s="478" t="str">
        <f t="shared" si="24"/>
        <v>-0.56 pts.</v>
      </c>
      <c r="AO62" s="11"/>
      <c r="AP62" s="11"/>
    </row>
    <row r="63" spans="1:42" x14ac:dyDescent="0.25">
      <c r="A63" s="11" t="s">
        <v>102</v>
      </c>
      <c r="B63" s="11"/>
      <c r="C63" s="106" t="s">
        <v>101</v>
      </c>
      <c r="D63" s="11" t="s">
        <v>106</v>
      </c>
      <c r="E63" s="11"/>
      <c r="F63" s="11" t="s">
        <v>98</v>
      </c>
      <c r="G63" s="11"/>
      <c r="H63" s="396" t="s">
        <v>287</v>
      </c>
      <c r="I63" s="188" t="str">
        <f>IF(_epmOfflineCondition_,"B1",_xll.EVPRO($B$1,$H63,"STYLE"))</f>
        <v>B1</v>
      </c>
      <c r="J63" s="188" t="str">
        <f>IF(_epmOfflineCondition_,"Y",_xll.EVPRO($B$1,$H63,"CALC"))</f>
        <v>Y</v>
      </c>
      <c r="K63" s="189" t="str">
        <f t="shared" si="16"/>
        <v/>
      </c>
      <c r="L63" s="190" t="str">
        <f>IF(_epmOfflineCondition_,"",_xll.EVPRO($B$1,H63,"JDEID"))</f>
        <v/>
      </c>
      <c r="M63" s="190" t="str">
        <f>IF(_epmOfflineCondition_,"",IF(AND(I63="N",J63="N"),_xll.EVPRO($B$1,H63,"PSFTID"),""))</f>
        <v/>
      </c>
      <c r="N63" s="190" t="str">
        <f>IF(_epmOfflineCondition_,"Cost of Other Revenue",IF(_xll.EVDES(H63,$B$1)="#NODATA","",_xll.EVDES(H63,$B$1)))</f>
        <v>Cost of Other Revenue</v>
      </c>
      <c r="O63" s="479"/>
      <c r="P63" s="232"/>
      <c r="Q63" s="232"/>
      <c r="R63" s="232"/>
      <c r="S63" s="232"/>
      <c r="T63" s="232"/>
      <c r="U63" s="232"/>
      <c r="V63" s="232"/>
      <c r="W63" s="232"/>
      <c r="X63" s="232"/>
      <c r="Y63" s="232"/>
      <c r="Z63" s="232"/>
      <c r="AA63" s="232" t="str">
        <f t="shared" si="17"/>
        <v/>
      </c>
      <c r="AB63" s="480" t="str">
        <f>IF(_epmOfflineCondition_,"",IF(AA63=0,"",IFERROR(AA63/_xll.EVGTS($B$1,1,_xll.EVPRO($B$1,$H63,"COSBASIS"),$B$3,$B$5,$B$6,$B$7,$B$9,AA$16,AA$17,AA$11),"")))</f>
        <v/>
      </c>
      <c r="AC63" s="481"/>
      <c r="AD63" s="232"/>
      <c r="AE63" s="480" t="str">
        <f>IF(_epmOfflineCondition_,"",IF(AD63=0,"",IFERROR(AD63/_xll.EVGTS($B$1,1,_xll.EVPRO($B$1,$H63,"COSBASIS"),$B$3,$B$5,$B$6,$B$7,$B$9,AD$16,AD$17,AD$18),"")))</f>
        <v/>
      </c>
      <c r="AF63" s="482" t="str">
        <f t="shared" si="18"/>
        <v/>
      </c>
      <c r="AG63" s="232"/>
      <c r="AH63" s="480" t="str">
        <f>IF(_epmOfflineCondition_,"",IF(AG63=0,"",IFERROR(AG63/_xll.EVGTS($B$1,1,_xll.EVPRO($B$1,$H63,"COSBASIS"),$B$3,$B$5,$B$6,$B$7,$B$9,AG$16,AG$17,AG$18),"")))</f>
        <v/>
      </c>
      <c r="AI63" s="483" t="str">
        <f t="shared" si="19"/>
        <v/>
      </c>
      <c r="AJ63" s="235">
        <f t="shared" si="20"/>
        <v>0</v>
      </c>
      <c r="AK63" s="236">
        <f t="shared" si="21"/>
        <v>0</v>
      </c>
      <c r="AL63" s="238">
        <f t="shared" si="22"/>
        <v>0</v>
      </c>
      <c r="AM63" s="429">
        <f t="shared" si="23"/>
        <v>0</v>
      </c>
      <c r="AN63" s="484">
        <f t="shared" si="24"/>
        <v>0</v>
      </c>
      <c r="AO63" s="11"/>
      <c r="AP63" s="11"/>
    </row>
    <row r="64" spans="1:42" x14ac:dyDescent="0.25">
      <c r="A64" s="11" t="s">
        <v>102</v>
      </c>
      <c r="B64" s="11"/>
      <c r="C64" s="196" t="s">
        <v>101</v>
      </c>
      <c r="D64" s="11" t="s">
        <v>107</v>
      </c>
      <c r="E64" s="11"/>
      <c r="F64" s="11" t="s">
        <v>99</v>
      </c>
      <c r="G64" s="11"/>
      <c r="H64" s="396" t="s">
        <v>637</v>
      </c>
      <c r="I64" s="122" t="str">
        <f>IF(_epmOfflineCondition_,"N",_xll.EVPRO($B$1,$H64,"STYLE"))</f>
        <v>N</v>
      </c>
      <c r="J64" s="122" t="str">
        <f>IF(_epmOfflineCondition_,"N",_xll.EVPRO($B$1,$H64,"CALC"))</f>
        <v>N</v>
      </c>
      <c r="K64" s="179" t="str">
        <f t="shared" si="16"/>
        <v/>
      </c>
      <c r="L64" s="90" t="str">
        <f>IF(_epmOfflineCondition_,"568300",_xll.EVPRO($B$1,H64,"JDEID"))</f>
        <v>568300</v>
      </c>
      <c r="M64" s="90" t="str">
        <f>IF(_epmOfflineCondition_,"306005",IF(AND(I64="N",J64="N"),_xll.EVPRO($B$1,H64,"PSFTID"),""))</f>
        <v>306005</v>
      </c>
      <c r="N64" s="90" t="str">
        <f>IF(_epmOfflineCondition_,"A/V Cost of Sales",IF(_xll.EVDES(H64,$B$1)="#NODATA","",_xll.EVDES(H64,$B$1)))</f>
        <v>A/V Cost of Sales</v>
      </c>
      <c r="O64" s="457"/>
      <c r="P64" s="210"/>
      <c r="Q64" s="210"/>
      <c r="R64" s="210"/>
      <c r="S64" s="210"/>
      <c r="T64" s="210"/>
      <c r="U64" s="210"/>
      <c r="V64" s="210"/>
      <c r="W64" s="210"/>
      <c r="X64" s="210"/>
      <c r="Y64" s="210"/>
      <c r="Z64" s="210"/>
      <c r="AA64" s="210">
        <f t="shared" si="17"/>
        <v>0</v>
      </c>
      <c r="AB64" s="458" t="str">
        <f>IF(_epmOfflineCondition_,"",IF(AA64=0,"",IFERROR(AA64/_xll.EVGTS($B$1,1,_xll.EVPRO($B$1,$H64,"COSBASIS"),$B$3,$B$5,$B$6,$B$7,$B$9,AA$16,AA$17,AA$11),"")))</f>
        <v/>
      </c>
      <c r="AC64" s="459"/>
      <c r="AD64" s="210"/>
      <c r="AE64" s="458" t="str">
        <f>IF(_epmOfflineCondition_,"",IF(AD64=0,"",IFERROR(AD64/_xll.EVGTS($B$1,1,_xll.EVPRO($B$1,$H64,"COSBASIS"),$B$3,$B$5,$B$6,$B$7,$B$9,AD$16,AD$17,AD$18),"")))</f>
        <v/>
      </c>
      <c r="AF64" s="460">
        <f t="shared" si="18"/>
        <v>0</v>
      </c>
      <c r="AG64" s="210"/>
      <c r="AH64" s="458" t="str">
        <f>IF(_epmOfflineCondition_,"",IF(AG64=0,"",IFERROR(AG64/_xll.EVGTS($B$1,1,_xll.EVPRO($B$1,$H64,"COSBASIS"),$B$3,$B$5,$B$6,$B$7,$B$9,AG$16,AG$17,AG$18),"")))</f>
        <v/>
      </c>
      <c r="AI64" s="461">
        <f t="shared" si="19"/>
        <v>0</v>
      </c>
      <c r="AJ64" s="462">
        <f t="shared" si="20"/>
        <v>0</v>
      </c>
      <c r="AK64" s="463">
        <f t="shared" si="21"/>
        <v>0</v>
      </c>
      <c r="AL64" s="464">
        <f t="shared" si="22"/>
        <v>0</v>
      </c>
      <c r="AM64" s="465">
        <f t="shared" si="23"/>
        <v>0</v>
      </c>
      <c r="AN64" s="466">
        <f t="shared" si="24"/>
        <v>0</v>
      </c>
      <c r="AO64" s="11"/>
      <c r="AP64" s="11"/>
    </row>
    <row r="65" spans="1:42" x14ac:dyDescent="0.25">
      <c r="A65" s="11" t="s">
        <v>108</v>
      </c>
      <c r="B65" s="11"/>
      <c r="C65" s="106" t="s">
        <v>101</v>
      </c>
      <c r="D65" s="11" t="s">
        <v>106</v>
      </c>
      <c r="E65" s="11"/>
      <c r="F65" s="11" t="s">
        <v>98</v>
      </c>
      <c r="G65" s="11"/>
      <c r="H65" s="396" t="s">
        <v>638</v>
      </c>
      <c r="I65" s="122" t="str">
        <f>IF(_epmOfflineCondition_,"N",_xll.EVPRO($B$1,$H65,"STYLE"))</f>
        <v>N</v>
      </c>
      <c r="J65" s="122" t="str">
        <f>IF(_epmOfflineCondition_,"N",_xll.EVPRO($B$1,$H65,"CALC"))</f>
        <v>N</v>
      </c>
      <c r="K65" s="179" t="str">
        <f t="shared" si="16"/>
        <v/>
      </c>
      <c r="L65" s="90" t="str">
        <f>IF(_epmOfflineCondition_,"568350",_xll.EVPRO($B$1,H65,"JDEID"))</f>
        <v>568350</v>
      </c>
      <c r="M65" s="90" t="str">
        <f>IF(_epmOfflineCondition_,"306099",IF(AND(I65="N",J65="N"),_xll.EVPRO($B$1,H65,"PSFTID"),""))</f>
        <v>306099</v>
      </c>
      <c r="N65" s="90" t="str">
        <f>IF(_epmOfflineCondition_,"Public Room Rental",IF(_xll.EVDES(H65,$B$1)="#NODATA","",_xll.EVDES(H65,$B$1)))</f>
        <v>Public Room Rental</v>
      </c>
      <c r="O65" s="457"/>
      <c r="P65" s="210"/>
      <c r="Q65" s="210"/>
      <c r="R65" s="210"/>
      <c r="S65" s="210"/>
      <c r="T65" s="210"/>
      <c r="U65" s="210"/>
      <c r="V65" s="210"/>
      <c r="W65" s="210"/>
      <c r="X65" s="210"/>
      <c r="Y65" s="210"/>
      <c r="Z65" s="210"/>
      <c r="AA65" s="210">
        <f t="shared" si="17"/>
        <v>0</v>
      </c>
      <c r="AB65" s="458" t="str">
        <f>IF(_epmOfflineCondition_,"",IF(AA65=0,"",IFERROR(AA65/_xll.EVGTS($B$1,1,_xll.EVPRO($B$1,$H65,"COSBASIS"),$B$3,$B$5,$B$6,$B$7,$B$9,AA$16,AA$17,AA$11),"")))</f>
        <v/>
      </c>
      <c r="AC65" s="459"/>
      <c r="AD65" s="210"/>
      <c r="AE65" s="458" t="str">
        <f>IF(_epmOfflineCondition_,"",IF(AD65=0,"",IFERROR(AD65/_xll.EVGTS($B$1,1,_xll.EVPRO($B$1,$H65,"COSBASIS"),$B$3,$B$5,$B$6,$B$7,$B$9,AD$16,AD$17,AD$18),"")))</f>
        <v/>
      </c>
      <c r="AF65" s="460">
        <f t="shared" si="18"/>
        <v>0</v>
      </c>
      <c r="AG65" s="210"/>
      <c r="AH65" s="458" t="str">
        <f>IF(_epmOfflineCondition_,"",IF(AG65=0,"",IFERROR(AG65/_xll.EVGTS($B$1,1,_xll.EVPRO($B$1,$H65,"COSBASIS"),$B$3,$B$5,$B$6,$B$7,$B$9,AG$16,AG$17,AG$18),"")))</f>
        <v/>
      </c>
      <c r="AI65" s="461">
        <f t="shared" si="19"/>
        <v>0</v>
      </c>
      <c r="AJ65" s="462">
        <f t="shared" si="20"/>
        <v>0</v>
      </c>
      <c r="AK65" s="463">
        <f t="shared" si="21"/>
        <v>0</v>
      </c>
      <c r="AL65" s="464">
        <f t="shared" si="22"/>
        <v>0</v>
      </c>
      <c r="AM65" s="465">
        <f t="shared" si="23"/>
        <v>0</v>
      </c>
      <c r="AN65" s="466">
        <f t="shared" si="24"/>
        <v>0</v>
      </c>
      <c r="AO65" s="11"/>
      <c r="AP65" s="11"/>
    </row>
    <row r="66" spans="1:42" x14ac:dyDescent="0.25">
      <c r="A66" s="11" t="s">
        <v>108</v>
      </c>
      <c r="B66" s="11"/>
      <c r="C66" s="196" t="s">
        <v>101</v>
      </c>
      <c r="D66" s="11" t="s">
        <v>107</v>
      </c>
      <c r="E66" s="11"/>
      <c r="F66" s="11" t="s">
        <v>99</v>
      </c>
      <c r="G66" s="11"/>
      <c r="H66" s="396" t="s">
        <v>639</v>
      </c>
      <c r="I66" s="122" t="str">
        <f>IF(_epmOfflineCondition_,"T5",_xll.EVPRO($B$1,$H66,"STYLE"))</f>
        <v>T5</v>
      </c>
      <c r="J66" s="122" t="str">
        <f>IF(_epmOfflineCondition_,"Y",_xll.EVPRO($B$1,$H66,"CALC"))</f>
        <v>Y</v>
      </c>
      <c r="K66" s="179" t="str">
        <f t="shared" si="16"/>
        <v>&gt;</v>
      </c>
      <c r="L66" s="90" t="str">
        <f>IF(_epmOfflineCondition_,"",_xll.EVPRO($B$1,H66,"JDEID"))</f>
        <v/>
      </c>
      <c r="M66" s="90" t="str">
        <f>IF(_epmOfflineCondition_,"",IF(AND(I66="N",J66="N"),_xll.EVPRO($B$1,H66,"PSFTID"),""))</f>
        <v/>
      </c>
      <c r="N66" s="90" t="str">
        <f>IF(_epmOfflineCondition_,"Miscellaneous Cost",IF(_xll.EVDES(H66,$B$1)="#NODATA","",_xll.EVDES(H66,$B$1)))</f>
        <v>Miscellaneous Cost</v>
      </c>
      <c r="O66" s="467"/>
      <c r="P66" s="216"/>
      <c r="Q66" s="216">
        <v>48.82</v>
      </c>
      <c r="R66" s="216"/>
      <c r="S66" s="216"/>
      <c r="T66" s="216"/>
      <c r="U66" s="216"/>
      <c r="V66" s="216">
        <v>-48.82</v>
      </c>
      <c r="W66" s="216"/>
      <c r="X66" s="216"/>
      <c r="Y66" s="216"/>
      <c r="Z66" s="216">
        <v>973.01</v>
      </c>
      <c r="AA66" s="216">
        <f t="shared" si="17"/>
        <v>973.01</v>
      </c>
      <c r="AB66" s="468">
        <f>IF(_epmOfflineCondition_,0.0276059555619613,IF(AA66=0,"",IFERROR(AA66/_xll.EVGTS($B$1,1,_xll.EVPRO($B$1,$H66,"COSBASIS"),$B$3,$B$5,$B$6,$B$7,$B$9,AA$16,AA$17,AA$11),"")))</f>
        <v>2.7605955561961298E-2</v>
      </c>
      <c r="AC66" s="459"/>
      <c r="AD66" s="216"/>
      <c r="AE66" s="468" t="str">
        <f>IF(_epmOfflineCondition_,"",IF(AD66=0,"",IFERROR(AD66/_xll.EVGTS($B$1,1,_xll.EVPRO($B$1,$H66,"COSBASIS"),$B$3,$B$5,$B$6,$B$7,$B$9,AD$16,AD$17,AD$18),"")))</f>
        <v/>
      </c>
      <c r="AF66" s="469">
        <f t="shared" si="18"/>
        <v>973.01</v>
      </c>
      <c r="AG66" s="216">
        <v>108.11</v>
      </c>
      <c r="AH66" s="468">
        <f>IF(_epmOfflineCondition_,0.0515543559639677,IF(AG66=0,"",IFERROR(AG66/_xll.EVGTS($B$1,1,_xll.EVPRO($B$1,$H66,"COSBASIS"),$B$3,$B$5,$B$6,$B$7,$B$9,AG$16,AG$17,AG$18),"")))</f>
        <v>5.15543559639677E-2</v>
      </c>
      <c r="AI66" s="470">
        <f t="shared" si="19"/>
        <v>864.9</v>
      </c>
      <c r="AJ66" s="471">
        <f t="shared" si="20"/>
        <v>1.7272469067864307E-2</v>
      </c>
      <c r="AK66" s="472">
        <f t="shared" si="21"/>
        <v>0</v>
      </c>
      <c r="AL66" s="473">
        <f t="shared" si="22"/>
        <v>2.5463410038391782E-3</v>
      </c>
      <c r="AM66" s="474">
        <f t="shared" si="23"/>
        <v>0</v>
      </c>
      <c r="AN66" s="475" t="str">
        <f t="shared" si="24"/>
        <v>-2.39 pts.</v>
      </c>
      <c r="AO66" s="11"/>
      <c r="AP66" s="11"/>
    </row>
    <row r="67" spans="1:42" x14ac:dyDescent="0.25">
      <c r="A67" s="11"/>
      <c r="B67" s="11"/>
      <c r="C67" s="11"/>
      <c r="D67" s="11"/>
      <c r="E67" s="11"/>
      <c r="F67" s="11"/>
      <c r="G67" s="11"/>
      <c r="H67" s="396" t="s">
        <v>288</v>
      </c>
      <c r="I67" s="188" t="str">
        <f>IF(_epmOfflineCondition_,"T4",_xll.EVPRO($B$1,$H67,"STYLE"))</f>
        <v>T4</v>
      </c>
      <c r="J67" s="188" t="str">
        <f>IF(_epmOfflineCondition_,"Y",_xll.EVPRO($B$1,$H67,"CALC"))</f>
        <v>Y</v>
      </c>
      <c r="K67" s="189" t="str">
        <f t="shared" si="16"/>
        <v/>
      </c>
      <c r="L67" s="190" t="str">
        <f>IF(_epmOfflineCondition_,"",_xll.EVPRO($B$1,H67,"JDEID"))</f>
        <v/>
      </c>
      <c r="M67" s="190" t="str">
        <f>IF(_epmOfflineCondition_,"",IF(AND(I67="N",J67="N"),_xll.EVPRO($B$1,H67,"PSFTID"),""))</f>
        <v/>
      </c>
      <c r="N67" s="190" t="str">
        <f>IF(_epmOfflineCondition_,"Total Cost of Other Revenue",IF(_xll.EVDES(H67,$B$1)="#NODATA","",_xll.EVDES(H67,$B$1)))</f>
        <v>Total Cost of Other Revenue</v>
      </c>
      <c r="O67" s="485"/>
      <c r="P67" s="242"/>
      <c r="Q67" s="242">
        <v>48.82</v>
      </c>
      <c r="R67" s="242"/>
      <c r="S67" s="242"/>
      <c r="T67" s="242"/>
      <c r="U67" s="242"/>
      <c r="V67" s="242">
        <v>-48.82</v>
      </c>
      <c r="W67" s="242"/>
      <c r="X67" s="242"/>
      <c r="Y67" s="242"/>
      <c r="Z67" s="242">
        <v>973.01</v>
      </c>
      <c r="AA67" s="242">
        <f t="shared" si="17"/>
        <v>973.01</v>
      </c>
      <c r="AB67" s="243">
        <f>IF(_epmOfflineCondition_,0.00190481880729459,IF(AA67=0,"",IFERROR(AA67/_xll.EVGTS($B$1,1,_xll.EVPRO($B$1,$H67,"COSBASIS"),$B$3,$B$5,$B$6,$B$7,$B$9,AA$16,AA$17,AA$11),"")))</f>
        <v>1.9048188072945901E-3</v>
      </c>
      <c r="AC67" s="244"/>
      <c r="AD67" s="242"/>
      <c r="AE67" s="243" t="str">
        <f>IF(_epmOfflineCondition_,"",IF(AD67=0,"",IFERROR(AD67/_xll.EVGTS($B$1,1,_xll.EVPRO($B$1,$H67,"COSBASIS"),$B$3,$B$5,$B$6,$B$7,$B$9,AD$16,AD$17,AD$18),"")))</f>
        <v/>
      </c>
      <c r="AF67" s="245">
        <f t="shared" si="18"/>
        <v>973.01</v>
      </c>
      <c r="AG67" s="242">
        <v>108.11</v>
      </c>
      <c r="AH67" s="243">
        <f>IF(_epmOfflineCondition_,0.000424550309879314,IF(AG67=0,"",IFERROR(AG67/_xll.EVGTS($B$1,1,_xll.EVPRO($B$1,$H67,"COSBASIS"),$B$3,$B$5,$B$6,$B$7,$B$9,AG$16,AG$17,AG$18),"")))</f>
        <v>4.2455030987931399E-4</v>
      </c>
      <c r="AI67" s="486">
        <f t="shared" si="19"/>
        <v>864.9</v>
      </c>
      <c r="AJ67" s="246">
        <f t="shared" si="20"/>
        <v>1.7272469067864307E-2</v>
      </c>
      <c r="AK67" s="247">
        <f t="shared" si="21"/>
        <v>0</v>
      </c>
      <c r="AL67" s="249">
        <f t="shared" si="22"/>
        <v>2.5463410038391782E-3</v>
      </c>
      <c r="AM67" s="431">
        <f t="shared" si="23"/>
        <v>0</v>
      </c>
      <c r="AN67" s="487" t="str">
        <f t="shared" si="24"/>
        <v>0.15 pts.</v>
      </c>
      <c r="AO67" s="11"/>
      <c r="AP67" s="11"/>
    </row>
    <row r="68" spans="1:42" x14ac:dyDescent="0.25">
      <c r="A68" s="11"/>
      <c r="B68" s="11"/>
      <c r="C68" s="208"/>
      <c r="D68" s="11"/>
      <c r="E68" s="11"/>
      <c r="F68" s="11"/>
      <c r="G68" s="11"/>
      <c r="H68" s="396" t="s">
        <v>289</v>
      </c>
      <c r="I68" s="188" t="str">
        <f>IF(_epmOfflineCondition_,"T3",_xll.EVPRO($B$1,$H68,"STYLE"))</f>
        <v>T3</v>
      </c>
      <c r="J68" s="188" t="str">
        <f>IF(_epmOfflineCondition_,"Y",_xll.EVPRO($B$1,$H68,"CALC"))</f>
        <v>Y</v>
      </c>
      <c r="K68" s="189" t="str">
        <f t="shared" si="16"/>
        <v/>
      </c>
      <c r="L68" s="190" t="str">
        <f>IF(_epmOfflineCondition_,"500001",_xll.EVPRO($B$1,H68,"JDEID"))</f>
        <v>500001</v>
      </c>
      <c r="M68" s="190" t="str">
        <f>IF(_epmOfflineCondition_,"",IF(AND(I68="N",J68="N"),_xll.EVPRO($B$1,H68,"PSFTID"),""))</f>
        <v/>
      </c>
      <c r="N68" s="190" t="str">
        <f>IF(_epmOfflineCondition_,"Total Cost of Sales",IF(_xll.EVDES(H68,$B$1)="#NODATA","",_xll.EVDES(H68,$B$1)))</f>
        <v>Total Cost of Sales</v>
      </c>
      <c r="O68" s="476">
        <v>38174.480000000003</v>
      </c>
      <c r="P68" s="223">
        <v>72859.100000000006</v>
      </c>
      <c r="Q68" s="223">
        <v>65258.9</v>
      </c>
      <c r="R68" s="223">
        <v>45162.74</v>
      </c>
      <c r="S68" s="223">
        <v>62690.6</v>
      </c>
      <c r="T68" s="223">
        <v>38832.35</v>
      </c>
      <c r="U68" s="223">
        <v>44910.52</v>
      </c>
      <c r="V68" s="223">
        <v>39746.58</v>
      </c>
      <c r="W68" s="223">
        <v>31563.09</v>
      </c>
      <c r="X68" s="223">
        <v>29776.79</v>
      </c>
      <c r="Y68" s="223">
        <v>33855.07</v>
      </c>
      <c r="Z68" s="223">
        <v>44853.86</v>
      </c>
      <c r="AA68" s="223">
        <f t="shared" si="17"/>
        <v>547684.08000000007</v>
      </c>
      <c r="AB68" s="224">
        <f>IF(_epmOfflineCondition_,0.222595963819972,IF(AA68=0,"",IFERROR(AA68/_xll.EVGTS($B$1,1,_xll.EVPRO($B$1,$H68,"COSBASIS"),$B$3,$B$5,$B$6,$B$7,$B$9,AA$16,AA$17,AA$11),"")))</f>
        <v>0.22259596381997199</v>
      </c>
      <c r="AC68" s="225"/>
      <c r="AD68" s="223">
        <v>673506.85811999999</v>
      </c>
      <c r="AE68" s="224">
        <f>IF(_epmOfflineCondition_,0.220705366461335,IF(AD68=0,"",IFERROR(AD68/_xll.EVGTS($B$1,1,_xll.EVPRO($B$1,$H68,"COSBASIS"),$B$3,$B$5,$B$6,$B$7,$B$9,AD$16,AD$17,AD$18),"")))</f>
        <v>0.22070536646133501</v>
      </c>
      <c r="AF68" s="226">
        <f t="shared" si="18"/>
        <v>-125822.77811999992</v>
      </c>
      <c r="AG68" s="223">
        <v>380314.76</v>
      </c>
      <c r="AH68" s="224">
        <f>IF(_epmOfflineCondition_,0.240106095122782,IF(AG68=0,"",IFERROR(AG68/_xll.EVGTS($B$1,1,_xll.EVPRO($B$1,$H68,"COSBASIS"),$B$3,$B$5,$B$6,$B$7,$B$9,AG$16,AG$17,AG$18),"")))</f>
        <v>0.240106095122782</v>
      </c>
      <c r="AI68" s="477">
        <f t="shared" si="19"/>
        <v>167369.32000000007</v>
      </c>
      <c r="AJ68" s="227">
        <f t="shared" si="20"/>
        <v>9.722260131716757</v>
      </c>
      <c r="AK68" s="228">
        <f t="shared" si="21"/>
        <v>9.5323929040199538</v>
      </c>
      <c r="AL68" s="230">
        <f t="shared" si="22"/>
        <v>8.9576456179193062</v>
      </c>
      <c r="AM68" s="427" t="str">
        <f t="shared" si="23"/>
        <v>0.19 pts.</v>
      </c>
      <c r="AN68" s="478" t="str">
        <f t="shared" si="24"/>
        <v>-1.75 pts.</v>
      </c>
      <c r="AO68" s="11"/>
      <c r="AP68" s="11"/>
    </row>
    <row r="69" spans="1:42" x14ac:dyDescent="0.25">
      <c r="A69" s="61" t="str">
        <f>IF(_epmOfflineCondition_,"Evdre:Ok",_xll.EVDRE($B$1,A72:B79,A82:B88))</f>
        <v>Evdre:Ok</v>
      </c>
      <c r="B69" s="11"/>
      <c r="C69" s="11"/>
      <c r="D69" s="11"/>
      <c r="E69" s="11"/>
      <c r="F69" s="11"/>
      <c r="G69" s="11"/>
      <c r="H69" s="396" t="s">
        <v>175</v>
      </c>
      <c r="I69" s="89" t="str">
        <f>IF(_epmOfflineCondition_,"B1",_xll.EVPRO($B$1,$H69,"STYLE"))</f>
        <v>B1</v>
      </c>
      <c r="J69" s="89" t="str">
        <f>IF(_epmOfflineCondition_,"Y",_xll.EVPRO($B$1,$H69,"CALC"))</f>
        <v>Y</v>
      </c>
      <c r="K69" s="265" t="str">
        <f t="shared" si="16"/>
        <v/>
      </c>
      <c r="L69" s="265"/>
      <c r="M69" s="265"/>
      <c r="N69" s="106" t="str">
        <f>IF(_epmOfflineCondition_,"BLANKROW",IF(_xll.EVDES(H69,$B$1)="#NODATA","",_xll.EVDES(H69,$B$1)))</f>
        <v>BLANKROW</v>
      </c>
      <c r="O69" s="205"/>
      <c r="P69" s="205"/>
      <c r="Q69" s="205"/>
      <c r="R69" s="205"/>
      <c r="S69" s="205"/>
      <c r="T69" s="205"/>
      <c r="U69" s="205"/>
      <c r="V69" s="205"/>
      <c r="W69" s="205"/>
      <c r="X69" s="205"/>
      <c r="Y69" s="205"/>
      <c r="Z69" s="205"/>
      <c r="AA69" s="205"/>
      <c r="AB69" s="206" t="str">
        <f>IF(_epmOfflineCondition_,"",IF(O69=0,"",IFERROR(O69/_xll.EVGTS($B$1,1,INDEX($C$141:$C$164,MATCH($H69,$A$141:$A$164,0)),$B$3,$B$5,$B$6,$B$7,$B$9,O$16,O$17,O$18),"")))</f>
        <v/>
      </c>
      <c r="AC69" s="11"/>
      <c r="AD69" s="205"/>
      <c r="AE69" s="206" t="str">
        <f>IF(_epmOfflineCondition_,"",IF(AD69=0,"",IFERROR(AD69/_xll.EVGTS($B$1,1,INDEX($C$141:$C$164,MATCH($H69,$A$141:$A$164,0)),$B$3,$B$5,$B$6,$B$7,$B$9,AD$16,AD$17,AD$18),"")))</f>
        <v/>
      </c>
      <c r="AF69" s="207" t="str">
        <f t="shared" si="18"/>
        <v/>
      </c>
      <c r="AG69" s="205"/>
      <c r="AH69" s="206" t="str">
        <f>IF(_epmOfflineCondition_,"",IF(AG69=0,"",IFERROR(AG69/_xll.EVGTS($B$1,1,INDEX($C$141:$C$164,MATCH($H69,$A$141:$A$164,0)),$B$3,$B$5,$B$6,$B$7,$B$9,AG$16,AG$17,AG$18),"")))</f>
        <v/>
      </c>
      <c r="AI69" s="207" t="str">
        <f t="shared" si="19"/>
        <v/>
      </c>
      <c r="AJ69" s="11"/>
      <c r="AK69" s="11"/>
      <c r="AL69" s="11"/>
      <c r="AM69" s="11"/>
      <c r="AN69" s="11"/>
      <c r="AO69" s="11"/>
      <c r="AP69" s="11"/>
    </row>
    <row r="70" spans="1:42" x14ac:dyDescent="0.25">
      <c r="A70" s="11"/>
      <c r="B70" s="11"/>
      <c r="C70" s="11"/>
      <c r="D70" s="11"/>
      <c r="E70" s="11"/>
      <c r="F70" s="11"/>
      <c r="G70" s="11"/>
      <c r="H70" s="396" t="s">
        <v>292</v>
      </c>
      <c r="I70" s="89" t="str">
        <f>IF(_epmOfflineCondition_,"T3",_xll.EVPRO($B$1,$H70,"STYLE"))</f>
        <v>T3</v>
      </c>
      <c r="J70" s="89" t="str">
        <f>IF(_epmOfflineCondition_,"Y",_xll.EVPRO($B$1,$H70,"CALC"))</f>
        <v>Y</v>
      </c>
      <c r="K70" s="265" t="str">
        <f t="shared" si="16"/>
        <v/>
      </c>
      <c r="L70" s="265"/>
      <c r="M70" s="265"/>
      <c r="N70" s="106" t="str">
        <f>IF(_epmOfflineCondition_,"Gross Profit",IF(_xll.EVDES(H70,$B$1)="#NODATA","",_xll.EVDES(H70,$B$1)))</f>
        <v>Gross Profit</v>
      </c>
      <c r="O70" s="123">
        <f t="shared" ref="O70:Z70" si="25">SUMIF($H$35:$H$68,"400000",O35:O68)-SUMIF($H$35:$H$68,"500001",O35:O68)</f>
        <v>143231.88999999998</v>
      </c>
      <c r="P70" s="123">
        <f t="shared" si="25"/>
        <v>202024.30000000002</v>
      </c>
      <c r="Q70" s="123">
        <f t="shared" si="25"/>
        <v>241988.50000000003</v>
      </c>
      <c r="R70" s="123">
        <f t="shared" si="25"/>
        <v>232976.94</v>
      </c>
      <c r="S70" s="123">
        <f t="shared" si="25"/>
        <v>186815.25999999998</v>
      </c>
      <c r="T70" s="123">
        <f t="shared" si="25"/>
        <v>138634.88</v>
      </c>
      <c r="U70" s="123">
        <f t="shared" si="25"/>
        <v>155022.44</v>
      </c>
      <c r="V70" s="123">
        <f t="shared" si="25"/>
        <v>104057.08</v>
      </c>
      <c r="W70" s="123">
        <f t="shared" si="25"/>
        <v>84094.44</v>
      </c>
      <c r="X70" s="123">
        <f t="shared" si="25"/>
        <v>110862.15</v>
      </c>
      <c r="Y70" s="123">
        <f t="shared" si="25"/>
        <v>168992.32</v>
      </c>
      <c r="Z70" s="123">
        <f t="shared" si="25"/>
        <v>144056.02000000002</v>
      </c>
      <c r="AA70" s="123">
        <f>SUM(O70:Z70)</f>
        <v>1912756.22</v>
      </c>
      <c r="AB70" s="192">
        <f>IF(AA70=0,"",IFERROR(AA70/AA$19,""))</f>
        <v>0.77740403618002851</v>
      </c>
      <c r="AC70" s="11"/>
      <c r="AD70" s="123">
        <f>SUMIF($H$35:$H$68,"400000",AD35:AD68)-SUMIF($H$35:$H$68,"500001",AD35:AD68)</f>
        <v>2378103.8431449002</v>
      </c>
      <c r="AE70" s="192">
        <f>IF(AD70=0,"",IFERROR(AD70/AD$19,""))</f>
        <v>0.77929463353866546</v>
      </c>
      <c r="AF70" s="125">
        <f t="shared" si="18"/>
        <v>-465347.62314490019</v>
      </c>
      <c r="AG70" s="123">
        <f>SUMIF($H$35:$H$68,"400000",AG35:AG68)-SUMIF($H$35:$H$68,"500001",AG35:AG68)</f>
        <v>1203629.8699999999</v>
      </c>
      <c r="AH70" s="192">
        <f>IF(AG70=0,"",IFERROR(AG70/AG$19,""))</f>
        <v>0.75989390487721786</v>
      </c>
      <c r="AI70" s="125">
        <f t="shared" si="19"/>
        <v>709126.35000000009</v>
      </c>
      <c r="AJ70" s="193">
        <f>IFERROR(AA70/AA$20,0)</f>
        <v>33.954453339960594</v>
      </c>
      <c r="AK70" s="194">
        <f>IFERROR(AD70/AD$20,0)</f>
        <v>33.658187628102887</v>
      </c>
      <c r="AL70" s="195">
        <f>IFERROR(AG70/AG$20,0)</f>
        <v>28.349385731445931</v>
      </c>
      <c r="AM70" s="407" t="str">
        <f>+IFERROR(ROUND(($AB70-AE70)*100,2)&amp;" pts.",0)</f>
        <v>-0.19 pts.</v>
      </c>
      <c r="AN70" s="408" t="str">
        <f>+IFERROR(ROUND(($AB70-AH70)*100,2)&amp;" pts.",0)</f>
        <v>1.75 pts.</v>
      </c>
      <c r="AO70" s="11"/>
      <c r="AP70" s="11"/>
    </row>
    <row r="71" spans="1:42" x14ac:dyDescent="0.25">
      <c r="A71" s="62" t="s">
        <v>0</v>
      </c>
      <c r="B71" s="63" t="s">
        <v>1</v>
      </c>
      <c r="C71" s="11"/>
      <c r="D71" s="11"/>
      <c r="E71" s="11"/>
      <c r="F71" s="11"/>
      <c r="G71" s="11"/>
      <c r="H71" s="11"/>
      <c r="I71" s="59"/>
      <c r="J71" s="59"/>
      <c r="K71" s="11"/>
      <c r="L71" s="11"/>
      <c r="M71" s="11"/>
      <c r="N71" s="11"/>
      <c r="O71" s="393"/>
      <c r="P71" s="394"/>
      <c r="Q71" s="394"/>
      <c r="R71" s="394"/>
      <c r="S71" s="394"/>
      <c r="T71" s="394"/>
      <c r="U71" s="394"/>
      <c r="V71" s="394"/>
      <c r="W71" s="394"/>
      <c r="X71" s="394"/>
      <c r="Y71" s="394"/>
      <c r="Z71" s="394"/>
      <c r="AA71" s="394"/>
      <c r="AB71" s="118"/>
      <c r="AC71" s="11"/>
      <c r="AD71" s="393"/>
      <c r="AE71" s="204"/>
      <c r="AF71" s="118"/>
      <c r="AG71" s="393"/>
      <c r="AH71" s="204"/>
      <c r="AI71" s="118"/>
      <c r="AJ71" s="11"/>
      <c r="AK71" s="11"/>
      <c r="AL71" s="11"/>
      <c r="AM71" s="11"/>
      <c r="AN71" s="11"/>
      <c r="AO71" s="11"/>
      <c r="AP71" s="11"/>
    </row>
    <row r="72" spans="1:42" x14ac:dyDescent="0.25">
      <c r="A72" s="65" t="s">
        <v>2</v>
      </c>
      <c r="B72" s="66" t="str">
        <f>IF(_epmOfflineCondition_,"'FB_Cons'!$B$2:$B$10",_xll.EVRNG($B$2:$B$10))</f>
        <v>'FB_Cons'!$B$2:$B$10</v>
      </c>
      <c r="C72" s="11"/>
      <c r="D72" s="11"/>
      <c r="E72" s="11"/>
      <c r="F72" s="11"/>
      <c r="G72" s="11"/>
      <c r="H72" s="11" t="s">
        <v>73</v>
      </c>
      <c r="I72" s="59" t="str">
        <f>IF(_epmOfflineCondition_,"B1",_xll.EVPRO($B$1,$H72,"STYLE"))</f>
        <v>B1</v>
      </c>
      <c r="J72" s="59" t="str">
        <f>IF(_epmOfflineCondition_,"Y",_xll.EVPRO($B$1,$H72,"CALC"))</f>
        <v>Y</v>
      </c>
      <c r="K72" s="11"/>
      <c r="L72" s="11"/>
      <c r="M72" s="11"/>
      <c r="N72" s="105" t="str">
        <f>IF(_epmOfflineCondition_,"Labor &amp; Related Expenses",IF(_xll.EVDES(H72,$B$1)="#NODATA","",_xll.EVDES(H72,$B$1)))</f>
        <v>Labor &amp; Related Expenses</v>
      </c>
      <c r="O72" s="203"/>
      <c r="P72" s="204"/>
      <c r="Q72" s="204"/>
      <c r="R72" s="204"/>
      <c r="S72" s="204"/>
      <c r="T72" s="204"/>
      <c r="U72" s="204"/>
      <c r="V72" s="204"/>
      <c r="W72" s="204"/>
      <c r="X72" s="204"/>
      <c r="Y72" s="204"/>
      <c r="Z72" s="204"/>
      <c r="AA72" s="204"/>
      <c r="AB72" s="410"/>
      <c r="AC72" s="11"/>
      <c r="AD72" s="411"/>
      <c r="AE72" s="412"/>
      <c r="AF72" s="118"/>
      <c r="AG72" s="204"/>
      <c r="AH72" s="412"/>
      <c r="AI72" s="118"/>
      <c r="AJ72" s="11"/>
      <c r="AK72" s="11"/>
      <c r="AL72" s="11"/>
      <c r="AM72" s="11"/>
      <c r="AN72" s="11"/>
      <c r="AO72" s="11"/>
      <c r="AP72" s="11"/>
    </row>
    <row r="73" spans="1:42" x14ac:dyDescent="0.25">
      <c r="A73" s="65" t="s">
        <v>3</v>
      </c>
      <c r="B73" s="66" t="str">
        <f>IF(_epmOfflineCondition_,"'FB_Cons'!$O$16:$AN$18",_xll.EVRNG($O$16:$AN$18))</f>
        <v>'FB_Cons'!$O$16:$AN$18</v>
      </c>
      <c r="C73" s="11"/>
      <c r="D73" s="11"/>
      <c r="E73" s="11"/>
      <c r="F73" s="11"/>
      <c r="G73" s="11"/>
      <c r="H73" s="11" t="s">
        <v>74</v>
      </c>
      <c r="I73" s="59" t="str">
        <f>IF(_epmOfflineCondition_,"B1",_xll.EVPRO($B$1,$H73,"STYLE"))</f>
        <v>B1</v>
      </c>
      <c r="J73" s="59" t="str">
        <f>IF(_epmOfflineCondition_,"Y",_xll.EVPRO($B$1,$H73,"CALC"))</f>
        <v>Y</v>
      </c>
      <c r="K73" s="11"/>
      <c r="L73" s="11"/>
      <c r="M73" s="11"/>
      <c r="N73" s="53" t="str">
        <f>IF(_epmOfflineCondition_,"Salaries &amp; Wages",IF(_xll.EVDES(H73,$B$1)="#NODATA","",_xll.EVDES(H73,$B$1)))</f>
        <v>Salaries &amp; Wages</v>
      </c>
      <c r="O73" s="119"/>
      <c r="P73" s="120"/>
      <c r="Q73" s="120"/>
      <c r="R73" s="120"/>
      <c r="S73" s="120"/>
      <c r="T73" s="120"/>
      <c r="U73" s="120"/>
      <c r="V73" s="120"/>
      <c r="W73" s="120"/>
      <c r="X73" s="120"/>
      <c r="Y73" s="120"/>
      <c r="Z73" s="120"/>
      <c r="AA73" s="120"/>
      <c r="AB73" s="121"/>
      <c r="AC73" s="11"/>
      <c r="AD73" s="119"/>
      <c r="AE73" s="120"/>
      <c r="AF73" s="121"/>
      <c r="AG73" s="120"/>
      <c r="AH73" s="120"/>
      <c r="AI73" s="121"/>
      <c r="AJ73" s="11"/>
      <c r="AK73" s="11"/>
      <c r="AL73" s="11"/>
      <c r="AM73" s="11"/>
      <c r="AN73" s="11"/>
      <c r="AO73" s="11"/>
      <c r="AP73" s="11"/>
    </row>
    <row r="74" spans="1:42" x14ac:dyDescent="0.25">
      <c r="A74" s="65" t="s">
        <v>4</v>
      </c>
      <c r="B74" s="66" t="str">
        <f>IF(_epmOfflineCondition_,"'FB_Cons'!$H$74:$H$75,'FB_Cons'!$H$77:$H$89,'FB_Cons'!$H$92:$H$116",_xll.EVRNG(H74:H75,H77:H89,H92:H116))</f>
        <v>'FB_Cons'!$H$74:$H$75,'FB_Cons'!$H$77:$H$89,'FB_Cons'!$H$92:$H$116</v>
      </c>
      <c r="C74" s="11"/>
      <c r="D74" s="11"/>
      <c r="E74" s="11"/>
      <c r="F74" s="11"/>
      <c r="G74" s="11"/>
      <c r="H74" s="396" t="s">
        <v>881</v>
      </c>
      <c r="I74" s="122" t="str">
        <f>IF(_epmOfflineCondition_,"T3",_xll.EVPRO($B$1,$H74,"STYLE"))</f>
        <v>T3</v>
      </c>
      <c r="J74" s="122" t="str">
        <f>IF(_epmOfflineCondition_,"Y",_xll.EVPRO($B$1,$H74,"CALC"))</f>
        <v>Y</v>
      </c>
      <c r="K74" s="179" t="str">
        <f t="shared" ref="K74:K89" si="26">IF(AND(I74&gt;="T3"),"&gt;","")</f>
        <v>&gt;</v>
      </c>
      <c r="L74" s="90" t="str">
        <f>IF(_epmOfflineCondition_,"",_xll.EVPRO($B$1,H74,"JDEID"))</f>
        <v/>
      </c>
      <c r="M74" s="90" t="str">
        <f>IF(_epmOfflineCondition_,"",IF(AND(I74="N",J74="N"),_xll.EVPRO($B$1,H74,"PSFTID"),""))</f>
        <v/>
      </c>
      <c r="N74" s="90" t="str">
        <f>IF(_epmOfflineCondition_,"Management - F&amp;B Service",IF(_xll.EVDES(H74,$B$1)="#NODATA","",_xll.EVDES(H74,$B$1)))</f>
        <v>Management - F&amp;B Service</v>
      </c>
      <c r="O74" s="231">
        <v>10969.45</v>
      </c>
      <c r="P74" s="231">
        <v>11500</v>
      </c>
      <c r="Q74" s="231">
        <v>11500</v>
      </c>
      <c r="R74" s="231">
        <v>13329.34</v>
      </c>
      <c r="S74" s="231">
        <v>14375.11</v>
      </c>
      <c r="T74" s="231">
        <v>5333.34</v>
      </c>
      <c r="U74" s="231">
        <v>8779.2800000000007</v>
      </c>
      <c r="V74" s="231">
        <v>24918.36</v>
      </c>
      <c r="W74" s="231">
        <v>12895.35</v>
      </c>
      <c r="X74" s="231">
        <v>10141.41</v>
      </c>
      <c r="Y74" s="231">
        <v>13241.32</v>
      </c>
      <c r="Z74" s="231">
        <v>14872.18</v>
      </c>
      <c r="AA74" s="210">
        <f t="shared" ref="AA74:AA89" si="27">IF($I74="B1","",SUM(O74:Z74))</f>
        <v>151855.13999999998</v>
      </c>
      <c r="AB74" s="233">
        <f t="shared" ref="AB74:AB89" si="28">IF(AA74=0,"",IFERROR(AA74/AA$19,""))</f>
        <v>6.1718685066246066E-2</v>
      </c>
      <c r="AC74" s="140"/>
      <c r="AD74" s="231">
        <v>160471.60048058099</v>
      </c>
      <c r="AE74" s="233">
        <f t="shared" ref="AE74:AE89" si="29">IF(AD74=0,"",IFERROR(AD74/AD$19,""))</f>
        <v>5.2585868968825257E-2</v>
      </c>
      <c r="AF74" s="234">
        <f t="shared" ref="AF74:AF89" si="30">IF(AND($AA74="",AD74=""),"",$AA74-AD74)</f>
        <v>-8616.4604805810086</v>
      </c>
      <c r="AG74" s="231">
        <v>94114.61</v>
      </c>
      <c r="AH74" s="233">
        <f t="shared" ref="AH74:AH89" si="31">IF(AG74=0,"",IFERROR(AG74/AG$19,""))</f>
        <v>5.9417866140939538E-2</v>
      </c>
      <c r="AI74" s="234">
        <f t="shared" ref="AI74:AI89" si="32">IF(AND($AA74="",AG74=""),"",$AA74-AG74)</f>
        <v>57740.529999999984</v>
      </c>
      <c r="AJ74" s="211">
        <f t="shared" ref="AJ74:AJ89" si="33">IFERROR(AA74/AA$20,0)</f>
        <v>2.6956693234871207</v>
      </c>
      <c r="AK74" s="212">
        <f t="shared" ref="AK74:AK89" si="34">IFERROR(AD74/AD$20,0)</f>
        <v>2.2712142085497065</v>
      </c>
      <c r="AL74" s="214">
        <f t="shared" ref="AL74:AL89" si="35">IFERROR(AG74/AG$20,0)</f>
        <v>2.2167041948324187</v>
      </c>
      <c r="AM74" s="423" t="str">
        <f t="shared" ref="AM74:AM89" si="36">+IFERROR(ROUND(($AB74-AE74)*100,2)&amp;" pts.",0)</f>
        <v>0.91 pts.</v>
      </c>
      <c r="AN74" s="424" t="str">
        <f t="shared" ref="AN74:AN89" si="37">+IFERROR(ROUND(($AB74-AH74)*100,2)&amp;" pts.",0)</f>
        <v>0.23 pts.</v>
      </c>
      <c r="AO74" s="11"/>
      <c r="AP74" s="11"/>
    </row>
    <row r="75" spans="1:42" x14ac:dyDescent="0.25">
      <c r="A75" s="65" t="s">
        <v>5</v>
      </c>
      <c r="B75" s="66"/>
      <c r="C75" s="11"/>
      <c r="D75" s="11"/>
      <c r="E75" s="11"/>
      <c r="F75" s="11"/>
      <c r="G75" s="11"/>
      <c r="H75" s="396" t="s">
        <v>882</v>
      </c>
      <c r="I75" s="122" t="str">
        <f>IF(_epmOfflineCondition_,"T3",_xll.EVPRO($B$1,$H75,"STYLE"))</f>
        <v>T3</v>
      </c>
      <c r="J75" s="122" t="str">
        <f>IF(_epmOfflineCondition_,"Y",_xll.EVPRO($B$1,$H75,"CALC"))</f>
        <v>Y</v>
      </c>
      <c r="K75" s="179" t="str">
        <f t="shared" si="26"/>
        <v>&gt;</v>
      </c>
      <c r="L75" s="90" t="str">
        <f>IF(_epmOfflineCondition_,"",_xll.EVPRO($B$1,H75,"JDEID"))</f>
        <v/>
      </c>
      <c r="M75" s="90" t="str">
        <f>IF(_epmOfflineCondition_,"",IF(AND(I75="N",J75="N"),_xll.EVPRO($B$1,H75,"PSFTID"),""))</f>
        <v/>
      </c>
      <c r="N75" s="90" t="str">
        <f>IF(_epmOfflineCondition_,"Management - F&amp;B Kitchen",IF(_xll.EVDES(H75,$B$1)="#NODATA","",_xll.EVDES(H75,$B$1)))</f>
        <v>Management - F&amp;B Kitchen</v>
      </c>
      <c r="O75" s="231">
        <v>5166.7700000000004</v>
      </c>
      <c r="P75" s="231">
        <v>11704.16</v>
      </c>
      <c r="Q75" s="231">
        <v>15537.66</v>
      </c>
      <c r="R75" s="231">
        <v>13575</v>
      </c>
      <c r="S75" s="231">
        <v>5557.8</v>
      </c>
      <c r="T75" s="231">
        <v>12583.24</v>
      </c>
      <c r="U75" s="231">
        <v>7551.43</v>
      </c>
      <c r="V75" s="231">
        <v>7916.66</v>
      </c>
      <c r="W75" s="231">
        <v>12967.96</v>
      </c>
      <c r="X75" s="231">
        <v>13333.32</v>
      </c>
      <c r="Y75" s="231">
        <v>12968.09</v>
      </c>
      <c r="Z75" s="231">
        <v>12103.09</v>
      </c>
      <c r="AA75" s="210">
        <f t="shared" si="27"/>
        <v>130965.18</v>
      </c>
      <c r="AB75" s="233">
        <f t="shared" si="28"/>
        <v>5.3228351039446072E-2</v>
      </c>
      <c r="AC75" s="140"/>
      <c r="AD75" s="231">
        <v>148813.52524032301</v>
      </c>
      <c r="AE75" s="233">
        <f t="shared" si="29"/>
        <v>4.8765566714862887E-2</v>
      </c>
      <c r="AF75" s="234">
        <f t="shared" si="30"/>
        <v>-17848.345240323019</v>
      </c>
      <c r="AG75" s="231">
        <v>133031.14000000001</v>
      </c>
      <c r="AH75" s="233">
        <f t="shared" si="31"/>
        <v>8.3987241397447093E-2</v>
      </c>
      <c r="AI75" s="234">
        <f t="shared" si="32"/>
        <v>-2065.960000000021</v>
      </c>
      <c r="AJ75" s="211">
        <f t="shared" si="33"/>
        <v>2.3248394369197452</v>
      </c>
      <c r="AK75" s="212">
        <f t="shared" si="34"/>
        <v>2.1062131363928946</v>
      </c>
      <c r="AL75" s="214">
        <f t="shared" si="35"/>
        <v>3.1333146477612646</v>
      </c>
      <c r="AM75" s="423" t="str">
        <f t="shared" si="36"/>
        <v>0.45 pts.</v>
      </c>
      <c r="AN75" s="424" t="str">
        <f t="shared" si="37"/>
        <v>-3.08 pts.</v>
      </c>
      <c r="AO75" s="11"/>
      <c r="AP75" s="11"/>
    </row>
    <row r="76" spans="1:42" x14ac:dyDescent="0.25">
      <c r="A76" s="65" t="s">
        <v>6</v>
      </c>
      <c r="B76" s="66"/>
      <c r="C76" s="11"/>
      <c r="D76" s="11"/>
      <c r="E76" s="11"/>
      <c r="F76" s="11"/>
      <c r="G76" s="11"/>
      <c r="H76" s="396" t="s">
        <v>75</v>
      </c>
      <c r="I76" s="89" t="str">
        <f>IF(_epmOfflineCondition_,"B1",_xll.EVPRO($B$1,$H76,"STYLE"))</f>
        <v>B1</v>
      </c>
      <c r="J76" s="89" t="str">
        <f>IF(_epmOfflineCondition_,"Y",_xll.EVPRO($B$1,$H76,"CALC"))</f>
        <v>Y</v>
      </c>
      <c r="K76" s="265" t="str">
        <f t="shared" si="26"/>
        <v/>
      </c>
      <c r="L76" s="106" t="str">
        <f>IF(_epmOfflineCondition_,"",_xll.EVPRO($B$1,H76,"JDEID"))</f>
        <v/>
      </c>
      <c r="M76" s="90" t="str">
        <f>IF(_epmOfflineCondition_,"",IF(AND(I76="N",J76="N"),_xll.EVPRO($B$1,H76,"PSFTID"),""))</f>
        <v/>
      </c>
      <c r="N76" s="106" t="str">
        <f>IF(_epmOfflineCondition_,"Non-Management",IF(_xll.EVDES(H76,$B$1)="#NODATA","",_xll.EVDES(H76,$B$1)))</f>
        <v>Non-Management</v>
      </c>
      <c r="O76" s="197"/>
      <c r="P76" s="197"/>
      <c r="Q76" s="197"/>
      <c r="R76" s="197"/>
      <c r="S76" s="197"/>
      <c r="T76" s="197"/>
      <c r="U76" s="197"/>
      <c r="V76" s="197"/>
      <c r="W76" s="197"/>
      <c r="X76" s="197"/>
      <c r="Y76" s="197"/>
      <c r="Z76" s="197"/>
      <c r="AA76" s="180" t="str">
        <f t="shared" si="27"/>
        <v/>
      </c>
      <c r="AB76" s="198" t="str">
        <f t="shared" si="28"/>
        <v/>
      </c>
      <c r="AC76" s="11"/>
      <c r="AD76" s="197"/>
      <c r="AE76" s="198" t="str">
        <f t="shared" si="29"/>
        <v/>
      </c>
      <c r="AF76" s="199" t="str">
        <f t="shared" si="30"/>
        <v/>
      </c>
      <c r="AG76" s="197"/>
      <c r="AH76" s="198" t="str">
        <f t="shared" si="31"/>
        <v/>
      </c>
      <c r="AI76" s="199" t="str">
        <f t="shared" si="32"/>
        <v/>
      </c>
      <c r="AJ76" s="181">
        <f t="shared" si="33"/>
        <v>0</v>
      </c>
      <c r="AK76" s="182">
        <f t="shared" si="34"/>
        <v>0</v>
      </c>
      <c r="AL76" s="184">
        <f t="shared" si="35"/>
        <v>0</v>
      </c>
      <c r="AM76" s="385">
        <f t="shared" si="36"/>
        <v>0</v>
      </c>
      <c r="AN76" s="386">
        <f t="shared" si="37"/>
        <v>0</v>
      </c>
      <c r="AO76" s="11"/>
      <c r="AP76" s="11"/>
    </row>
    <row r="77" spans="1:42" x14ac:dyDescent="0.25">
      <c r="A77" s="65" t="s">
        <v>7</v>
      </c>
      <c r="B77" s="66" t="str">
        <f>IF(_epmOfflineCondition_,"'FB_Cons'!$A$91:$F$97",_xll.EVRNG(A91:F97))</f>
        <v>'FB_Cons'!$A$91:$F$97</v>
      </c>
      <c r="C77" s="11"/>
      <c r="D77" s="11"/>
      <c r="E77" s="11"/>
      <c r="F77" s="11"/>
      <c r="G77" s="11"/>
      <c r="H77" s="396" t="s">
        <v>860</v>
      </c>
      <c r="I77" s="122" t="str">
        <f>IF(_epmOfflineCondition_,"T3",_xll.EVPRO($B$1,$H77,"STYLE"))</f>
        <v>T3</v>
      </c>
      <c r="J77" s="122" t="str">
        <f>IF(_epmOfflineCondition_,"Y",_xll.EVPRO($B$1,$H77,"CALC"))</f>
        <v>Y</v>
      </c>
      <c r="K77" s="179" t="str">
        <f t="shared" si="26"/>
        <v>&gt;</v>
      </c>
      <c r="L77" s="90" t="str">
        <f>IF(_epmOfflineCondition_,"",_xll.EVPRO($B$1,H77,"JDEID"))</f>
        <v/>
      </c>
      <c r="M77" s="90" t="str">
        <f>IF(_epmOfflineCondition_,"",IF(AND(I77="N",J77="N"),_xll.EVPRO($B$1,H77,"PSFTID"),""))</f>
        <v/>
      </c>
      <c r="N77" s="90" t="str">
        <f>IF(_epmOfflineCondition_,"Banquet &amp; Conf/Catering Service",IF(_xll.EVDES(H77,$B$1)="#NODATA","",_xll.EVDES(H77,$B$1)))</f>
        <v>Banquet &amp; Conf/Catering Service</v>
      </c>
      <c r="O77" s="239"/>
      <c r="P77" s="239">
        <v>45.23</v>
      </c>
      <c r="Q77" s="239"/>
      <c r="R77" s="239"/>
      <c r="S77" s="239"/>
      <c r="T77" s="239"/>
      <c r="U77" s="239"/>
      <c r="V77" s="239"/>
      <c r="W77" s="239"/>
      <c r="X77" s="239"/>
      <c r="Y77" s="239"/>
      <c r="Z77" s="239"/>
      <c r="AA77" s="216">
        <f t="shared" si="27"/>
        <v>45.23</v>
      </c>
      <c r="AB77" s="240">
        <f t="shared" si="28"/>
        <v>1.8382888623633747E-5</v>
      </c>
      <c r="AC77" s="140"/>
      <c r="AD77" s="239"/>
      <c r="AE77" s="240" t="str">
        <f t="shared" si="29"/>
        <v/>
      </c>
      <c r="AF77" s="241">
        <f t="shared" si="30"/>
        <v>45.23</v>
      </c>
      <c r="AG77" s="239">
        <v>966.74</v>
      </c>
      <c r="AH77" s="240">
        <f t="shared" si="31"/>
        <v>6.1033699138839223E-4</v>
      </c>
      <c r="AI77" s="241">
        <f t="shared" si="32"/>
        <v>-921.51</v>
      </c>
      <c r="AJ77" s="211">
        <f t="shared" si="33"/>
        <v>8.029041591962082E-4</v>
      </c>
      <c r="AK77" s="212">
        <f t="shared" si="34"/>
        <v>0</v>
      </c>
      <c r="AL77" s="214">
        <f t="shared" si="35"/>
        <v>2.2769861271404009E-2</v>
      </c>
      <c r="AM77" s="423">
        <f t="shared" si="36"/>
        <v>0</v>
      </c>
      <c r="AN77" s="424" t="str">
        <f t="shared" si="37"/>
        <v>-0.06 pts.</v>
      </c>
      <c r="AO77" s="11"/>
      <c r="AP77" s="11"/>
    </row>
    <row r="78" spans="1:42" x14ac:dyDescent="0.25">
      <c r="A78" s="65" t="s">
        <v>47</v>
      </c>
      <c r="B78" s="66" t="str">
        <f>IF(_epmOfflineCondition_,"'FB_Cons'!$A$114:$B$135",_xll.EVRNG($A$114:$B$135))</f>
        <v>'FB_Cons'!$A$114:$B$135</v>
      </c>
      <c r="C78" s="11"/>
      <c r="D78" s="11"/>
      <c r="E78" s="11"/>
      <c r="F78" s="11"/>
      <c r="G78" s="11"/>
      <c r="H78" s="396" t="s">
        <v>880</v>
      </c>
      <c r="I78" s="122" t="str">
        <f>IF(_epmOfflineCondition_,"T3",_xll.EVPRO($B$1,$H78,"STYLE"))</f>
        <v>T3</v>
      </c>
      <c r="J78" s="122" t="str">
        <f>IF(_epmOfflineCondition_,"Y",_xll.EVPRO($B$1,$H78,"CALC"))</f>
        <v>Y</v>
      </c>
      <c r="K78" s="179" t="str">
        <f t="shared" si="26"/>
        <v>&gt;</v>
      </c>
      <c r="L78" s="90" t="str">
        <f>IF(_epmOfflineCondition_,"",_xll.EVPRO($B$1,H78,"JDEID"))</f>
        <v/>
      </c>
      <c r="M78" s="90" t="str">
        <f>IF(_epmOfflineCondition_,"",IF(AND(I78="N",J78="N"),_xll.EVPRO($B$1,H78,"PSFTID"),""))</f>
        <v/>
      </c>
      <c r="N78" s="90" t="str">
        <f>IF(_epmOfflineCondition_,"F&amp;B Kitchen",IF(_xll.EVDES(H78,$B$1)="#NODATA","",_xll.EVDES(H78,$B$1)))</f>
        <v>F&amp;B Kitchen</v>
      </c>
      <c r="O78" s="239">
        <v>6044.54</v>
      </c>
      <c r="P78" s="239">
        <v>7705.42</v>
      </c>
      <c r="Q78" s="239">
        <v>4326.41</v>
      </c>
      <c r="R78" s="239">
        <v>4337.28</v>
      </c>
      <c r="S78" s="239">
        <v>3713</v>
      </c>
      <c r="T78" s="239">
        <v>4278.5600000000004</v>
      </c>
      <c r="U78" s="239">
        <v>4710.16</v>
      </c>
      <c r="V78" s="239">
        <v>4053.87</v>
      </c>
      <c r="W78" s="239">
        <v>3997.68</v>
      </c>
      <c r="X78" s="239">
        <v>2557.14</v>
      </c>
      <c r="Y78" s="239">
        <v>2522.0700000000002</v>
      </c>
      <c r="Z78" s="239">
        <v>2439.29</v>
      </c>
      <c r="AA78" s="216">
        <f t="shared" si="27"/>
        <v>50685.42</v>
      </c>
      <c r="AB78" s="240">
        <f t="shared" si="28"/>
        <v>2.0600142177804519E-2</v>
      </c>
      <c r="AC78" s="140"/>
      <c r="AD78" s="239">
        <v>242779.46428571499</v>
      </c>
      <c r="AE78" s="240">
        <f t="shared" si="29"/>
        <v>7.9557809973953203E-2</v>
      </c>
      <c r="AF78" s="241">
        <f t="shared" si="30"/>
        <v>-192094.04428571498</v>
      </c>
      <c r="AG78" s="239">
        <v>61733.9</v>
      </c>
      <c r="AH78" s="240">
        <f t="shared" si="31"/>
        <v>3.8974784112245142E-2</v>
      </c>
      <c r="AI78" s="241">
        <f t="shared" si="32"/>
        <v>-11048.480000000003</v>
      </c>
      <c r="AJ78" s="211">
        <f t="shared" si="33"/>
        <v>0.89974650737578321</v>
      </c>
      <c r="AK78" s="212">
        <f t="shared" si="34"/>
        <v>3.4361479986393513</v>
      </c>
      <c r="AL78" s="214">
        <f t="shared" si="35"/>
        <v>1.4540334927102716</v>
      </c>
      <c r="AM78" s="423" t="str">
        <f t="shared" si="36"/>
        <v>-5.9 pts.</v>
      </c>
      <c r="AN78" s="424" t="str">
        <f t="shared" si="37"/>
        <v>-1.84 pts.</v>
      </c>
      <c r="AO78" s="11"/>
      <c r="AP78" s="11"/>
    </row>
    <row r="79" spans="1:42" x14ac:dyDescent="0.25">
      <c r="A79" s="65" t="s">
        <v>8</v>
      </c>
      <c r="B79" s="66"/>
      <c r="C79" s="11"/>
      <c r="D79" s="11"/>
      <c r="E79" s="11"/>
      <c r="F79" s="11"/>
      <c r="G79" s="11"/>
      <c r="H79" s="396" t="s">
        <v>861</v>
      </c>
      <c r="I79" s="122" t="str">
        <f>IF(_epmOfflineCondition_,"T3",_xll.EVPRO($B$1,$H79,"STYLE"))</f>
        <v>T3</v>
      </c>
      <c r="J79" s="122" t="str">
        <f>IF(_epmOfflineCondition_,"Y",_xll.EVPRO($B$1,$H79,"CALC"))</f>
        <v>Y</v>
      </c>
      <c r="K79" s="179" t="str">
        <f t="shared" si="26"/>
        <v>&gt;</v>
      </c>
      <c r="L79" s="90" t="str">
        <f>IF(_epmOfflineCondition_,"",_xll.EVPRO($B$1,H79,"JDEID"))</f>
        <v/>
      </c>
      <c r="M79" s="90" t="str">
        <f>IF(_epmOfflineCondition_,"",IF(AND(I79="N",J79="N"),_xll.EVPRO($B$1,H79,"PSFTID"),""))</f>
        <v/>
      </c>
      <c r="N79" s="90" t="str">
        <f>IF(_epmOfflineCondition_,"F&amp;B Venues",IF(_xll.EVDES(H79,$B$1)="#NODATA","",_xll.EVDES(H79,$B$1)))</f>
        <v>F&amp;B Venues</v>
      </c>
      <c r="O79" s="239">
        <v>14218.48</v>
      </c>
      <c r="P79" s="239">
        <v>10228.040000000001</v>
      </c>
      <c r="Q79" s="239">
        <v>8812.0499999999993</v>
      </c>
      <c r="R79" s="239">
        <v>4791.46</v>
      </c>
      <c r="S79" s="239">
        <v>9562.89</v>
      </c>
      <c r="T79" s="239">
        <v>10380.52</v>
      </c>
      <c r="U79" s="239">
        <v>13344.84</v>
      </c>
      <c r="V79" s="239">
        <v>11537.71</v>
      </c>
      <c r="W79" s="239">
        <v>9608.2800000000007</v>
      </c>
      <c r="X79" s="239">
        <v>10772.61</v>
      </c>
      <c r="Y79" s="239">
        <v>11442.63</v>
      </c>
      <c r="Z79" s="239">
        <v>10928.32</v>
      </c>
      <c r="AA79" s="216">
        <f t="shared" si="27"/>
        <v>125627.82999999999</v>
      </c>
      <c r="AB79" s="240">
        <f t="shared" si="28"/>
        <v>5.1059084831279994E-2</v>
      </c>
      <c r="AC79" s="140"/>
      <c r="AD79" s="239">
        <v>233145.91</v>
      </c>
      <c r="AE79" s="240">
        <f t="shared" si="29"/>
        <v>7.6400934727146042E-2</v>
      </c>
      <c r="AF79" s="241">
        <f t="shared" si="30"/>
        <v>-107518.08000000002</v>
      </c>
      <c r="AG79" s="239">
        <v>130304.15</v>
      </c>
      <c r="AH79" s="240">
        <f t="shared" si="31"/>
        <v>8.2265596620003059E-2</v>
      </c>
      <c r="AI79" s="241">
        <f t="shared" si="32"/>
        <v>-4676.320000000007</v>
      </c>
      <c r="AJ79" s="219">
        <f t="shared" si="33"/>
        <v>2.2300930183018832</v>
      </c>
      <c r="AK79" s="220">
        <f t="shared" si="34"/>
        <v>3.2998007240622615</v>
      </c>
      <c r="AL79" s="222">
        <f t="shared" si="35"/>
        <v>3.0690851920766891</v>
      </c>
      <c r="AM79" s="425" t="str">
        <f t="shared" si="36"/>
        <v>-2.53 pts.</v>
      </c>
      <c r="AN79" s="426" t="str">
        <f t="shared" si="37"/>
        <v>-3.12 pts.</v>
      </c>
      <c r="AO79" s="11"/>
      <c r="AP79" s="11"/>
    </row>
    <row r="80" spans="1:42" x14ac:dyDescent="0.25">
      <c r="A80" s="11"/>
      <c r="B80" s="11"/>
      <c r="C80" s="11"/>
      <c r="D80" s="11"/>
      <c r="E80" s="11"/>
      <c r="F80" s="11"/>
      <c r="G80" s="11"/>
      <c r="H80" s="396" t="s">
        <v>847</v>
      </c>
      <c r="I80" s="188" t="str">
        <f>IF(_epmOfflineCondition_,"T2",_xll.EVPRO($B$1,$H80,"STYLE"))</f>
        <v>T2</v>
      </c>
      <c r="J80" s="188" t="str">
        <f>IF(_epmOfflineCondition_,"Y",_xll.EVPRO($B$1,$H80,"CALC"))</f>
        <v>Y</v>
      </c>
      <c r="K80" s="189" t="str">
        <f t="shared" si="26"/>
        <v/>
      </c>
      <c r="L80" s="190" t="str">
        <f>IF(_epmOfflineCondition_,"",_xll.EVPRO($B$1,H80,"JDEID"))</f>
        <v/>
      </c>
      <c r="M80" s="190" t="str">
        <f>IF(_epmOfflineCondition_,"",IF(AND(I80="N",J80="N"),_xll.EVPRO($B$1,H80,"PSFTID"),""))</f>
        <v/>
      </c>
      <c r="N80" s="190" t="str">
        <f>IF(_epmOfflineCondition_,"Total Salaries and Wages",IF(_xll.EVDES(H80,$B$1)="#NODATA","",_xll.EVDES(H80,$B$1)))</f>
        <v>Total Salaries and Wages</v>
      </c>
      <c r="O80" s="223">
        <v>36399.24</v>
      </c>
      <c r="P80" s="223">
        <v>41182.85</v>
      </c>
      <c r="Q80" s="223">
        <v>40176.120000000003</v>
      </c>
      <c r="R80" s="223">
        <v>36033.08</v>
      </c>
      <c r="S80" s="223">
        <v>33208.800000000003</v>
      </c>
      <c r="T80" s="223">
        <v>32575.66</v>
      </c>
      <c r="U80" s="223">
        <v>34385.71</v>
      </c>
      <c r="V80" s="223">
        <v>48426.6</v>
      </c>
      <c r="W80" s="223">
        <v>39469.269999999997</v>
      </c>
      <c r="X80" s="223">
        <v>36804.480000000003</v>
      </c>
      <c r="Y80" s="223">
        <v>40174.11</v>
      </c>
      <c r="Z80" s="223">
        <v>40342.879999999997</v>
      </c>
      <c r="AA80" s="223">
        <f t="shared" si="27"/>
        <v>459178.79999999993</v>
      </c>
      <c r="AB80" s="224">
        <f t="shared" si="28"/>
        <v>0.18662464600340029</v>
      </c>
      <c r="AC80" s="225"/>
      <c r="AD80" s="223">
        <v>785210.50000661996</v>
      </c>
      <c r="AE80" s="224">
        <f t="shared" si="29"/>
        <v>0.2573101803847877</v>
      </c>
      <c r="AF80" s="226">
        <f t="shared" si="30"/>
        <v>-326031.70000662003</v>
      </c>
      <c r="AG80" s="223">
        <v>420150.54</v>
      </c>
      <c r="AH80" s="224">
        <f t="shared" si="31"/>
        <v>0.26525582526202324</v>
      </c>
      <c r="AI80" s="226">
        <f t="shared" si="32"/>
        <v>39028.259999999951</v>
      </c>
      <c r="AJ80" s="227">
        <f t="shared" si="33"/>
        <v>8.1511511902437288</v>
      </c>
      <c r="AK80" s="228">
        <f t="shared" si="34"/>
        <v>11.113376067644227</v>
      </c>
      <c r="AL80" s="230">
        <f t="shared" si="35"/>
        <v>9.8959073886520468</v>
      </c>
      <c r="AM80" s="427" t="str">
        <f t="shared" si="36"/>
        <v>-7.07 pts.</v>
      </c>
      <c r="AN80" s="428" t="str">
        <f t="shared" si="37"/>
        <v>-7.86 pts.</v>
      </c>
      <c r="AO80" s="11"/>
      <c r="AP80" s="11"/>
    </row>
    <row r="81" spans="1:42" x14ac:dyDescent="0.25">
      <c r="A81" s="62" t="s">
        <v>9</v>
      </c>
      <c r="B81" s="63" t="s">
        <v>10</v>
      </c>
      <c r="C81" s="11"/>
      <c r="D81" s="11"/>
      <c r="E81" s="11"/>
      <c r="F81" s="11"/>
      <c r="G81" s="11"/>
      <c r="H81" s="396" t="s">
        <v>862</v>
      </c>
      <c r="I81" s="122" t="str">
        <f>IF(_epmOfflineCondition_,"T3",_xll.EVPRO($B$1,$H81,"STYLE"))</f>
        <v>T3</v>
      </c>
      <c r="J81" s="122" t="str">
        <f>IF(_epmOfflineCondition_,"Y",_xll.EVPRO($B$1,$H81,"CALC"))</f>
        <v>Y</v>
      </c>
      <c r="K81" s="179" t="str">
        <f t="shared" si="26"/>
        <v>&gt;</v>
      </c>
      <c r="L81" s="90" t="str">
        <f>IF(_epmOfflineCondition_,"",_xll.EVPRO($B$1,H81,"JDEID"))</f>
        <v/>
      </c>
      <c r="M81" s="90" t="str">
        <f>IF(_epmOfflineCondition_,"",IF(AND(I81="N",J81="N"),_xll.EVPRO($B$1,H81,"PSFTID"),""))</f>
        <v/>
      </c>
      <c r="N81" s="90" t="str">
        <f>IF(_epmOfflineCondition_,"Service Charge Distribution",IF(_xll.EVDES(H81,$B$1)="#NODATA","",_xll.EVDES(H81,$B$1)))</f>
        <v>Service Charge Distribution</v>
      </c>
      <c r="O81" s="239">
        <v>24005.02</v>
      </c>
      <c r="P81" s="239">
        <v>40530.400000000001</v>
      </c>
      <c r="Q81" s="239">
        <v>42110.99</v>
      </c>
      <c r="R81" s="239">
        <v>37851.53</v>
      </c>
      <c r="S81" s="239">
        <v>34238.07</v>
      </c>
      <c r="T81" s="239">
        <v>25080.880000000001</v>
      </c>
      <c r="U81" s="239">
        <v>27991.43</v>
      </c>
      <c r="V81" s="239">
        <v>20531.12</v>
      </c>
      <c r="W81" s="239">
        <v>17447.650000000001</v>
      </c>
      <c r="X81" s="239">
        <v>20395.88</v>
      </c>
      <c r="Y81" s="239">
        <v>27841.74</v>
      </c>
      <c r="Z81" s="239">
        <v>28959.41</v>
      </c>
      <c r="AA81" s="239">
        <f t="shared" si="27"/>
        <v>346984.12</v>
      </c>
      <c r="AB81" s="240">
        <f t="shared" si="28"/>
        <v>0.14102521406432825</v>
      </c>
      <c r="AC81" s="140"/>
      <c r="AD81" s="239">
        <v>444996.79072639998</v>
      </c>
      <c r="AE81" s="240">
        <f t="shared" si="29"/>
        <v>0.14582357787051531</v>
      </c>
      <c r="AF81" s="241">
        <f t="shared" si="30"/>
        <v>-98012.670726399985</v>
      </c>
      <c r="AG81" s="239">
        <v>229158.89</v>
      </c>
      <c r="AH81" s="240">
        <f t="shared" si="31"/>
        <v>0.14467607368320698</v>
      </c>
      <c r="AI81" s="241">
        <f t="shared" si="32"/>
        <v>117825.22999999998</v>
      </c>
      <c r="AJ81" s="235">
        <f t="shared" si="33"/>
        <v>6.1595178669696269</v>
      </c>
      <c r="AK81" s="236">
        <f t="shared" si="34"/>
        <v>6.2982049834987768</v>
      </c>
      <c r="AL81" s="238">
        <f t="shared" si="35"/>
        <v>5.3974348164024777</v>
      </c>
      <c r="AM81" s="429" t="str">
        <f t="shared" si="36"/>
        <v>-0.48 pts.</v>
      </c>
      <c r="AN81" s="430" t="str">
        <f t="shared" si="37"/>
        <v>-0.37 pts.</v>
      </c>
      <c r="AO81" s="11"/>
      <c r="AP81" s="11"/>
    </row>
    <row r="82" spans="1:42" x14ac:dyDescent="0.25">
      <c r="A82" s="65" t="s">
        <v>11</v>
      </c>
      <c r="B82" s="66" t="s">
        <v>21</v>
      </c>
      <c r="C82" s="11"/>
      <c r="D82" s="11"/>
      <c r="E82" s="11"/>
      <c r="F82" s="11"/>
      <c r="G82" s="11"/>
      <c r="H82" s="396" t="s">
        <v>863</v>
      </c>
      <c r="I82" s="122" t="str">
        <f>IF(_epmOfflineCondition_,"T3",_xll.EVPRO($B$1,$H82,"STYLE"))</f>
        <v>T3</v>
      </c>
      <c r="J82" s="122" t="str">
        <f>IF(_epmOfflineCondition_,"Y",_xll.EVPRO($B$1,$H82,"CALC"))</f>
        <v>Y</v>
      </c>
      <c r="K82" s="179" t="str">
        <f t="shared" si="26"/>
        <v>&gt;</v>
      </c>
      <c r="L82" s="90" t="str">
        <f>IF(_epmOfflineCondition_,"",_xll.EVPRO($B$1,H82,"JDEID"))</f>
        <v/>
      </c>
      <c r="M82" s="90" t="str">
        <f>IF(_epmOfflineCondition_,"",IF(AND(I82="N",J82="N"),_xll.EVPRO($B$1,H82,"PSFTID"),""))</f>
        <v/>
      </c>
      <c r="N82" s="90" t="str">
        <f>IF(_epmOfflineCondition_,"Contracted &amp; Leased Labor",IF(_xll.EVDES(H82,$B$1)="#NODATA","",_xll.EVDES(H82,$B$1)))</f>
        <v>Contracted &amp; Leased Labor</v>
      </c>
      <c r="O82" s="239">
        <v>36948.94</v>
      </c>
      <c r="P82" s="239">
        <v>47172.88</v>
      </c>
      <c r="Q82" s="239">
        <v>65193.68</v>
      </c>
      <c r="R82" s="239">
        <v>86558.35</v>
      </c>
      <c r="S82" s="239">
        <v>74862.460000000006</v>
      </c>
      <c r="T82" s="239">
        <v>59545.26</v>
      </c>
      <c r="U82" s="239">
        <v>61193.41</v>
      </c>
      <c r="V82" s="239">
        <v>32329.8</v>
      </c>
      <c r="W82" s="239">
        <v>52796.26</v>
      </c>
      <c r="X82" s="239">
        <v>31549.65</v>
      </c>
      <c r="Y82" s="239">
        <v>51825.56</v>
      </c>
      <c r="Z82" s="239">
        <v>45034.45</v>
      </c>
      <c r="AA82" s="216">
        <f t="shared" si="27"/>
        <v>645010.69999999995</v>
      </c>
      <c r="AB82" s="240">
        <f t="shared" si="28"/>
        <v>0.26215255050081893</v>
      </c>
      <c r="AC82" s="140"/>
      <c r="AD82" s="239"/>
      <c r="AE82" s="240" t="str">
        <f t="shared" si="29"/>
        <v/>
      </c>
      <c r="AF82" s="241">
        <f t="shared" si="30"/>
        <v>645010.69999999995</v>
      </c>
      <c r="AG82" s="239">
        <v>314734.7</v>
      </c>
      <c r="AH82" s="240">
        <f t="shared" si="31"/>
        <v>0.19870309481714651</v>
      </c>
      <c r="AI82" s="241">
        <f t="shared" si="32"/>
        <v>330275.99999999994</v>
      </c>
      <c r="AJ82" s="211">
        <f t="shared" si="33"/>
        <v>11.449961834093692</v>
      </c>
      <c r="AK82" s="212">
        <f t="shared" si="34"/>
        <v>0</v>
      </c>
      <c r="AL82" s="214">
        <f t="shared" si="35"/>
        <v>7.413022587559178</v>
      </c>
      <c r="AM82" s="423">
        <f t="shared" si="36"/>
        <v>0</v>
      </c>
      <c r="AN82" s="424" t="str">
        <f t="shared" si="37"/>
        <v>6.34 pts.</v>
      </c>
      <c r="AO82" s="11"/>
      <c r="AP82" s="11"/>
    </row>
    <row r="83" spans="1:42" x14ac:dyDescent="0.25">
      <c r="A83" s="65" t="s">
        <v>12</v>
      </c>
      <c r="B83" s="66" t="s">
        <v>22</v>
      </c>
      <c r="C83" s="11"/>
      <c r="D83" s="11"/>
      <c r="E83" s="11"/>
      <c r="F83" s="11"/>
      <c r="G83" s="11"/>
      <c r="H83" s="396" t="s">
        <v>848</v>
      </c>
      <c r="I83" s="122" t="str">
        <f>IF(_epmOfflineCondition_,"T3",_xll.EVPRO($B$1,$H83,"STYLE"))</f>
        <v>T3</v>
      </c>
      <c r="J83" s="122" t="str">
        <f>IF(_epmOfflineCondition_,"Y",_xll.EVPRO($B$1,$H83,"CALC"))</f>
        <v>Y</v>
      </c>
      <c r="K83" s="179" t="str">
        <f t="shared" si="26"/>
        <v>&gt;</v>
      </c>
      <c r="L83" s="90" t="str">
        <f>IF(_epmOfflineCondition_,"",_xll.EVPRO($B$1,H83,"JDEID"))</f>
        <v/>
      </c>
      <c r="M83" s="90" t="str">
        <f>IF(_epmOfflineCondition_,"",IF(AND(I83="N",J83="N"),_xll.EVPRO($B$1,H83,"PSFTID"),""))</f>
        <v/>
      </c>
      <c r="N83" s="90" t="str">
        <f>IF(_epmOfflineCondition_,"Bonuses &amp; Incentives",IF(_xll.EVDES(H83,$B$1)="#NODATA","",_xll.EVDES(H83,$B$1)))</f>
        <v>Bonuses &amp; Incentives</v>
      </c>
      <c r="O83" s="239">
        <v>3428.27</v>
      </c>
      <c r="P83" s="239">
        <v>4426.18</v>
      </c>
      <c r="Q83" s="239">
        <v>-3611.53</v>
      </c>
      <c r="R83" s="239">
        <v>4755.09</v>
      </c>
      <c r="S83" s="239">
        <v>8098.3</v>
      </c>
      <c r="T83" s="239">
        <v>5472.68</v>
      </c>
      <c r="U83" s="239">
        <v>4731.26</v>
      </c>
      <c r="V83" s="239">
        <v>-6105.58</v>
      </c>
      <c r="W83" s="239">
        <v>2178.27</v>
      </c>
      <c r="X83" s="239">
        <v>7622.45</v>
      </c>
      <c r="Y83" s="239">
        <v>4240.5600000000004</v>
      </c>
      <c r="Z83" s="239">
        <v>11886.82</v>
      </c>
      <c r="AA83" s="216">
        <f t="shared" si="27"/>
        <v>47122.77</v>
      </c>
      <c r="AB83" s="240">
        <f t="shared" si="28"/>
        <v>1.915216963402851E-2</v>
      </c>
      <c r="AC83" s="140"/>
      <c r="AD83" s="239">
        <v>64000.336456680598</v>
      </c>
      <c r="AE83" s="240">
        <f t="shared" si="29"/>
        <v>2.0972641244884974E-2</v>
      </c>
      <c r="AF83" s="241">
        <f t="shared" si="30"/>
        <v>-16877.566456680601</v>
      </c>
      <c r="AG83" s="239">
        <v>22971.89</v>
      </c>
      <c r="AH83" s="240">
        <f t="shared" si="31"/>
        <v>1.450296277086403E-2</v>
      </c>
      <c r="AI83" s="241">
        <f t="shared" si="32"/>
        <v>24150.879999999997</v>
      </c>
      <c r="AJ83" s="219">
        <f t="shared" si="33"/>
        <v>0.83650382546642277</v>
      </c>
      <c r="AK83" s="220">
        <f t="shared" si="34"/>
        <v>0.9058205506585254</v>
      </c>
      <c r="AL83" s="222">
        <f t="shared" si="35"/>
        <v>0.54106248675130131</v>
      </c>
      <c r="AM83" s="425" t="str">
        <f t="shared" si="36"/>
        <v>-0.18 pts.</v>
      </c>
      <c r="AN83" s="426" t="str">
        <f t="shared" si="37"/>
        <v>0.46 pts.</v>
      </c>
      <c r="AO83" s="11"/>
      <c r="AP83" s="11"/>
    </row>
    <row r="84" spans="1:42" x14ac:dyDescent="0.25">
      <c r="A84" s="65" t="s">
        <v>13</v>
      </c>
      <c r="B84" s="66" t="s">
        <v>737</v>
      </c>
      <c r="C84" s="11"/>
      <c r="D84" s="11"/>
      <c r="E84" s="11"/>
      <c r="F84" s="11"/>
      <c r="G84" s="11"/>
      <c r="H84" s="396" t="s">
        <v>849</v>
      </c>
      <c r="I84" s="188" t="str">
        <f>IF(_epmOfflineCondition_,"T2",_xll.EVPRO($B$1,$H84,"STYLE"))</f>
        <v>T2</v>
      </c>
      <c r="J84" s="188" t="str">
        <f>IF(_epmOfflineCondition_,"Y",_xll.EVPRO($B$1,$H84,"CALC"))</f>
        <v>Y</v>
      </c>
      <c r="K84" s="189" t="str">
        <f t="shared" si="26"/>
        <v/>
      </c>
      <c r="L84" s="190" t="str">
        <f>IF(_epmOfflineCondition_,"",_xll.EVPRO($B$1,H84,"JDEID"))</f>
        <v/>
      </c>
      <c r="M84" s="190" t="str">
        <f>IF(_epmOfflineCondition_,"",IF(AND(I84="N",J84="N"),_xll.EVPRO($B$1,H84,"PSFTID"),""))</f>
        <v/>
      </c>
      <c r="N84" s="190" t="str">
        <f>IF(_epmOfflineCondition_,"Total Labor Expense",IF(_xll.EVDES(H84,$B$1)="#NODATA","",_xll.EVDES(H84,$B$1)))</f>
        <v>Total Labor Expense</v>
      </c>
      <c r="O84" s="223">
        <v>100781.47</v>
      </c>
      <c r="P84" s="223">
        <v>133312.31</v>
      </c>
      <c r="Q84" s="223">
        <v>143869.26</v>
      </c>
      <c r="R84" s="223">
        <v>165198.04999999999</v>
      </c>
      <c r="S84" s="223">
        <v>150407.63</v>
      </c>
      <c r="T84" s="223">
        <v>122674.48</v>
      </c>
      <c r="U84" s="223">
        <v>128301.81</v>
      </c>
      <c r="V84" s="223">
        <v>95181.94</v>
      </c>
      <c r="W84" s="223">
        <v>111891.45</v>
      </c>
      <c r="X84" s="223">
        <v>96372.46</v>
      </c>
      <c r="Y84" s="223">
        <v>124081.97</v>
      </c>
      <c r="Z84" s="223">
        <v>126223.56</v>
      </c>
      <c r="AA84" s="223">
        <f t="shared" si="27"/>
        <v>1498296.39</v>
      </c>
      <c r="AB84" s="224">
        <f t="shared" si="28"/>
        <v>0.60895458020257598</v>
      </c>
      <c r="AC84" s="225"/>
      <c r="AD84" s="223">
        <v>1294207.6271897</v>
      </c>
      <c r="AE84" s="224">
        <f t="shared" si="29"/>
        <v>0.4241063995001878</v>
      </c>
      <c r="AF84" s="226">
        <f t="shared" si="30"/>
        <v>204088.76281029987</v>
      </c>
      <c r="AG84" s="223">
        <v>987016.02</v>
      </c>
      <c r="AH84" s="224">
        <f t="shared" si="31"/>
        <v>0.62313795653324078</v>
      </c>
      <c r="AI84" s="226">
        <f t="shared" si="32"/>
        <v>511280.36999999988</v>
      </c>
      <c r="AJ84" s="227">
        <f t="shared" si="33"/>
        <v>26.597134716773471</v>
      </c>
      <c r="AK84" s="228">
        <f t="shared" si="34"/>
        <v>18.317401601801524</v>
      </c>
      <c r="AL84" s="230">
        <f t="shared" si="35"/>
        <v>23.247427279365006</v>
      </c>
      <c r="AM84" s="427" t="str">
        <f t="shared" si="36"/>
        <v>18.48 pts.</v>
      </c>
      <c r="AN84" s="428" t="str">
        <f t="shared" si="37"/>
        <v>-1.42 pts.</v>
      </c>
      <c r="AO84" s="11"/>
      <c r="AP84" s="11"/>
    </row>
    <row r="85" spans="1:42" x14ac:dyDescent="0.25">
      <c r="A85" s="65" t="s">
        <v>14</v>
      </c>
      <c r="B85" s="66"/>
      <c r="C85" s="11"/>
      <c r="D85" s="11"/>
      <c r="E85" s="11"/>
      <c r="F85" s="11"/>
      <c r="G85" s="11"/>
      <c r="H85" s="396" t="s">
        <v>850</v>
      </c>
      <c r="I85" s="122" t="str">
        <f>IF(_epmOfflineCondition_,"T3",_xll.EVPRO($B$1,$H85,"STYLE"))</f>
        <v>T3</v>
      </c>
      <c r="J85" s="122" t="str">
        <f>IF(_epmOfflineCondition_,"Y",_xll.EVPRO($B$1,$H85,"CALC"))</f>
        <v>Y</v>
      </c>
      <c r="K85" s="179" t="str">
        <f t="shared" si="26"/>
        <v>&gt;</v>
      </c>
      <c r="L85" s="90" t="str">
        <f>IF(_epmOfflineCondition_,"",_xll.EVPRO($B$1,H85,"JDEID"))</f>
        <v/>
      </c>
      <c r="M85" s="90" t="str">
        <f>IF(_epmOfflineCondition_,"",IF(AND(I85="N",J85="N"),_xll.EVPRO($B$1,H85,"PSFTID"),""))</f>
        <v/>
      </c>
      <c r="N85" s="90" t="str">
        <f>IF(_epmOfflineCondition_,"Payroll Taxes",IF(_xll.EVDES(H85,$B$1)="#NODATA","",_xll.EVDES(H85,$B$1)))</f>
        <v>Payroll Taxes</v>
      </c>
      <c r="O85" s="239">
        <v>4604.32</v>
      </c>
      <c r="P85" s="239">
        <v>4177.32</v>
      </c>
      <c r="Q85" s="239">
        <v>3111.44</v>
      </c>
      <c r="R85" s="239">
        <v>2654.87</v>
      </c>
      <c r="S85" s="239">
        <v>4735.57</v>
      </c>
      <c r="T85" s="239">
        <v>5106.26</v>
      </c>
      <c r="U85" s="239">
        <v>4728.7700000000004</v>
      </c>
      <c r="V85" s="239">
        <v>6021.4</v>
      </c>
      <c r="W85" s="239">
        <v>4500.28</v>
      </c>
      <c r="X85" s="239">
        <v>6708.14</v>
      </c>
      <c r="Y85" s="239">
        <v>8800.98</v>
      </c>
      <c r="Z85" s="239">
        <v>5742.97</v>
      </c>
      <c r="AA85" s="239">
        <f t="shared" si="27"/>
        <v>60892.319999999992</v>
      </c>
      <c r="AB85" s="240">
        <f t="shared" si="28"/>
        <v>2.4748546022433465E-2</v>
      </c>
      <c r="AC85" s="140"/>
      <c r="AD85" s="239">
        <v>107971.366975289</v>
      </c>
      <c r="AE85" s="240">
        <f t="shared" si="29"/>
        <v>3.5381763122843489E-2</v>
      </c>
      <c r="AF85" s="241">
        <f t="shared" si="30"/>
        <v>-47079.046975289006</v>
      </c>
      <c r="AG85" s="239">
        <v>56942.45</v>
      </c>
      <c r="AH85" s="240">
        <f t="shared" si="31"/>
        <v>3.5949773067509308E-2</v>
      </c>
      <c r="AI85" s="241">
        <f t="shared" si="32"/>
        <v>3949.8699999999953</v>
      </c>
      <c r="AJ85" s="235">
        <f t="shared" si="33"/>
        <v>1.0809351534624463</v>
      </c>
      <c r="AK85" s="236">
        <f t="shared" si="34"/>
        <v>1.5281588895256657</v>
      </c>
      <c r="AL85" s="238">
        <f t="shared" si="35"/>
        <v>1.3411793108321359</v>
      </c>
      <c r="AM85" s="429" t="str">
        <f t="shared" si="36"/>
        <v>-1.06 pts.</v>
      </c>
      <c r="AN85" s="430" t="str">
        <f t="shared" si="37"/>
        <v>-1.12 pts.</v>
      </c>
      <c r="AO85" s="11"/>
      <c r="AP85" s="11"/>
    </row>
    <row r="86" spans="1:42" x14ac:dyDescent="0.25">
      <c r="A86" s="65" t="s">
        <v>15</v>
      </c>
      <c r="B86" s="66"/>
      <c r="C86" s="11"/>
      <c r="D86" s="11"/>
      <c r="E86" s="11"/>
      <c r="F86" s="11"/>
      <c r="G86" s="11"/>
      <c r="H86" s="396" t="s">
        <v>851</v>
      </c>
      <c r="I86" s="122" t="str">
        <f>IF(_epmOfflineCondition_,"T3",_xll.EVPRO($B$1,$H86,"STYLE"))</f>
        <v>T3</v>
      </c>
      <c r="J86" s="122" t="str">
        <f>IF(_epmOfflineCondition_,"Y",_xll.EVPRO($B$1,$H86,"CALC"))</f>
        <v>Y</v>
      </c>
      <c r="K86" s="179" t="str">
        <f t="shared" si="26"/>
        <v>&gt;</v>
      </c>
      <c r="L86" s="90" t="str">
        <f>IF(_epmOfflineCondition_,"",_xll.EVPRO($B$1,H86,"JDEID"))</f>
        <v/>
      </c>
      <c r="M86" s="90" t="str">
        <f>IF(_epmOfflineCondition_,"",IF(AND(I86="N",J86="N"),_xll.EVPRO($B$1,H86,"PSFTID"),""))</f>
        <v/>
      </c>
      <c r="N86" s="90" t="str">
        <f>IF(_epmOfflineCondition_,"Supplemental Pay",IF(_xll.EVDES(H86,$B$1)="#NODATA","",_xll.EVDES(H86,$B$1)))</f>
        <v>Supplemental Pay</v>
      </c>
      <c r="O86" s="239">
        <v>4840.33</v>
      </c>
      <c r="P86" s="239">
        <v>854.47</v>
      </c>
      <c r="Q86" s="239">
        <v>-842.36</v>
      </c>
      <c r="R86" s="239">
        <v>1583.78</v>
      </c>
      <c r="S86" s="239">
        <v>2324.31</v>
      </c>
      <c r="T86" s="239">
        <v>1102.6199999999999</v>
      </c>
      <c r="U86" s="239">
        <v>3597.79</v>
      </c>
      <c r="V86" s="239">
        <v>5628.25</v>
      </c>
      <c r="W86" s="239">
        <v>3064.01</v>
      </c>
      <c r="X86" s="239">
        <v>10.440000000000101</v>
      </c>
      <c r="Y86" s="239">
        <v>3457.93</v>
      </c>
      <c r="Z86" s="239">
        <v>3404.25</v>
      </c>
      <c r="AA86" s="216">
        <f t="shared" si="27"/>
        <v>29025.820000000003</v>
      </c>
      <c r="AB86" s="240">
        <f t="shared" si="28"/>
        <v>1.1797002349538822E-2</v>
      </c>
      <c r="AC86" s="140"/>
      <c r="AD86" s="239">
        <v>37823.347118607002</v>
      </c>
      <c r="AE86" s="240">
        <f t="shared" si="29"/>
        <v>1.2394551868273738E-2</v>
      </c>
      <c r="AF86" s="241">
        <f t="shared" si="30"/>
        <v>-8797.5271186069986</v>
      </c>
      <c r="AG86" s="239">
        <v>16553.45</v>
      </c>
      <c r="AH86" s="240">
        <f t="shared" si="31"/>
        <v>1.0450775668843931E-2</v>
      </c>
      <c r="AI86" s="241">
        <f t="shared" si="32"/>
        <v>12472.370000000003</v>
      </c>
      <c r="AJ86" s="211">
        <f t="shared" si="33"/>
        <v>0.5152542914455116</v>
      </c>
      <c r="AK86" s="212">
        <f t="shared" si="34"/>
        <v>0.53532789062625052</v>
      </c>
      <c r="AL86" s="214">
        <f t="shared" si="35"/>
        <v>0.38988741550274397</v>
      </c>
      <c r="AM86" s="423" t="str">
        <f t="shared" si="36"/>
        <v>-0.06 pts.</v>
      </c>
      <c r="AN86" s="424" t="str">
        <f t="shared" si="37"/>
        <v>0.13 pts.</v>
      </c>
      <c r="AO86" s="11"/>
      <c r="AP86" s="11"/>
    </row>
    <row r="87" spans="1:42" x14ac:dyDescent="0.25">
      <c r="A87" s="65" t="s">
        <v>16</v>
      </c>
      <c r="B87" s="66" t="s">
        <v>78</v>
      </c>
      <c r="C87" s="11"/>
      <c r="D87" s="11"/>
      <c r="E87" s="11"/>
      <c r="F87" s="11"/>
      <c r="G87" s="11"/>
      <c r="H87" s="396" t="s">
        <v>852</v>
      </c>
      <c r="I87" s="122" t="str">
        <f>IF(_epmOfflineCondition_,"T3",_xll.EVPRO($B$1,$H87,"STYLE"))</f>
        <v>T3</v>
      </c>
      <c r="J87" s="122" t="str">
        <f>IF(_epmOfflineCondition_,"Y",_xll.EVPRO($B$1,$H87,"CALC"))</f>
        <v>Y</v>
      </c>
      <c r="K87" s="179" t="str">
        <f t="shared" si="26"/>
        <v>&gt;</v>
      </c>
      <c r="L87" s="90" t="str">
        <f>IF(_epmOfflineCondition_,"",_xll.EVPRO($B$1,H87,"JDEID"))</f>
        <v/>
      </c>
      <c r="M87" s="90" t="str">
        <f>IF(_epmOfflineCondition_,"",IF(AND(I87="N",J87="N"),_xll.EVPRO($B$1,H87,"PSFTID"),""))</f>
        <v/>
      </c>
      <c r="N87" s="90" t="str">
        <f>IF(_epmOfflineCondition_,"Employee Benefits",IF(_xll.EVDES(H87,$B$1)="#NODATA","",_xll.EVDES(H87,$B$1)))</f>
        <v>Employee Benefits</v>
      </c>
      <c r="O87" s="239">
        <v>4506.1000000000004</v>
      </c>
      <c r="P87" s="239">
        <v>4452.33</v>
      </c>
      <c r="Q87" s="239">
        <v>4711.76</v>
      </c>
      <c r="R87" s="239">
        <v>3905.19</v>
      </c>
      <c r="S87" s="239">
        <v>4505.5</v>
      </c>
      <c r="T87" s="239">
        <v>3781.82</v>
      </c>
      <c r="U87" s="239">
        <v>2656.08</v>
      </c>
      <c r="V87" s="239">
        <v>6234.6</v>
      </c>
      <c r="W87" s="239">
        <v>279.5</v>
      </c>
      <c r="X87" s="239">
        <v>7998.44</v>
      </c>
      <c r="Y87" s="239">
        <v>6383.78</v>
      </c>
      <c r="Z87" s="239">
        <v>6089.79</v>
      </c>
      <c r="AA87" s="216">
        <f t="shared" si="27"/>
        <v>55504.89</v>
      </c>
      <c r="AB87" s="240">
        <f t="shared" si="28"/>
        <v>2.2558925733739608E-2</v>
      </c>
      <c r="AC87" s="140"/>
      <c r="AD87" s="239">
        <v>51836.130485084002</v>
      </c>
      <c r="AE87" s="240">
        <f t="shared" si="29"/>
        <v>1.6986482077677143E-2</v>
      </c>
      <c r="AF87" s="241">
        <f t="shared" si="30"/>
        <v>3668.759514915997</v>
      </c>
      <c r="AG87" s="239">
        <v>33036.879999999997</v>
      </c>
      <c r="AH87" s="240">
        <f t="shared" si="31"/>
        <v>2.0857345246973691E-2</v>
      </c>
      <c r="AI87" s="241">
        <f t="shared" si="32"/>
        <v>22468.010000000002</v>
      </c>
      <c r="AJ87" s="219">
        <f t="shared" si="33"/>
        <v>0.98529973550139349</v>
      </c>
      <c r="AK87" s="220">
        <f t="shared" si="34"/>
        <v>0.73365602213337588</v>
      </c>
      <c r="AL87" s="222">
        <f t="shared" si="35"/>
        <v>0.77812563299338144</v>
      </c>
      <c r="AM87" s="425" t="str">
        <f t="shared" si="36"/>
        <v>0.56 pts.</v>
      </c>
      <c r="AN87" s="426" t="str">
        <f t="shared" si="37"/>
        <v>0.17 pts.</v>
      </c>
      <c r="AO87" s="11"/>
      <c r="AP87" s="11"/>
    </row>
    <row r="88" spans="1:42" x14ac:dyDescent="0.25">
      <c r="A88" s="65" t="s">
        <v>17</v>
      </c>
      <c r="B88" s="66"/>
      <c r="C88" s="11"/>
      <c r="D88" s="11"/>
      <c r="E88" s="11"/>
      <c r="F88" s="11"/>
      <c r="G88" s="11"/>
      <c r="H88" s="396" t="s">
        <v>853</v>
      </c>
      <c r="I88" s="188" t="str">
        <f>IF(_epmOfflineCondition_,"T2",_xll.EVPRO($B$1,$H88,"STYLE"))</f>
        <v>T2</v>
      </c>
      <c r="J88" s="188" t="str">
        <f>IF(_epmOfflineCondition_,"Y",_xll.EVPRO($B$1,$H88,"CALC"))</f>
        <v>Y</v>
      </c>
      <c r="K88" s="189" t="str">
        <f t="shared" si="26"/>
        <v/>
      </c>
      <c r="L88" s="190" t="str">
        <f>IF(_epmOfflineCondition_,"",_xll.EVPRO($B$1,H88,"JDEID"))</f>
        <v/>
      </c>
      <c r="M88" s="190" t="str">
        <f>IF(_epmOfflineCondition_,"",IF(AND(I88="N",J88="N"),_xll.EVPRO($B$1,H88,"PSFTID"),""))</f>
        <v/>
      </c>
      <c r="N88" s="190" t="str">
        <f>IF(_epmOfflineCondition_,"Total Payroll Related",IF(_xll.EVDES(H88,$B$1)="#NODATA","",_xll.EVDES(H88,$B$1)))</f>
        <v>Total Payroll Related</v>
      </c>
      <c r="O88" s="242">
        <v>13950.75</v>
      </c>
      <c r="P88" s="242">
        <v>9484.1200000000008</v>
      </c>
      <c r="Q88" s="242">
        <v>6980.84</v>
      </c>
      <c r="R88" s="242">
        <v>8143.84</v>
      </c>
      <c r="S88" s="242">
        <v>11565.38</v>
      </c>
      <c r="T88" s="242">
        <v>9990.7000000000007</v>
      </c>
      <c r="U88" s="242">
        <v>10982.64</v>
      </c>
      <c r="V88" s="242">
        <v>17884.25</v>
      </c>
      <c r="W88" s="242">
        <v>7843.79</v>
      </c>
      <c r="X88" s="242">
        <v>14717.02</v>
      </c>
      <c r="Y88" s="242">
        <v>18642.689999999999</v>
      </c>
      <c r="Z88" s="242">
        <v>15237.01</v>
      </c>
      <c r="AA88" s="242">
        <f t="shared" si="27"/>
        <v>145423.03</v>
      </c>
      <c r="AB88" s="243">
        <f t="shared" si="28"/>
        <v>5.9104474105711895E-2</v>
      </c>
      <c r="AC88" s="244"/>
      <c r="AD88" s="242">
        <v>197630.84457898</v>
      </c>
      <c r="AE88" s="243">
        <f t="shared" si="29"/>
        <v>6.476279706879437E-2</v>
      </c>
      <c r="AF88" s="245">
        <f t="shared" si="30"/>
        <v>-52207.814578980004</v>
      </c>
      <c r="AG88" s="242">
        <v>106532.78</v>
      </c>
      <c r="AH88" s="243">
        <f t="shared" si="31"/>
        <v>6.7257893983326933E-2</v>
      </c>
      <c r="AI88" s="245">
        <f t="shared" si="32"/>
        <v>38890.25</v>
      </c>
      <c r="AJ88" s="246">
        <f t="shared" si="33"/>
        <v>2.5814891804093514</v>
      </c>
      <c r="AK88" s="247">
        <f t="shared" si="34"/>
        <v>2.797142802285292</v>
      </c>
      <c r="AL88" s="249">
        <f t="shared" si="35"/>
        <v>2.5091923593282615</v>
      </c>
      <c r="AM88" s="431" t="str">
        <f t="shared" si="36"/>
        <v>-0.57 pts.</v>
      </c>
      <c r="AN88" s="432" t="str">
        <f t="shared" si="37"/>
        <v>-0.82 pts.</v>
      </c>
      <c r="AO88" s="11"/>
      <c r="AP88" s="11"/>
    </row>
    <row r="89" spans="1:42" x14ac:dyDescent="0.25">
      <c r="A89" s="11"/>
      <c r="B89" s="11"/>
      <c r="C89" s="11"/>
      <c r="D89" s="11"/>
      <c r="E89" s="11"/>
      <c r="F89" s="11"/>
      <c r="G89" s="11"/>
      <c r="H89" s="396" t="s">
        <v>76</v>
      </c>
      <c r="I89" s="188" t="str">
        <f>IF(_epmOfflineCondition_,"T1",_xll.EVPRO($B$1,$H89,"STYLE"))</f>
        <v>T1</v>
      </c>
      <c r="J89" s="188" t="str">
        <f>IF(_epmOfflineCondition_,"Y",_xll.EVPRO($B$1,$H89,"CALC"))</f>
        <v>Y</v>
      </c>
      <c r="K89" s="189" t="str">
        <f t="shared" si="26"/>
        <v/>
      </c>
      <c r="L89" s="190" t="str">
        <f>IF(_epmOfflineCondition_,"600000",_xll.EVPRO($B$1,H89,"JDEID"))</f>
        <v>600000</v>
      </c>
      <c r="M89" s="190" t="str">
        <f>IF(_epmOfflineCondition_,"",IF(AND(I89="N",J89="N"),_xll.EVPRO($B$1,H89,"PSFTID"),""))</f>
        <v/>
      </c>
      <c r="N89" s="190" t="str">
        <f>IF(_epmOfflineCondition_,"Total Labor &amp; Related Exp",IF(_xll.EVDES(H89,$B$1)="#NODATA","",_xll.EVDES(H89,$B$1)))</f>
        <v>Total Labor &amp; Related Exp</v>
      </c>
      <c r="O89" s="242">
        <v>114732.22</v>
      </c>
      <c r="P89" s="242">
        <v>142796.43</v>
      </c>
      <c r="Q89" s="242">
        <v>150850.1</v>
      </c>
      <c r="R89" s="242">
        <v>173341.89</v>
      </c>
      <c r="S89" s="242">
        <v>161973.01</v>
      </c>
      <c r="T89" s="242">
        <v>132665.18</v>
      </c>
      <c r="U89" s="242">
        <v>139284.45000000001</v>
      </c>
      <c r="V89" s="242">
        <v>113066.19</v>
      </c>
      <c r="W89" s="242">
        <v>119735.24</v>
      </c>
      <c r="X89" s="242">
        <v>111089.48</v>
      </c>
      <c r="Y89" s="242">
        <v>142724.66</v>
      </c>
      <c r="Z89" s="242">
        <v>141460.57</v>
      </c>
      <c r="AA89" s="242">
        <f t="shared" si="27"/>
        <v>1643719.42</v>
      </c>
      <c r="AB89" s="243">
        <f t="shared" si="28"/>
        <v>0.66805905430828783</v>
      </c>
      <c r="AC89" s="244"/>
      <c r="AD89" s="242">
        <v>1491838.47176868</v>
      </c>
      <c r="AE89" s="243">
        <f t="shared" si="29"/>
        <v>0.4888691965689822</v>
      </c>
      <c r="AF89" s="245">
        <f t="shared" si="30"/>
        <v>151880.9482313199</v>
      </c>
      <c r="AG89" s="242">
        <v>1093548.8</v>
      </c>
      <c r="AH89" s="243">
        <f t="shared" si="31"/>
        <v>0.69039585051656771</v>
      </c>
      <c r="AI89" s="245">
        <f t="shared" si="32"/>
        <v>550170.61999999988</v>
      </c>
      <c r="AJ89" s="250">
        <f t="shared" si="33"/>
        <v>29.178623897182824</v>
      </c>
      <c r="AK89" s="251">
        <f t="shared" si="34"/>
        <v>21.114544404086814</v>
      </c>
      <c r="AL89" s="253">
        <f t="shared" si="35"/>
        <v>25.756619638693266</v>
      </c>
      <c r="AM89" s="433" t="str">
        <f t="shared" si="36"/>
        <v>17.92 pts.</v>
      </c>
      <c r="AN89" s="434" t="str">
        <f t="shared" si="37"/>
        <v>-2.23 pts.</v>
      </c>
      <c r="AO89" s="11"/>
      <c r="AP89" s="11"/>
    </row>
    <row r="90" spans="1:42" x14ac:dyDescent="0.25">
      <c r="A90" s="97" t="s">
        <v>92</v>
      </c>
      <c r="B90" s="98" t="s">
        <v>93</v>
      </c>
      <c r="C90" s="98" t="s">
        <v>94</v>
      </c>
      <c r="D90" s="98" t="s">
        <v>95</v>
      </c>
      <c r="E90" s="98" t="s">
        <v>96</v>
      </c>
      <c r="F90" s="99" t="s">
        <v>97</v>
      </c>
      <c r="G90" s="11"/>
      <c r="H90" s="11"/>
      <c r="I90" s="59"/>
      <c r="J90" s="59"/>
      <c r="K90" s="11"/>
      <c r="L90" s="11"/>
      <c r="M90" s="11"/>
      <c r="N90" s="11"/>
      <c r="O90" s="413"/>
      <c r="P90" s="414"/>
      <c r="Q90" s="414"/>
      <c r="R90" s="414"/>
      <c r="S90" s="414"/>
      <c r="T90" s="414"/>
      <c r="U90" s="414"/>
      <c r="V90" s="414"/>
      <c r="W90" s="414"/>
      <c r="X90" s="414"/>
      <c r="Y90" s="414"/>
      <c r="Z90" s="414"/>
      <c r="AA90" s="414"/>
      <c r="AB90" s="131"/>
      <c r="AC90" s="11"/>
      <c r="AD90" s="413"/>
      <c r="AE90" s="130"/>
      <c r="AF90" s="131"/>
      <c r="AG90" s="413"/>
      <c r="AH90" s="130"/>
      <c r="AI90" s="131"/>
      <c r="AJ90" s="11"/>
      <c r="AK90" s="11"/>
      <c r="AL90" s="11"/>
      <c r="AM90" s="11"/>
      <c r="AN90" s="11"/>
      <c r="AO90" s="11"/>
      <c r="AP90" s="11"/>
    </row>
    <row r="91" spans="1:42" x14ac:dyDescent="0.25">
      <c r="A91" s="11"/>
      <c r="B91" s="11"/>
      <c r="C91" s="11"/>
      <c r="D91" s="11"/>
      <c r="E91" s="11"/>
      <c r="F91" s="11"/>
      <c r="G91" s="11"/>
      <c r="H91" s="11" t="s">
        <v>82</v>
      </c>
      <c r="I91" s="59" t="str">
        <f>IF(_epmOfflineCondition_,"B1",_xll.EVPRO($B$1,$H91,"STYLE"))</f>
        <v>B1</v>
      </c>
      <c r="J91" s="59" t="str">
        <f>IF(_epmOfflineCondition_,"Y",_xll.EVPRO($B$1,$H91,"CALC"))</f>
        <v>Y</v>
      </c>
      <c r="K91" s="11"/>
      <c r="L91" s="11"/>
      <c r="M91" s="11"/>
      <c r="N91" s="105" t="str">
        <f>IF(_epmOfflineCondition_,"Other Expenses",IF(_xll.EVDES(H91,$B$1)="#NODATA","",_xll.EVDES(H91,$B$1)))</f>
        <v>Other Expenses</v>
      </c>
      <c r="O91" s="119"/>
      <c r="P91" s="120"/>
      <c r="Q91" s="120"/>
      <c r="R91" s="120"/>
      <c r="S91" s="120"/>
      <c r="T91" s="120"/>
      <c r="U91" s="120"/>
      <c r="V91" s="120"/>
      <c r="W91" s="120"/>
      <c r="X91" s="120"/>
      <c r="Y91" s="120"/>
      <c r="Z91" s="120"/>
      <c r="AA91" s="120"/>
      <c r="AB91" s="121"/>
      <c r="AC91" s="11"/>
      <c r="AD91" s="119"/>
      <c r="AE91" s="120"/>
      <c r="AF91" s="121"/>
      <c r="AG91" s="119"/>
      <c r="AH91" s="120"/>
      <c r="AI91" s="121"/>
      <c r="AJ91" s="11"/>
      <c r="AK91" s="11"/>
      <c r="AL91" s="11"/>
      <c r="AM91" s="11"/>
      <c r="AN91" s="11"/>
      <c r="AO91" s="11"/>
      <c r="AP91" s="11"/>
    </row>
    <row r="92" spans="1:42" x14ac:dyDescent="0.25">
      <c r="A92" s="11" t="s">
        <v>108</v>
      </c>
      <c r="B92" s="11"/>
      <c r="C92" s="104" t="s">
        <v>101</v>
      </c>
      <c r="D92" s="11" t="s">
        <v>106</v>
      </c>
      <c r="E92" s="11"/>
      <c r="F92" s="11" t="s">
        <v>98</v>
      </c>
      <c r="G92" s="11"/>
      <c r="H92" s="396" t="s">
        <v>828</v>
      </c>
      <c r="I92" s="122" t="str">
        <f>IF(_epmOfflineCondition_,"N",_xll.EVPRO($B$1,$H92,"STYLE"))</f>
        <v>N</v>
      </c>
      <c r="J92" s="122" t="str">
        <f>IF(_epmOfflineCondition_,"N",_xll.EVPRO($B$1,$H92,"CALC"))</f>
        <v>N</v>
      </c>
      <c r="K92" s="179" t="str">
        <f t="shared" ref="K92:K116" si="38">IF(AND(I92&lt;&gt;"B1",J92="Y"),"&gt;","")</f>
        <v/>
      </c>
      <c r="L92" s="90" t="str">
        <f>IF(_epmOfflineCondition_,"701100",_xll.EVPRO($B$1,H92,"JDEID"))</f>
        <v>701100</v>
      </c>
      <c r="M92" s="90" t="str">
        <f>IF(_epmOfflineCondition_,"690015",IF(AND(I92="N",J92="N"),_xll.EVPRO($B$1,H92,"PSFTID"),""))</f>
        <v>690015</v>
      </c>
      <c r="N92" s="90" t="str">
        <f>IF(_epmOfflineCondition_,"Dues and Subscriptions",IF(_xll.EVDES(H92,$B$1)="#NODATA","",_xll.EVDES(H92,$B$1)))</f>
        <v>Dues and Subscriptions</v>
      </c>
      <c r="O92" s="231">
        <v>431.66</v>
      </c>
      <c r="P92" s="231">
        <v>431.66</v>
      </c>
      <c r="Q92" s="231">
        <v>431.66</v>
      </c>
      <c r="R92" s="231">
        <v>431.66</v>
      </c>
      <c r="S92" s="231">
        <v>836.3</v>
      </c>
      <c r="T92" s="231">
        <v>418.13</v>
      </c>
      <c r="U92" s="231">
        <v>431.66</v>
      </c>
      <c r="V92" s="231">
        <v>431.66</v>
      </c>
      <c r="W92" s="231">
        <v>431.66</v>
      </c>
      <c r="X92" s="231">
        <v>375</v>
      </c>
      <c r="Y92" s="231">
        <v>375</v>
      </c>
      <c r="Z92" s="231">
        <v>359.25</v>
      </c>
      <c r="AA92" s="210">
        <f t="shared" ref="AA92:AA117" si="39">IF($I92="B1","",SUM(O92:Z92))</f>
        <v>5385.3</v>
      </c>
      <c r="AB92" s="233">
        <f t="shared" ref="AB92:AB117" si="40">IF(AA92=0,"",IFERROR(AA92/AA$19,""))</f>
        <v>2.1887545899813136E-3</v>
      </c>
      <c r="AC92" s="140"/>
      <c r="AD92" s="231">
        <v>6572</v>
      </c>
      <c r="AE92" s="233">
        <f t="shared" ref="AE92:AE117" si="41">IF(AD92=0,"",IFERROR(AD92/AD$19,""))</f>
        <v>2.15361677597863E-3</v>
      </c>
      <c r="AF92" s="234">
        <f t="shared" ref="AF92:AF117" si="42">IF(AND($AA92="",AD92=""),"",$AA92-AD92)</f>
        <v>-1186.6999999999998</v>
      </c>
      <c r="AG92" s="231">
        <v>3911.65</v>
      </c>
      <c r="AH92" s="233">
        <f t="shared" ref="AH92:AH117" si="43">IF(AG92=0,"",IFERROR(AG92/AG$19,""))</f>
        <v>2.4695623356480586E-3</v>
      </c>
      <c r="AI92" s="234">
        <f t="shared" ref="AI92:AI117" si="44">IF(AND($AA92="",AG92=""),"",$AA92-AG92)</f>
        <v>1473.65</v>
      </c>
      <c r="AJ92" s="211">
        <f t="shared" ref="AJ92:AJ117" si="45">IFERROR(AA92/AA$20,0)</f>
        <v>9.5597607086432473E-2</v>
      </c>
      <c r="AK92" s="212">
        <f t="shared" ref="AK92:AK117" si="46">IFERROR(AD92/AD$20,0)</f>
        <v>9.3015958798235765E-2</v>
      </c>
      <c r="AL92" s="214">
        <f t="shared" ref="AL92:AL117" si="47">IFERROR(AG92/AG$20,0)</f>
        <v>9.2132039475233768E-2</v>
      </c>
      <c r="AM92" s="423" t="str">
        <f t="shared" ref="AM92:AM117" si="48">+IFERROR(ROUND(($AB92-AE92)*100,2)&amp;" pts.",0)</f>
        <v>0 pts.</v>
      </c>
      <c r="AN92" s="424" t="str">
        <f t="shared" ref="AN92:AN117" si="49">+IFERROR(ROUND(($AB92-AH92)*100,2)&amp;" pts.",0)</f>
        <v>-0.03 pts.</v>
      </c>
      <c r="AO92" s="11"/>
      <c r="AP92" s="11"/>
    </row>
    <row r="93" spans="1:42" x14ac:dyDescent="0.25">
      <c r="A93" s="11" t="s">
        <v>100</v>
      </c>
      <c r="B93" s="11"/>
      <c r="C93" s="53" t="s">
        <v>101</v>
      </c>
      <c r="D93" s="11" t="s">
        <v>106</v>
      </c>
      <c r="E93" s="11"/>
      <c r="F93" s="11" t="s">
        <v>98</v>
      </c>
      <c r="G93" s="76"/>
      <c r="H93" s="396" t="s">
        <v>855</v>
      </c>
      <c r="I93" s="122" t="str">
        <f>IF(_epmOfflineCondition_,"N",_xll.EVPRO($B$1,$H93,"STYLE"))</f>
        <v>N</v>
      </c>
      <c r="J93" s="122" t="str">
        <f>IF(_epmOfflineCondition_,"N",_xll.EVPRO($B$1,$H93,"CALC"))</f>
        <v>N</v>
      </c>
      <c r="K93" s="179" t="str">
        <f t="shared" si="38"/>
        <v/>
      </c>
      <c r="L93" s="90" t="str">
        <f>IF(_epmOfflineCondition_,"701300",_xll.EVPRO($B$1,H93,"JDEID"))</f>
        <v>701300</v>
      </c>
      <c r="M93" s="90" t="str">
        <f>IF(_epmOfflineCondition_,"690205",IF(AND(I93="N",J93="N"),_xll.EVPRO($B$1,H93,"PSFTID"),""))</f>
        <v>690205</v>
      </c>
      <c r="N93" s="90" t="str">
        <f>IF(_epmOfflineCondition_,"Printing &amp; Stationery",IF(_xll.EVDES(H93,$B$1)="#NODATA","",_xll.EVDES(H93,$B$1)))</f>
        <v>Printing &amp; Stationery</v>
      </c>
      <c r="O93" s="231">
        <v>296.89999999999998</v>
      </c>
      <c r="P93" s="231">
        <v>644.26</v>
      </c>
      <c r="Q93" s="231">
        <v>294.69</v>
      </c>
      <c r="R93" s="231">
        <v>1253.5999999999999</v>
      </c>
      <c r="S93" s="231">
        <v>856.75</v>
      </c>
      <c r="T93" s="231"/>
      <c r="U93" s="231">
        <v>207.05</v>
      </c>
      <c r="V93" s="231">
        <v>362.41</v>
      </c>
      <c r="W93" s="231">
        <v>252.81</v>
      </c>
      <c r="X93" s="231">
        <v>168.94</v>
      </c>
      <c r="Y93" s="231">
        <v>279.41000000000003</v>
      </c>
      <c r="Z93" s="231">
        <v>100.84</v>
      </c>
      <c r="AA93" s="210">
        <f t="shared" si="39"/>
        <v>4717.66</v>
      </c>
      <c r="AB93" s="233">
        <f t="shared" si="40"/>
        <v>1.9174047832007954E-3</v>
      </c>
      <c r="AC93" s="140"/>
      <c r="AD93" s="231">
        <v>2889</v>
      </c>
      <c r="AE93" s="233">
        <f t="shared" si="41"/>
        <v>9.4671315669541409E-4</v>
      </c>
      <c r="AF93" s="234">
        <f t="shared" si="42"/>
        <v>1828.6599999999999</v>
      </c>
      <c r="AG93" s="231">
        <v>2291.9499999999998</v>
      </c>
      <c r="AH93" s="233">
        <f t="shared" si="43"/>
        <v>1.4469887119728422E-3</v>
      </c>
      <c r="AI93" s="234">
        <f t="shared" si="44"/>
        <v>2425.71</v>
      </c>
      <c r="AJ93" s="211">
        <f t="shared" si="45"/>
        <v>8.3745939325084756E-2</v>
      </c>
      <c r="AK93" s="212">
        <f t="shared" si="46"/>
        <v>4.0889090835073513E-2</v>
      </c>
      <c r="AL93" s="214">
        <f t="shared" si="47"/>
        <v>5.3982853239748448E-2</v>
      </c>
      <c r="AM93" s="423" t="str">
        <f t="shared" si="48"/>
        <v>0.1 pts.</v>
      </c>
      <c r="AN93" s="424" t="str">
        <f t="shared" si="49"/>
        <v>0.05 pts.</v>
      </c>
      <c r="AO93" s="11"/>
      <c r="AP93" s="11"/>
    </row>
    <row r="94" spans="1:42" x14ac:dyDescent="0.25">
      <c r="A94" s="11" t="s">
        <v>109</v>
      </c>
      <c r="B94" s="11"/>
      <c r="C94" s="106" t="s">
        <v>101</v>
      </c>
      <c r="D94" s="11" t="s">
        <v>106</v>
      </c>
      <c r="E94" s="11"/>
      <c r="F94" s="11" t="s">
        <v>98</v>
      </c>
      <c r="G94" s="11"/>
      <c r="H94" s="396" t="s">
        <v>831</v>
      </c>
      <c r="I94" s="122" t="str">
        <f>IF(_epmOfflineCondition_,"T4",_xll.EVPRO($B$1,$H94,"STYLE"))</f>
        <v>T4</v>
      </c>
      <c r="J94" s="122" t="str">
        <f>IF(_epmOfflineCondition_,"Y",_xll.EVPRO($B$1,$H94,"CALC"))</f>
        <v>Y</v>
      </c>
      <c r="K94" s="179" t="str">
        <f t="shared" si="38"/>
        <v>&gt;</v>
      </c>
      <c r="L94" s="90" t="str">
        <f>IF(_epmOfflineCondition_,"701500",_xll.EVPRO($B$1,H94,"JDEID"))</f>
        <v>701500</v>
      </c>
      <c r="M94" s="90" t="str">
        <f>IF(_epmOfflineCondition_,"",IF(AND(I94="N",J94="N"),_xll.EVPRO($B$1,H94,"PSFTID"),""))</f>
        <v/>
      </c>
      <c r="N94" s="90" t="str">
        <f>IF(_epmOfflineCondition_,"Operating Supplies",IF(_xll.EVDES(H94,$B$1)="#NODATA","",_xll.EVDES(H94,$B$1)))</f>
        <v>Operating Supplies</v>
      </c>
      <c r="O94" s="231">
        <v>1876.85</v>
      </c>
      <c r="P94" s="231">
        <v>3701.64</v>
      </c>
      <c r="Q94" s="231">
        <v>3175.73</v>
      </c>
      <c r="R94" s="231">
        <v>3772.83</v>
      </c>
      <c r="S94" s="231">
        <v>2392.59</v>
      </c>
      <c r="T94" s="231">
        <v>1684.4</v>
      </c>
      <c r="U94" s="231">
        <v>2860.98</v>
      </c>
      <c r="V94" s="231">
        <v>5792.49</v>
      </c>
      <c r="W94" s="231">
        <v>2466.63</v>
      </c>
      <c r="X94" s="231">
        <v>2646.48</v>
      </c>
      <c r="Y94" s="231">
        <v>3086.96</v>
      </c>
      <c r="Z94" s="231">
        <v>4204.12</v>
      </c>
      <c r="AA94" s="210">
        <f t="shared" si="39"/>
        <v>37661.700000000004</v>
      </c>
      <c r="AB94" s="233">
        <f t="shared" si="40"/>
        <v>1.5306894461125518E-2</v>
      </c>
      <c r="AC94" s="140"/>
      <c r="AD94" s="231">
        <v>32283</v>
      </c>
      <c r="AE94" s="233">
        <f t="shared" si="41"/>
        <v>1.0579003405191434E-2</v>
      </c>
      <c r="AF94" s="234">
        <f t="shared" si="42"/>
        <v>5378.7000000000044</v>
      </c>
      <c r="AG94" s="231">
        <v>24851.57</v>
      </c>
      <c r="AH94" s="233">
        <f t="shared" si="43"/>
        <v>1.5689670919873003E-2</v>
      </c>
      <c r="AI94" s="234">
        <f t="shared" si="44"/>
        <v>12810.130000000005</v>
      </c>
      <c r="AJ94" s="211">
        <f t="shared" si="45"/>
        <v>0.66855484351978423</v>
      </c>
      <c r="AK94" s="212">
        <f t="shared" si="46"/>
        <v>0.4569132985215224</v>
      </c>
      <c r="AL94" s="214">
        <f t="shared" si="47"/>
        <v>0.58533504486892618</v>
      </c>
      <c r="AM94" s="423" t="str">
        <f t="shared" si="48"/>
        <v>0.47 pts.</v>
      </c>
      <c r="AN94" s="424" t="str">
        <f t="shared" si="49"/>
        <v>-0.04 pts.</v>
      </c>
      <c r="AO94" s="11"/>
      <c r="AP94" s="11"/>
    </row>
    <row r="95" spans="1:42" x14ac:dyDescent="0.25">
      <c r="A95" s="11" t="s">
        <v>109</v>
      </c>
      <c r="B95" s="11"/>
      <c r="C95" s="196" t="s">
        <v>101</v>
      </c>
      <c r="D95" s="11" t="s">
        <v>107</v>
      </c>
      <c r="E95" s="11"/>
      <c r="F95" s="11" t="s">
        <v>99</v>
      </c>
      <c r="G95" s="11"/>
      <c r="H95" s="396" t="s">
        <v>867</v>
      </c>
      <c r="I95" s="122" t="str">
        <f>IF(_epmOfflineCondition_,"N",_xll.EVPRO($B$1,$H95,"STYLE"))</f>
        <v>N</v>
      </c>
      <c r="J95" s="122" t="str">
        <f>IF(_epmOfflineCondition_,"N",_xll.EVPRO($B$1,$H95,"CALC"))</f>
        <v>N</v>
      </c>
      <c r="K95" s="179" t="str">
        <f t="shared" si="38"/>
        <v/>
      </c>
      <c r="L95" s="90" t="str">
        <f>IF(_epmOfflineCondition_,"701600",_xll.EVPRO($B$1,H95,"JDEID"))</f>
        <v>701600</v>
      </c>
      <c r="M95" s="90" t="str">
        <f>IF(_epmOfflineCondition_,"590015",IF(AND(I95="N",J95="N"),_xll.EVPRO($B$1,H95,"PSFTID"),""))</f>
        <v>590015</v>
      </c>
      <c r="N95" s="90" t="str">
        <f>IF(_epmOfflineCondition_,"Cleaning Supplies",IF(_xll.EVDES(H95,$B$1)="#NODATA","",_xll.EVDES(H95,$B$1)))</f>
        <v>Cleaning Supplies</v>
      </c>
      <c r="O95" s="231">
        <v>173.1</v>
      </c>
      <c r="P95" s="231">
        <v>2160.1799999999998</v>
      </c>
      <c r="Q95" s="231">
        <v>2077.42</v>
      </c>
      <c r="R95" s="231">
        <v>1185.1500000000001</v>
      </c>
      <c r="S95" s="231">
        <v>1408.66</v>
      </c>
      <c r="T95" s="231">
        <v>415.2</v>
      </c>
      <c r="U95" s="231">
        <v>380.53</v>
      </c>
      <c r="V95" s="231">
        <v>509.37</v>
      </c>
      <c r="W95" s="231">
        <v>910.97</v>
      </c>
      <c r="X95" s="231">
        <v>584.55999999999995</v>
      </c>
      <c r="Y95" s="231">
        <v>407.68</v>
      </c>
      <c r="Z95" s="231">
        <v>1507.97</v>
      </c>
      <c r="AA95" s="210">
        <f t="shared" si="39"/>
        <v>11720.789999999999</v>
      </c>
      <c r="AB95" s="233">
        <f t="shared" si="40"/>
        <v>4.7636961563342949E-3</v>
      </c>
      <c r="AC95" s="140"/>
      <c r="AD95" s="231">
        <v>16415.371865699999</v>
      </c>
      <c r="AE95" s="233">
        <f t="shared" si="41"/>
        <v>5.3792483618227537E-3</v>
      </c>
      <c r="AF95" s="234">
        <f t="shared" si="42"/>
        <v>-4694.5818657</v>
      </c>
      <c r="AG95" s="231">
        <v>10674.3</v>
      </c>
      <c r="AH95" s="233">
        <f t="shared" si="43"/>
        <v>6.7390613269101458E-3</v>
      </c>
      <c r="AI95" s="234">
        <f t="shared" si="44"/>
        <v>1046.4899999999998</v>
      </c>
      <c r="AJ95" s="211">
        <f t="shared" si="45"/>
        <v>0.2080625920863437</v>
      </c>
      <c r="AK95" s="212">
        <f t="shared" si="46"/>
        <v>0.23233285957359551</v>
      </c>
      <c r="AL95" s="214">
        <f t="shared" si="47"/>
        <v>0.25141437218833168</v>
      </c>
      <c r="AM95" s="423" t="str">
        <f t="shared" si="48"/>
        <v>-0.06 pts.</v>
      </c>
      <c r="AN95" s="424" t="str">
        <f t="shared" si="49"/>
        <v>-0.2 pts.</v>
      </c>
      <c r="AO95" s="11"/>
      <c r="AP95" s="11"/>
    </row>
    <row r="96" spans="1:42" x14ac:dyDescent="0.25">
      <c r="A96" s="11" t="s">
        <v>110</v>
      </c>
      <c r="B96" s="11"/>
      <c r="C96" s="106" t="s">
        <v>101</v>
      </c>
      <c r="D96" s="11" t="s">
        <v>106</v>
      </c>
      <c r="E96" s="11"/>
      <c r="F96" s="11" t="s">
        <v>98</v>
      </c>
      <c r="G96" s="11"/>
      <c r="H96" s="396" t="s">
        <v>868</v>
      </c>
      <c r="I96" s="122" t="str">
        <f>IF(_epmOfflineCondition_,"N",_xll.EVPRO($B$1,$H96,"STYLE"))</f>
        <v>N</v>
      </c>
      <c r="J96" s="122" t="str">
        <f>IF(_epmOfflineCondition_,"N",_xll.EVPRO($B$1,$H96,"CALC"))</f>
        <v>N</v>
      </c>
      <c r="K96" s="179" t="str">
        <f t="shared" si="38"/>
        <v/>
      </c>
      <c r="L96" s="90" t="str">
        <f>IF(_epmOfflineCondition_,"701700",_xll.EVPRO($B$1,H96,"JDEID"))</f>
        <v>701700</v>
      </c>
      <c r="M96" s="90" t="str">
        <f>IF(_epmOfflineCondition_,"590026",IF(AND(I96="N",J96="N"),_xll.EVPRO($B$1,H96,"PSFTID"),""))</f>
        <v>590026</v>
      </c>
      <c r="N96" s="90" t="str">
        <f>IF(_epmOfflineCondition_,"Dishwashing Supplies",IF(_xll.EVDES(H96,$B$1)="#NODATA","",_xll.EVDES(H96,$B$1)))</f>
        <v>Dishwashing Supplies</v>
      </c>
      <c r="O96" s="231">
        <v>352.01</v>
      </c>
      <c r="P96" s="231">
        <v>1052</v>
      </c>
      <c r="Q96" s="231">
        <v>1057.79</v>
      </c>
      <c r="R96" s="231">
        <v>809.33</v>
      </c>
      <c r="S96" s="231">
        <v>1056.0999999999999</v>
      </c>
      <c r="T96" s="231">
        <v>235.64</v>
      </c>
      <c r="U96" s="231">
        <v>1012.87</v>
      </c>
      <c r="V96" s="231">
        <v>1205.5999999999999</v>
      </c>
      <c r="W96" s="231">
        <v>1018.71</v>
      </c>
      <c r="X96" s="231">
        <v>425.52</v>
      </c>
      <c r="Y96" s="231">
        <v>431.46</v>
      </c>
      <c r="Z96" s="231">
        <v>791.44</v>
      </c>
      <c r="AA96" s="210">
        <f t="shared" si="39"/>
        <v>9448.4699999999993</v>
      </c>
      <c r="AB96" s="233">
        <f t="shared" si="40"/>
        <v>3.8401541382654153E-3</v>
      </c>
      <c r="AC96" s="140"/>
      <c r="AD96" s="231">
        <v>11104.977328200001</v>
      </c>
      <c r="AE96" s="233">
        <f t="shared" si="41"/>
        <v>3.639054393011848E-3</v>
      </c>
      <c r="AF96" s="234">
        <f t="shared" si="42"/>
        <v>-1656.5073282000012</v>
      </c>
      <c r="AG96" s="231">
        <v>6775.33</v>
      </c>
      <c r="AH96" s="233">
        <f t="shared" si="43"/>
        <v>4.2775043215999287E-3</v>
      </c>
      <c r="AI96" s="234">
        <f t="shared" si="44"/>
        <v>2673.1399999999994</v>
      </c>
      <c r="AJ96" s="211">
        <f t="shared" si="45"/>
        <v>0.16772531198409457</v>
      </c>
      <c r="AK96" s="212">
        <f t="shared" si="46"/>
        <v>0.15717287182215361</v>
      </c>
      <c r="AL96" s="214">
        <f t="shared" si="47"/>
        <v>0.15958098782297384</v>
      </c>
      <c r="AM96" s="423" t="str">
        <f t="shared" si="48"/>
        <v>0.02 pts.</v>
      </c>
      <c r="AN96" s="424" t="str">
        <f t="shared" si="49"/>
        <v>-0.04 pts.</v>
      </c>
      <c r="AO96" s="11"/>
      <c r="AP96" s="11"/>
    </row>
    <row r="97" spans="1:42" x14ac:dyDescent="0.25">
      <c r="A97" s="11" t="s">
        <v>110</v>
      </c>
      <c r="B97" s="11"/>
      <c r="C97" s="109" t="s">
        <v>101</v>
      </c>
      <c r="D97" s="11" t="s">
        <v>107</v>
      </c>
      <c r="E97" s="11"/>
      <c r="F97" s="11" t="s">
        <v>99</v>
      </c>
      <c r="G97" s="11"/>
      <c r="H97" s="396" t="s">
        <v>869</v>
      </c>
      <c r="I97" s="122" t="str">
        <f>IF(_epmOfflineCondition_,"N",_xll.EVPRO($B$1,$H97,"STYLE"))</f>
        <v>N</v>
      </c>
      <c r="J97" s="122" t="str">
        <f>IF(_epmOfflineCondition_,"N",_xll.EVPRO($B$1,$H97,"CALC"))</f>
        <v>N</v>
      </c>
      <c r="K97" s="179" t="str">
        <f t="shared" si="38"/>
        <v/>
      </c>
      <c r="L97" s="90" t="str">
        <f>IF(_epmOfflineCondition_,"701780",_xll.EVPRO($B$1,H97,"JDEID"))</f>
        <v>701780</v>
      </c>
      <c r="M97" s="90" t="str">
        <f>IF(_epmOfflineCondition_,"691070",IF(AND(I97="N",J97="N"),_xll.EVPRO($B$1,H97,"PSFTID"),""))</f>
        <v>691070</v>
      </c>
      <c r="N97" s="90" t="str">
        <f>IF(_epmOfflineCondition_,"Kitchen Smallwares",IF(_xll.EVDES(H97,$B$1)="#NODATA","",_xll.EVDES(H97,$B$1)))</f>
        <v>Kitchen Smallwares</v>
      </c>
      <c r="O97" s="231"/>
      <c r="P97" s="231"/>
      <c r="Q97" s="231"/>
      <c r="R97" s="231"/>
      <c r="S97" s="231"/>
      <c r="T97" s="231"/>
      <c r="U97" s="231"/>
      <c r="V97" s="231">
        <v>73.790000000000006</v>
      </c>
      <c r="W97" s="231"/>
      <c r="X97" s="231"/>
      <c r="Y97" s="231"/>
      <c r="Z97" s="231"/>
      <c r="AA97" s="210">
        <f t="shared" si="39"/>
        <v>73.790000000000006</v>
      </c>
      <c r="AB97" s="233">
        <f t="shared" si="40"/>
        <v>2.9990567135483845E-5</v>
      </c>
      <c r="AC97" s="140"/>
      <c r="AD97" s="231"/>
      <c r="AE97" s="233" t="str">
        <f t="shared" si="41"/>
        <v/>
      </c>
      <c r="AF97" s="234">
        <f t="shared" si="42"/>
        <v>73.790000000000006</v>
      </c>
      <c r="AG97" s="231"/>
      <c r="AH97" s="233" t="str">
        <f t="shared" si="43"/>
        <v/>
      </c>
      <c r="AI97" s="234">
        <f t="shared" si="44"/>
        <v>73.790000000000006</v>
      </c>
      <c r="AJ97" s="211">
        <f t="shared" si="45"/>
        <v>1.3098894076296311E-3</v>
      </c>
      <c r="AK97" s="212">
        <f t="shared" si="46"/>
        <v>0</v>
      </c>
      <c r="AL97" s="214">
        <f t="shared" si="47"/>
        <v>0</v>
      </c>
      <c r="AM97" s="423">
        <f t="shared" si="48"/>
        <v>0</v>
      </c>
      <c r="AN97" s="424">
        <f t="shared" si="49"/>
        <v>0</v>
      </c>
      <c r="AO97" s="11"/>
      <c r="AP97" s="11"/>
    </row>
    <row r="98" spans="1:42" x14ac:dyDescent="0.25">
      <c r="A98" s="11"/>
      <c r="B98" s="11"/>
      <c r="C98" s="208"/>
      <c r="D98" s="11"/>
      <c r="E98" s="11"/>
      <c r="F98" s="11"/>
      <c r="G98" s="11"/>
      <c r="H98" s="396" t="s">
        <v>870</v>
      </c>
      <c r="I98" s="122" t="str">
        <f>IF(_epmOfflineCondition_,"N",_xll.EVPRO($B$1,$H98,"STYLE"))</f>
        <v>N</v>
      </c>
      <c r="J98" s="122" t="str">
        <f>IF(_epmOfflineCondition_,"N",_xll.EVPRO($B$1,$H98,"CALC"))</f>
        <v>N</v>
      </c>
      <c r="K98" s="179" t="str">
        <f t="shared" si="38"/>
        <v/>
      </c>
      <c r="L98" s="90" t="str">
        <f>IF(_epmOfflineCondition_,"702000",_xll.EVPRO($B$1,H98,"JDEID"))</f>
        <v>702000</v>
      </c>
      <c r="M98" s="90" t="str">
        <f>IF(_epmOfflineCondition_,"590031",IF(AND(I98="N",J98="N"),_xll.EVPRO($B$1,H98,"PSFTID"),""))</f>
        <v>590031</v>
      </c>
      <c r="N98" s="90" t="str">
        <f>IF(_epmOfflineCondition_,"Paper and Plastics",IF(_xll.EVDES(H98,$B$1)="#NODATA","",_xll.EVDES(H98,$B$1)))</f>
        <v>Paper and Plastics</v>
      </c>
      <c r="O98" s="231">
        <v>1409.09</v>
      </c>
      <c r="P98" s="231">
        <v>3271.33</v>
      </c>
      <c r="Q98" s="231">
        <v>3572.8</v>
      </c>
      <c r="R98" s="231">
        <v>2810.85</v>
      </c>
      <c r="S98" s="231">
        <v>2736.87</v>
      </c>
      <c r="T98" s="231">
        <v>1250.28</v>
      </c>
      <c r="U98" s="231">
        <v>3692.26</v>
      </c>
      <c r="V98" s="231">
        <v>2040.95</v>
      </c>
      <c r="W98" s="231">
        <v>2331.39</v>
      </c>
      <c r="X98" s="231">
        <v>1847.93</v>
      </c>
      <c r="Y98" s="231">
        <v>3174.03</v>
      </c>
      <c r="Z98" s="231">
        <v>2337.09</v>
      </c>
      <c r="AA98" s="210">
        <f t="shared" si="39"/>
        <v>30474.870000000003</v>
      </c>
      <c r="AB98" s="233">
        <f t="shared" si="40"/>
        <v>1.2385941654426651E-2</v>
      </c>
      <c r="AC98" s="140"/>
      <c r="AD98" s="231">
        <v>30035.8565586</v>
      </c>
      <c r="AE98" s="233">
        <f t="shared" si="41"/>
        <v>9.8426239448400361E-3</v>
      </c>
      <c r="AF98" s="234">
        <f t="shared" si="42"/>
        <v>439.01344140000219</v>
      </c>
      <c r="AG98" s="231">
        <v>23632.83</v>
      </c>
      <c r="AH98" s="233">
        <f t="shared" si="43"/>
        <v>1.4920237458048016E-2</v>
      </c>
      <c r="AI98" s="234">
        <f t="shared" si="44"/>
        <v>6842.0400000000009</v>
      </c>
      <c r="AJ98" s="211">
        <f t="shared" si="45"/>
        <v>0.54097722471730603</v>
      </c>
      <c r="AK98" s="212">
        <f t="shared" si="46"/>
        <v>0.42510864213701416</v>
      </c>
      <c r="AL98" s="214">
        <f t="shared" si="47"/>
        <v>0.55662976658737084</v>
      </c>
      <c r="AM98" s="423" t="str">
        <f t="shared" si="48"/>
        <v>0.25 pts.</v>
      </c>
      <c r="AN98" s="424" t="str">
        <f t="shared" si="49"/>
        <v>-0.25 pts.</v>
      </c>
      <c r="AO98" s="11"/>
      <c r="AP98" s="11"/>
    </row>
    <row r="99" spans="1:42" x14ac:dyDescent="0.25">
      <c r="A99" s="11"/>
      <c r="B99" s="11"/>
      <c r="C99" s="208"/>
      <c r="D99" s="11"/>
      <c r="E99" s="11"/>
      <c r="F99" s="11"/>
      <c r="G99" s="11"/>
      <c r="H99" s="396" t="s">
        <v>871</v>
      </c>
      <c r="I99" s="122" t="str">
        <f>IF(_epmOfflineCondition_,"N",_xll.EVPRO($B$1,$H99,"STYLE"))</f>
        <v>N</v>
      </c>
      <c r="J99" s="122" t="str">
        <f>IF(_epmOfflineCondition_,"N",_xll.EVPRO($B$1,$H99,"CALC"))</f>
        <v>N</v>
      </c>
      <c r="K99" s="179" t="str">
        <f t="shared" si="38"/>
        <v/>
      </c>
      <c r="L99" s="90" t="str">
        <f>IF(_epmOfflineCondition_,"702300",_xll.EVPRO($B$1,H99,"JDEID"))</f>
        <v>702300</v>
      </c>
      <c r="M99" s="90" t="str">
        <f>IF(_epmOfflineCondition_,"590040",IF(AND(I99="N",J99="N"),_xll.EVPRO($B$1,H99,"PSFTID"),""))</f>
        <v>590040</v>
      </c>
      <c r="N99" s="90" t="str">
        <f>IF(_epmOfflineCondition_,"Decorations",IF(_xll.EVDES(H99,$B$1)="#NODATA","",_xll.EVDES(H99,$B$1)))</f>
        <v>Decorations</v>
      </c>
      <c r="O99" s="231">
        <v>-189.43</v>
      </c>
      <c r="P99" s="231">
        <v>116.18</v>
      </c>
      <c r="Q99" s="231">
        <v>222.94</v>
      </c>
      <c r="R99" s="231">
        <v>412.04</v>
      </c>
      <c r="S99" s="231">
        <v>76.52</v>
      </c>
      <c r="T99" s="231"/>
      <c r="U99" s="231">
        <v>231.62</v>
      </c>
      <c r="V99" s="231">
        <v>207.74</v>
      </c>
      <c r="W99" s="231">
        <v>466.44</v>
      </c>
      <c r="X99" s="231">
        <v>250.74</v>
      </c>
      <c r="Y99" s="231">
        <v>67.97</v>
      </c>
      <c r="Z99" s="231">
        <v>495.99</v>
      </c>
      <c r="AA99" s="210">
        <f t="shared" si="39"/>
        <v>2358.75</v>
      </c>
      <c r="AB99" s="233">
        <f t="shared" si="40"/>
        <v>9.5866987709476237E-4</v>
      </c>
      <c r="AC99" s="140"/>
      <c r="AD99" s="231">
        <v>2385</v>
      </c>
      <c r="AE99" s="233">
        <f t="shared" si="41"/>
        <v>7.8155447515353507E-4</v>
      </c>
      <c r="AF99" s="234">
        <f t="shared" si="42"/>
        <v>-26.25</v>
      </c>
      <c r="AG99" s="231">
        <v>2047.03</v>
      </c>
      <c r="AH99" s="233">
        <f t="shared" si="43"/>
        <v>1.2923620947532745E-3</v>
      </c>
      <c r="AI99" s="234">
        <f t="shared" si="44"/>
        <v>311.72000000000003</v>
      </c>
      <c r="AJ99" s="211">
        <f t="shared" si="45"/>
        <v>4.1871549535796068E-2</v>
      </c>
      <c r="AK99" s="212">
        <f t="shared" si="46"/>
        <v>3.3755791499359755E-2</v>
      </c>
      <c r="AL99" s="214">
        <f t="shared" si="47"/>
        <v>4.8214193183691738E-2</v>
      </c>
      <c r="AM99" s="423" t="str">
        <f t="shared" si="48"/>
        <v>0.02 pts.</v>
      </c>
      <c r="AN99" s="424" t="str">
        <f t="shared" si="49"/>
        <v>-0.03 pts.</v>
      </c>
      <c r="AO99" s="11"/>
      <c r="AP99" s="11"/>
    </row>
    <row r="100" spans="1:42" x14ac:dyDescent="0.25">
      <c r="A100" s="61" t="str">
        <f>IF(_epmOfflineCondition_,"Evdre:Ok",_xll.EVDRE($B$1,A103:B110))</f>
        <v>Evdre:Ok</v>
      </c>
      <c r="B100" s="11" t="s">
        <v>736</v>
      </c>
      <c r="C100" s="11"/>
      <c r="D100" s="11"/>
      <c r="E100" s="11"/>
      <c r="F100" s="11"/>
      <c r="G100" s="11"/>
      <c r="H100" s="396" t="s">
        <v>872</v>
      </c>
      <c r="I100" s="122" t="str">
        <f>IF(_epmOfflineCondition_,"N",_xll.EVPRO($B$1,$H100,"STYLE"))</f>
        <v>N</v>
      </c>
      <c r="J100" s="122" t="str">
        <f>IF(_epmOfflineCondition_,"N",_xll.EVPRO($B$1,$H100,"CALC"))</f>
        <v>N</v>
      </c>
      <c r="K100" s="179" t="str">
        <f t="shared" si="38"/>
        <v/>
      </c>
      <c r="L100" s="90" t="str">
        <f>IF(_epmOfflineCondition_,"702580",_xll.EVPRO($B$1,H100,"JDEID"))</f>
        <v>702580</v>
      </c>
      <c r="M100" s="90" t="str">
        <f>IF(_epmOfflineCondition_,"590166",IF(AND(I100="N",J100="N"),_xll.EVPRO($B$1,H100,"PSFTID"),""))</f>
        <v>590166</v>
      </c>
      <c r="N100" s="90" t="str">
        <f>IF(_epmOfflineCondition_,"Reservations",IF(_xll.EVDES(H100,$B$1)="#NODATA","",_xll.EVDES(H100,$B$1)))</f>
        <v>Reservations</v>
      </c>
      <c r="O100" s="231">
        <v>553</v>
      </c>
      <c r="P100" s="231">
        <v>379.6</v>
      </c>
      <c r="Q100" s="231">
        <v>554.4</v>
      </c>
      <c r="R100" s="231">
        <v>568.6</v>
      </c>
      <c r="S100" s="231">
        <v>641.20000000000005</v>
      </c>
      <c r="T100" s="231">
        <v>335</v>
      </c>
      <c r="U100" s="231">
        <v>564</v>
      </c>
      <c r="V100" s="231">
        <v>638</v>
      </c>
      <c r="W100" s="231">
        <v>126</v>
      </c>
      <c r="X100" s="231">
        <v>184.6</v>
      </c>
      <c r="Y100" s="231">
        <v>-9.6</v>
      </c>
      <c r="Z100" s="231">
        <v>327</v>
      </c>
      <c r="AA100" s="210">
        <f t="shared" si="39"/>
        <v>4861.8</v>
      </c>
      <c r="AB100" s="233">
        <f t="shared" si="40"/>
        <v>1.9759877937294396E-3</v>
      </c>
      <c r="AC100" s="140"/>
      <c r="AD100" s="231">
        <v>4800</v>
      </c>
      <c r="AE100" s="233">
        <f t="shared" si="41"/>
        <v>1.5729398242083723E-3</v>
      </c>
      <c r="AF100" s="234">
        <f t="shared" si="42"/>
        <v>61.800000000000182</v>
      </c>
      <c r="AG100" s="231">
        <v>3734.95</v>
      </c>
      <c r="AH100" s="233">
        <f t="shared" si="43"/>
        <v>2.358005405782398E-3</v>
      </c>
      <c r="AI100" s="234">
        <f t="shared" si="44"/>
        <v>1126.8500000000004</v>
      </c>
      <c r="AJ100" s="211">
        <f t="shared" si="45"/>
        <v>8.6304652690252615E-2</v>
      </c>
      <c r="AK100" s="212">
        <f t="shared" si="46"/>
        <v>6.7936184149654841E-2</v>
      </c>
      <c r="AL100" s="214">
        <f t="shared" si="47"/>
        <v>8.7970181595496619E-2</v>
      </c>
      <c r="AM100" s="423" t="str">
        <f t="shared" si="48"/>
        <v>0.04 pts.</v>
      </c>
      <c r="AN100" s="424" t="str">
        <f t="shared" si="49"/>
        <v>-0.04 pts.</v>
      </c>
      <c r="AO100" s="11"/>
      <c r="AP100" s="11"/>
    </row>
    <row r="101" spans="1:42" x14ac:dyDescent="0.25">
      <c r="A101" s="11"/>
      <c r="B101" s="11"/>
      <c r="C101" s="11"/>
      <c r="D101" s="11"/>
      <c r="E101" s="11"/>
      <c r="F101" s="11"/>
      <c r="G101" s="11"/>
      <c r="H101" s="396" t="s">
        <v>832</v>
      </c>
      <c r="I101" s="122" t="str">
        <f>IF(_epmOfflineCondition_,"T4",_xll.EVPRO($B$1,$H101,"STYLE"))</f>
        <v>T4</v>
      </c>
      <c r="J101" s="122" t="str">
        <f>IF(_epmOfflineCondition_,"Y",_xll.EVPRO($B$1,$H101,"CALC"))</f>
        <v>Y</v>
      </c>
      <c r="K101" s="179" t="str">
        <f t="shared" si="38"/>
        <v>&gt;</v>
      </c>
      <c r="L101" s="90" t="str">
        <f>IF(_epmOfflineCondition_,"",_xll.EVPRO($B$1,H101,"JDEID"))</f>
        <v/>
      </c>
      <c r="M101" s="90" t="str">
        <f>IF(_epmOfflineCondition_,"",IF(AND(I101="N",J101="N"),_xll.EVPRO($B$1,H101,"PSFTID"),""))</f>
        <v/>
      </c>
      <c r="N101" s="90" t="str">
        <f>IF(_epmOfflineCondition_,"Contract Services",IF(_xll.EVDES(H101,$B$1)="#NODATA","",_xll.EVDES(H101,$B$1)))</f>
        <v>Contract Services</v>
      </c>
      <c r="O101" s="231">
        <v>6170.37</v>
      </c>
      <c r="P101" s="231">
        <v>7964.46</v>
      </c>
      <c r="Q101" s="231">
        <v>5875.38</v>
      </c>
      <c r="R101" s="231">
        <v>6802.07</v>
      </c>
      <c r="S101" s="231">
        <v>5647.89</v>
      </c>
      <c r="T101" s="231">
        <v>5575.38</v>
      </c>
      <c r="U101" s="231">
        <v>6731.38</v>
      </c>
      <c r="V101" s="231">
        <v>6496.38</v>
      </c>
      <c r="W101" s="231">
        <v>5450</v>
      </c>
      <c r="X101" s="231">
        <v>5747.16</v>
      </c>
      <c r="Y101" s="231">
        <v>5950.38</v>
      </c>
      <c r="Z101" s="231">
        <v>5663.15</v>
      </c>
      <c r="AA101" s="210">
        <f t="shared" si="39"/>
        <v>74073.999999999985</v>
      </c>
      <c r="AB101" s="233">
        <f t="shared" si="40"/>
        <v>3.010599363048963E-2</v>
      </c>
      <c r="AC101" s="140"/>
      <c r="AD101" s="231">
        <v>75064.56</v>
      </c>
      <c r="AE101" s="233">
        <f t="shared" si="41"/>
        <v>2.4598340793891421E-2</v>
      </c>
      <c r="AF101" s="234">
        <f t="shared" si="42"/>
        <v>-990.56000000001222</v>
      </c>
      <c r="AG101" s="231">
        <v>52724.92</v>
      </c>
      <c r="AH101" s="233">
        <f t="shared" si="43"/>
        <v>3.3287097920840836E-2</v>
      </c>
      <c r="AI101" s="234">
        <f t="shared" si="44"/>
        <v>21349.079999999987</v>
      </c>
      <c r="AJ101" s="211">
        <f t="shared" si="45"/>
        <v>1.3149308575790386</v>
      </c>
      <c r="AK101" s="212">
        <f t="shared" si="46"/>
        <v>1.0624166190151698</v>
      </c>
      <c r="AL101" s="214">
        <f t="shared" si="47"/>
        <v>1.2418428056621993</v>
      </c>
      <c r="AM101" s="423" t="str">
        <f t="shared" si="48"/>
        <v>0.55 pts.</v>
      </c>
      <c r="AN101" s="424" t="str">
        <f t="shared" si="49"/>
        <v>-0.32 pts.</v>
      </c>
      <c r="AO101" s="11"/>
      <c r="AP101" s="11"/>
    </row>
    <row r="102" spans="1:42" x14ac:dyDescent="0.25">
      <c r="A102" s="62" t="s">
        <v>0</v>
      </c>
      <c r="B102" s="63" t="s">
        <v>1</v>
      </c>
      <c r="C102" s="11"/>
      <c r="D102" s="11"/>
      <c r="E102" s="11"/>
      <c r="F102" s="11"/>
      <c r="G102" s="11"/>
      <c r="H102" s="396" t="s">
        <v>833</v>
      </c>
      <c r="I102" s="122" t="str">
        <f>IF(_epmOfflineCondition_,"T4",_xll.EVPRO($B$1,$H102,"STYLE"))</f>
        <v>T4</v>
      </c>
      <c r="J102" s="122" t="str">
        <f>IF(_epmOfflineCondition_,"Y",_xll.EVPRO($B$1,$H102,"CALC"))</f>
        <v>Y</v>
      </c>
      <c r="K102" s="179" t="str">
        <f t="shared" si="38"/>
        <v>&gt;</v>
      </c>
      <c r="L102" s="90" t="str">
        <f>IF(_epmOfflineCondition_,"",_xll.EVPRO($B$1,H102,"JDEID"))</f>
        <v/>
      </c>
      <c r="M102" s="90" t="str">
        <f>IF(_epmOfflineCondition_,"",IF(AND(I102="N",J102="N"),_xll.EVPRO($B$1,H102,"PSFTID"),""))</f>
        <v/>
      </c>
      <c r="N102" s="90" t="str">
        <f>IF(_epmOfflineCondition_,"Travel - Other",IF(_xll.EVDES(H102,$B$1)="#NODATA","",_xll.EVDES(H102,$B$1)))</f>
        <v>Travel - Other</v>
      </c>
      <c r="O102" s="231">
        <v>1117.24</v>
      </c>
      <c r="P102" s="231"/>
      <c r="Q102" s="231">
        <v>2501.33</v>
      </c>
      <c r="R102" s="231">
        <v>438.6</v>
      </c>
      <c r="S102" s="231">
        <v>4239.41</v>
      </c>
      <c r="T102" s="231">
        <v>1645.5</v>
      </c>
      <c r="U102" s="231">
        <v>40.25</v>
      </c>
      <c r="V102" s="231">
        <v>17.22</v>
      </c>
      <c r="W102" s="231"/>
      <c r="X102" s="231">
        <v>15.67</v>
      </c>
      <c r="Y102" s="231">
        <v>2514.48</v>
      </c>
      <c r="Z102" s="231">
        <v>768.45</v>
      </c>
      <c r="AA102" s="210">
        <f t="shared" si="39"/>
        <v>13298.15</v>
      </c>
      <c r="AB102" s="233">
        <f t="shared" si="40"/>
        <v>5.4047846639481562E-3</v>
      </c>
      <c r="AC102" s="140"/>
      <c r="AD102" s="231">
        <v>2374</v>
      </c>
      <c r="AE102" s="233">
        <f t="shared" si="41"/>
        <v>7.7794982138972414E-4</v>
      </c>
      <c r="AF102" s="234">
        <f t="shared" si="42"/>
        <v>10924.15</v>
      </c>
      <c r="AG102" s="231">
        <v>1593.29</v>
      </c>
      <c r="AH102" s="233">
        <f t="shared" si="43"/>
        <v>1.0059000610393811E-3</v>
      </c>
      <c r="AI102" s="234">
        <f t="shared" si="44"/>
        <v>11704.86</v>
      </c>
      <c r="AJ102" s="211">
        <f t="shared" si="45"/>
        <v>0.23606323114337954</v>
      </c>
      <c r="AK102" s="212">
        <f t="shared" si="46"/>
        <v>3.3600104410683458E-2</v>
      </c>
      <c r="AL102" s="214">
        <f t="shared" si="47"/>
        <v>3.75271451115246E-2</v>
      </c>
      <c r="AM102" s="423" t="str">
        <f t="shared" si="48"/>
        <v>0.46 pts.</v>
      </c>
      <c r="AN102" s="424" t="str">
        <f t="shared" si="49"/>
        <v>0.44 pts.</v>
      </c>
      <c r="AO102" s="11"/>
      <c r="AP102" s="11"/>
    </row>
    <row r="103" spans="1:42" x14ac:dyDescent="0.25">
      <c r="A103" s="65" t="s">
        <v>2</v>
      </c>
      <c r="B103" s="66" t="str">
        <f>IF(_epmOfflineCondition_,"'FB_Cons'!$B$2:$B$10",_xll.EVRNG($B$2:$B$10))</f>
        <v>'FB_Cons'!$B$2:$B$10</v>
      </c>
      <c r="C103" s="11"/>
      <c r="D103" s="11"/>
      <c r="E103" s="11"/>
      <c r="F103" s="11"/>
      <c r="G103" s="11"/>
      <c r="H103" s="396" t="s">
        <v>834</v>
      </c>
      <c r="I103" s="122" t="str">
        <f>IF(_epmOfflineCondition_,"T4",_xll.EVPRO($B$1,$H103,"STYLE"))</f>
        <v>T4</v>
      </c>
      <c r="J103" s="122" t="str">
        <f>IF(_epmOfflineCondition_,"Y",_xll.EVPRO($B$1,$H103,"CALC"))</f>
        <v>Y</v>
      </c>
      <c r="K103" s="179" t="str">
        <f t="shared" si="38"/>
        <v>&gt;</v>
      </c>
      <c r="L103" s="90" t="str">
        <f>IF(_epmOfflineCondition_,"702900",_xll.EVPRO($B$1,H103,"JDEID"))</f>
        <v>702900</v>
      </c>
      <c r="M103" s="90" t="str">
        <f>IF(_epmOfflineCondition_,"",IF(AND(I103="N",J103="N"),_xll.EVPRO($B$1,H103,"PSFTID"),""))</f>
        <v/>
      </c>
      <c r="N103" s="90" t="str">
        <f>IF(_epmOfflineCondition_,"Travel - Meals &amp; Entertainment",IF(_xll.EVDES(H103,$B$1)="#NODATA","",_xll.EVDES(H103,$B$1)))</f>
        <v>Travel - Meals &amp; Entertainment</v>
      </c>
      <c r="O103" s="231">
        <v>233.25</v>
      </c>
      <c r="P103" s="231"/>
      <c r="Q103" s="231">
        <v>1623.88</v>
      </c>
      <c r="R103" s="231">
        <v>507.29</v>
      </c>
      <c r="S103" s="231">
        <v>711.96</v>
      </c>
      <c r="T103" s="231">
        <v>735.14</v>
      </c>
      <c r="U103" s="231">
        <v>-27.79</v>
      </c>
      <c r="V103" s="231"/>
      <c r="W103" s="231"/>
      <c r="X103" s="231"/>
      <c r="Y103" s="231">
        <v>350.78</v>
      </c>
      <c r="Z103" s="231">
        <v>169.2</v>
      </c>
      <c r="AA103" s="210">
        <f t="shared" si="39"/>
        <v>4303.71</v>
      </c>
      <c r="AB103" s="233">
        <f t="shared" si="40"/>
        <v>1.7491625381034445E-3</v>
      </c>
      <c r="AC103" s="140"/>
      <c r="AD103" s="231">
        <v>300</v>
      </c>
      <c r="AE103" s="233">
        <f t="shared" si="41"/>
        <v>9.830873901302327E-5</v>
      </c>
      <c r="AF103" s="234">
        <f t="shared" si="42"/>
        <v>4003.71</v>
      </c>
      <c r="AG103" s="231">
        <v>1517.64</v>
      </c>
      <c r="AH103" s="233">
        <f t="shared" si="43"/>
        <v>9.5813955314839525E-4</v>
      </c>
      <c r="AI103" s="234">
        <f t="shared" si="44"/>
        <v>2786.0699999999997</v>
      </c>
      <c r="AJ103" s="211">
        <f t="shared" si="45"/>
        <v>7.6397670992136055E-2</v>
      </c>
      <c r="AK103" s="212">
        <f t="shared" si="46"/>
        <v>4.2460115093534275E-3</v>
      </c>
      <c r="AL103" s="214">
        <f t="shared" si="47"/>
        <v>3.5745342346373978E-2</v>
      </c>
      <c r="AM103" s="423" t="str">
        <f t="shared" si="48"/>
        <v>0.17 pts.</v>
      </c>
      <c r="AN103" s="424" t="str">
        <f t="shared" si="49"/>
        <v>0.08 pts.</v>
      </c>
      <c r="AO103" s="11"/>
      <c r="AP103" s="11"/>
    </row>
    <row r="104" spans="1:42" x14ac:dyDescent="0.25">
      <c r="A104" s="65" t="s">
        <v>3</v>
      </c>
      <c r="B104" s="66" t="str">
        <f>IF(_epmOfflineCondition_,"'FB_Cons'!$O$16:$AN$18",_xll.EVRNG($O$16:$AN$18))</f>
        <v>'FB_Cons'!$O$16:$AN$18</v>
      </c>
      <c r="C104" s="11"/>
      <c r="D104" s="11"/>
      <c r="E104" s="11"/>
      <c r="F104" s="11"/>
      <c r="G104" s="11"/>
      <c r="H104" s="396" t="s">
        <v>873</v>
      </c>
      <c r="I104" s="122" t="str">
        <f>IF(_epmOfflineCondition_,"T4",_xll.EVPRO($B$1,$H104,"STYLE"))</f>
        <v>T4</v>
      </c>
      <c r="J104" s="122" t="str">
        <f>IF(_epmOfflineCondition_,"Y",_xll.EVPRO($B$1,$H104,"CALC"))</f>
        <v>Y</v>
      </c>
      <c r="K104" s="179" t="str">
        <f t="shared" si="38"/>
        <v>&gt;</v>
      </c>
      <c r="L104" s="90" t="str">
        <f>IF(_epmOfflineCondition_,"703000",_xll.EVPRO($B$1,H104,"JDEID"))</f>
        <v>703000</v>
      </c>
      <c r="M104" s="90" t="str">
        <f>IF(_epmOfflineCondition_,"",IF(AND(I104="N",J104="N"),_xll.EVPRO($B$1,H104,"PSFTID"),""))</f>
        <v/>
      </c>
      <c r="N104" s="90" t="str">
        <f>IF(_epmOfflineCondition_,"Complimentary Services &amp; Gifts",IF(_xll.EVDES(H104,$B$1)="#NODATA","",_xll.EVDES(H104,$B$1)))</f>
        <v>Complimentary Services &amp; Gifts</v>
      </c>
      <c r="O104" s="231"/>
      <c r="P104" s="231">
        <v>530.67999999999995</v>
      </c>
      <c r="Q104" s="231"/>
      <c r="R104" s="231"/>
      <c r="S104" s="231"/>
      <c r="T104" s="231">
        <v>9.08</v>
      </c>
      <c r="U104" s="231">
        <v>394.47</v>
      </c>
      <c r="V104" s="231">
        <v>15</v>
      </c>
      <c r="W104" s="231">
        <v>108.93</v>
      </c>
      <c r="X104" s="231">
        <v>485.8</v>
      </c>
      <c r="Y104" s="231"/>
      <c r="Z104" s="231">
        <v>445.88</v>
      </c>
      <c r="AA104" s="210">
        <f t="shared" si="39"/>
        <v>1989.8400000000001</v>
      </c>
      <c r="AB104" s="233">
        <f t="shared" si="40"/>
        <v>8.0873329867016093E-4</v>
      </c>
      <c r="AC104" s="140"/>
      <c r="AD104" s="231">
        <v>1773.2</v>
      </c>
      <c r="AE104" s="233">
        <f t="shared" si="41"/>
        <v>5.8107018672630959E-4</v>
      </c>
      <c r="AF104" s="234">
        <f t="shared" si="42"/>
        <v>216.6400000000001</v>
      </c>
      <c r="AG104" s="231">
        <v>617</v>
      </c>
      <c r="AH104" s="233">
        <f t="shared" si="43"/>
        <v>3.8953381848960217E-4</v>
      </c>
      <c r="AI104" s="234">
        <f t="shared" si="44"/>
        <v>1372.8400000000001</v>
      </c>
      <c r="AJ104" s="211">
        <f t="shared" si="45"/>
        <v>3.5322812561021072E-2</v>
      </c>
      <c r="AK104" s="212">
        <f t="shared" si="46"/>
        <v>2.5096758694618328E-2</v>
      </c>
      <c r="AL104" s="214">
        <f t="shared" si="47"/>
        <v>1.4532350378029536E-2</v>
      </c>
      <c r="AM104" s="423" t="str">
        <f t="shared" si="48"/>
        <v>0.02 pts.</v>
      </c>
      <c r="AN104" s="424" t="str">
        <f t="shared" si="49"/>
        <v>0.04 pts.</v>
      </c>
      <c r="AO104" s="11"/>
      <c r="AP104" s="11"/>
    </row>
    <row r="105" spans="1:42" x14ac:dyDescent="0.25">
      <c r="A105" s="65" t="s">
        <v>4</v>
      </c>
      <c r="B105" s="66" t="str">
        <f>IF(_epmOfflineCondition_,"'FB_Cons'!$H$117:$H$120",_xll.EVRNG(H117:H120))</f>
        <v>'FB_Cons'!$H$117:$H$120</v>
      </c>
      <c r="C105" s="11"/>
      <c r="D105" s="11"/>
      <c r="E105" s="11"/>
      <c r="F105" s="11"/>
      <c r="G105" s="11"/>
      <c r="H105" s="396" t="s">
        <v>874</v>
      </c>
      <c r="I105" s="122" t="str">
        <f>IF(_epmOfflineCondition_,"N",_xll.EVPRO($B$1,$H105,"STYLE"))</f>
        <v>N</v>
      </c>
      <c r="J105" s="122" t="str">
        <f>IF(_epmOfflineCondition_,"N",_xll.EVPRO($B$1,$H105,"CALC"))</f>
        <v>N</v>
      </c>
      <c r="K105" s="179" t="str">
        <f t="shared" si="38"/>
        <v/>
      </c>
      <c r="L105" s="90" t="str">
        <f>IF(_epmOfflineCondition_,"703100",_xll.EVPRO($B$1,H105,"JDEID"))</f>
        <v>703100</v>
      </c>
      <c r="M105" s="90" t="str">
        <f>IF(_epmOfflineCondition_,"690035",IF(AND(I105="N",J105="N"),_xll.EVPRO($B$1,H105,"PSFTID"),""))</f>
        <v>690035</v>
      </c>
      <c r="N105" s="90" t="str">
        <f>IF(_epmOfflineCondition_,"Training",IF(_xll.EVDES(H105,$B$1)="#NODATA","",_xll.EVDES(H105,$B$1)))</f>
        <v>Training</v>
      </c>
      <c r="O105" s="231"/>
      <c r="P105" s="231"/>
      <c r="Q105" s="231"/>
      <c r="R105" s="231"/>
      <c r="S105" s="231"/>
      <c r="T105" s="231"/>
      <c r="U105" s="231"/>
      <c r="V105" s="231"/>
      <c r="W105" s="231"/>
      <c r="X105" s="231"/>
      <c r="Y105" s="231"/>
      <c r="Z105" s="231"/>
      <c r="AA105" s="210">
        <f t="shared" si="39"/>
        <v>0</v>
      </c>
      <c r="AB105" s="233" t="str">
        <f t="shared" si="40"/>
        <v/>
      </c>
      <c r="AC105" s="140"/>
      <c r="AD105" s="231">
        <v>704</v>
      </c>
      <c r="AE105" s="233">
        <f t="shared" si="41"/>
        <v>2.3069784088389461E-4</v>
      </c>
      <c r="AF105" s="234">
        <f t="shared" si="42"/>
        <v>-704</v>
      </c>
      <c r="AG105" s="231"/>
      <c r="AH105" s="233" t="str">
        <f t="shared" si="43"/>
        <v/>
      </c>
      <c r="AI105" s="234">
        <f t="shared" si="44"/>
        <v>0</v>
      </c>
      <c r="AJ105" s="211">
        <f t="shared" si="45"/>
        <v>0</v>
      </c>
      <c r="AK105" s="212">
        <f t="shared" si="46"/>
        <v>9.9639736752827109E-3</v>
      </c>
      <c r="AL105" s="214">
        <f t="shared" si="47"/>
        <v>0</v>
      </c>
      <c r="AM105" s="423">
        <f t="shared" si="48"/>
        <v>0</v>
      </c>
      <c r="AN105" s="424">
        <f t="shared" si="49"/>
        <v>0</v>
      </c>
      <c r="AO105" s="11"/>
      <c r="AP105" s="11"/>
    </row>
    <row r="106" spans="1:42" x14ac:dyDescent="0.25">
      <c r="A106" s="65" t="s">
        <v>5</v>
      </c>
      <c r="B106" s="66"/>
      <c r="C106" s="11"/>
      <c r="D106" s="11"/>
      <c r="E106" s="11"/>
      <c r="F106" s="11"/>
      <c r="G106" s="11"/>
      <c r="H106" s="396" t="s">
        <v>856</v>
      </c>
      <c r="I106" s="122" t="str">
        <f>IF(_epmOfflineCondition_,"N",_xll.EVPRO($B$1,$H106,"STYLE"))</f>
        <v>N</v>
      </c>
      <c r="J106" s="122" t="str">
        <f>IF(_epmOfflineCondition_,"N",_xll.EVPRO($B$1,$H106,"CALC"))</f>
        <v>N</v>
      </c>
      <c r="K106" s="179" t="str">
        <f t="shared" si="38"/>
        <v/>
      </c>
      <c r="L106" s="90" t="str">
        <f>IF(_epmOfflineCondition_,"703200",_xll.EVPRO($B$1,H106,"JDEID"))</f>
        <v>703200</v>
      </c>
      <c r="M106" s="90" t="str">
        <f>IF(_epmOfflineCondition_,"590035",IF(AND(I106="N",J106="N"),_xll.EVPRO($B$1,H106,"PSFTID"),""))</f>
        <v>590035</v>
      </c>
      <c r="N106" s="90" t="str">
        <f>IF(_epmOfflineCondition_,"Uniform Costs",IF(_xll.EVDES(H106,$B$1)="#NODATA","",_xll.EVDES(H106,$B$1)))</f>
        <v>Uniform Costs</v>
      </c>
      <c r="O106" s="231"/>
      <c r="P106" s="231">
        <v>418.23</v>
      </c>
      <c r="Q106" s="231">
        <v>764.29</v>
      </c>
      <c r="R106" s="231">
        <v>21.39</v>
      </c>
      <c r="S106" s="231"/>
      <c r="T106" s="231"/>
      <c r="U106" s="231">
        <v>66.599999999999994</v>
      </c>
      <c r="V106" s="231"/>
      <c r="W106" s="231"/>
      <c r="X106" s="231"/>
      <c r="Y106" s="231">
        <v>431.19</v>
      </c>
      <c r="Z106" s="231">
        <v>201.5</v>
      </c>
      <c r="AA106" s="210">
        <f t="shared" si="39"/>
        <v>1903.2</v>
      </c>
      <c r="AB106" s="233">
        <f t="shared" si="40"/>
        <v>7.7352008906698532E-4</v>
      </c>
      <c r="AC106" s="140"/>
      <c r="AD106" s="231">
        <v>4621.2543863000001</v>
      </c>
      <c r="AE106" s="233">
        <f t="shared" si="41"/>
        <v>1.5143656379185192E-3</v>
      </c>
      <c r="AF106" s="234">
        <f t="shared" si="42"/>
        <v>-2718.0543863000003</v>
      </c>
      <c r="AG106" s="231">
        <v>1673.78</v>
      </c>
      <c r="AH106" s="233">
        <f t="shared" si="43"/>
        <v>1.0567162312990703E-3</v>
      </c>
      <c r="AI106" s="234">
        <f t="shared" si="44"/>
        <v>229.42000000000007</v>
      </c>
      <c r="AJ106" s="211">
        <f t="shared" si="45"/>
        <v>3.3784815294765055E-2</v>
      </c>
      <c r="AK106" s="212">
        <f t="shared" si="46"/>
        <v>6.5406331039599377E-2</v>
      </c>
      <c r="AL106" s="214">
        <f t="shared" si="47"/>
        <v>3.9422945568457497E-2</v>
      </c>
      <c r="AM106" s="423" t="str">
        <f t="shared" si="48"/>
        <v>-0.07 pts.</v>
      </c>
      <c r="AN106" s="424" t="str">
        <f t="shared" si="49"/>
        <v>-0.03 pts.</v>
      </c>
      <c r="AO106" s="11"/>
      <c r="AP106" s="11"/>
    </row>
    <row r="107" spans="1:42" x14ac:dyDescent="0.25">
      <c r="A107" s="65" t="s">
        <v>6</v>
      </c>
      <c r="B107" s="66"/>
      <c r="C107" s="11"/>
      <c r="D107" s="11"/>
      <c r="E107" s="11"/>
      <c r="F107" s="11"/>
      <c r="G107" s="11"/>
      <c r="H107" s="396" t="s">
        <v>875</v>
      </c>
      <c r="I107" s="122" t="str">
        <f>IF(_epmOfflineCondition_,"N",_xll.EVPRO($B$1,$H107,"STYLE"))</f>
        <v>N</v>
      </c>
      <c r="J107" s="122" t="str">
        <f>IF(_epmOfflineCondition_,"N",_xll.EVPRO($B$1,$H107,"CALC"))</f>
        <v>N</v>
      </c>
      <c r="K107" s="179" t="str">
        <f t="shared" si="38"/>
        <v/>
      </c>
      <c r="L107" s="90" t="str">
        <f>IF(_epmOfflineCondition_,"703300",_xll.EVPRO($B$1,H107,"JDEID"))</f>
        <v>703300</v>
      </c>
      <c r="M107" s="90" t="str">
        <f>IF(_epmOfflineCondition_,"590115",IF(AND(I107="N",J107="N"),_xll.EVPRO($B$1,H107,"PSFTID"),""))</f>
        <v>590115</v>
      </c>
      <c r="N107" s="90" t="str">
        <f>IF(_epmOfflineCondition_,"Uniforms Laundry",IF(_xll.EVDES(H107,$B$1)="#NODATA","",_xll.EVDES(H107,$B$1)))</f>
        <v>Uniforms Laundry</v>
      </c>
      <c r="O107" s="231">
        <v>191.5</v>
      </c>
      <c r="P107" s="231">
        <v>273.60000000000002</v>
      </c>
      <c r="Q107" s="231">
        <v>91.2</v>
      </c>
      <c r="R107" s="231">
        <v>243.36</v>
      </c>
      <c r="S107" s="231">
        <v>87.52</v>
      </c>
      <c r="T107" s="231">
        <v>70.8</v>
      </c>
      <c r="U107" s="231">
        <v>221.96</v>
      </c>
      <c r="V107" s="231">
        <v>212.22</v>
      </c>
      <c r="W107" s="231">
        <v>250.96</v>
      </c>
      <c r="X107" s="231">
        <v>382.97</v>
      </c>
      <c r="Y107" s="231">
        <v>260.43</v>
      </c>
      <c r="Z107" s="231">
        <v>246</v>
      </c>
      <c r="AA107" s="210">
        <f t="shared" si="39"/>
        <v>2532.52</v>
      </c>
      <c r="AB107" s="233">
        <f t="shared" si="40"/>
        <v>1.0292954476481303E-3</v>
      </c>
      <c r="AC107" s="140"/>
      <c r="AD107" s="231">
        <v>5211</v>
      </c>
      <c r="AE107" s="233">
        <f t="shared" si="41"/>
        <v>1.7076227966562143E-3</v>
      </c>
      <c r="AF107" s="234">
        <f t="shared" si="42"/>
        <v>-2678.48</v>
      </c>
      <c r="AG107" s="231">
        <v>2999.48</v>
      </c>
      <c r="AH107" s="233">
        <f t="shared" si="43"/>
        <v>1.8936773061315913E-3</v>
      </c>
      <c r="AI107" s="234">
        <f t="shared" si="44"/>
        <v>-466.96000000000004</v>
      </c>
      <c r="AJ107" s="211">
        <f t="shared" si="45"/>
        <v>4.4956242344629256E-2</v>
      </c>
      <c r="AK107" s="212">
        <f t="shared" si="46"/>
        <v>7.375321991746904E-2</v>
      </c>
      <c r="AL107" s="214">
        <f t="shared" si="47"/>
        <v>7.0647478625432789E-2</v>
      </c>
      <c r="AM107" s="423" t="str">
        <f t="shared" si="48"/>
        <v>-0.07 pts.</v>
      </c>
      <c r="AN107" s="424" t="str">
        <f t="shared" si="49"/>
        <v>-0.09 pts.</v>
      </c>
      <c r="AO107" s="11"/>
      <c r="AP107" s="11"/>
    </row>
    <row r="108" spans="1:42" x14ac:dyDescent="0.25">
      <c r="A108" s="65" t="s">
        <v>7</v>
      </c>
      <c r="B108" s="66"/>
      <c r="C108" s="11"/>
      <c r="D108" s="11"/>
      <c r="E108" s="11"/>
      <c r="F108" s="11"/>
      <c r="G108" s="76"/>
      <c r="H108" s="396" t="s">
        <v>857</v>
      </c>
      <c r="I108" s="122" t="str">
        <f>IF(_epmOfflineCondition_,"N",_xll.EVPRO($B$1,$H108,"STYLE"))</f>
        <v>N</v>
      </c>
      <c r="J108" s="122" t="str">
        <f>IF(_epmOfflineCondition_,"N",_xll.EVPRO($B$1,$H108,"CALC"))</f>
        <v>N</v>
      </c>
      <c r="K108" s="179" t="str">
        <f t="shared" si="38"/>
        <v/>
      </c>
      <c r="L108" s="90" t="str">
        <f>IF(_epmOfflineCondition_,"703400",_xll.EVPRO($B$1,H108,"JDEID"))</f>
        <v>703400</v>
      </c>
      <c r="M108" s="90" t="str">
        <f>IF(_epmOfflineCondition_,"590010",IF(AND(I108="N",J108="N"),_xll.EVPRO($B$1,H108,"PSFTID"),""))</f>
        <v>590010</v>
      </c>
      <c r="N108" s="90" t="str">
        <f>IF(_epmOfflineCondition_,"Linen",IF(_xll.EVDES(H108,$B$1)="#NODATA","",_xll.EVDES(H108,$B$1)))</f>
        <v>Linen</v>
      </c>
      <c r="O108" s="231">
        <v>1250.78</v>
      </c>
      <c r="P108" s="231">
        <v>1404.56</v>
      </c>
      <c r="Q108" s="231">
        <v>3123.13</v>
      </c>
      <c r="R108" s="231">
        <v>1593.69</v>
      </c>
      <c r="S108" s="231">
        <v>1247.8800000000001</v>
      </c>
      <c r="T108" s="231">
        <v>2246.1999999999998</v>
      </c>
      <c r="U108" s="231">
        <v>2181.98</v>
      </c>
      <c r="V108" s="231">
        <v>1172.1600000000001</v>
      </c>
      <c r="W108" s="231">
        <v>1247.19</v>
      </c>
      <c r="X108" s="231">
        <v>1228.6099999999999</v>
      </c>
      <c r="Y108" s="231">
        <v>1313.9</v>
      </c>
      <c r="Z108" s="231">
        <v>1764.38</v>
      </c>
      <c r="AA108" s="210">
        <f t="shared" si="39"/>
        <v>19774.460000000003</v>
      </c>
      <c r="AB108" s="233">
        <f t="shared" si="40"/>
        <v>8.0369598888459133E-3</v>
      </c>
      <c r="AC108" s="140"/>
      <c r="AD108" s="231">
        <v>14098.916666666701</v>
      </c>
      <c r="AE108" s="233">
        <f t="shared" si="41"/>
        <v>4.620155729832336E-3</v>
      </c>
      <c r="AF108" s="234">
        <f t="shared" si="42"/>
        <v>5675.5433333333021</v>
      </c>
      <c r="AG108" s="231">
        <v>17225.330000000002</v>
      </c>
      <c r="AH108" s="233">
        <f t="shared" si="43"/>
        <v>1.0874957163117503E-2</v>
      </c>
      <c r="AI108" s="234">
        <f t="shared" si="44"/>
        <v>2549.130000000001</v>
      </c>
      <c r="AJ108" s="211">
        <f t="shared" si="45"/>
        <v>0.35102799424848674</v>
      </c>
      <c r="AK108" s="212">
        <f t="shared" si="46"/>
        <v>0.19954720812027227</v>
      </c>
      <c r="AL108" s="214">
        <f t="shared" si="47"/>
        <v>0.40571236780742875</v>
      </c>
      <c r="AM108" s="423" t="str">
        <f t="shared" si="48"/>
        <v>0.34 pts.</v>
      </c>
      <c r="AN108" s="424" t="str">
        <f t="shared" si="49"/>
        <v>-0.28 pts.</v>
      </c>
      <c r="AO108" s="11"/>
      <c r="AP108" s="11"/>
    </row>
    <row r="109" spans="1:42" x14ac:dyDescent="0.25">
      <c r="A109" s="65" t="s">
        <v>47</v>
      </c>
      <c r="B109" s="66" t="str">
        <f>IF(_epmOfflineCondition_,"'FB_Cons'!$A$114:$B$135",_xll.EVRNG($A$114:$B$135))</f>
        <v>'FB_Cons'!$A$114:$B$135</v>
      </c>
      <c r="C109" s="11"/>
      <c r="D109" s="11"/>
      <c r="E109" s="11"/>
      <c r="F109" s="11"/>
      <c r="G109" s="11"/>
      <c r="H109" s="396" t="s">
        <v>858</v>
      </c>
      <c r="I109" s="122" t="str">
        <f>IF(_epmOfflineCondition_,"N",_xll.EVPRO($B$1,$H109,"STYLE"))</f>
        <v>N</v>
      </c>
      <c r="J109" s="122" t="str">
        <f>IF(_epmOfflineCondition_,"N",_xll.EVPRO($B$1,$H109,"CALC"))</f>
        <v>N</v>
      </c>
      <c r="K109" s="179" t="str">
        <f t="shared" si="38"/>
        <v/>
      </c>
      <c r="L109" s="90" t="str">
        <f>IF(_epmOfflineCondition_,"703500",_xll.EVPRO($B$1,H109,"JDEID"))</f>
        <v>703500</v>
      </c>
      <c r="M109" s="90" t="str">
        <f>IF(_epmOfflineCondition_,"590004",IF(AND(I109="N",J109="N"),_xll.EVPRO($B$1,H109,"PSFTID"),""))</f>
        <v>590004</v>
      </c>
      <c r="N109" s="90" t="str">
        <f>IF(_epmOfflineCondition_,"China",IF(_xll.EVDES(H109,$B$1)="#NODATA","",_xll.EVDES(H109,$B$1)))</f>
        <v>China</v>
      </c>
      <c r="O109" s="231"/>
      <c r="P109" s="231">
        <v>122.8</v>
      </c>
      <c r="Q109" s="231">
        <v>-122.8</v>
      </c>
      <c r="R109" s="231"/>
      <c r="S109" s="231">
        <v>535.98</v>
      </c>
      <c r="T109" s="231"/>
      <c r="U109" s="231">
        <v>317.98</v>
      </c>
      <c r="V109" s="231">
        <v>244.72</v>
      </c>
      <c r="W109" s="231"/>
      <c r="X109" s="231"/>
      <c r="Y109" s="231"/>
      <c r="Z109" s="231"/>
      <c r="AA109" s="210">
        <f t="shared" si="39"/>
        <v>1098.68</v>
      </c>
      <c r="AB109" s="233">
        <f t="shared" si="40"/>
        <v>4.4653796314423889E-4</v>
      </c>
      <c r="AC109" s="140"/>
      <c r="AD109" s="231">
        <v>297.06</v>
      </c>
      <c r="AE109" s="233">
        <f t="shared" si="41"/>
        <v>9.7345313370695641E-5</v>
      </c>
      <c r="AF109" s="234">
        <f t="shared" si="42"/>
        <v>801.62000000000012</v>
      </c>
      <c r="AG109" s="231">
        <v>1271.3</v>
      </c>
      <c r="AH109" s="233">
        <f t="shared" si="43"/>
        <v>8.0261643994462102E-4</v>
      </c>
      <c r="AI109" s="234">
        <f t="shared" si="44"/>
        <v>-172.61999999999989</v>
      </c>
      <c r="AJ109" s="211">
        <f t="shared" si="45"/>
        <v>1.950331067047734E-2</v>
      </c>
      <c r="AK109" s="212">
        <f t="shared" si="46"/>
        <v>4.204400596561764E-3</v>
      </c>
      <c r="AL109" s="214">
        <f t="shared" si="47"/>
        <v>2.99432366865299E-2</v>
      </c>
      <c r="AM109" s="423" t="str">
        <f t="shared" si="48"/>
        <v>0.03 pts.</v>
      </c>
      <c r="AN109" s="424" t="str">
        <f t="shared" si="49"/>
        <v>-0.04 pts.</v>
      </c>
      <c r="AO109" s="11"/>
      <c r="AP109" s="11"/>
    </row>
    <row r="110" spans="1:42" x14ac:dyDescent="0.25">
      <c r="A110" s="65" t="s">
        <v>8</v>
      </c>
      <c r="B110" s="66"/>
      <c r="C110" s="11"/>
      <c r="D110" s="11"/>
      <c r="E110" s="11"/>
      <c r="F110" s="11"/>
      <c r="G110" s="11"/>
      <c r="H110" s="396" t="s">
        <v>876</v>
      </c>
      <c r="I110" s="122" t="str">
        <f>IF(_epmOfflineCondition_,"N",_xll.EVPRO($B$1,$H110,"STYLE"))</f>
        <v>N</v>
      </c>
      <c r="J110" s="122" t="str">
        <f>IF(_epmOfflineCondition_,"N",_xll.EVPRO($B$1,$H110,"CALC"))</f>
        <v>N</v>
      </c>
      <c r="K110" s="179" t="str">
        <f t="shared" si="38"/>
        <v/>
      </c>
      <c r="L110" s="90" t="str">
        <f>IF(_epmOfflineCondition_,"703510",_xll.EVPRO($B$1,H110,"JDEID"))</f>
        <v>703510</v>
      </c>
      <c r="M110" s="90" t="str">
        <f>IF(_epmOfflineCondition_,"590003",IF(AND(I110="N",J110="N"),_xll.EVPRO($B$1,H110,"PSFTID"),""))</f>
        <v>590003</v>
      </c>
      <c r="N110" s="90" t="str">
        <f>IF(_epmOfflineCondition_,"Glassware",IF(_xll.EVDES(H110,$B$1)="#NODATA","",_xll.EVDES(H110,$B$1)))</f>
        <v>Glassware</v>
      </c>
      <c r="O110" s="231"/>
      <c r="P110" s="231"/>
      <c r="Q110" s="231">
        <v>122.8</v>
      </c>
      <c r="R110" s="231">
        <v>645.92999999999995</v>
      </c>
      <c r="S110" s="231"/>
      <c r="T110" s="231">
        <v>162.55000000000001</v>
      </c>
      <c r="U110" s="231">
        <v>450.11</v>
      </c>
      <c r="V110" s="231">
        <v>1958.96</v>
      </c>
      <c r="W110" s="231">
        <v>801.72</v>
      </c>
      <c r="X110" s="231">
        <v>429.94</v>
      </c>
      <c r="Y110" s="231">
        <v>284.27</v>
      </c>
      <c r="Z110" s="231"/>
      <c r="AA110" s="210">
        <f t="shared" si="39"/>
        <v>4856.2799999999988</v>
      </c>
      <c r="AB110" s="233">
        <f t="shared" si="40"/>
        <v>1.9737442928405942E-3</v>
      </c>
      <c r="AC110" s="140"/>
      <c r="AD110" s="231">
        <v>803.86</v>
      </c>
      <c r="AE110" s="233">
        <f t="shared" si="41"/>
        <v>2.6342154314336298E-4</v>
      </c>
      <c r="AF110" s="234">
        <f t="shared" si="42"/>
        <v>4052.4199999999987</v>
      </c>
      <c r="AG110" s="231">
        <v>803.86</v>
      </c>
      <c r="AH110" s="233">
        <f t="shared" si="43"/>
        <v>5.0750511398873837E-4</v>
      </c>
      <c r="AI110" s="234">
        <f t="shared" si="44"/>
        <v>4052.4199999999987</v>
      </c>
      <c r="AJ110" s="211">
        <f t="shared" si="45"/>
        <v>8.6206663944757053E-2</v>
      </c>
      <c r="AK110" s="212">
        <f t="shared" si="46"/>
        <v>1.137732937302949E-2</v>
      </c>
      <c r="AL110" s="214">
        <f t="shared" si="47"/>
        <v>1.893350919754104E-2</v>
      </c>
      <c r="AM110" s="423" t="str">
        <f t="shared" si="48"/>
        <v>0.17 pts.</v>
      </c>
      <c r="AN110" s="424" t="str">
        <f t="shared" si="49"/>
        <v>0.15 pts.</v>
      </c>
      <c r="AO110" s="11"/>
      <c r="AP110" s="11"/>
    </row>
    <row r="111" spans="1:42" x14ac:dyDescent="0.25">
      <c r="A111" s="11"/>
      <c r="B111" s="11"/>
      <c r="C111" s="11"/>
      <c r="D111" s="11"/>
      <c r="E111" s="11"/>
      <c r="F111" s="11"/>
      <c r="G111" s="11"/>
      <c r="H111" s="396" t="s">
        <v>877</v>
      </c>
      <c r="I111" s="122" t="str">
        <f>IF(_epmOfflineCondition_,"N",_xll.EVPRO($B$1,$H111,"STYLE"))</f>
        <v>N</v>
      </c>
      <c r="J111" s="122" t="str">
        <f>IF(_epmOfflineCondition_,"N",_xll.EVPRO($B$1,$H111,"CALC"))</f>
        <v>N</v>
      </c>
      <c r="K111" s="179" t="str">
        <f t="shared" si="38"/>
        <v/>
      </c>
      <c r="L111" s="90" t="str">
        <f>IF(_epmOfflineCondition_,"703600",_xll.EVPRO($B$1,H111,"JDEID"))</f>
        <v>703600</v>
      </c>
      <c r="M111" s="90" t="str">
        <f>IF(_epmOfflineCondition_,"590045",IF(AND(I111="N",J111="N"),_xll.EVPRO($B$1,H111,"PSFTID"),""))</f>
        <v>590045</v>
      </c>
      <c r="N111" s="90" t="str">
        <f>IF(_epmOfflineCondition_,"Utensils",IF(_xll.EVDES(H111,$B$1)="#NODATA","",_xll.EVDES(H111,$B$1)))</f>
        <v>Utensils</v>
      </c>
      <c r="O111" s="231"/>
      <c r="P111" s="231"/>
      <c r="Q111" s="231"/>
      <c r="R111" s="231">
        <v>143.29</v>
      </c>
      <c r="S111" s="231">
        <v>302.39</v>
      </c>
      <c r="T111" s="231"/>
      <c r="U111" s="231">
        <v>264.36</v>
      </c>
      <c r="V111" s="231">
        <v>873.82</v>
      </c>
      <c r="W111" s="231"/>
      <c r="X111" s="231"/>
      <c r="Y111" s="231"/>
      <c r="Z111" s="231"/>
      <c r="AA111" s="210">
        <f t="shared" si="39"/>
        <v>1583.8600000000001</v>
      </c>
      <c r="AB111" s="233">
        <f t="shared" si="40"/>
        <v>6.4373031119673995E-4</v>
      </c>
      <c r="AC111" s="140"/>
      <c r="AD111" s="231">
        <v>129.30000000000001</v>
      </c>
      <c r="AE111" s="233">
        <f t="shared" si="41"/>
        <v>4.2371066514613036E-5</v>
      </c>
      <c r="AF111" s="234">
        <f t="shared" si="42"/>
        <v>1454.5600000000002</v>
      </c>
      <c r="AG111" s="231">
        <v>129.30000000000001</v>
      </c>
      <c r="AH111" s="233">
        <f t="shared" si="43"/>
        <v>8.1631641378777256E-5</v>
      </c>
      <c r="AI111" s="234">
        <f t="shared" si="44"/>
        <v>1454.5600000000002</v>
      </c>
      <c r="AJ111" s="211">
        <f t="shared" si="45"/>
        <v>2.8116024355173703E-2</v>
      </c>
      <c r="AK111" s="212">
        <f t="shared" si="46"/>
        <v>1.8300309605313277E-3</v>
      </c>
      <c r="AL111" s="214">
        <f t="shared" si="47"/>
        <v>3.0454342040181835E-3</v>
      </c>
      <c r="AM111" s="423" t="str">
        <f t="shared" si="48"/>
        <v>0.06 pts.</v>
      </c>
      <c r="AN111" s="424" t="str">
        <f t="shared" si="49"/>
        <v>0.06 pts.</v>
      </c>
      <c r="AO111" s="11"/>
      <c r="AP111" s="11"/>
    </row>
    <row r="112" spans="1:42" x14ac:dyDescent="0.25">
      <c r="A112" s="11"/>
      <c r="B112" s="11"/>
      <c r="C112" s="11"/>
      <c r="D112" s="11"/>
      <c r="E112" s="11"/>
      <c r="F112" s="11"/>
      <c r="G112" s="11"/>
      <c r="H112" s="396" t="s">
        <v>878</v>
      </c>
      <c r="I112" s="122" t="str">
        <f>IF(_epmOfflineCondition_,"N",_xll.EVPRO($B$1,$H112,"STYLE"))</f>
        <v>N</v>
      </c>
      <c r="J112" s="122" t="str">
        <f>IF(_epmOfflineCondition_,"N",_xll.EVPRO($B$1,$H112,"CALC"))</f>
        <v>N</v>
      </c>
      <c r="K112" s="179" t="str">
        <f t="shared" si="38"/>
        <v/>
      </c>
      <c r="L112" s="90" t="str">
        <f>IF(_epmOfflineCondition_,"703700",_xll.EVPRO($B$1,H112,"JDEID"))</f>
        <v>703700</v>
      </c>
      <c r="M112" s="90" t="str">
        <f>IF(_epmOfflineCondition_,"590046",IF(AND(I112="N",J112="N"),_xll.EVPRO($B$1,H112,"PSFTID"),""))</f>
        <v>590046</v>
      </c>
      <c r="N112" s="90" t="str">
        <f>IF(_epmOfflineCondition_,"Menus and Beverage Lists",IF(_xll.EVDES(H112,$B$1)="#NODATA","",_xll.EVDES(H112,$B$1)))</f>
        <v>Menus and Beverage Lists</v>
      </c>
      <c r="O112" s="231"/>
      <c r="P112" s="231"/>
      <c r="Q112" s="231"/>
      <c r="R112" s="231"/>
      <c r="S112" s="231">
        <v>302.8</v>
      </c>
      <c r="T112" s="231"/>
      <c r="U112" s="231"/>
      <c r="V112" s="231"/>
      <c r="W112" s="231"/>
      <c r="X112" s="231"/>
      <c r="Y112" s="231"/>
      <c r="Z112" s="231"/>
      <c r="AA112" s="210">
        <f t="shared" si="39"/>
        <v>302.8</v>
      </c>
      <c r="AB112" s="233">
        <f t="shared" si="40"/>
        <v>1.2306740383011936E-4</v>
      </c>
      <c r="AC112" s="140"/>
      <c r="AD112" s="231">
        <v>75.36</v>
      </c>
      <c r="AE112" s="233">
        <f t="shared" si="41"/>
        <v>2.4695155240071445E-5</v>
      </c>
      <c r="AF112" s="234">
        <f t="shared" si="42"/>
        <v>227.44</v>
      </c>
      <c r="AG112" s="231">
        <v>75.36</v>
      </c>
      <c r="AH112" s="233">
        <f t="shared" si="43"/>
        <v>4.7577420682943954E-5</v>
      </c>
      <c r="AI112" s="234">
        <f t="shared" si="44"/>
        <v>227.44</v>
      </c>
      <c r="AJ112" s="211">
        <f t="shared" si="45"/>
        <v>5.3751797347913301E-3</v>
      </c>
      <c r="AK112" s="212">
        <f t="shared" si="46"/>
        <v>1.0665980911495811E-3</v>
      </c>
      <c r="AL112" s="214">
        <f t="shared" si="47"/>
        <v>1.7749723249405281E-3</v>
      </c>
      <c r="AM112" s="423" t="str">
        <f t="shared" si="48"/>
        <v>0.01 pts.</v>
      </c>
      <c r="AN112" s="424" t="str">
        <f t="shared" si="49"/>
        <v>0.01 pts.</v>
      </c>
      <c r="AO112" s="11"/>
      <c r="AP112" s="11"/>
    </row>
    <row r="113" spans="1:42" x14ac:dyDescent="0.25">
      <c r="A113" s="62" t="s">
        <v>23</v>
      </c>
      <c r="B113" s="63" t="s">
        <v>24</v>
      </c>
      <c r="C113" s="11"/>
      <c r="D113" s="11"/>
      <c r="E113" s="11"/>
      <c r="F113" s="11"/>
      <c r="G113" s="76"/>
      <c r="H113" s="396" t="s">
        <v>859</v>
      </c>
      <c r="I113" s="122" t="str">
        <f>IF(_epmOfflineCondition_,"N",_xll.EVPRO($B$1,$H113,"STYLE"))</f>
        <v>N</v>
      </c>
      <c r="J113" s="122" t="str">
        <f>IF(_epmOfflineCondition_,"N",_xll.EVPRO($B$1,$H113,"CALC"))</f>
        <v>N</v>
      </c>
      <c r="K113" s="179" t="str">
        <f t="shared" si="38"/>
        <v/>
      </c>
      <c r="L113" s="90" t="str">
        <f>IF(_epmOfflineCondition_,"703800",_xll.EVPRO($B$1,H113,"JDEID"))</f>
        <v>703800</v>
      </c>
      <c r="M113" s="90" t="str">
        <f>IF(_epmOfflineCondition_,"690065",IF(AND(I113="N",J113="N"),_xll.EVPRO($B$1,H113,"PSFTID"),""))</f>
        <v>690065</v>
      </c>
      <c r="N113" s="90" t="str">
        <f>IF(_epmOfflineCondition_,"Equipment Rental",IF(_xll.EVDES(H113,$B$1)="#NODATA","",_xll.EVDES(H113,$B$1)))</f>
        <v>Equipment Rental</v>
      </c>
      <c r="O113" s="231">
        <v>310.52</v>
      </c>
      <c r="P113" s="231">
        <v>300</v>
      </c>
      <c r="Q113" s="231">
        <v>408</v>
      </c>
      <c r="R113" s="231">
        <v>1469.75</v>
      </c>
      <c r="S113" s="231">
        <v>700</v>
      </c>
      <c r="T113" s="231">
        <v>-298.25</v>
      </c>
      <c r="U113" s="231"/>
      <c r="V113" s="231">
        <v>222.8</v>
      </c>
      <c r="W113" s="231">
        <v>953.75</v>
      </c>
      <c r="X113" s="231"/>
      <c r="Y113" s="231">
        <v>1603.83</v>
      </c>
      <c r="Z113" s="231">
        <v>3967.5</v>
      </c>
      <c r="AA113" s="210">
        <f t="shared" si="39"/>
        <v>9637.9</v>
      </c>
      <c r="AB113" s="233">
        <f t="shared" si="40"/>
        <v>3.9171444232969201E-3</v>
      </c>
      <c r="AC113" s="140"/>
      <c r="AD113" s="231">
        <v>1708</v>
      </c>
      <c r="AE113" s="233">
        <f t="shared" si="41"/>
        <v>5.5970442078081249E-4</v>
      </c>
      <c r="AF113" s="234">
        <f t="shared" si="42"/>
        <v>7929.9</v>
      </c>
      <c r="AG113" s="231">
        <v>658.41</v>
      </c>
      <c r="AH113" s="233">
        <f t="shared" si="43"/>
        <v>4.1567740912761578E-4</v>
      </c>
      <c r="AI113" s="234">
        <f t="shared" si="44"/>
        <v>8979.49</v>
      </c>
      <c r="AJ113" s="211">
        <f t="shared" si="45"/>
        <v>0.17108799460351837</v>
      </c>
      <c r="AK113" s="212">
        <f t="shared" si="46"/>
        <v>2.417395885991885E-2</v>
      </c>
      <c r="AL113" s="214">
        <f t="shared" si="47"/>
        <v>1.5507690133546881E-2</v>
      </c>
      <c r="AM113" s="423" t="str">
        <f t="shared" si="48"/>
        <v>0.34 pts.</v>
      </c>
      <c r="AN113" s="424" t="str">
        <f t="shared" si="49"/>
        <v>0.35 pts.</v>
      </c>
      <c r="AO113" s="11"/>
      <c r="AP113" s="11"/>
    </row>
    <row r="114" spans="1:42" x14ac:dyDescent="0.25">
      <c r="A114" s="65" t="s">
        <v>25</v>
      </c>
      <c r="B114" s="66"/>
      <c r="C114" s="11"/>
      <c r="D114" s="11"/>
      <c r="E114" s="11"/>
      <c r="F114" s="11"/>
      <c r="G114" s="11"/>
      <c r="H114" s="396" t="s">
        <v>879</v>
      </c>
      <c r="I114" s="122" t="str">
        <f>IF(_epmOfflineCondition_,"N",_xll.EVPRO($B$1,$H114,"STYLE"))</f>
        <v>N</v>
      </c>
      <c r="J114" s="122" t="str">
        <f>IF(_epmOfflineCondition_,"N",_xll.EVPRO($B$1,$H114,"CALC"))</f>
        <v>N</v>
      </c>
      <c r="K114" s="179" t="str">
        <f t="shared" si="38"/>
        <v/>
      </c>
      <c r="L114" s="90" t="str">
        <f>IF(_epmOfflineCondition_,"704100",_xll.EVPRO($B$1,H114,"JDEID"))</f>
        <v>704100</v>
      </c>
      <c r="M114" s="90" t="str">
        <f>IF(_epmOfflineCondition_,"690241",IF(AND(I114="N",J114="N"),_xll.EVPRO($B$1,H114,"PSFTID"),""))</f>
        <v>690241</v>
      </c>
      <c r="N114" s="90" t="str">
        <f>IF(_epmOfflineCondition_,"Music and Entertainment",IF(_xll.EVDES(H114,$B$1)="#NODATA","",_xll.EVDES(H114,$B$1)))</f>
        <v>Music and Entertainment</v>
      </c>
      <c r="O114" s="231"/>
      <c r="P114" s="231">
        <v>1300</v>
      </c>
      <c r="Q114" s="231">
        <v>2550</v>
      </c>
      <c r="R114" s="231">
        <v>1400</v>
      </c>
      <c r="S114" s="231">
        <v>1000</v>
      </c>
      <c r="T114" s="231">
        <v>625</v>
      </c>
      <c r="U114" s="231">
        <v>900</v>
      </c>
      <c r="V114" s="231">
        <v>385.18</v>
      </c>
      <c r="W114" s="231">
        <v>996.27</v>
      </c>
      <c r="X114" s="231"/>
      <c r="Y114" s="231"/>
      <c r="Z114" s="231">
        <v>1592.18</v>
      </c>
      <c r="AA114" s="210">
        <f t="shared" si="39"/>
        <v>10748.630000000001</v>
      </c>
      <c r="AB114" s="233">
        <f t="shared" si="40"/>
        <v>4.3685798838524964E-3</v>
      </c>
      <c r="AC114" s="140"/>
      <c r="AD114" s="231">
        <v>3450</v>
      </c>
      <c r="AE114" s="233">
        <f t="shared" si="41"/>
        <v>1.1305504986497677E-3</v>
      </c>
      <c r="AF114" s="234">
        <f t="shared" si="42"/>
        <v>7298.630000000001</v>
      </c>
      <c r="AG114" s="231">
        <v>1900</v>
      </c>
      <c r="AH114" s="233">
        <f t="shared" si="43"/>
        <v>1.1995368802759224E-3</v>
      </c>
      <c r="AI114" s="234">
        <f t="shared" si="44"/>
        <v>8848.630000000001</v>
      </c>
      <c r="AJ114" s="211">
        <f t="shared" si="45"/>
        <v>0.19080521186515897</v>
      </c>
      <c r="AK114" s="212">
        <f t="shared" si="46"/>
        <v>4.882913235756442E-2</v>
      </c>
      <c r="AL114" s="214">
        <f t="shared" si="47"/>
        <v>4.4751159997173613E-2</v>
      </c>
      <c r="AM114" s="423" t="str">
        <f t="shared" si="48"/>
        <v>0.32 pts.</v>
      </c>
      <c r="AN114" s="424" t="str">
        <f t="shared" si="49"/>
        <v>0.32 pts.</v>
      </c>
      <c r="AO114" s="11"/>
      <c r="AP114" s="11"/>
    </row>
    <row r="115" spans="1:42" x14ac:dyDescent="0.25">
      <c r="A115" s="65" t="s">
        <v>26</v>
      </c>
      <c r="B115" s="66"/>
      <c r="C115" s="11"/>
      <c r="D115" s="11"/>
      <c r="E115" s="11"/>
      <c r="F115" s="11"/>
      <c r="G115" s="11"/>
      <c r="H115" s="396" t="s">
        <v>840</v>
      </c>
      <c r="I115" s="122" t="str">
        <f>IF(_epmOfflineCondition_,"N",_xll.EVPRO($B$1,$H115,"STYLE"))</f>
        <v>N</v>
      </c>
      <c r="J115" s="122" t="str">
        <f>IF(_epmOfflineCondition_,"N",_xll.EVPRO($B$1,$H115,"CALC"))</f>
        <v>N</v>
      </c>
      <c r="K115" s="179" t="str">
        <f t="shared" si="38"/>
        <v/>
      </c>
      <c r="L115" s="90" t="str">
        <f>IF(_epmOfflineCondition_,"705500",_xll.EVPRO($B$1,H115,"JDEID"))</f>
        <v>705500</v>
      </c>
      <c r="M115" s="90" t="str">
        <f>IF(_epmOfflineCondition_,"690105",IF(AND(I115="N",J115="N"),_xll.EVPRO($B$1,H115,"PSFTID"),""))</f>
        <v>690105</v>
      </c>
      <c r="N115" s="90" t="str">
        <f>IF(_epmOfflineCondition_,"Licenses &amp; Permits",IF(_xll.EVDES(H115,$B$1)="#NODATA","",_xll.EVDES(H115,$B$1)))</f>
        <v>Licenses &amp; Permits</v>
      </c>
      <c r="O115" s="231"/>
      <c r="P115" s="231"/>
      <c r="Q115" s="231">
        <v>1870</v>
      </c>
      <c r="R115" s="231"/>
      <c r="S115" s="231"/>
      <c r="T115" s="231"/>
      <c r="U115" s="231"/>
      <c r="V115" s="231">
        <v>273</v>
      </c>
      <c r="W115" s="231"/>
      <c r="X115" s="231"/>
      <c r="Y115" s="231"/>
      <c r="Z115" s="231"/>
      <c r="AA115" s="210">
        <f t="shared" si="39"/>
        <v>2143</v>
      </c>
      <c r="AB115" s="233">
        <f t="shared" si="40"/>
        <v>8.7098231970920005E-4</v>
      </c>
      <c r="AC115" s="140"/>
      <c r="AD115" s="231">
        <v>2193</v>
      </c>
      <c r="AE115" s="233">
        <f t="shared" si="41"/>
        <v>7.1863688218520014E-4</v>
      </c>
      <c r="AF115" s="234">
        <f t="shared" si="42"/>
        <v>-50</v>
      </c>
      <c r="AG115" s="231">
        <v>2193</v>
      </c>
      <c r="AH115" s="233">
        <f t="shared" si="43"/>
        <v>1.3845180939184726E-3</v>
      </c>
      <c r="AI115" s="234">
        <f t="shared" si="44"/>
        <v>-50</v>
      </c>
      <c r="AJ115" s="211">
        <f t="shared" si="45"/>
        <v>3.8041645216835604E-2</v>
      </c>
      <c r="AK115" s="212">
        <f t="shared" si="46"/>
        <v>3.1038344133373558E-2</v>
      </c>
      <c r="AL115" s="214">
        <f t="shared" si="47"/>
        <v>5.1652259933579858E-2</v>
      </c>
      <c r="AM115" s="423" t="str">
        <f t="shared" si="48"/>
        <v>0.02 pts.</v>
      </c>
      <c r="AN115" s="424" t="str">
        <f t="shared" si="49"/>
        <v>-0.05 pts.</v>
      </c>
      <c r="AO115" s="11"/>
      <c r="AP115" s="11"/>
    </row>
    <row r="116" spans="1:42" x14ac:dyDescent="0.25">
      <c r="A116" s="65" t="s">
        <v>27</v>
      </c>
      <c r="B116" s="66"/>
      <c r="C116" s="11"/>
      <c r="D116" s="11"/>
      <c r="E116" s="11"/>
      <c r="F116" s="11"/>
      <c r="G116" s="11"/>
      <c r="H116" s="396" t="s">
        <v>843</v>
      </c>
      <c r="I116" s="122" t="str">
        <f>IF(_epmOfflineCondition_,"T4",_xll.EVPRO($B$1,$H116,"STYLE"))</f>
        <v>T4</v>
      </c>
      <c r="J116" s="122" t="str">
        <f>IF(_epmOfflineCondition_,"Y",_xll.EVPRO($B$1,$H116,"CALC"))</f>
        <v>Y</v>
      </c>
      <c r="K116" s="179" t="str">
        <f t="shared" si="38"/>
        <v>&gt;</v>
      </c>
      <c r="L116" s="90" t="str">
        <f>IF(_epmOfflineCondition_,"706100",_xll.EVPRO($B$1,H116,"JDEID"))</f>
        <v>706100</v>
      </c>
      <c r="M116" s="90" t="str">
        <f>IF(_epmOfflineCondition_,"",IF(AND(I116="N",J116="N"),_xll.EVPRO($B$1,H116,"PSFTID"),""))</f>
        <v/>
      </c>
      <c r="N116" s="90" t="str">
        <f>IF(_epmOfflineCondition_,"Miscellaneous",IF(_xll.EVDES(H116,$B$1)="#NODATA","",_xll.EVDES(H116,$B$1)))</f>
        <v>Miscellaneous</v>
      </c>
      <c r="O116" s="231">
        <v>120</v>
      </c>
      <c r="P116" s="231"/>
      <c r="Q116" s="231"/>
      <c r="R116" s="231"/>
      <c r="S116" s="231"/>
      <c r="T116" s="231"/>
      <c r="U116" s="231"/>
      <c r="V116" s="231">
        <v>32.39</v>
      </c>
      <c r="W116" s="231"/>
      <c r="X116" s="231"/>
      <c r="Y116" s="231"/>
      <c r="Z116" s="231"/>
      <c r="AA116" s="210">
        <f t="shared" si="39"/>
        <v>152.38999999999999</v>
      </c>
      <c r="AB116" s="233">
        <f t="shared" si="40"/>
        <v>6.1936068922298178E-5</v>
      </c>
      <c r="AC116" s="140"/>
      <c r="AD116" s="231"/>
      <c r="AE116" s="233" t="str">
        <f t="shared" si="41"/>
        <v/>
      </c>
      <c r="AF116" s="234">
        <f t="shared" si="42"/>
        <v>152.38999999999999</v>
      </c>
      <c r="AG116" s="231"/>
      <c r="AH116" s="233" t="str">
        <f t="shared" si="43"/>
        <v/>
      </c>
      <c r="AI116" s="234">
        <f t="shared" si="44"/>
        <v>152.38999999999999</v>
      </c>
      <c r="AJ116" s="211">
        <f t="shared" si="45"/>
        <v>2.705163935881277E-3</v>
      </c>
      <c r="AK116" s="212">
        <f t="shared" si="46"/>
        <v>0</v>
      </c>
      <c r="AL116" s="214">
        <f t="shared" si="47"/>
        <v>0</v>
      </c>
      <c r="AM116" s="423">
        <f t="shared" si="48"/>
        <v>0</v>
      </c>
      <c r="AN116" s="424">
        <f t="shared" si="49"/>
        <v>0</v>
      </c>
      <c r="AO116" s="11"/>
      <c r="AP116" s="11"/>
    </row>
    <row r="117" spans="1:42" x14ac:dyDescent="0.25">
      <c r="A117" s="65" t="s">
        <v>28</v>
      </c>
      <c r="B117" s="66"/>
      <c r="C117" s="11"/>
      <c r="D117" s="11"/>
      <c r="E117" s="11"/>
      <c r="F117" s="11"/>
      <c r="G117" s="11"/>
      <c r="H117" s="88" t="s">
        <v>79</v>
      </c>
      <c r="I117" s="136" t="str">
        <f>IF(_epmOfflineCondition_,"T3",_xll.EVPRO($B$1,$H117,"STYLE"))</f>
        <v>T3</v>
      </c>
      <c r="J117" s="136" t="str">
        <f>IF(_epmOfflineCondition_,"Y",_xll.EVPRO($B$1,$H117,"CALC"))</f>
        <v>Y</v>
      </c>
      <c r="K117" s="104"/>
      <c r="L117" s="104"/>
      <c r="M117" s="104"/>
      <c r="N117" s="106" t="str">
        <f>IF(_epmOfflineCondition_,"Total Operations Expense",IF(_xll.EVDES(H117,$B$1)="#NODATA","",_xll.EVDES(H117,$B$1)))</f>
        <v>Total Operations Expense</v>
      </c>
      <c r="O117" s="150">
        <v>14296.84</v>
      </c>
      <c r="P117" s="150">
        <v>24071.18</v>
      </c>
      <c r="Q117" s="150">
        <v>30194.639999999999</v>
      </c>
      <c r="R117" s="150">
        <v>24509.43</v>
      </c>
      <c r="S117" s="150">
        <v>24780.82</v>
      </c>
      <c r="T117" s="150">
        <v>15110.05</v>
      </c>
      <c r="U117" s="150">
        <v>20922.27</v>
      </c>
      <c r="V117" s="150">
        <v>23165.86</v>
      </c>
      <c r="W117" s="150">
        <v>17813.43</v>
      </c>
      <c r="X117" s="150">
        <v>14773.92</v>
      </c>
      <c r="Y117" s="150">
        <v>20522.169999999998</v>
      </c>
      <c r="Z117" s="150">
        <v>24941.94</v>
      </c>
      <c r="AA117" s="150">
        <f t="shared" si="39"/>
        <v>255102.55</v>
      </c>
      <c r="AB117" s="151">
        <f t="shared" si="40"/>
        <v>0.10368166624485869</v>
      </c>
      <c r="AC117" s="140"/>
      <c r="AD117" s="150">
        <v>219288.716805467</v>
      </c>
      <c r="AE117" s="151">
        <f t="shared" si="41"/>
        <v>7.1859990763098083E-2</v>
      </c>
      <c r="AF117" s="152">
        <f t="shared" si="42"/>
        <v>35813.833194532985</v>
      </c>
      <c r="AG117" s="150">
        <v>163302.28</v>
      </c>
      <c r="AH117" s="151">
        <f t="shared" si="43"/>
        <v>0.10309847762797113</v>
      </c>
      <c r="AI117" s="152">
        <f t="shared" si="44"/>
        <v>91800.26999999999</v>
      </c>
      <c r="AJ117" s="446">
        <f t="shared" si="45"/>
        <v>4.5284744288427738</v>
      </c>
      <c r="AK117" s="447">
        <f t="shared" si="46"/>
        <v>3.1036747180911912</v>
      </c>
      <c r="AL117" s="448">
        <f t="shared" si="47"/>
        <v>3.8462981369385494</v>
      </c>
      <c r="AM117" s="449" t="str">
        <f t="shared" si="48"/>
        <v>3.18 pts.</v>
      </c>
      <c r="AN117" s="450" t="str">
        <f t="shared" si="49"/>
        <v>0.06 pts.</v>
      </c>
      <c r="AO117" s="11"/>
      <c r="AP117" s="11"/>
    </row>
    <row r="118" spans="1:42" x14ac:dyDescent="0.25">
      <c r="A118" s="65" t="s">
        <v>29</v>
      </c>
      <c r="B118" s="66"/>
      <c r="C118" s="11"/>
      <c r="D118" s="11"/>
      <c r="E118" s="11"/>
      <c r="F118" s="11"/>
      <c r="G118" s="11"/>
      <c r="H118" s="11"/>
      <c r="I118" s="59"/>
      <c r="J118" s="59"/>
      <c r="K118" s="11"/>
      <c r="L118" s="11"/>
      <c r="M118" s="11"/>
      <c r="N118" s="11"/>
      <c r="O118" s="451"/>
      <c r="P118" s="451"/>
      <c r="Q118" s="451"/>
      <c r="R118" s="451"/>
      <c r="S118" s="451"/>
      <c r="T118" s="451"/>
      <c r="U118" s="451"/>
      <c r="V118" s="451"/>
      <c r="W118" s="451"/>
      <c r="X118" s="451"/>
      <c r="Y118" s="451"/>
      <c r="Z118" s="451"/>
      <c r="AA118" s="451"/>
      <c r="AB118" s="140"/>
      <c r="AC118" s="140"/>
      <c r="AD118" s="451"/>
      <c r="AE118" s="140"/>
      <c r="AF118" s="140"/>
      <c r="AG118" s="451"/>
      <c r="AH118" s="140"/>
      <c r="AI118" s="140"/>
      <c r="AJ118" s="140"/>
      <c r="AK118" s="140"/>
      <c r="AL118" s="140"/>
      <c r="AM118" s="140"/>
      <c r="AN118" s="140"/>
      <c r="AO118" s="11"/>
      <c r="AP118" s="11"/>
    </row>
    <row r="119" spans="1:42" x14ac:dyDescent="0.25">
      <c r="A119" s="65" t="s">
        <v>30</v>
      </c>
      <c r="B119" s="66" t="s">
        <v>78</v>
      </c>
      <c r="C119" s="11"/>
      <c r="D119" s="11"/>
      <c r="E119" s="11"/>
      <c r="F119" s="11"/>
      <c r="G119" s="11"/>
      <c r="H119" s="88" t="s">
        <v>80</v>
      </c>
      <c r="I119" s="136" t="str">
        <f>IF(_epmOfflineCondition_,"T3",_xll.EVPRO($B$1,$H119,"STYLE"))</f>
        <v>T3</v>
      </c>
      <c r="J119" s="136" t="str">
        <f>IF(_epmOfflineCondition_,"Y",_xll.EVPRO($B$1,$H119,"CALC"))</f>
        <v>Y</v>
      </c>
      <c r="K119" s="106"/>
      <c r="L119" s="106"/>
      <c r="M119" s="106"/>
      <c r="N119" s="106" t="str">
        <f>IF(_epmOfflineCondition_,"Total Expenses",IF(_xll.EVDES(H119,$B$1)="#NODATA","",_xll.EVDES(H119,$B$1)))</f>
        <v>Total Expenses</v>
      </c>
      <c r="O119" s="242">
        <v>129029.06</v>
      </c>
      <c r="P119" s="242">
        <v>166867.60999999999</v>
      </c>
      <c r="Q119" s="242">
        <v>181044.74</v>
      </c>
      <c r="R119" s="242">
        <v>197851.32</v>
      </c>
      <c r="S119" s="242">
        <v>186753.83</v>
      </c>
      <c r="T119" s="242">
        <v>147775.23000000001</v>
      </c>
      <c r="U119" s="242">
        <v>160206.72</v>
      </c>
      <c r="V119" s="242">
        <v>136232.04999999999</v>
      </c>
      <c r="W119" s="242">
        <v>137548.67000000001</v>
      </c>
      <c r="X119" s="242">
        <v>125863.4</v>
      </c>
      <c r="Y119" s="242">
        <v>163246.82999999999</v>
      </c>
      <c r="Z119" s="242">
        <v>166402.51</v>
      </c>
      <c r="AA119" s="242">
        <f>IF($I119="B1","",SUM(O119:Z119))</f>
        <v>1898821.97</v>
      </c>
      <c r="AB119" s="243">
        <f>IF(AA119=0,"",IFERROR(AA119/AA$19,""))</f>
        <v>0.77174072055314658</v>
      </c>
      <c r="AC119" s="140"/>
      <c r="AD119" s="242">
        <v>1711127.18857415</v>
      </c>
      <c r="AE119" s="243">
        <f>IF(AD119=0,"",IFERROR(AD119/AD$19,""))</f>
        <v>0.56072918733208121</v>
      </c>
      <c r="AF119" s="254">
        <f>IF(AND($AA119="",AD119=""),"",$AA119-AD119)</f>
        <v>187694.78142585</v>
      </c>
      <c r="AG119" s="255">
        <v>1256851.08</v>
      </c>
      <c r="AH119" s="256">
        <f>IF(AG119=0,"",IFERROR(AG119/AG$19,""))</f>
        <v>0.7934943281445388</v>
      </c>
      <c r="AI119" s="254">
        <f>IF(AND($AA119="",AG119=""),"",$AA119-AG119)</f>
        <v>641970.8899999999</v>
      </c>
      <c r="AJ119" s="435">
        <f>IFERROR(AA119/AA$20,0)</f>
        <v>33.707098326025594</v>
      </c>
      <c r="AK119" s="436">
        <f>IFERROR(AD119/AD$20,0)</f>
        <v>24.218219122178049</v>
      </c>
      <c r="AL119" s="437">
        <f>IFERROR(AG119/AG$20,0)</f>
        <v>29.602917775631816</v>
      </c>
      <c r="AM119" s="438" t="str">
        <f>+IFERROR(ROUND(($AB119-AE119)*100,2)&amp;" pts.",0)</f>
        <v>21.1 pts.</v>
      </c>
      <c r="AN119" s="439" t="str">
        <f>+IFERROR(ROUND(($AB119-AH119)*100,2)&amp;" pts.",0)</f>
        <v>-2.18 pts.</v>
      </c>
      <c r="AO119" s="11"/>
      <c r="AP119" s="11"/>
    </row>
    <row r="120" spans="1:42" ht="15.75" thickBot="1" x14ac:dyDescent="0.3">
      <c r="A120" s="65" t="s">
        <v>31</v>
      </c>
      <c r="B120" s="66" t="s">
        <v>78</v>
      </c>
      <c r="C120" s="11"/>
      <c r="D120" s="11"/>
      <c r="E120" s="11"/>
      <c r="F120" s="11"/>
      <c r="G120" s="11"/>
      <c r="H120" s="88" t="s">
        <v>81</v>
      </c>
      <c r="I120" s="136" t="str">
        <f>IF(_epmOfflineCondition_,"T3",_xll.EVPRO($B$1,$H120,"STYLE"))</f>
        <v>T3</v>
      </c>
      <c r="J120" s="136" t="str">
        <f>IF(_epmOfflineCondition_,"Y",_xll.EVPRO($B$1,$H120,"CALC"))</f>
        <v>Y</v>
      </c>
      <c r="K120" s="106"/>
      <c r="L120" s="106"/>
      <c r="M120" s="106"/>
      <c r="N120" s="106" t="str">
        <f>IF(_epmOfflineCondition_,"Department Profit (Loss)",IF(_xll.EVDES(H120,$B$1)="#NODATA","",_xll.EVDES(H120,$B$1)))</f>
        <v>Department Profit (Loss)</v>
      </c>
      <c r="O120" s="165">
        <v>14202.83</v>
      </c>
      <c r="P120" s="165">
        <v>35156.69</v>
      </c>
      <c r="Q120" s="165">
        <v>60943.76</v>
      </c>
      <c r="R120" s="165">
        <v>35125.620000000003</v>
      </c>
      <c r="S120" s="165">
        <v>61.430000000016904</v>
      </c>
      <c r="T120" s="165">
        <v>-9140.3499999999694</v>
      </c>
      <c r="U120" s="165">
        <v>-5184.2799999999797</v>
      </c>
      <c r="V120" s="165">
        <v>-32174.97</v>
      </c>
      <c r="W120" s="165">
        <v>-53454.23</v>
      </c>
      <c r="X120" s="165">
        <v>-15001.25</v>
      </c>
      <c r="Y120" s="165">
        <v>5745.4899999999898</v>
      </c>
      <c r="Z120" s="165">
        <v>-22346.49</v>
      </c>
      <c r="AA120" s="165">
        <f>IF($I120="B1","",SUM(O120:Z120))</f>
        <v>13934.250000000055</v>
      </c>
      <c r="AB120" s="166">
        <f>IF(AA120=0,"",IFERROR(AA120/AA$19,""))</f>
        <v>5.6633156268819269E-3</v>
      </c>
      <c r="AC120" s="140"/>
      <c r="AD120" s="165">
        <v>666976.65457075497</v>
      </c>
      <c r="AE120" s="166">
        <f>IF(AD120=0,"",IFERROR(AD120/AD$19,""))</f>
        <v>0.21856544620658575</v>
      </c>
      <c r="AF120" s="167">
        <f>IF(AND($AA120="",AD120=""),"",$AA120-AD120)</f>
        <v>-653042.40457075497</v>
      </c>
      <c r="AG120" s="165">
        <v>-53221.21</v>
      </c>
      <c r="AH120" s="166">
        <f>IF(AG120=0,"",IFERROR(AG120/AG$19,""))</f>
        <v>-3.3600423267320906E-2</v>
      </c>
      <c r="AI120" s="167">
        <f>IF(AND($AA120="",AG120=""),"",$AA120-AG120)</f>
        <v>67155.46000000005</v>
      </c>
      <c r="AJ120" s="452">
        <f>IFERROR(AA120/AA$20,0)</f>
        <v>0.24735501393499468</v>
      </c>
      <c r="AK120" s="453">
        <f>IFERROR(AD120/AD$20,0)</f>
        <v>9.4399685059249041</v>
      </c>
      <c r="AL120" s="454">
        <f>IFERROR(AG120/AG$20,0)</f>
        <v>-1.2535320441858822</v>
      </c>
      <c r="AM120" s="455" t="str">
        <f>+IFERROR(ROUND(($AB120-AE120)*100,2)&amp;" pts.",0)</f>
        <v>-21.29 pts.</v>
      </c>
      <c r="AN120" s="456" t="str">
        <f>+IFERROR(ROUND(($AB120-AH120)*100,2)&amp;" pts.",0)</f>
        <v>3.93 pts.</v>
      </c>
      <c r="AO120" s="11"/>
      <c r="AP120" s="11"/>
    </row>
    <row r="121" spans="1:42" ht="15.75" thickTop="1" x14ac:dyDescent="0.25">
      <c r="A121" s="65" t="s">
        <v>32</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row>
    <row r="122" spans="1:42" x14ac:dyDescent="0.25">
      <c r="A122" s="65" t="s">
        <v>33</v>
      </c>
      <c r="B122" s="66"/>
      <c r="C122" s="11"/>
      <c r="D122" s="11"/>
      <c r="E122" s="11"/>
      <c r="F122" s="11"/>
      <c r="G122" s="11"/>
      <c r="H122" s="11"/>
      <c r="I122" s="59"/>
      <c r="J122" s="59"/>
      <c r="K122" s="11"/>
      <c r="L122" s="11"/>
      <c r="M122" s="11"/>
      <c r="N122" s="104" t="str">
        <f>N119&amp;" - Check"</f>
        <v>Total Expenses - Check</v>
      </c>
      <c r="O122" s="209">
        <f t="shared" ref="O122:AA122" si="50">SUMIF($H$35:$H$120,"600000",O$35:O$120)+SUMIF($H$35:$H$120,"700000",O$35:O$120)-SUMIF($H$35:$H$120,"TOTDEPTEXP",O$35:O$120)</f>
        <v>0</v>
      </c>
      <c r="P122" s="209">
        <f t="shared" si="50"/>
        <v>0</v>
      </c>
      <c r="Q122" s="209">
        <f t="shared" si="50"/>
        <v>0</v>
      </c>
      <c r="R122" s="209">
        <f t="shared" si="50"/>
        <v>0</v>
      </c>
      <c r="S122" s="209">
        <f t="shared" si="50"/>
        <v>0</v>
      </c>
      <c r="T122" s="209">
        <f t="shared" si="50"/>
        <v>0</v>
      </c>
      <c r="U122" s="209">
        <f t="shared" si="50"/>
        <v>0</v>
      </c>
      <c r="V122" s="209">
        <f t="shared" si="50"/>
        <v>0</v>
      </c>
      <c r="W122" s="209">
        <f t="shared" si="50"/>
        <v>0</v>
      </c>
      <c r="X122" s="209">
        <f t="shared" si="50"/>
        <v>0</v>
      </c>
      <c r="Y122" s="209">
        <f t="shared" si="50"/>
        <v>0</v>
      </c>
      <c r="Z122" s="209">
        <f t="shared" si="50"/>
        <v>0</v>
      </c>
      <c r="AA122" s="209">
        <f t="shared" si="50"/>
        <v>0</v>
      </c>
      <c r="AB122" s="100"/>
      <c r="AC122" s="11"/>
      <c r="AD122" s="209">
        <f>SUMIF($H$35:$H$120,"600000",AD$35:AD$120)+SUMIF($H$35:$H$120,"700000",AD$35:AD$120)-SUMIF($H$35:$H$120,"TOTDEPTEXP",AD$35:AD$120)</f>
        <v>-3.0267983675003052E-9</v>
      </c>
      <c r="AE122" s="100"/>
      <c r="AF122" s="91"/>
      <c r="AG122" s="209">
        <f>SUMIF($H$35:$H$120,"600000",AG$35:AG$120)+SUMIF($H$35:$H$120,"700000",AG$35:AG$120)-SUMIF($H$35:$H$120,"TOTDEPTEXP",AG$35:AG$120)</f>
        <v>0</v>
      </c>
      <c r="AH122" s="100"/>
      <c r="AI122" s="91"/>
      <c r="AJ122" s="11"/>
      <c r="AK122" s="11"/>
      <c r="AL122" s="11"/>
      <c r="AM122" s="11"/>
      <c r="AN122" s="11"/>
      <c r="AO122" s="11"/>
      <c r="AP122" s="11"/>
    </row>
    <row r="123" spans="1:42" x14ac:dyDescent="0.25">
      <c r="A123" s="65" t="s">
        <v>34</v>
      </c>
      <c r="B123" s="66"/>
      <c r="C123" s="11"/>
      <c r="D123" s="11"/>
      <c r="E123" s="11"/>
      <c r="F123" s="11"/>
      <c r="G123" s="11"/>
      <c r="H123" s="11"/>
      <c r="I123" s="59"/>
      <c r="J123" s="59"/>
      <c r="K123" s="11"/>
      <c r="L123" s="11"/>
      <c r="M123" s="11"/>
      <c r="N123" s="104" t="str">
        <f>N120&amp;" - Check"</f>
        <v>Department Profit (Loss) - Check</v>
      </c>
      <c r="O123" s="209">
        <f t="shared" ref="O123:AA123" si="51">SUMIF($H$35:$H$120,"KPI_GP",O$35:O$120)-SUMIF($H$35:$H$120,"TOTDEPTEXP",O$35:O$120)-SUMIF($H$35:$H$120,"TOTDEPTPL",O$35:O$120)</f>
        <v>0</v>
      </c>
      <c r="P123" s="209">
        <f t="shared" si="51"/>
        <v>0</v>
      </c>
      <c r="Q123" s="209">
        <f t="shared" si="51"/>
        <v>0</v>
      </c>
      <c r="R123" s="209">
        <f t="shared" si="51"/>
        <v>0</v>
      </c>
      <c r="S123" s="209">
        <f t="shared" si="51"/>
        <v>-2.3888446776254568E-11</v>
      </c>
      <c r="T123" s="209">
        <f t="shared" si="51"/>
        <v>-3.637978807091713E-11</v>
      </c>
      <c r="U123" s="209">
        <f t="shared" si="51"/>
        <v>-1.9099388737231493E-11</v>
      </c>
      <c r="V123" s="209">
        <f t="shared" si="51"/>
        <v>0</v>
      </c>
      <c r="W123" s="209">
        <f t="shared" si="51"/>
        <v>0</v>
      </c>
      <c r="X123" s="209">
        <f t="shared" si="51"/>
        <v>0</v>
      </c>
      <c r="Y123" s="209">
        <f t="shared" si="51"/>
        <v>3.0013325158506632E-11</v>
      </c>
      <c r="Z123" s="209">
        <f t="shared" si="51"/>
        <v>0</v>
      </c>
      <c r="AA123" s="209">
        <f t="shared" si="51"/>
        <v>-5.4569682106375694E-11</v>
      </c>
      <c r="AB123" s="100"/>
      <c r="AC123" s="11"/>
      <c r="AD123" s="209">
        <f>SUMIF($H$35:$H$120,"KPI_GP",AD$35:AD$120)-SUMIF($H$35:$H$120,"TOTDEPTEXP",AD$35:AD$120)-SUMIF($H$35:$H$120,"TOTDEPTPL",AD$35:AD$120)</f>
        <v>-4.7730281949043274E-9</v>
      </c>
      <c r="AE123" s="100"/>
      <c r="AF123" s="91"/>
      <c r="AG123" s="209">
        <f>SUMIF($H$35:$H$120,"KPI_GP",AG$35:AG$120)-SUMIF($H$35:$H$120,"TOTDEPTEXP",AG$35:AG$120)-SUMIF($H$35:$H$120,"TOTDEPTPL",AG$35:AG$120)</f>
        <v>-1.964508555829525E-10</v>
      </c>
      <c r="AH123" s="100"/>
      <c r="AI123" s="91"/>
      <c r="AJ123" s="11"/>
      <c r="AK123" s="11"/>
      <c r="AL123" s="11"/>
      <c r="AM123" s="11"/>
      <c r="AN123" s="11"/>
      <c r="AO123" s="11"/>
      <c r="AP123" s="11"/>
    </row>
    <row r="124" spans="1:42" x14ac:dyDescent="0.25">
      <c r="A124" s="65" t="s">
        <v>35</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row>
    <row r="125" spans="1:42" x14ac:dyDescent="0.25">
      <c r="A125" s="65" t="s">
        <v>36</v>
      </c>
      <c r="B125" s="66"/>
      <c r="C125" s="11"/>
      <c r="D125" s="11"/>
      <c r="E125" s="11"/>
      <c r="F125" s="11"/>
      <c r="G125" s="11"/>
      <c r="H125" s="11"/>
      <c r="I125" s="59"/>
      <c r="J125" s="59"/>
      <c r="K125" s="11"/>
      <c r="L125" s="11"/>
      <c r="M125" s="11"/>
      <c r="N125" s="11"/>
      <c r="O125" s="137"/>
      <c r="P125" s="137"/>
      <c r="Q125" s="137"/>
      <c r="R125" s="137"/>
      <c r="S125" s="137"/>
      <c r="T125" s="137"/>
      <c r="U125" s="137"/>
      <c r="V125" s="137"/>
      <c r="W125" s="137"/>
      <c r="X125" s="137"/>
      <c r="Y125" s="137"/>
      <c r="Z125" s="137"/>
      <c r="AA125" s="137"/>
      <c r="AB125" s="11"/>
      <c r="AC125" s="11"/>
      <c r="AD125" s="137"/>
      <c r="AE125" s="11"/>
      <c r="AF125" s="137"/>
      <c r="AG125" s="137"/>
      <c r="AH125" s="11"/>
      <c r="AI125" s="11"/>
      <c r="AJ125" s="11"/>
      <c r="AK125" s="11"/>
      <c r="AL125" s="11"/>
      <c r="AM125" s="11"/>
      <c r="AN125" s="11"/>
      <c r="AO125" s="11"/>
      <c r="AP125" s="11"/>
    </row>
    <row r="126" spans="1:42" x14ac:dyDescent="0.25">
      <c r="A126" s="65" t="s">
        <v>37</v>
      </c>
      <c r="B126" s="66"/>
      <c r="C126" s="11"/>
      <c r="D126" s="11"/>
      <c r="E126" s="11"/>
      <c r="F126" s="11"/>
      <c r="G126" s="11"/>
      <c r="H126" s="11"/>
      <c r="I126" s="59"/>
      <c r="J126" s="59"/>
      <c r="K126" s="11"/>
      <c r="L126" s="11"/>
      <c r="M126" s="11"/>
      <c r="N126" s="11"/>
      <c r="O126" s="137"/>
      <c r="P126" s="137"/>
      <c r="Q126" s="137"/>
      <c r="R126" s="137"/>
      <c r="S126" s="137"/>
      <c r="T126" s="137"/>
      <c r="U126" s="137"/>
      <c r="V126" s="137"/>
      <c r="W126" s="137"/>
      <c r="X126" s="137"/>
      <c r="Y126" s="137"/>
      <c r="Z126" s="137"/>
      <c r="AA126" s="137"/>
      <c r="AB126" s="11"/>
      <c r="AC126" s="11"/>
      <c r="AD126" s="137"/>
      <c r="AE126" s="11"/>
      <c r="AF126" s="137"/>
      <c r="AG126" s="137"/>
      <c r="AH126" s="11"/>
      <c r="AI126" s="11"/>
      <c r="AJ126" s="11"/>
      <c r="AK126" s="11"/>
      <c r="AL126" s="11"/>
      <c r="AM126" s="11"/>
      <c r="AN126" s="11"/>
      <c r="AO126" s="11"/>
      <c r="AP126" s="11"/>
    </row>
    <row r="127" spans="1:42" x14ac:dyDescent="0.25">
      <c r="A127" s="65" t="s">
        <v>38</v>
      </c>
      <c r="B127" s="66"/>
      <c r="C127" s="11"/>
      <c r="D127" s="11"/>
      <c r="E127" s="11"/>
      <c r="F127" s="11"/>
      <c r="G127" s="11"/>
      <c r="H127" s="11"/>
      <c r="I127" s="59"/>
      <c r="J127" s="59"/>
      <c r="K127" s="11"/>
      <c r="L127" s="11"/>
      <c r="M127" s="11"/>
      <c r="N127" s="11"/>
      <c r="O127" s="137"/>
      <c r="P127" s="137"/>
      <c r="Q127" s="137"/>
      <c r="R127" s="137"/>
      <c r="S127" s="137"/>
      <c r="T127" s="137"/>
      <c r="U127" s="137"/>
      <c r="V127" s="137"/>
      <c r="W127" s="137"/>
      <c r="X127" s="137"/>
      <c r="Y127" s="137"/>
      <c r="Z127" s="137"/>
      <c r="AA127" s="137"/>
      <c r="AB127" s="11"/>
      <c r="AC127" s="11"/>
      <c r="AD127" s="137"/>
      <c r="AE127" s="11"/>
      <c r="AF127" s="11"/>
      <c r="AG127" s="137"/>
      <c r="AH127" s="11"/>
      <c r="AI127" s="11"/>
      <c r="AJ127" s="11"/>
      <c r="AK127" s="11"/>
      <c r="AL127" s="11"/>
      <c r="AM127" s="11"/>
      <c r="AN127" s="11"/>
      <c r="AO127" s="11"/>
      <c r="AP127" s="11"/>
    </row>
    <row r="128" spans="1:42" x14ac:dyDescent="0.25">
      <c r="A128" s="65" t="s">
        <v>39</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row>
    <row r="129" spans="1:42" x14ac:dyDescent="0.25">
      <c r="A129" s="65" t="s">
        <v>40</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row>
    <row r="130" spans="1:42" x14ac:dyDescent="0.25">
      <c r="A130" s="65" t="s">
        <v>41</v>
      </c>
      <c r="B130" s="66"/>
      <c r="C130" s="11"/>
      <c r="D130" s="11"/>
      <c r="E130" s="11"/>
      <c r="F130" s="11"/>
      <c r="G130" s="11"/>
      <c r="H130" s="59"/>
      <c r="I130" s="59"/>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row>
    <row r="131" spans="1:42" x14ac:dyDescent="0.25">
      <c r="A131" s="65" t="s">
        <v>42</v>
      </c>
      <c r="B131" s="66"/>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row>
    <row r="132" spans="1:42" x14ac:dyDescent="0.25">
      <c r="A132" s="65" t="s">
        <v>43</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row>
    <row r="133" spans="1:42" x14ac:dyDescent="0.25">
      <c r="A133" s="65" t="s">
        <v>44</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row>
    <row r="134" spans="1:42" x14ac:dyDescent="0.25">
      <c r="A134" s="65" t="s">
        <v>45</v>
      </c>
      <c r="B134" s="66"/>
      <c r="C134" s="11"/>
      <c r="D134" s="11"/>
      <c r="E134" s="11"/>
      <c r="F134" s="11"/>
      <c r="G134" s="11"/>
      <c r="H134" s="59"/>
      <c r="I134" s="59"/>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row>
    <row r="135" spans="1:42" x14ac:dyDescent="0.25">
      <c r="A135" s="65" t="s">
        <v>46</v>
      </c>
      <c r="B135" s="66"/>
      <c r="C135" s="11"/>
      <c r="D135" s="11"/>
      <c r="E135" s="11"/>
      <c r="F135" s="11"/>
      <c r="G135" s="11"/>
      <c r="H135" s="59"/>
      <c r="I135" s="59"/>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row>
    <row r="136" spans="1:42" x14ac:dyDescent="0.25">
      <c r="A136" s="11"/>
      <c r="B136" s="11"/>
      <c r="C136" s="11"/>
      <c r="D136" s="11"/>
      <c r="E136" s="11"/>
      <c r="F136" s="11"/>
      <c r="G136" s="11"/>
      <c r="H136" s="59"/>
      <c r="I136" s="59"/>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row>
    <row r="137" spans="1:42" x14ac:dyDescent="0.25">
      <c r="A137" s="11"/>
      <c r="B137" s="11"/>
      <c r="C137" s="11"/>
      <c r="D137" s="11"/>
      <c r="E137" s="11"/>
      <c r="F137" s="11"/>
      <c r="G137" s="11"/>
      <c r="H137" s="59"/>
      <c r="I137" s="59"/>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row>
    <row r="138" spans="1:42" x14ac:dyDescent="0.25">
      <c r="A138" s="11"/>
      <c r="B138" s="11"/>
      <c r="C138" s="11"/>
      <c r="D138" s="11"/>
      <c r="E138" s="11"/>
      <c r="F138" s="11"/>
      <c r="G138" s="11"/>
      <c r="H138" s="59"/>
      <c r="I138" s="59"/>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row>
    <row r="139" spans="1:42" x14ac:dyDescent="0.25">
      <c r="A139" s="11"/>
      <c r="B139" s="11"/>
      <c r="C139" s="11"/>
      <c r="D139" s="11"/>
      <c r="E139" s="11"/>
      <c r="F139" s="11"/>
      <c r="G139" s="11"/>
      <c r="H139" s="59"/>
      <c r="I139" s="59"/>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row>
    <row r="140" spans="1:42" x14ac:dyDescent="0.25">
      <c r="A140" s="11"/>
      <c r="B140" s="11"/>
      <c r="C140" s="11"/>
      <c r="D140" s="11"/>
      <c r="E140" s="11"/>
      <c r="F140" s="11"/>
      <c r="G140" s="11"/>
      <c r="H140" s="59"/>
      <c r="I140" s="59"/>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row>
    <row r="141" spans="1:42" x14ac:dyDescent="0.25">
      <c r="A141" s="11"/>
      <c r="B141" s="11"/>
      <c r="C141" s="11"/>
      <c r="D141" s="11"/>
      <c r="E141" s="11"/>
      <c r="F141" s="11"/>
      <c r="G141" s="11"/>
      <c r="H141" s="59"/>
      <c r="I141" s="59"/>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row>
    <row r="142" spans="1:42" x14ac:dyDescent="0.25">
      <c r="A142" s="11"/>
      <c r="B142" s="11"/>
      <c r="C142" s="11"/>
      <c r="D142" s="11"/>
      <c r="E142" s="11"/>
      <c r="F142" s="11"/>
      <c r="G142" s="11"/>
      <c r="H142" s="59"/>
      <c r="I142" s="59"/>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row>
    <row r="143" spans="1:42" x14ac:dyDescent="0.25">
      <c r="A143" s="11"/>
      <c r="B143" s="11"/>
      <c r="C143" s="11"/>
      <c r="D143" s="11"/>
      <c r="E143" s="11"/>
      <c r="F143" s="11"/>
      <c r="G143" s="11"/>
      <c r="H143" s="59"/>
      <c r="I143" s="59"/>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row>
    <row r="144" spans="1:42" x14ac:dyDescent="0.25">
      <c r="A144" s="11"/>
      <c r="B144" s="11"/>
      <c r="C144" s="11"/>
      <c r="D144" s="11"/>
      <c r="E144" s="11"/>
      <c r="F144" s="11"/>
      <c r="G144" s="11"/>
      <c r="H144" s="59"/>
      <c r="I144" s="59"/>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row>
    <row r="145" spans="1:42" x14ac:dyDescent="0.25">
      <c r="A145" s="11"/>
      <c r="B145" s="11"/>
      <c r="C145" s="11"/>
      <c r="D145" s="11"/>
      <c r="E145" s="11"/>
      <c r="F145" s="11"/>
      <c r="G145" s="11"/>
      <c r="H145" s="59"/>
      <c r="I145" s="59"/>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row>
    <row r="146" spans="1:42" x14ac:dyDescent="0.25">
      <c r="A146" s="11"/>
      <c r="B146" s="11"/>
      <c r="C146" s="11"/>
      <c r="D146" s="11"/>
      <c r="E146" s="11"/>
      <c r="F146" s="11"/>
      <c r="G146" s="11"/>
      <c r="H146" s="59"/>
      <c r="I146" s="59"/>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row>
    <row r="147" spans="1:42" x14ac:dyDescent="0.25">
      <c r="A147" s="11"/>
      <c r="B147" s="11"/>
      <c r="C147" s="11"/>
      <c r="D147" s="11"/>
      <c r="E147" s="11"/>
      <c r="F147" s="11"/>
      <c r="G147" s="11"/>
      <c r="H147" s="59"/>
      <c r="I147" s="59"/>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row>
    <row r="148" spans="1:42" x14ac:dyDescent="0.25">
      <c r="A148" s="11"/>
      <c r="B148" s="11"/>
      <c r="C148" s="11"/>
      <c r="D148" s="11"/>
      <c r="E148" s="11"/>
      <c r="F148" s="11"/>
      <c r="G148" s="11"/>
      <c r="H148" s="59"/>
      <c r="I148" s="59"/>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row>
    <row r="149" spans="1:42" x14ac:dyDescent="0.25">
      <c r="A149" s="11"/>
      <c r="B149" s="11"/>
      <c r="C149" s="11"/>
      <c r="D149" s="11"/>
      <c r="E149" s="11"/>
      <c r="F149" s="11"/>
      <c r="G149" s="11"/>
      <c r="H149" s="59"/>
      <c r="I149" s="59"/>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row>
    <row r="150" spans="1:42" x14ac:dyDescent="0.25">
      <c r="A150" s="11"/>
      <c r="B150" s="11"/>
      <c r="C150" s="11"/>
      <c r="D150" s="11"/>
      <c r="E150" s="11"/>
      <c r="F150" s="11"/>
      <c r="G150" s="11"/>
      <c r="H150" s="59"/>
      <c r="I150" s="59"/>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row>
    <row r="151" spans="1:42" x14ac:dyDescent="0.25">
      <c r="A151" s="11"/>
      <c r="B151" s="11"/>
      <c r="C151" s="11"/>
      <c r="D151" s="11"/>
      <c r="E151" s="11"/>
      <c r="F151" s="11"/>
      <c r="G151" s="11"/>
      <c r="H151" s="59"/>
      <c r="I151" s="59"/>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row>
    <row r="152" spans="1:42" x14ac:dyDescent="0.25">
      <c r="A152" s="11"/>
      <c r="B152" s="11"/>
      <c r="C152" s="11"/>
      <c r="D152" s="11"/>
      <c r="E152" s="267"/>
      <c r="F152" s="11"/>
      <c r="G152" s="11"/>
      <c r="H152" s="59"/>
      <c r="I152" s="59"/>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row>
    <row r="153" spans="1:42"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row>
    <row r="154" spans="1:42"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row>
    <row r="155" spans="1:42"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row>
    <row r="156" spans="1:42" x14ac:dyDescent="0.25">
      <c r="A156" s="11"/>
      <c r="B156" s="11"/>
      <c r="C156" s="11"/>
      <c r="D156" s="11"/>
      <c r="E156" s="267"/>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row>
    <row r="157" spans="1:42"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row>
    <row r="158" spans="1:42"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row>
    <row r="159" spans="1:42"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row>
    <row r="160" spans="1:42"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row>
    <row r="161" spans="1:42"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row>
    <row r="162" spans="1:42"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row>
    <row r="163" spans="1:42"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row>
    <row r="164" spans="1:42"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row>
    <row r="165" spans="1:42"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row>
    <row r="166" spans="1:42"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row>
    <row r="167" spans="1:42"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row>
    <row r="168" spans="1:42"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row>
    <row r="169" spans="1:42"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row>
    <row r="170" spans="1:42"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row>
    <row r="171" spans="1:42"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row>
    <row r="172" spans="1:42"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row>
    <row r="173" spans="1:42"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row>
    <row r="174" spans="1:42"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row>
    <row r="175" spans="1:42"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row>
    <row r="176" spans="1:42"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row>
    <row r="177" spans="1:42"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row>
    <row r="178" spans="1:42"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row>
    <row r="179" spans="1:42"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row>
    <row r="180" spans="1:42"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row>
    <row r="181" spans="1:42"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row>
    <row r="182" spans="1:42"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row>
    <row r="183" spans="1:42"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row>
    <row r="184" spans="1:42"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row>
    <row r="185" spans="1:42"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row>
    <row r="186" spans="1:42"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row>
    <row r="187" spans="1:42"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row>
    <row r="188" spans="1:42"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row>
    <row r="189" spans="1:42"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row>
    <row r="190" spans="1:42"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row>
    <row r="191" spans="1:42"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row>
    <row r="192" spans="1:42" x14ac:dyDescent="0.2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row>
    <row r="193" spans="1:42" x14ac:dyDescent="0.25">
      <c r="A193" s="11"/>
      <c r="B193" s="11"/>
      <c r="C193" s="11"/>
      <c r="D193" s="11"/>
      <c r="E193" s="11"/>
      <c r="F193" s="11"/>
      <c r="G193" s="11"/>
      <c r="H193" s="11"/>
      <c r="I193" s="267"/>
      <c r="J193" s="11"/>
      <c r="K193" s="267"/>
      <c r="L193" s="267"/>
      <c r="M193" s="267"/>
      <c r="N193" s="11"/>
      <c r="O193" s="267"/>
      <c r="P193" s="267"/>
      <c r="Q193" s="267"/>
      <c r="R193" s="267"/>
      <c r="S193" s="267"/>
      <c r="T193" s="267"/>
      <c r="U193" s="267"/>
      <c r="V193" s="267"/>
      <c r="W193" s="267"/>
      <c r="X193" s="267"/>
      <c r="Y193" s="267"/>
      <c r="Z193" s="267"/>
      <c r="AA193" s="267"/>
      <c r="AB193" s="11"/>
      <c r="AC193" s="11"/>
      <c r="AD193" s="267"/>
      <c r="AE193" s="11"/>
      <c r="AF193" s="267"/>
      <c r="AG193" s="11"/>
      <c r="AH193" s="267"/>
      <c r="AI193" s="11"/>
      <c r="AJ193" s="11"/>
      <c r="AK193" s="11"/>
      <c r="AL193" s="11"/>
      <c r="AM193" s="11"/>
      <c r="AN193" s="11"/>
      <c r="AO193" s="11"/>
      <c r="AP193" s="11"/>
    </row>
    <row r="194" spans="1:42"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row>
    <row r="195" spans="1:42"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row>
    <row r="196" spans="1:42" x14ac:dyDescent="0.25">
      <c r="A196" s="11"/>
      <c r="B196" s="11"/>
      <c r="C196" s="11"/>
      <c r="D196" s="11"/>
      <c r="E196" s="11"/>
      <c r="F196" s="11"/>
      <c r="G196" s="267"/>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row>
    <row r="197" spans="1:42" x14ac:dyDescent="0.25">
      <c r="A197" s="11"/>
      <c r="B197" s="11"/>
      <c r="C197" s="11"/>
      <c r="D197" s="11"/>
      <c r="E197" s="11"/>
      <c r="F197" s="11"/>
      <c r="G197" s="11"/>
      <c r="H197" s="11"/>
      <c r="I197" s="267"/>
      <c r="J197" s="11"/>
      <c r="K197" s="267"/>
      <c r="L197" s="267"/>
      <c r="M197" s="267"/>
      <c r="N197" s="11"/>
      <c r="O197" s="267"/>
      <c r="P197" s="267"/>
      <c r="Q197" s="267"/>
      <c r="R197" s="267"/>
      <c r="S197" s="267"/>
      <c r="T197" s="267"/>
      <c r="U197" s="267"/>
      <c r="V197" s="267"/>
      <c r="W197" s="267"/>
      <c r="X197" s="267"/>
      <c r="Y197" s="267"/>
      <c r="Z197" s="267"/>
      <c r="AA197" s="267"/>
      <c r="AB197" s="11"/>
      <c r="AC197" s="11"/>
      <c r="AD197" s="267"/>
      <c r="AE197" s="11"/>
      <c r="AF197" s="267"/>
      <c r="AG197" s="11"/>
      <c r="AH197" s="267"/>
      <c r="AI197" s="11"/>
      <c r="AJ197" s="11"/>
      <c r="AK197" s="11"/>
      <c r="AL197" s="11"/>
      <c r="AM197" s="11"/>
      <c r="AN197" s="11"/>
      <c r="AO197" s="11"/>
      <c r="AP197" s="11"/>
    </row>
  </sheetData>
  <sheetProtection algorithmName="SHA-512" hashValue="uNIa7Cdke/BCNwfTw0SvXbZve7RoeNHNLIOvIm6/IrZQj+kK7/w6sGZ0wKoXdL5XB9j9GfbCpi8jPOm9QL7p5Q==" saltValue="3qi24Gv1AUrC+lVK2MykMQ==" spinCount="100000" sheet="1" scenarios="1"/>
  <mergeCells count="2">
    <mergeCell ref="AD31:AE31"/>
    <mergeCell ref="AG31:AH31"/>
  </mergeCells>
  <dataValidations disablePrompts="1" count="2">
    <dataValidation type="list" allowBlank="1" sqref="B84 B51 B29:C29" xr:uid="{00000000-0002-0000-0500-000000000000}">
      <formula1>"SELF,ALL,BAS,DEP,BASMEMBERS,MEMBERS,NOEXPAND,GDEP"</formula1>
    </dataValidation>
    <dataValidation type="list" allowBlank="1" sqref="B83 B50 B28:C28" xr:uid="{00000000-0002-0000-05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2536"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2536" r:id="rId7" name="FPMExcelClientSheetOptionstb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39997558519241921"/>
    <pageSetUpPr fitToPage="1"/>
  </sheetPr>
  <dimension ref="A1:AI230"/>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358</v>
      </c>
      <c r="C6" s="11" t="str">
        <f>IF(_epmOfflineCondition_,"Food &amp; Beverage",_xll.EVDES(B6,$B$1))</f>
        <v>Food &amp; Beverage</v>
      </c>
      <c r="D6" s="11"/>
      <c r="E6" s="58" t="str">
        <f>IF(_epmOfflineCondition_,"D_FB",_xll.EVPRO($B$1,$B$6,$F$6))</f>
        <v>D_FB</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IF(_epmOfflineCondition_,"'FB_KPI'!$B$2:$B$10",_xll.EVRNG($B$2:$B$10))</f>
        <v>'FB_KPI'!$B$2:$B$10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IF(_epmOfflineCondition_,"'FB_KPI'!$O$16:$AI$18",_xll.EVRNG(O16:AI18))</f>
        <v>'FB_KPI'!$O$16:$AI$18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IF(_epmOfflineCondition_,"'FB_KPI'!$H$35:$H$175",_xll.EVRNG(H35:H175))</f>
        <v>'FB_KPI'!$H$35:$H$175</v>
      </c>
      <c r="C19" s="11"/>
      <c r="D19" s="11"/>
      <c r="E19" s="11"/>
      <c r="F19" s="11"/>
      <c r="G19" s="67" t="str">
        <f>$B$6</f>
        <v>D_REST_CON</v>
      </c>
      <c r="H19" s="67" t="s">
        <v>273</v>
      </c>
      <c r="I19" s="68"/>
      <c r="J19" s="68"/>
      <c r="K19" s="67"/>
      <c r="L19" s="67"/>
      <c r="M19" s="67"/>
      <c r="N19" s="67" t="str">
        <f>IF(_epmOfflineCondition_,"Total Food &amp; Beverage Revenue",_xll.EVDES(H19))</f>
        <v>Total Food &amp; Beverage Revenue</v>
      </c>
      <c r="O19" s="69">
        <f>IF(_epmOfflineCondition_,147690.83,_xll.EVGTS($B$1,1,$B$3,$B$5,$B$7,$B$9,O$16,O$17,O$18,$G$19,$H$19))</f>
        <v>147690.82999999999</v>
      </c>
      <c r="P19" s="69">
        <f>IF(_epmOfflineCondition_,221589.92,_xll.EVGTS($B$1,1,$B$3,$B$5,$B$7,$B$9,P$16,P$17,P$18,$G$19,$H$19))</f>
        <v>221589.92</v>
      </c>
      <c r="Q19" s="69">
        <f>IF(_epmOfflineCondition_,241565.71,_xll.EVGTS($B$1,1,$B$3,$B$5,$B$7,$B$9,Q$16,Q$17,Q$18,$G$19,$H$19))</f>
        <v>241565.71</v>
      </c>
      <c r="R19" s="69">
        <f>IF(_epmOfflineCondition_,215539.66,_xll.EVGTS($B$1,1,$B$3,$B$5,$B$7,$B$9,R$16,R$17,R$18,$G$19,$H$19))</f>
        <v>215539.66</v>
      </c>
      <c r="S19" s="69">
        <f>IF(_epmOfflineCondition_,194751.81,_xll.EVGTS($B$1,1,$B$3,$B$5,$B$7,$B$9,S$16,S$17,S$18,$G$19,$H$19))</f>
        <v>194751.81</v>
      </c>
      <c r="T19" s="69">
        <f>IF(_epmOfflineCondition_,139925.71,_xll.EVGTS($B$1,1,$B$3,$B$5,$B$7,$B$9,T$16,T$17,T$18,$G$19,$H$19))</f>
        <v>139925.71</v>
      </c>
      <c r="U19" s="69">
        <f>IF(_epmOfflineCondition_,158331.49,_xll.EVGTS($B$1,1,$B$3,$B$5,$B$7,$B$9,U$16,U$17,U$18,$G$19,$H$19))</f>
        <v>158331.49</v>
      </c>
      <c r="V19" s="69">
        <f>IF(_epmOfflineCondition_,115067.91,_xll.EVGTS($B$1,1,$B$3,$B$5,$B$7,$B$9,V$16,V$17,V$18,$G$19,$H$19))</f>
        <v>115067.91</v>
      </c>
      <c r="W19" s="69">
        <f>IF(_epmOfflineCondition_,96303.21,_xll.EVGTS($B$1,1,$B$3,$B$5,$B$7,$B$9,W$16,W$17,W$18,$G$19,$H$19))</f>
        <v>96303.21</v>
      </c>
      <c r="X19" s="69">
        <f>IF(_epmOfflineCondition_,113037.08,_xll.EVGTS($B$1,1,$B$3,$B$5,$B$7,$B$9,X$16,X$17,X$18,$G$19,$H$19))</f>
        <v>113037.08</v>
      </c>
      <c r="Y19" s="69">
        <f>IF(_epmOfflineCondition_,155380.88,_xll.EVGTS($B$1,1,$B$3,$B$5,$B$7,$B$9,Y$16,Y$17,Y$18,$G$19,$H$19))</f>
        <v>155380.88</v>
      </c>
      <c r="Z19" s="69">
        <f>IF(_epmOfflineCondition_,150441.1,_xll.EVGTS($B$1,1,$B$3,$B$5,$B$7,$B$9,Z$16,Z$17,Z$18,$G$19,$H$19))</f>
        <v>150441.1</v>
      </c>
      <c r="AA19" s="69">
        <f>SUM(O19:Z19)</f>
        <v>1949625.31</v>
      </c>
      <c r="AB19" s="67"/>
      <c r="AC19" s="67"/>
      <c r="AD19" s="69">
        <f>IF(_epmOfflineCondition_,2560129.397004,_xll.EVGTS($B$1,1,$B$3,$B$5,$B$7,$B$9,AD$16,AD$17,AD$18,$G$19,$H$19))</f>
        <v>2560129.3970039999</v>
      </c>
      <c r="AE19" s="67"/>
      <c r="AF19" s="67"/>
      <c r="AG19" s="69">
        <f>IF(_epmOfflineCondition_,1329298.72,_xll.EVGTS($B$1,1,$B$3,$B$5,$B$7,$B$9,AG$16,AG$17,AG$18,$G$19,$H$19))</f>
        <v>1329298.72</v>
      </c>
      <c r="AH19" s="67"/>
      <c r="AI19" s="67"/>
    </row>
    <row r="20" spans="1:35" hidden="1" outlineLevel="1" x14ac:dyDescent="0.25">
      <c r="A20" s="65" t="s">
        <v>5</v>
      </c>
      <c r="B20" s="66"/>
      <c r="C20" s="11"/>
      <c r="D20" s="11"/>
      <c r="E20" s="11"/>
      <c r="F20" s="11"/>
      <c r="G20" s="67" t="str">
        <f>$B$6</f>
        <v>D_REST_CON</v>
      </c>
      <c r="H20" s="67">
        <v>946000</v>
      </c>
      <c r="I20" s="68"/>
      <c r="J20" s="68"/>
      <c r="K20" s="67"/>
      <c r="L20" s="67"/>
      <c r="M20" s="67"/>
      <c r="N20" s="67" t="str">
        <f>IF(_epmOfflineCondition_,"Total Customers",_xll.EVDES(H20))</f>
        <v>Total Customers</v>
      </c>
      <c r="O20" s="69">
        <f>IF(_epmOfflineCondition_,4578,_xll.EVGTS($B$1,1,$B$3,$B$5,$B$7,$B$9,O$16,O$17,O$18,$G$20,$H$20))</f>
        <v>4578</v>
      </c>
      <c r="P20" s="69">
        <f>IF(_epmOfflineCondition_,5807,_xll.EVGTS($B$1,1,$B$3,$B$5,$B$7,$B$9,P$16,P$17,P$18,$G$20,$H$20))</f>
        <v>5807</v>
      </c>
      <c r="Q20" s="69">
        <f>IF(_epmOfflineCondition_,6112,_xll.EVGTS($B$1,1,$B$3,$B$5,$B$7,$B$9,Q$16,Q$17,Q$18,$G$20,$H$20))</f>
        <v>6112</v>
      </c>
      <c r="R20" s="69">
        <f>IF(_epmOfflineCondition_,5586,_xll.EVGTS($B$1,1,$B$3,$B$5,$B$7,$B$9,R$16,R$17,R$18,$G$20,$H$20))</f>
        <v>5586</v>
      </c>
      <c r="S20" s="69">
        <f>IF(_epmOfflineCondition_,4848,_xll.EVGTS($B$1,1,$B$3,$B$5,$B$7,$B$9,S$16,S$17,S$18,$G$20,$H$20))</f>
        <v>4848</v>
      </c>
      <c r="T20" s="69">
        <f>IF(_epmOfflineCondition_,4336,_xll.EVGTS($B$1,1,$B$3,$B$5,$B$7,$B$9,T$16,T$17,T$18,$G$20,$H$20))</f>
        <v>4336</v>
      </c>
      <c r="U20" s="69">
        <f>IF(_epmOfflineCondition_,5224,_xll.EVGTS($B$1,1,$B$3,$B$5,$B$7,$B$9,U$16,U$17,U$18,$G$20,$H$20))</f>
        <v>5224</v>
      </c>
      <c r="V20" s="69">
        <f>IF(_epmOfflineCondition_,3734,_xll.EVGTS($B$1,1,$B$3,$B$5,$B$7,$B$9,V$16,V$17,V$18,$G$20,$H$20))</f>
        <v>3734</v>
      </c>
      <c r="W20" s="69">
        <f>IF(_epmOfflineCondition_,3390,_xll.EVGTS($B$1,1,$B$3,$B$5,$B$7,$B$9,W$16,W$17,W$18,$G$20,$H$20))</f>
        <v>3390</v>
      </c>
      <c r="X20" s="69">
        <f>IF(_epmOfflineCondition_,3241,_xll.EVGTS($B$1,1,$B$3,$B$5,$B$7,$B$9,X$16,X$17,X$18,$G$20,$H$20))</f>
        <v>3241</v>
      </c>
      <c r="Y20" s="69">
        <f>IF(_epmOfflineCondition_,4784,_xll.EVGTS($B$1,1,$B$3,$B$5,$B$7,$B$9,Y$16,Y$17,Y$18,$G$20,$H$20))</f>
        <v>4784</v>
      </c>
      <c r="Z20" s="69">
        <f>IF(_epmOfflineCondition_,4693,_xll.EVGTS($B$1,1,$B$3,$B$5,$B$7,$B$9,Z$16,Z$17,Z$18,$G$20,$H$20))</f>
        <v>4693</v>
      </c>
      <c r="AA20" s="69">
        <f>SUM(O20:Z20)</f>
        <v>56333</v>
      </c>
      <c r="AB20" s="67"/>
      <c r="AC20" s="67"/>
      <c r="AD20" s="69">
        <f>IF(_epmOfflineCondition_,70654.54234854,_xll.EVGTS($B$1,1,$B$3,$B$5,$B$7,$B$9,AD$16,AD$17,AD$18,$G$20,$H$20))</f>
        <v>70654.542348539995</v>
      </c>
      <c r="AE20" s="67"/>
      <c r="AF20" s="67"/>
      <c r="AG20" s="69">
        <f>IF(_epmOfflineCondition_,42457,_xll.EVGTS($B$1,1,$B$3,$B$5,$B$7,$B$9,AG$16,AG$17,AG$18,$G$20,$H$20))</f>
        <v>42457</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IF(_epmOfflineCondition_,"'FB_KPI'!$A$37:$B$58",_xll.EVRNG($A$37:$B$58))</f>
        <v>'FB_KPI'!$A$37:$B$58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IF(_epmOfflineCondition_,"Food &amp; Beverage Department",IF(_xll.EVDES(B6,$B$1)="#NODATA","",_xll.EVDES(B6,$B$1)&amp;" Department"))</f>
        <v>Food &amp; Beverage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83"/>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v>48525.14</v>
      </c>
      <c r="P35" s="138">
        <v>48569.75</v>
      </c>
      <c r="Q35" s="138">
        <v>63340.91</v>
      </c>
      <c r="R35" s="138">
        <v>56711.46</v>
      </c>
      <c r="S35" s="138">
        <v>49144.66</v>
      </c>
      <c r="T35" s="138">
        <v>35027.9</v>
      </c>
      <c r="U35" s="138">
        <v>40048.04</v>
      </c>
      <c r="V35" s="138">
        <v>30635.200000000001</v>
      </c>
      <c r="W35" s="138">
        <v>24787.040000000001</v>
      </c>
      <c r="X35" s="138">
        <v>25101.98</v>
      </c>
      <c r="Y35" s="138">
        <v>35932.47</v>
      </c>
      <c r="Z35" s="138">
        <v>45017.53</v>
      </c>
      <c r="AA35" s="138">
        <f t="shared" ref="AA35:AA40" si="0">SUM(O35:Z35)</f>
        <v>502842.07999999996</v>
      </c>
      <c r="AB35" s="142">
        <f>IF(AA35=0,"",IFERROR(AA35/AA$19,""))</f>
        <v>0.25791729181029144</v>
      </c>
      <c r="AC35" s="140"/>
      <c r="AD35" s="138">
        <v>520831.45250000001</v>
      </c>
      <c r="AE35" s="142">
        <f>IF(AD35=0,"",IFERROR(AD35/AD$19,""))</f>
        <v>0.20343950313976503</v>
      </c>
      <c r="AF35" s="141">
        <f t="shared" ref="AF35:AF41" si="1">IF(AND($AA35="",AD35=""),"",$AA35-AD35)</f>
        <v>-17989.372500000056</v>
      </c>
      <c r="AG35" s="138">
        <v>205933.17</v>
      </c>
      <c r="AH35" s="142">
        <f>IF(AG35=0,"",IFERROR(AG35/AG$19,""))</f>
        <v>0.15491865515374906</v>
      </c>
      <c r="AI35" s="141">
        <f t="shared" ref="AI35:AI41" si="2">IF(AND($AA35="",AG35=""),"",$AA35-AG35)</f>
        <v>296908.90999999992</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v>1727</v>
      </c>
      <c r="P36" s="138">
        <v>2601</v>
      </c>
      <c r="Q36" s="138">
        <v>2733</v>
      </c>
      <c r="R36" s="138">
        <v>2061.67</v>
      </c>
      <c r="S36" s="138">
        <v>2428</v>
      </c>
      <c r="T36" s="138">
        <v>1394.01</v>
      </c>
      <c r="U36" s="138">
        <v>2488</v>
      </c>
      <c r="V36" s="138">
        <v>1524</v>
      </c>
      <c r="W36" s="138">
        <v>1967</v>
      </c>
      <c r="X36" s="138">
        <v>1379</v>
      </c>
      <c r="Y36" s="138">
        <v>1338.1</v>
      </c>
      <c r="Z36" s="138">
        <v>1450.4</v>
      </c>
      <c r="AA36" s="138">
        <f t="shared" si="0"/>
        <v>23091.18</v>
      </c>
      <c r="AB36" s="142">
        <f>IF(AA36=0,"",IFERROR(AA36/AA$19,""))</f>
        <v>1.1843906560691911E-2</v>
      </c>
      <c r="AC36" s="140"/>
      <c r="AD36" s="138">
        <v>38440.589999999997</v>
      </c>
      <c r="AE36" s="142">
        <f>IF(AD36=0,"",IFERROR(AD36/AD$19,""))</f>
        <v>1.5015096520115439E-2</v>
      </c>
      <c r="AF36" s="141">
        <f t="shared" si="1"/>
        <v>-15349.409999999996</v>
      </c>
      <c r="AG36" s="138">
        <v>6693.07</v>
      </c>
      <c r="AH36" s="142">
        <f>IF(AG36=0,"",IFERROR(AG36/AG$19,""))</f>
        <v>5.0350383245686119E-3</v>
      </c>
      <c r="AI36" s="141">
        <f t="shared" si="2"/>
        <v>16398.11</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v>368</v>
      </c>
      <c r="P37" s="138">
        <v>440</v>
      </c>
      <c r="Q37" s="138">
        <v>454</v>
      </c>
      <c r="R37" s="138">
        <v>397</v>
      </c>
      <c r="S37" s="138">
        <v>454</v>
      </c>
      <c r="T37" s="138">
        <v>231.5</v>
      </c>
      <c r="U37" s="138">
        <v>368</v>
      </c>
      <c r="V37" s="138">
        <v>123</v>
      </c>
      <c r="W37" s="138">
        <v>196</v>
      </c>
      <c r="X37" s="138">
        <v>239</v>
      </c>
      <c r="Y37" s="138">
        <v>150</v>
      </c>
      <c r="Z37" s="138">
        <v>148</v>
      </c>
      <c r="AA37" s="138">
        <f t="shared" si="0"/>
        <v>3568.5</v>
      </c>
      <c r="AB37" s="142">
        <f>IF(AA37=0,"",IFERROR(AA37/AA$19,""))</f>
        <v>1.8303516997324987E-3</v>
      </c>
      <c r="AC37" s="140"/>
      <c r="AD37" s="138">
        <v>3203.3825000000002</v>
      </c>
      <c r="AE37" s="142">
        <f>IF(AD37=0,"",IFERROR(AD37/AD$19,""))</f>
        <v>1.2512580433429535E-3</v>
      </c>
      <c r="AF37" s="141">
        <f t="shared" si="1"/>
        <v>365.11749999999984</v>
      </c>
      <c r="AG37" s="138">
        <v>740</v>
      </c>
      <c r="AH37" s="142">
        <f>IF(AG37=0,"",IFERROR(AG37/AG$19,""))</f>
        <v>5.5668450504488569E-4</v>
      </c>
      <c r="AI37" s="141">
        <f t="shared" si="2"/>
        <v>2828.5</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v>3483</v>
      </c>
      <c r="P38" s="215">
        <v>5248.4</v>
      </c>
      <c r="Q38" s="215">
        <v>5335</v>
      </c>
      <c r="R38" s="215">
        <v>5144</v>
      </c>
      <c r="S38" s="215">
        <v>5683</v>
      </c>
      <c r="T38" s="215">
        <v>3626</v>
      </c>
      <c r="U38" s="215">
        <v>3115</v>
      </c>
      <c r="V38" s="215">
        <v>2920</v>
      </c>
      <c r="W38" s="215">
        <v>2701</v>
      </c>
      <c r="X38" s="215">
        <v>1476</v>
      </c>
      <c r="Y38" s="215">
        <v>1659.1</v>
      </c>
      <c r="Z38" s="215">
        <v>2847.7</v>
      </c>
      <c r="AA38" s="215">
        <f t="shared" si="0"/>
        <v>43238.2</v>
      </c>
      <c r="AB38" s="217">
        <f>IF(AA38=0,"",IFERROR(AA38/AA$19,""))</f>
        <v>2.2177697313541748E-2</v>
      </c>
      <c r="AC38" s="140"/>
      <c r="AD38" s="215">
        <v>96101.475000000006</v>
      </c>
      <c r="AE38" s="217">
        <f>IF(AD38=0,"",IFERROR(AD38/AD$19,""))</f>
        <v>3.7537741300288606E-2</v>
      </c>
      <c r="AF38" s="218">
        <f t="shared" si="1"/>
        <v>-52863.275000000009</v>
      </c>
      <c r="AG38" s="215">
        <v>17115.099999999999</v>
      </c>
      <c r="AH38" s="217">
        <f>IF(AG38=0,"",IFERROR(AG38/AG$19,""))</f>
        <v>1.2875285097694218E-2</v>
      </c>
      <c r="AI38" s="218">
        <f t="shared" si="2"/>
        <v>26123.1</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v>54103.14</v>
      </c>
      <c r="P39" s="162">
        <v>56859.15</v>
      </c>
      <c r="Q39" s="162">
        <v>71862.91</v>
      </c>
      <c r="R39" s="162">
        <v>64314.13</v>
      </c>
      <c r="S39" s="162">
        <v>57709.66</v>
      </c>
      <c r="T39" s="162">
        <v>40279.410000000003</v>
      </c>
      <c r="U39" s="162">
        <v>46019.040000000001</v>
      </c>
      <c r="V39" s="162">
        <v>35202.199999999997</v>
      </c>
      <c r="W39" s="162">
        <v>29651.040000000001</v>
      </c>
      <c r="X39" s="162">
        <v>28195.98</v>
      </c>
      <c r="Y39" s="162">
        <v>39079.67</v>
      </c>
      <c r="Z39" s="162">
        <v>49463.63</v>
      </c>
      <c r="AA39" s="162">
        <f t="shared" si="0"/>
        <v>572739.96</v>
      </c>
      <c r="AB39" s="163">
        <f>IF(AA39=0,"",IFERROR(AA39/AA$19,""))</f>
        <v>0.29376924738425764</v>
      </c>
      <c r="AC39" s="140"/>
      <c r="AD39" s="162">
        <v>658576.9</v>
      </c>
      <c r="AE39" s="163">
        <f>IF(AD39=0,"",IFERROR(AD39/AD$19,""))</f>
        <v>0.25724359900351201</v>
      </c>
      <c r="AF39" s="164">
        <f t="shared" si="1"/>
        <v>-85836.940000000061</v>
      </c>
      <c r="AG39" s="162">
        <v>230481.34</v>
      </c>
      <c r="AH39" s="163">
        <f>IF(AG39=0,"",IFERROR(AG39/AG$19,""))</f>
        <v>0.17338566308105677</v>
      </c>
      <c r="AI39" s="164">
        <f t="shared" si="2"/>
        <v>342258.62</v>
      </c>
    </row>
    <row r="40" spans="1:35" x14ac:dyDescent="0.25">
      <c r="A40" s="65" t="s">
        <v>28</v>
      </c>
      <c r="B40" s="66"/>
      <c r="C40" s="11"/>
      <c r="D40" s="11"/>
      <c r="E40" s="11"/>
      <c r="F40" s="11"/>
      <c r="G40" s="11"/>
      <c r="H40" s="88" t="s">
        <v>297</v>
      </c>
      <c r="I40" s="122" t="str">
        <f>IF(_epmOfflineCondition_,"N",_xll.EVPRO($B$1,$H40,"STYLE"))</f>
        <v>N</v>
      </c>
      <c r="J40" s="122" t="str">
        <f>IF(_epmOfflineCondition_,"N",_xll.EVPRO($B$1,$H40,"CALC"))</f>
        <v>N</v>
      </c>
      <c r="K40" s="90"/>
      <c r="L40" s="90" t="str">
        <f>IF(_epmOfflineCondition_,"946100",_xll.EVPRO($B$1,H40,"JDEID"))</f>
        <v>946100</v>
      </c>
      <c r="M40" s="90" t="str">
        <f>IF(_epmOfflineCondition_,"991501",IF(AND(I40="N",J40="N"),_xll.EVPRO($B$1,H40,"PSFTID"),""))</f>
        <v>991501</v>
      </c>
      <c r="N40" s="90" t="str">
        <f>IF(_epmOfflineCondition_,"Breakfast Customers",IF(_xll.EVDES(H40,$B$1)="#NODATA","",_xll.EVDES(H40,$B$1)))</f>
        <v>Breakfast Customers</v>
      </c>
      <c r="O40" s="231">
        <v>2011</v>
      </c>
      <c r="P40" s="231">
        <v>2004</v>
      </c>
      <c r="Q40" s="231">
        <v>2099</v>
      </c>
      <c r="R40" s="231">
        <v>2175</v>
      </c>
      <c r="S40" s="231">
        <v>1889</v>
      </c>
      <c r="T40" s="231">
        <v>1480</v>
      </c>
      <c r="U40" s="231">
        <v>1727</v>
      </c>
      <c r="V40" s="231">
        <v>1359</v>
      </c>
      <c r="W40" s="231">
        <v>1055</v>
      </c>
      <c r="X40" s="231">
        <v>1159</v>
      </c>
      <c r="Y40" s="231">
        <v>1587</v>
      </c>
      <c r="Z40" s="231">
        <v>1955</v>
      </c>
      <c r="AA40" s="231">
        <f t="shared" si="0"/>
        <v>20500</v>
      </c>
      <c r="AB40" s="233">
        <f>IF(AA40=0,"",IFERROR(AA40/AA$104,""))</f>
        <v>0.36390747874247775</v>
      </c>
      <c r="AC40" s="140"/>
      <c r="AD40" s="231">
        <v>22161.439999999999</v>
      </c>
      <c r="AE40" s="233">
        <f>IF(AD40=0,"",IFERROR(AD40/AD$104,""))</f>
        <v>0.31365909767948474</v>
      </c>
      <c r="AF40" s="234">
        <f t="shared" si="1"/>
        <v>-1661.4399999999987</v>
      </c>
      <c r="AG40" s="231">
        <v>9064</v>
      </c>
      <c r="AH40" s="233">
        <f>IF(AG40=0,"",IFERROR(AG40/AG$104,""))</f>
        <v>0.21348658642862189</v>
      </c>
      <c r="AI40" s="234">
        <f t="shared" si="2"/>
        <v>11436</v>
      </c>
    </row>
    <row r="41" spans="1:35" x14ac:dyDescent="0.25">
      <c r="A41" s="65" t="s">
        <v>29</v>
      </c>
      <c r="B41" s="66"/>
      <c r="C41" s="11"/>
      <c r="D41" s="11"/>
      <c r="E41" s="11"/>
      <c r="F41" s="11"/>
      <c r="G41" s="11"/>
      <c r="H41" s="88" t="s">
        <v>313</v>
      </c>
      <c r="I41" s="122" t="str">
        <f>IF(_epmOfflineCondition_,"N",_xll.EVPRO($B$1,$H41,"STYLE"))</f>
        <v>N</v>
      </c>
      <c r="J41" s="122" t="str">
        <f>IF(_epmOfflineCondition_,"Y",_xll.EVPRO($B$1,$H41,"CALC"))</f>
        <v>Y</v>
      </c>
      <c r="K41" s="90"/>
      <c r="L41" s="90" t="str">
        <f>IF(_epmOfflineCondition_,"",_xll.EVPRO($B$1,H41,"JDEID"))</f>
        <v/>
      </c>
      <c r="M41" s="90" t="str">
        <f>IF(_epmOfflineCondition_,"",IF(AND(I41="N",J41="N"),_xll.EVPRO($B$1,H41,"PSFTID"),""))</f>
        <v/>
      </c>
      <c r="N41" s="190" t="str">
        <f>IF(_epmOfflineCondition_,"Breakfast - Average Check",IF(_xll.EVDES(H41,$B$1)="#NODATA","",_xll.EVDES(H41,$B$1)))</f>
        <v>Breakfast - Average Check</v>
      </c>
      <c r="O41" s="495">
        <v>26.903600198905998</v>
      </c>
      <c r="P41" s="495">
        <v>28.372829341317399</v>
      </c>
      <c r="Q41" s="495">
        <v>34.236736541210099</v>
      </c>
      <c r="R41" s="495">
        <v>29.569714942528702</v>
      </c>
      <c r="S41" s="495">
        <v>30.550375860243498</v>
      </c>
      <c r="T41" s="495">
        <v>27.215817567567601</v>
      </c>
      <c r="U41" s="495">
        <v>26.646809496236202</v>
      </c>
      <c r="V41" s="495">
        <v>25.903016924208998</v>
      </c>
      <c r="W41" s="495">
        <v>28.105251184834099</v>
      </c>
      <c r="X41" s="495">
        <v>24.327851596203601</v>
      </c>
      <c r="Y41" s="495">
        <v>24.624870825456799</v>
      </c>
      <c r="Z41" s="495">
        <v>25.301089514066501</v>
      </c>
      <c r="AA41" s="495">
        <f>IFERROR(AA39/AA40,"")</f>
        <v>27.93853463414634</v>
      </c>
      <c r="AB41" s="495"/>
      <c r="AC41" s="140"/>
      <c r="AD41" s="495">
        <v>29.717243103336202</v>
      </c>
      <c r="AE41" s="495"/>
      <c r="AF41" s="496">
        <f t="shared" si="1"/>
        <v>-1.778708469189862</v>
      </c>
      <c r="AG41" s="495">
        <v>25.428214916151799</v>
      </c>
      <c r="AH41" s="495"/>
      <c r="AI41" s="496">
        <f t="shared" si="2"/>
        <v>2.5103197179945411</v>
      </c>
    </row>
    <row r="42" spans="1:35" x14ac:dyDescent="0.25">
      <c r="A42" s="65" t="s">
        <v>30</v>
      </c>
      <c r="B42" s="66" t="s">
        <v>78</v>
      </c>
      <c r="C42" s="11"/>
      <c r="D42" s="11"/>
      <c r="E42" s="11"/>
      <c r="F42" s="11"/>
      <c r="G42" s="490">
        <f>COUNTIF(O43:AI43,FALSE)</f>
        <v>0</v>
      </c>
      <c r="H42" s="88"/>
      <c r="I42" s="122"/>
      <c r="J42" s="122"/>
      <c r="K42" s="90"/>
      <c r="L42" s="90"/>
      <c r="M42" s="90"/>
      <c r="N42" s="491" t="s">
        <v>345</v>
      </c>
      <c r="O42" s="497">
        <f t="shared" ref="O42:AA42" si="3">ROUND(IFERROR(O39/O40,0),2)</f>
        <v>26.9</v>
      </c>
      <c r="P42" s="498">
        <f t="shared" si="3"/>
        <v>28.37</v>
      </c>
      <c r="Q42" s="498">
        <f t="shared" si="3"/>
        <v>34.24</v>
      </c>
      <c r="R42" s="498">
        <f t="shared" si="3"/>
        <v>29.57</v>
      </c>
      <c r="S42" s="498">
        <f t="shared" si="3"/>
        <v>30.55</v>
      </c>
      <c r="T42" s="498">
        <f t="shared" si="3"/>
        <v>27.22</v>
      </c>
      <c r="U42" s="498">
        <f t="shared" si="3"/>
        <v>26.65</v>
      </c>
      <c r="V42" s="498">
        <f t="shared" si="3"/>
        <v>25.9</v>
      </c>
      <c r="W42" s="498">
        <f t="shared" si="3"/>
        <v>28.11</v>
      </c>
      <c r="X42" s="498">
        <f t="shared" si="3"/>
        <v>24.33</v>
      </c>
      <c r="Y42" s="498">
        <f t="shared" si="3"/>
        <v>24.62</v>
      </c>
      <c r="Z42" s="498">
        <f t="shared" si="3"/>
        <v>25.3</v>
      </c>
      <c r="AA42" s="498">
        <f t="shared" si="3"/>
        <v>27.94</v>
      </c>
      <c r="AB42" s="499"/>
      <c r="AC42" s="140"/>
      <c r="AD42" s="497">
        <f>ROUND(IFERROR(AD39/AD40,0),2)</f>
        <v>29.72</v>
      </c>
      <c r="AE42" s="498"/>
      <c r="AF42" s="155"/>
      <c r="AG42" s="497">
        <f>ROUND(IFERROR(AG39/AG40,0),2)</f>
        <v>25.43</v>
      </c>
      <c r="AH42" s="498"/>
      <c r="AI42" s="155"/>
    </row>
    <row r="43" spans="1:35" x14ac:dyDescent="0.25">
      <c r="A43" s="65" t="s">
        <v>31</v>
      </c>
      <c r="B43" s="66" t="s">
        <v>78</v>
      </c>
      <c r="C43" s="11"/>
      <c r="D43" s="11"/>
      <c r="E43" s="11"/>
      <c r="F43" s="11"/>
      <c r="G43" s="11"/>
      <c r="H43" s="88"/>
      <c r="I43" s="122"/>
      <c r="J43" s="122"/>
      <c r="K43" s="90"/>
      <c r="L43" s="90"/>
      <c r="M43" s="90"/>
      <c r="N43" s="53" t="s">
        <v>314</v>
      </c>
      <c r="O43" s="500" t="b">
        <f t="shared" ref="O43:AA43" si="4">ROUND(O41,2)=ROUND(O42,2)</f>
        <v>1</v>
      </c>
      <c r="P43" s="501" t="b">
        <f t="shared" si="4"/>
        <v>1</v>
      </c>
      <c r="Q43" s="501" t="b">
        <f t="shared" si="4"/>
        <v>1</v>
      </c>
      <c r="R43" s="501" t="b">
        <f t="shared" si="4"/>
        <v>1</v>
      </c>
      <c r="S43" s="501" t="b">
        <f t="shared" si="4"/>
        <v>1</v>
      </c>
      <c r="T43" s="501" t="b">
        <f t="shared" si="4"/>
        <v>1</v>
      </c>
      <c r="U43" s="501" t="b">
        <f t="shared" si="4"/>
        <v>1</v>
      </c>
      <c r="V43" s="501" t="b">
        <f t="shared" si="4"/>
        <v>1</v>
      </c>
      <c r="W43" s="501" t="b">
        <f t="shared" si="4"/>
        <v>1</v>
      </c>
      <c r="X43" s="501" t="b">
        <f t="shared" si="4"/>
        <v>1</v>
      </c>
      <c r="Y43" s="501" t="b">
        <f t="shared" si="4"/>
        <v>1</v>
      </c>
      <c r="Z43" s="501" t="b">
        <f t="shared" si="4"/>
        <v>1</v>
      </c>
      <c r="AA43" s="501" t="b">
        <f t="shared" si="4"/>
        <v>1</v>
      </c>
      <c r="AB43" s="502"/>
      <c r="AC43" s="503"/>
      <c r="AD43" s="500"/>
      <c r="AE43" s="501" t="b">
        <f>ROUND(AD41,2)=ROUND(AD42,2)</f>
        <v>1</v>
      </c>
      <c r="AF43" s="502"/>
      <c r="AG43" s="500"/>
      <c r="AH43" s="501" t="b">
        <f>ROUND(AG41,2)=ROUND(AG42,2)</f>
        <v>1</v>
      </c>
      <c r="AI43" s="502"/>
    </row>
    <row r="44" spans="1:35" x14ac:dyDescent="0.25">
      <c r="A44" s="65" t="s">
        <v>32</v>
      </c>
      <c r="B44" s="66"/>
      <c r="C44" s="11"/>
      <c r="D44" s="11"/>
      <c r="E44" s="11"/>
      <c r="F44" s="11"/>
      <c r="G44" s="11"/>
      <c r="H44" s="88" t="s">
        <v>261</v>
      </c>
      <c r="I44" s="122" t="str">
        <f>IF(_epmOfflineCondition_,"T5",_xll.EVPRO($B$1,$H44,"STYLE"))</f>
        <v>T5</v>
      </c>
      <c r="J44" s="122" t="str">
        <f>IF(_epmOfflineCondition_,"Y",_xll.EVPRO($B$1,$H44,"CALC"))</f>
        <v>Y</v>
      </c>
      <c r="K44" s="90"/>
      <c r="L44" s="90" t="str">
        <f>IF(_epmOfflineCondition_,"462100",_xll.EVPRO($B$1,H44,"JDEID"))</f>
        <v>462100</v>
      </c>
      <c r="M44" s="90" t="str">
        <f>IF(_epmOfflineCondition_,"",IF(AND(I44="N",J44="N"),_xll.EVPRO($B$1,H44,"PSFTID"),""))</f>
        <v/>
      </c>
      <c r="N44" s="90" t="str">
        <f>IF(_epmOfflineCondition_,"Lunch Food",IF(_xll.EVDES(H44,$B$1)="#NODATA","",_xll.EVDES(H44,$B$1)))</f>
        <v>Lunch Food</v>
      </c>
      <c r="O44" s="138">
        <v>12426</v>
      </c>
      <c r="P44" s="138">
        <v>26386</v>
      </c>
      <c r="Q44" s="138">
        <v>52405.5</v>
      </c>
      <c r="R44" s="138">
        <v>40503.4</v>
      </c>
      <c r="S44" s="138">
        <v>31562.76</v>
      </c>
      <c r="T44" s="138">
        <v>26732.6</v>
      </c>
      <c r="U44" s="138">
        <v>23924.799999999999</v>
      </c>
      <c r="V44" s="138">
        <v>15840.84</v>
      </c>
      <c r="W44" s="138">
        <v>8169</v>
      </c>
      <c r="X44" s="138">
        <v>11743</v>
      </c>
      <c r="Y44" s="138">
        <v>21248.5</v>
      </c>
      <c r="Z44" s="138">
        <v>17149.599999999999</v>
      </c>
      <c r="AA44" s="138">
        <f t="shared" ref="AA44:AA49" si="5">SUM(O44:Z44)</f>
        <v>288092</v>
      </c>
      <c r="AB44" s="142">
        <f>IF(AA44=0,"",IFERROR(AA44/AA$19,""))</f>
        <v>0.14776788058829621</v>
      </c>
      <c r="AC44" s="140"/>
      <c r="AD44" s="138">
        <v>249169.88886295899</v>
      </c>
      <c r="AE44" s="142">
        <f>IF(AD44=0,"",IFERROR(AD44/AD$19,""))</f>
        <v>9.7327068371837341E-2</v>
      </c>
      <c r="AF44" s="141">
        <f t="shared" ref="AF44:AF50" si="6">IF(AND($AA44="",AD44=""),"",$AA44-AD44)</f>
        <v>38922.111137041007</v>
      </c>
      <c r="AG44" s="138">
        <v>207872.46</v>
      </c>
      <c r="AH44" s="142">
        <f>IF(AG44=0,"",IFERROR(AG44/AG$19,""))</f>
        <v>0.15637753717238215</v>
      </c>
      <c r="AI44" s="141">
        <f t="shared" ref="AI44:AI50" si="7">IF(AND($AA44="",AG44=""),"",$AA44-AG44)</f>
        <v>80219.540000000008</v>
      </c>
    </row>
    <row r="45" spans="1:35" x14ac:dyDescent="0.25">
      <c r="A45" s="65" t="s">
        <v>33</v>
      </c>
      <c r="B45" s="66"/>
      <c r="C45" s="11"/>
      <c r="D45" s="11"/>
      <c r="E45" s="11"/>
      <c r="F45" s="11"/>
      <c r="G45" s="11"/>
      <c r="H45" s="185" t="s">
        <v>301</v>
      </c>
      <c r="I45" s="122" t="str">
        <f>IF(_epmOfflineCondition_,"T6",_xll.EVPRO($B$1,$H45,"STYLE"))</f>
        <v>T6</v>
      </c>
      <c r="J45" s="122" t="str">
        <f>IF(_epmOfflineCondition_,"Y",_xll.EVPRO($B$1,$H45,"CALC"))</f>
        <v>Y</v>
      </c>
      <c r="K45" s="90"/>
      <c r="L45" s="90" t="str">
        <f>IF(_epmOfflineCondition_,"462200",_xll.EVPRO($B$1,H45,"JDEID"))</f>
        <v>462200</v>
      </c>
      <c r="M45" s="90" t="str">
        <f>IF(_epmOfflineCondition_,"",IF(AND(I45="N",J45="N"),_xll.EVPRO($B$1,H45,"PSFTID"),""))</f>
        <v/>
      </c>
      <c r="N45" s="90" t="str">
        <f>IF(_epmOfflineCondition_,"Lunch Liquor",IF(_xll.EVDES(H45,$B$1)="#NODATA","",_xll.EVDES(H45,$B$1)))</f>
        <v>Lunch Liquor</v>
      </c>
      <c r="O45" s="138">
        <v>12495</v>
      </c>
      <c r="P45" s="138">
        <v>24003</v>
      </c>
      <c r="Q45" s="138">
        <v>25398</v>
      </c>
      <c r="R45" s="138">
        <v>22282.51</v>
      </c>
      <c r="S45" s="138">
        <v>22548.66</v>
      </c>
      <c r="T45" s="138">
        <v>13892.4</v>
      </c>
      <c r="U45" s="138">
        <v>18145.5</v>
      </c>
      <c r="V45" s="138">
        <v>12808.5</v>
      </c>
      <c r="W45" s="138">
        <v>12508.4</v>
      </c>
      <c r="X45" s="138">
        <v>9769</v>
      </c>
      <c r="Y45" s="138">
        <v>11578.4</v>
      </c>
      <c r="Z45" s="138">
        <v>7564.2</v>
      </c>
      <c r="AA45" s="138">
        <f t="shared" si="5"/>
        <v>192993.57</v>
      </c>
      <c r="AB45" s="142">
        <f>IF(AA45=0,"",IFERROR(AA45/AA$19,""))</f>
        <v>9.8990082355875864E-2</v>
      </c>
      <c r="AC45" s="140"/>
      <c r="AD45" s="138">
        <v>363665.85140055598</v>
      </c>
      <c r="AE45" s="142">
        <f>IF(AD45=0,"",IFERROR(AD45/AD$19,""))</f>
        <v>0.14204979319644437</v>
      </c>
      <c r="AF45" s="141">
        <f t="shared" si="6"/>
        <v>-170672.28140055598</v>
      </c>
      <c r="AG45" s="138">
        <v>257808.19</v>
      </c>
      <c r="AH45" s="142">
        <f>IF(AG45=0,"",IFERROR(AG45/AG$19,""))</f>
        <v>0.19394300627928085</v>
      </c>
      <c r="AI45" s="141">
        <f t="shared" si="7"/>
        <v>-64814.619999999995</v>
      </c>
    </row>
    <row r="46" spans="1:35" x14ac:dyDescent="0.25">
      <c r="A46" s="65" t="s">
        <v>34</v>
      </c>
      <c r="B46" s="66"/>
      <c r="C46" s="11"/>
      <c r="D46" s="11"/>
      <c r="E46" s="11"/>
      <c r="F46" s="11"/>
      <c r="G46" s="11"/>
      <c r="H46" s="185" t="s">
        <v>305</v>
      </c>
      <c r="I46" s="122" t="str">
        <f>IF(_epmOfflineCondition_,"T6",_xll.EVPRO($B$1,$H46,"STYLE"))</f>
        <v>T6</v>
      </c>
      <c r="J46" s="122" t="str">
        <f>IF(_epmOfflineCondition_,"Y",_xll.EVPRO($B$1,$H46,"CALC"))</f>
        <v>Y</v>
      </c>
      <c r="K46" s="90"/>
      <c r="L46" s="90" t="str">
        <f>IF(_epmOfflineCondition_,"462300",_xll.EVPRO($B$1,H46,"JDEID"))</f>
        <v>462300</v>
      </c>
      <c r="M46" s="90" t="str">
        <f>IF(_epmOfflineCondition_,"",IF(AND(I46="N",J46="N"),_xll.EVPRO($B$1,H46,"PSFTID"),""))</f>
        <v/>
      </c>
      <c r="N46" s="90" t="str">
        <f>IF(_epmOfflineCondition_,"Lunch Beer",IF(_xll.EVDES(H46,$B$1)="#NODATA","",_xll.EVDES(H46,$B$1)))</f>
        <v>Lunch Beer</v>
      </c>
      <c r="O46" s="138">
        <v>1955</v>
      </c>
      <c r="P46" s="138">
        <v>3029</v>
      </c>
      <c r="Q46" s="138">
        <v>3923</v>
      </c>
      <c r="R46" s="138">
        <v>4218</v>
      </c>
      <c r="S46" s="138">
        <v>3467.6</v>
      </c>
      <c r="T46" s="138">
        <v>2453.6</v>
      </c>
      <c r="U46" s="138">
        <v>4300</v>
      </c>
      <c r="V46" s="138">
        <v>2596</v>
      </c>
      <c r="W46" s="138">
        <v>1991</v>
      </c>
      <c r="X46" s="138">
        <v>2298</v>
      </c>
      <c r="Y46" s="138">
        <v>2786</v>
      </c>
      <c r="Z46" s="138">
        <v>2000</v>
      </c>
      <c r="AA46" s="138">
        <f t="shared" si="5"/>
        <v>35017.199999999997</v>
      </c>
      <c r="AB46" s="142">
        <f>IF(AA46=0,"",IFERROR(AA46/AA$19,""))</f>
        <v>1.7960989642671388E-2</v>
      </c>
      <c r="AC46" s="140"/>
      <c r="AD46" s="138">
        <v>30033.186672299998</v>
      </c>
      <c r="AE46" s="142">
        <f>IF(AD46=0,"",IFERROR(AD46/AD$19,""))</f>
        <v>1.1731120586110389E-2</v>
      </c>
      <c r="AF46" s="141">
        <f t="shared" si="6"/>
        <v>4984.0133276999986</v>
      </c>
      <c r="AG46" s="138">
        <v>24158</v>
      </c>
      <c r="AH46" s="142">
        <f>IF(AG46=0,"",IFERROR(AG46/AG$19,""))</f>
        <v>1.8173492260641008E-2</v>
      </c>
      <c r="AI46" s="141">
        <f t="shared" si="7"/>
        <v>10859.199999999997</v>
      </c>
    </row>
    <row r="47" spans="1:35" x14ac:dyDescent="0.25">
      <c r="A47" s="65" t="s">
        <v>35</v>
      </c>
      <c r="B47" s="66"/>
      <c r="C47" s="11"/>
      <c r="D47" s="11"/>
      <c r="E47" s="11"/>
      <c r="F47" s="11"/>
      <c r="G47" s="11"/>
      <c r="H47" s="185" t="s">
        <v>303</v>
      </c>
      <c r="I47" s="122" t="str">
        <f>IF(_epmOfflineCondition_,"T6",_xll.EVPRO($B$1,$H47,"STYLE"))</f>
        <v>T6</v>
      </c>
      <c r="J47" s="122" t="str">
        <f>IF(_epmOfflineCondition_,"Y",_xll.EVPRO($B$1,$H47,"CALC"))</f>
        <v>Y</v>
      </c>
      <c r="K47" s="90"/>
      <c r="L47" s="90" t="str">
        <f>IF(_epmOfflineCondition_,"462400",_xll.EVPRO($B$1,H47,"JDEID"))</f>
        <v>462400</v>
      </c>
      <c r="M47" s="90" t="str">
        <f>IF(_epmOfflineCondition_,"",IF(AND(I47="N",J47="N"),_xll.EVPRO($B$1,H47,"PSFTID"),""))</f>
        <v/>
      </c>
      <c r="N47" s="90" t="str">
        <f>IF(_epmOfflineCondition_,"Lunch Wine",IF(_xll.EVDES(H47,$B$1)="#NODATA","",_xll.EVDES(H47,$B$1)))</f>
        <v>Lunch Wine</v>
      </c>
      <c r="O47" s="215">
        <v>2987.92</v>
      </c>
      <c r="P47" s="215">
        <v>2148</v>
      </c>
      <c r="Q47" s="215">
        <v>2354</v>
      </c>
      <c r="R47" s="215">
        <v>1708</v>
      </c>
      <c r="S47" s="215">
        <v>1648.4</v>
      </c>
      <c r="T47" s="215">
        <v>1190.5</v>
      </c>
      <c r="U47" s="215">
        <v>807</v>
      </c>
      <c r="V47" s="215">
        <v>391</v>
      </c>
      <c r="W47" s="215">
        <v>510</v>
      </c>
      <c r="X47" s="215">
        <v>1167</v>
      </c>
      <c r="Y47" s="215">
        <v>1344.4</v>
      </c>
      <c r="Z47" s="215">
        <v>520.20000000000005</v>
      </c>
      <c r="AA47" s="215">
        <f t="shared" si="5"/>
        <v>16776.419999999998</v>
      </c>
      <c r="AB47" s="217">
        <f>IF(AA47=0,"",IFERROR(AA47/AA$19,""))</f>
        <v>8.6049457369836869E-3</v>
      </c>
      <c r="AC47" s="140"/>
      <c r="AD47" s="215">
        <v>41090.070065400003</v>
      </c>
      <c r="AE47" s="217">
        <f>IF(AD47=0,"",IFERROR(AD47/AD$19,""))</f>
        <v>1.6049997360870039E-2</v>
      </c>
      <c r="AF47" s="218">
        <f t="shared" si="6"/>
        <v>-24313.650065400005</v>
      </c>
      <c r="AG47" s="215">
        <v>40765.94</v>
      </c>
      <c r="AH47" s="217">
        <f>IF(AG47=0,"",IFERROR(AG47/AG$19,""))</f>
        <v>3.0667252880526359E-2</v>
      </c>
      <c r="AI47" s="218">
        <f t="shared" si="7"/>
        <v>-23989.520000000004</v>
      </c>
    </row>
    <row r="48" spans="1:35" x14ac:dyDescent="0.25">
      <c r="A48" s="65" t="s">
        <v>36</v>
      </c>
      <c r="B48" s="66"/>
      <c r="C48" s="11"/>
      <c r="D48" s="11"/>
      <c r="E48" s="11"/>
      <c r="F48" s="11"/>
      <c r="G48" s="11"/>
      <c r="H48" s="88" t="s">
        <v>319</v>
      </c>
      <c r="I48" s="122" t="str">
        <f>IF(_epmOfflineCondition_,"N",_xll.EVPRO($B$1,$H48,"STYLE"))</f>
        <v>N</v>
      </c>
      <c r="J48" s="122" t="str">
        <f>IF(_epmOfflineCondition_,"Y",_xll.EVPRO($B$1,$H48,"CALC"))</f>
        <v>Y</v>
      </c>
      <c r="K48" s="90"/>
      <c r="L48" s="90" t="str">
        <f>IF(_epmOfflineCondition_,"",_xll.EVPRO($B$1,H48,"JDEID"))</f>
        <v/>
      </c>
      <c r="M48" s="90" t="str">
        <f>IF(_epmOfflineCondition_,"",IF(AND(I48="N",J48="N"),_xll.EVPRO($B$1,H48,"PSFTID"),""))</f>
        <v/>
      </c>
      <c r="N48" s="106" t="str">
        <f>IF(_epmOfflineCondition_,"Lunch Revenue",IF(_xll.EVDES(H48,$B$1)="#NODATA","",_xll.EVDES(H48,$B$1)))</f>
        <v>Lunch Revenue</v>
      </c>
      <c r="O48" s="162">
        <v>29863.919999999998</v>
      </c>
      <c r="P48" s="162">
        <v>55566</v>
      </c>
      <c r="Q48" s="162">
        <v>84080.5</v>
      </c>
      <c r="R48" s="162">
        <v>68711.91</v>
      </c>
      <c r="S48" s="162">
        <v>59227.42</v>
      </c>
      <c r="T48" s="162">
        <v>44269.1</v>
      </c>
      <c r="U48" s="162">
        <v>47177.3</v>
      </c>
      <c r="V48" s="162">
        <v>31636.34</v>
      </c>
      <c r="W48" s="162">
        <v>23178.400000000001</v>
      </c>
      <c r="X48" s="162">
        <v>24977</v>
      </c>
      <c r="Y48" s="162">
        <v>36957.300000000003</v>
      </c>
      <c r="Z48" s="162">
        <v>27234</v>
      </c>
      <c r="AA48" s="162">
        <f t="shared" si="5"/>
        <v>532879.18999999994</v>
      </c>
      <c r="AB48" s="163">
        <f>IF(AA48=0,"",IFERROR(AA48/AA$19,""))</f>
        <v>0.27332389832382714</v>
      </c>
      <c r="AC48" s="140"/>
      <c r="AD48" s="162">
        <v>683958.997001215</v>
      </c>
      <c r="AE48" s="163">
        <f>IF(AD48=0,"",IFERROR(AD48/AD$19,""))</f>
        <v>0.26715797951526216</v>
      </c>
      <c r="AF48" s="164">
        <f t="shared" si="6"/>
        <v>-151079.80700121506</v>
      </c>
      <c r="AG48" s="162">
        <v>530604.59</v>
      </c>
      <c r="AH48" s="163">
        <f>IF(AG48=0,"",IFERROR(AG48/AG$19,""))</f>
        <v>0.39916128859283034</v>
      </c>
      <c r="AI48" s="164">
        <f t="shared" si="7"/>
        <v>2274.5999999999767</v>
      </c>
    </row>
    <row r="49" spans="1:35" x14ac:dyDescent="0.25">
      <c r="A49" s="65" t="s">
        <v>37</v>
      </c>
      <c r="B49" s="66"/>
      <c r="C49" s="11"/>
      <c r="D49" s="11"/>
      <c r="E49" s="11"/>
      <c r="F49" s="11"/>
      <c r="G49" s="11"/>
      <c r="H49" s="88" t="s">
        <v>298</v>
      </c>
      <c r="I49" s="122" t="str">
        <f>IF(_epmOfflineCondition_,"N",_xll.EVPRO($B$1,$H49,"STYLE"))</f>
        <v>N</v>
      </c>
      <c r="J49" s="122" t="str">
        <f>IF(_epmOfflineCondition_,"N",_xll.EVPRO($B$1,$H49,"CALC"))</f>
        <v>N</v>
      </c>
      <c r="K49" s="90"/>
      <c r="L49" s="90" t="str">
        <f>IF(_epmOfflineCondition_,"946200",_xll.EVPRO($B$1,H49,"JDEID"))</f>
        <v>946200</v>
      </c>
      <c r="M49" s="90" t="str">
        <f>IF(_epmOfflineCondition_,"991502",IF(AND(I49="N",J49="N"),_xll.EVPRO($B$1,H49,"PSFTID"),""))</f>
        <v>991502</v>
      </c>
      <c r="N49" s="90" t="str">
        <f>IF(_epmOfflineCondition_,"Lunch Customers",IF(_xll.EVDES(H49,$B$1)="#NODATA","",_xll.EVDES(H49,$B$1)))</f>
        <v>Lunch Customers</v>
      </c>
      <c r="O49" s="231">
        <v>793</v>
      </c>
      <c r="P49" s="231">
        <v>1498</v>
      </c>
      <c r="Q49" s="231">
        <v>1836</v>
      </c>
      <c r="R49" s="231">
        <v>1649</v>
      </c>
      <c r="S49" s="231">
        <v>1392</v>
      </c>
      <c r="T49" s="231">
        <v>1525</v>
      </c>
      <c r="U49" s="231">
        <v>1745</v>
      </c>
      <c r="V49" s="231">
        <v>1055</v>
      </c>
      <c r="W49" s="231">
        <v>1163</v>
      </c>
      <c r="X49" s="231">
        <v>584</v>
      </c>
      <c r="Y49" s="231">
        <v>1028</v>
      </c>
      <c r="Z49" s="231">
        <v>621</v>
      </c>
      <c r="AA49" s="231">
        <f t="shared" si="5"/>
        <v>14889</v>
      </c>
      <c r="AB49" s="233">
        <f>IF(AA49=0,"",IFERROR(AA49/AA$104,""))</f>
        <v>0.26430333907301229</v>
      </c>
      <c r="AC49" s="140"/>
      <c r="AD49" s="231">
        <v>19820.166666689998</v>
      </c>
      <c r="AE49" s="233">
        <f>IF(AD49=0,"",IFERROR(AD49/AD$104,""))</f>
        <v>0.28052218594689632</v>
      </c>
      <c r="AF49" s="234">
        <f t="shared" si="6"/>
        <v>-4931.1666666899982</v>
      </c>
      <c r="AG49" s="231">
        <v>20387</v>
      </c>
      <c r="AH49" s="233">
        <f>IF(AG49=0,"",IFERROR(AG49/AG$104,""))</f>
        <v>0.48017994676967285</v>
      </c>
      <c r="AI49" s="234">
        <f t="shared" si="7"/>
        <v>-5498</v>
      </c>
    </row>
    <row r="50" spans="1:35" x14ac:dyDescent="0.25">
      <c r="A50" s="65" t="s">
        <v>38</v>
      </c>
      <c r="B50" s="66"/>
      <c r="C50" s="11"/>
      <c r="D50" s="11"/>
      <c r="E50" s="11"/>
      <c r="F50" s="11"/>
      <c r="G50" s="11"/>
      <c r="H50" s="88" t="s">
        <v>315</v>
      </c>
      <c r="I50" s="122" t="str">
        <f>IF(_epmOfflineCondition_,"N",_xll.EVPRO($B$1,$H50,"STYLE"))</f>
        <v>N</v>
      </c>
      <c r="J50" s="122" t="str">
        <f>IF(_epmOfflineCondition_,"Y",_xll.EVPRO($B$1,$H50,"CALC"))</f>
        <v>Y</v>
      </c>
      <c r="K50" s="90"/>
      <c r="L50" s="90" t="str">
        <f>IF(_epmOfflineCondition_,"",_xll.EVPRO($B$1,H50,"JDEID"))</f>
        <v/>
      </c>
      <c r="M50" s="90" t="str">
        <f>IF(_epmOfflineCondition_,"",IF(AND(I50="N",J50="N"),_xll.EVPRO($B$1,H50,"PSFTID"),""))</f>
        <v/>
      </c>
      <c r="N50" s="190" t="str">
        <f>IF(_epmOfflineCondition_,"Lunch - Average Check",IF(_xll.EVDES(H50,$B$1)="#NODATA","",_xll.EVDES(H50,$B$1)))</f>
        <v>Lunch - Average Check</v>
      </c>
      <c r="O50" s="495">
        <v>37.659419924338003</v>
      </c>
      <c r="P50" s="495">
        <v>37.093457943925202</v>
      </c>
      <c r="Q50" s="495">
        <v>45.795479302832199</v>
      </c>
      <c r="R50" s="495">
        <v>41.668835657974498</v>
      </c>
      <c r="S50" s="495">
        <v>42.548433908046</v>
      </c>
      <c r="T50" s="495">
        <v>29.028918032786901</v>
      </c>
      <c r="U50" s="495">
        <v>27.035702005730698</v>
      </c>
      <c r="V50" s="495">
        <v>29.9870521327014</v>
      </c>
      <c r="W50" s="495">
        <v>19.929836629406701</v>
      </c>
      <c r="X50" s="495">
        <v>42.768835616438402</v>
      </c>
      <c r="Y50" s="495">
        <v>35.950680933852098</v>
      </c>
      <c r="Z50" s="495">
        <v>43.855072463768103</v>
      </c>
      <c r="AA50" s="495">
        <f>IFERROR(AA48/AA49,"")</f>
        <v>35.790126267714413</v>
      </c>
      <c r="AB50" s="495"/>
      <c r="AC50" s="140"/>
      <c r="AD50" s="495">
        <v>34.508236409065297</v>
      </c>
      <c r="AE50" s="495"/>
      <c r="AF50" s="496">
        <f t="shared" si="6"/>
        <v>1.2818898586491159</v>
      </c>
      <c r="AG50" s="495">
        <v>26.026614509246102</v>
      </c>
      <c r="AH50" s="495"/>
      <c r="AI50" s="496">
        <f t="shared" si="7"/>
        <v>9.7635117584683115</v>
      </c>
    </row>
    <row r="51" spans="1:35" x14ac:dyDescent="0.25">
      <c r="A51" s="65" t="s">
        <v>39</v>
      </c>
      <c r="B51" s="66"/>
      <c r="C51" s="11"/>
      <c r="D51" s="11"/>
      <c r="E51" s="11"/>
      <c r="F51" s="11"/>
      <c r="G51" s="490">
        <f>COUNTIF(O52:AI52,FALSE)</f>
        <v>0</v>
      </c>
      <c r="H51" s="88"/>
      <c r="I51" s="122"/>
      <c r="J51" s="122"/>
      <c r="K51" s="90"/>
      <c r="L51" s="90"/>
      <c r="M51" s="90"/>
      <c r="N51" s="491" t="s">
        <v>345</v>
      </c>
      <c r="O51" s="497">
        <f t="shared" ref="O51:AA51" si="8">ROUND(IFERROR(O48/O49,0),2)</f>
        <v>37.659999999999997</v>
      </c>
      <c r="P51" s="498">
        <f t="shared" si="8"/>
        <v>37.090000000000003</v>
      </c>
      <c r="Q51" s="498">
        <f t="shared" si="8"/>
        <v>45.8</v>
      </c>
      <c r="R51" s="498">
        <f t="shared" si="8"/>
        <v>41.67</v>
      </c>
      <c r="S51" s="498">
        <f t="shared" si="8"/>
        <v>42.55</v>
      </c>
      <c r="T51" s="498">
        <f t="shared" si="8"/>
        <v>29.03</v>
      </c>
      <c r="U51" s="498">
        <f t="shared" si="8"/>
        <v>27.04</v>
      </c>
      <c r="V51" s="498">
        <f t="shared" si="8"/>
        <v>29.99</v>
      </c>
      <c r="W51" s="498">
        <f t="shared" si="8"/>
        <v>19.93</v>
      </c>
      <c r="X51" s="498">
        <f t="shared" si="8"/>
        <v>42.77</v>
      </c>
      <c r="Y51" s="498">
        <f t="shared" si="8"/>
        <v>35.950000000000003</v>
      </c>
      <c r="Z51" s="498">
        <f t="shared" si="8"/>
        <v>43.86</v>
      </c>
      <c r="AA51" s="498">
        <f t="shared" si="8"/>
        <v>35.79</v>
      </c>
      <c r="AB51" s="499"/>
      <c r="AC51" s="140"/>
      <c r="AD51" s="497">
        <f>ROUND(IFERROR(AD48/AD49,0),2)</f>
        <v>34.51</v>
      </c>
      <c r="AE51" s="498"/>
      <c r="AF51" s="155"/>
      <c r="AG51" s="497">
        <f>ROUND(IFERROR(AG48/AG49,0),2)</f>
        <v>26.03</v>
      </c>
      <c r="AH51" s="498"/>
      <c r="AI51" s="155"/>
    </row>
    <row r="52" spans="1:35" x14ac:dyDescent="0.25">
      <c r="A52" s="65" t="s">
        <v>40</v>
      </c>
      <c r="B52" s="66"/>
      <c r="C52" s="11"/>
      <c r="D52" s="11"/>
      <c r="E52" s="11"/>
      <c r="F52" s="11"/>
      <c r="G52" s="11"/>
      <c r="H52" s="88"/>
      <c r="I52" s="122"/>
      <c r="J52" s="122"/>
      <c r="K52" s="90"/>
      <c r="L52" s="90"/>
      <c r="M52" s="90"/>
      <c r="N52" s="53" t="s">
        <v>316</v>
      </c>
      <c r="O52" s="500" t="b">
        <f t="shared" ref="O52:AA52" si="9">ROUND(O50,2)=ROUND(O51,2)</f>
        <v>1</v>
      </c>
      <c r="P52" s="501" t="b">
        <f t="shared" si="9"/>
        <v>1</v>
      </c>
      <c r="Q52" s="501" t="b">
        <f t="shared" si="9"/>
        <v>1</v>
      </c>
      <c r="R52" s="501" t="b">
        <f t="shared" si="9"/>
        <v>1</v>
      </c>
      <c r="S52" s="501" t="b">
        <f t="shared" si="9"/>
        <v>1</v>
      </c>
      <c r="T52" s="501" t="b">
        <f t="shared" si="9"/>
        <v>1</v>
      </c>
      <c r="U52" s="501" t="b">
        <f t="shared" si="9"/>
        <v>1</v>
      </c>
      <c r="V52" s="501" t="b">
        <f t="shared" si="9"/>
        <v>1</v>
      </c>
      <c r="W52" s="501" t="b">
        <f t="shared" si="9"/>
        <v>1</v>
      </c>
      <c r="X52" s="501" t="b">
        <f t="shared" si="9"/>
        <v>1</v>
      </c>
      <c r="Y52" s="501" t="b">
        <f t="shared" si="9"/>
        <v>1</v>
      </c>
      <c r="Z52" s="501" t="b">
        <f t="shared" si="9"/>
        <v>1</v>
      </c>
      <c r="AA52" s="501" t="b">
        <f t="shared" si="9"/>
        <v>1</v>
      </c>
      <c r="AB52" s="502"/>
      <c r="AC52" s="503"/>
      <c r="AD52" s="500"/>
      <c r="AE52" s="501" t="b">
        <f>ROUND(AD50,2)=ROUND(AD51,2)</f>
        <v>1</v>
      </c>
      <c r="AF52" s="502"/>
      <c r="AG52" s="500"/>
      <c r="AH52" s="501" t="b">
        <f>ROUND(AG50,2)=ROUND(AG51,2)</f>
        <v>1</v>
      </c>
      <c r="AI52" s="502"/>
    </row>
    <row r="53" spans="1:35" x14ac:dyDescent="0.25">
      <c r="A53" s="65" t="s">
        <v>41</v>
      </c>
      <c r="B53" s="66"/>
      <c r="C53" s="11"/>
      <c r="D53" s="11"/>
      <c r="E53" s="11"/>
      <c r="F53" s="11"/>
      <c r="G53" s="11"/>
      <c r="H53" s="88" t="s">
        <v>262</v>
      </c>
      <c r="I53" s="122" t="str">
        <f>IF(_epmOfflineCondition_,"T5",_xll.EVPRO($B$1,$H53,"STYLE"))</f>
        <v>T5</v>
      </c>
      <c r="J53" s="122" t="str">
        <f>IF(_epmOfflineCondition_,"Y",_xll.EVPRO($B$1,$H53,"CALC"))</f>
        <v>Y</v>
      </c>
      <c r="K53" s="90"/>
      <c r="L53" s="90" t="str">
        <f>IF(_epmOfflineCondition_,"463100",_xll.EVPRO($B$1,H53,"JDEID"))</f>
        <v>463100</v>
      </c>
      <c r="M53" s="90" t="str">
        <f>IF(_epmOfflineCondition_,"",IF(AND(I53="N",J53="N"),_xll.EVPRO($B$1,H53,"PSFTID"),""))</f>
        <v/>
      </c>
      <c r="N53" s="90" t="str">
        <f>IF(_epmOfflineCondition_,"Dinner Food",IF(_xll.EVDES(H53,$B$1)="#NODATA","",_xll.EVDES(H53,$B$1)))</f>
        <v>Dinner Food</v>
      </c>
      <c r="O53" s="138">
        <v>12822.94</v>
      </c>
      <c r="P53" s="138">
        <v>43180</v>
      </c>
      <c r="Q53" s="138">
        <v>24508</v>
      </c>
      <c r="R53" s="138">
        <v>26509</v>
      </c>
      <c r="S53" s="138">
        <v>18582</v>
      </c>
      <c r="T53" s="138">
        <v>17564.79</v>
      </c>
      <c r="U53" s="138">
        <v>21280.3</v>
      </c>
      <c r="V53" s="138">
        <v>17056.599999999999</v>
      </c>
      <c r="W53" s="138">
        <v>12022.2</v>
      </c>
      <c r="X53" s="138">
        <v>19383.400000000001</v>
      </c>
      <c r="Y53" s="138">
        <v>23049.69</v>
      </c>
      <c r="Z53" s="138">
        <v>26125.75</v>
      </c>
      <c r="AA53" s="138">
        <f t="shared" ref="AA53:AA58" si="10">SUM(O53:Z53)</f>
        <v>262084.67</v>
      </c>
      <c r="AB53" s="142">
        <f>IF(AA53=0,"",IFERROR(AA53/AA$19,""))</f>
        <v>0.13442822508290067</v>
      </c>
      <c r="AC53" s="140"/>
      <c r="AD53" s="138">
        <v>538765.72844807897</v>
      </c>
      <c r="AE53" s="142">
        <f>IF(AD53=0,"",IFERROR(AD53/AD$19,""))</f>
        <v>0.21044472559807773</v>
      </c>
      <c r="AF53" s="141">
        <f t="shared" ref="AF53:AF59" si="11">IF(AND($AA53="",AD53=""),"",$AA53-AD53)</f>
        <v>-276681.05844807893</v>
      </c>
      <c r="AG53" s="138">
        <v>280678.51</v>
      </c>
      <c r="AH53" s="142">
        <f>IF(AG53=0,"",IFERROR(AG53/AG$19,""))</f>
        <v>0.21114780731903512</v>
      </c>
      <c r="AI53" s="141">
        <f t="shared" ref="AI53:AI59" si="12">IF(AND($AA53="",AG53=""),"",$AA53-AG53)</f>
        <v>-18593.839999999997</v>
      </c>
    </row>
    <row r="54" spans="1:35" x14ac:dyDescent="0.25">
      <c r="A54" s="65" t="s">
        <v>42</v>
      </c>
      <c r="B54" s="66"/>
      <c r="C54" s="11"/>
      <c r="D54" s="11"/>
      <c r="E54" s="11"/>
      <c r="F54" s="11"/>
      <c r="G54" s="11"/>
      <c r="H54" s="88" t="s">
        <v>302</v>
      </c>
      <c r="I54" s="122" t="str">
        <f>IF(_epmOfflineCondition_,"T6",_xll.EVPRO($B$1,$H54,"STYLE"))</f>
        <v>T6</v>
      </c>
      <c r="J54" s="122" t="str">
        <f>IF(_epmOfflineCondition_,"Y",_xll.EVPRO($B$1,$H54,"CALC"))</f>
        <v>Y</v>
      </c>
      <c r="K54" s="90"/>
      <c r="L54" s="90" t="str">
        <f>IF(_epmOfflineCondition_,"463200",_xll.EVPRO($B$1,H54,"JDEID"))</f>
        <v>463200</v>
      </c>
      <c r="M54" s="90" t="str">
        <f>IF(_epmOfflineCondition_,"",IF(AND(I54="N",J54="N"),_xll.EVPRO($B$1,H54,"PSFTID"),""))</f>
        <v/>
      </c>
      <c r="N54" s="90" t="str">
        <f>IF(_epmOfflineCondition_,"Dinner Liquor",IF(_xll.EVDES(H54,$B$1)="#NODATA","",_xll.EVDES(H54,$B$1)))</f>
        <v>Dinner Liquor</v>
      </c>
      <c r="O54" s="138">
        <v>2660.99</v>
      </c>
      <c r="P54" s="138">
        <v>5321</v>
      </c>
      <c r="Q54" s="138">
        <v>5741</v>
      </c>
      <c r="R54" s="138">
        <v>6036.51</v>
      </c>
      <c r="S54" s="138">
        <v>4236.5</v>
      </c>
      <c r="T54" s="138">
        <v>3740.71</v>
      </c>
      <c r="U54" s="138">
        <v>3697.5</v>
      </c>
      <c r="V54" s="138">
        <v>2950.2</v>
      </c>
      <c r="W54" s="138">
        <v>2677</v>
      </c>
      <c r="X54" s="138">
        <v>8112</v>
      </c>
      <c r="Y54" s="138">
        <v>10537</v>
      </c>
      <c r="Z54" s="138">
        <v>3276</v>
      </c>
      <c r="AA54" s="138">
        <f t="shared" si="10"/>
        <v>58986.409999999996</v>
      </c>
      <c r="AB54" s="142">
        <f>IF(AA54=0,"",IFERROR(AA54/AA$19,""))</f>
        <v>3.0255254534010945E-2</v>
      </c>
      <c r="AC54" s="140"/>
      <c r="AD54" s="138">
        <v>107290.74025459601</v>
      </c>
      <c r="AE54" s="142">
        <f>IF(AD54=0,"",IFERROR(AD54/AD$19,""))</f>
        <v>4.1908327126024707E-2</v>
      </c>
      <c r="AF54" s="141">
        <f t="shared" si="11"/>
        <v>-48304.33025459601</v>
      </c>
      <c r="AG54" s="138">
        <v>58577.25</v>
      </c>
      <c r="AH54" s="142">
        <f>IF(AG54=0,"",IFERROR(AG54/AG$19,""))</f>
        <v>4.406628030154125E-2</v>
      </c>
      <c r="AI54" s="141">
        <f t="shared" si="12"/>
        <v>409.15999999999622</v>
      </c>
    </row>
    <row r="55" spans="1:35" x14ac:dyDescent="0.25">
      <c r="A55" s="65" t="s">
        <v>43</v>
      </c>
      <c r="B55" s="66"/>
      <c r="C55" s="11"/>
      <c r="D55" s="11"/>
      <c r="E55" s="11"/>
      <c r="F55" s="11"/>
      <c r="G55" s="11"/>
      <c r="H55" s="88" t="s">
        <v>306</v>
      </c>
      <c r="I55" s="122" t="str">
        <f>IF(_epmOfflineCondition_,"T6",_xll.EVPRO($B$1,$H55,"STYLE"))</f>
        <v>T6</v>
      </c>
      <c r="J55" s="122" t="str">
        <f>IF(_epmOfflineCondition_,"Y",_xll.EVPRO($B$1,$H55,"CALC"))</f>
        <v>Y</v>
      </c>
      <c r="K55" s="90"/>
      <c r="L55" s="90" t="str">
        <f>IF(_epmOfflineCondition_,"463300",_xll.EVPRO($B$1,H55,"JDEID"))</f>
        <v>463300</v>
      </c>
      <c r="M55" s="90" t="str">
        <f>IF(_epmOfflineCondition_,"",IF(AND(I55="N",J55="N"),_xll.EVPRO($B$1,H55,"PSFTID"),""))</f>
        <v/>
      </c>
      <c r="N55" s="90" t="str">
        <f>IF(_epmOfflineCondition_,"Dinner Beer",IF(_xll.EVDES(H55,$B$1)="#NODATA","",_xll.EVDES(H55,$B$1)))</f>
        <v>Dinner Beer</v>
      </c>
      <c r="O55" s="138">
        <v>664</v>
      </c>
      <c r="P55" s="138">
        <v>752</v>
      </c>
      <c r="Q55" s="138">
        <v>615</v>
      </c>
      <c r="R55" s="138">
        <v>828</v>
      </c>
      <c r="S55" s="138">
        <v>628</v>
      </c>
      <c r="T55" s="138">
        <v>457</v>
      </c>
      <c r="U55" s="138">
        <v>726</v>
      </c>
      <c r="V55" s="138">
        <v>408.2</v>
      </c>
      <c r="W55" s="138">
        <v>322</v>
      </c>
      <c r="X55" s="138">
        <v>551.5</v>
      </c>
      <c r="Y55" s="138">
        <v>558.4</v>
      </c>
      <c r="Z55" s="138">
        <v>672</v>
      </c>
      <c r="AA55" s="138">
        <f t="shared" si="10"/>
        <v>7182.0999999999995</v>
      </c>
      <c r="AB55" s="142">
        <f>IF(AA55=0,"",IFERROR(AA55/AA$19,""))</f>
        <v>3.6838360495022498E-3</v>
      </c>
      <c r="AC55" s="140"/>
      <c r="AD55" s="138">
        <v>14548.977699999999</v>
      </c>
      <c r="AE55" s="142">
        <f>IF(AD55=0,"",IFERROR(AD55/AD$19,""))</f>
        <v>5.6829071675150444E-3</v>
      </c>
      <c r="AF55" s="141">
        <f t="shared" si="11"/>
        <v>-7366.8777</v>
      </c>
      <c r="AG55" s="138">
        <v>6829.72</v>
      </c>
      <c r="AH55" s="142">
        <f>IF(AG55=0,"",IFERROR(AG55/AG$19,""))</f>
        <v>5.1378368889123732E-3</v>
      </c>
      <c r="AI55" s="141">
        <f t="shared" si="12"/>
        <v>352.3799999999992</v>
      </c>
    </row>
    <row r="56" spans="1:35" x14ac:dyDescent="0.25">
      <c r="A56" s="65" t="s">
        <v>44</v>
      </c>
      <c r="B56" s="66"/>
      <c r="C56" s="11"/>
      <c r="D56" s="11"/>
      <c r="E56" s="11"/>
      <c r="F56" s="11"/>
      <c r="G56" s="11"/>
      <c r="H56" s="88" t="s">
        <v>304</v>
      </c>
      <c r="I56" s="122" t="str">
        <f>IF(_epmOfflineCondition_,"T6",_xll.EVPRO($B$1,$H56,"STYLE"))</f>
        <v>T6</v>
      </c>
      <c r="J56" s="122" t="str">
        <f>IF(_epmOfflineCondition_,"Y",_xll.EVPRO($B$1,$H56,"CALC"))</f>
        <v>Y</v>
      </c>
      <c r="K56" s="90"/>
      <c r="L56" s="90" t="str">
        <f>IF(_epmOfflineCondition_,"463400",_xll.EVPRO($B$1,H56,"JDEID"))</f>
        <v>463400</v>
      </c>
      <c r="M56" s="90" t="str">
        <f>IF(_epmOfflineCondition_,"",IF(AND(I56="N",J56="N"),_xll.EVPRO($B$1,H56,"PSFTID"),""))</f>
        <v/>
      </c>
      <c r="N56" s="90" t="str">
        <f>IF(_epmOfflineCondition_,"Dinner Wine",IF(_xll.EVDES(H56,$B$1)="#NODATA","",_xll.EVDES(H56,$B$1)))</f>
        <v>Dinner Wine</v>
      </c>
      <c r="O56" s="215">
        <v>2772.06</v>
      </c>
      <c r="P56" s="215">
        <v>4773.8</v>
      </c>
      <c r="Q56" s="215">
        <v>4094</v>
      </c>
      <c r="R56" s="215">
        <v>4564</v>
      </c>
      <c r="S56" s="215">
        <v>3211.59</v>
      </c>
      <c r="T56" s="215">
        <v>1737.5</v>
      </c>
      <c r="U56" s="215">
        <v>2130.6</v>
      </c>
      <c r="V56" s="215">
        <v>1919.3</v>
      </c>
      <c r="W56" s="215">
        <v>1253.5</v>
      </c>
      <c r="X56" s="215">
        <v>2317.5</v>
      </c>
      <c r="Y56" s="215">
        <v>1957.21</v>
      </c>
      <c r="Z56" s="215">
        <v>3978</v>
      </c>
      <c r="AA56" s="215">
        <f t="shared" si="10"/>
        <v>34709.06</v>
      </c>
      <c r="AB56" s="217">
        <f>IF(AA56=0,"",IFERROR(AA56/AA$19,""))</f>
        <v>1.7802938760576512E-2</v>
      </c>
      <c r="AC56" s="140"/>
      <c r="AD56" s="215">
        <v>68867.493600105605</v>
      </c>
      <c r="AE56" s="217">
        <f>IF(AD56=0,"",IFERROR(AD56/AD$19,""))</f>
        <v>2.6900005007832035E-2</v>
      </c>
      <c r="AF56" s="218">
        <f t="shared" si="11"/>
        <v>-34158.433600105607</v>
      </c>
      <c r="AG56" s="215">
        <v>34858.32</v>
      </c>
      <c r="AH56" s="217">
        <f>IF(AG56=0,"",IFERROR(AG56/AG$19,""))</f>
        <v>2.6223090021481401E-2</v>
      </c>
      <c r="AI56" s="218">
        <f t="shared" si="12"/>
        <v>-149.26000000000204</v>
      </c>
    </row>
    <row r="57" spans="1:35" x14ac:dyDescent="0.25">
      <c r="A57" s="65" t="s">
        <v>45</v>
      </c>
      <c r="B57" s="66"/>
      <c r="C57" s="11"/>
      <c r="D57" s="11"/>
      <c r="E57" s="11"/>
      <c r="F57" s="11"/>
      <c r="G57" s="11"/>
      <c r="H57" s="88" t="s">
        <v>320</v>
      </c>
      <c r="I57" s="122" t="str">
        <f>IF(_epmOfflineCondition_,"N",_xll.EVPRO($B$1,$H57,"STYLE"))</f>
        <v>N</v>
      </c>
      <c r="J57" s="122" t="str">
        <f>IF(_epmOfflineCondition_,"Y",_xll.EVPRO($B$1,$H57,"CALC"))</f>
        <v>Y</v>
      </c>
      <c r="K57" s="90"/>
      <c r="L57" s="90" t="str">
        <f>IF(_epmOfflineCondition_,"",_xll.EVPRO($B$1,H57,"JDEID"))</f>
        <v/>
      </c>
      <c r="M57" s="90" t="str">
        <f>IF(_epmOfflineCondition_,"",IF(AND(I57="N",J57="N"),_xll.EVPRO($B$1,H57,"PSFTID"),""))</f>
        <v/>
      </c>
      <c r="N57" s="106" t="str">
        <f>IF(_epmOfflineCondition_,"Dinner Revenue",IF(_xll.EVDES(H57,$B$1)="#NODATA","",_xll.EVDES(H57,$B$1)))</f>
        <v>Dinner Revenue</v>
      </c>
      <c r="O57" s="162">
        <v>18919.990000000002</v>
      </c>
      <c r="P57" s="162">
        <v>54026.8</v>
      </c>
      <c r="Q57" s="162">
        <v>34958</v>
      </c>
      <c r="R57" s="162">
        <v>37937.51</v>
      </c>
      <c r="S57" s="162">
        <v>26658.09</v>
      </c>
      <c r="T57" s="162">
        <v>23500</v>
      </c>
      <c r="U57" s="162">
        <v>27834.400000000001</v>
      </c>
      <c r="V57" s="162">
        <v>22334.3</v>
      </c>
      <c r="W57" s="162">
        <v>16274.7</v>
      </c>
      <c r="X57" s="162">
        <v>30364.400000000001</v>
      </c>
      <c r="Y57" s="162">
        <v>36102.300000000003</v>
      </c>
      <c r="Z57" s="162">
        <v>34051.75</v>
      </c>
      <c r="AA57" s="162">
        <f t="shared" si="10"/>
        <v>362962.24</v>
      </c>
      <c r="AB57" s="163">
        <f>IF(AA57=0,"",IFERROR(AA57/AA$19,""))</f>
        <v>0.18617025442699037</v>
      </c>
      <c r="AC57" s="140"/>
      <c r="AD57" s="162">
        <v>729472.94000278099</v>
      </c>
      <c r="AE57" s="163">
        <f>IF(AD57=0,"",IFERROR(AD57/AD$19,""))</f>
        <v>0.28493596489944967</v>
      </c>
      <c r="AF57" s="164">
        <f t="shared" si="11"/>
        <v>-366510.700002781</v>
      </c>
      <c r="AG57" s="162">
        <v>380943.8</v>
      </c>
      <c r="AH57" s="163">
        <f>IF(AG57=0,"",IFERROR(AG57/AG$19,""))</f>
        <v>0.28657501453097012</v>
      </c>
      <c r="AI57" s="164">
        <f t="shared" si="12"/>
        <v>-17981.559999999998</v>
      </c>
    </row>
    <row r="58" spans="1:35" x14ac:dyDescent="0.25">
      <c r="A58" s="65" t="s">
        <v>46</v>
      </c>
      <c r="B58" s="66"/>
      <c r="C58" s="11"/>
      <c r="D58" s="11"/>
      <c r="E58" s="11"/>
      <c r="F58" s="11"/>
      <c r="G58" s="11"/>
      <c r="H58" s="88" t="s">
        <v>299</v>
      </c>
      <c r="I58" s="122" t="str">
        <f>IF(_epmOfflineCondition_,"N",_xll.EVPRO($B$1,$H58,"STYLE"))</f>
        <v>N</v>
      </c>
      <c r="J58" s="122" t="str">
        <f>IF(_epmOfflineCondition_,"N",_xll.EVPRO($B$1,$H58,"CALC"))</f>
        <v>N</v>
      </c>
      <c r="K58" s="90"/>
      <c r="L58" s="90" t="str">
        <f>IF(_epmOfflineCondition_,"946300",_xll.EVPRO($B$1,H58,"JDEID"))</f>
        <v>946300</v>
      </c>
      <c r="M58" s="90" t="str">
        <f>IF(_epmOfflineCondition_,"991503",IF(AND(I58="N",J58="N"),_xll.EVPRO($B$1,H58,"PSFTID"),""))</f>
        <v>991503</v>
      </c>
      <c r="N58" s="90" t="str">
        <f>IF(_epmOfflineCondition_,"Dinner Customers",IF(_xll.EVDES(H58,$B$1)="#NODATA","",_xll.EVDES(H58,$B$1)))</f>
        <v>Dinner Customers</v>
      </c>
      <c r="O58" s="231">
        <v>341</v>
      </c>
      <c r="P58" s="231">
        <v>890</v>
      </c>
      <c r="Q58" s="231">
        <v>759</v>
      </c>
      <c r="R58" s="231">
        <v>667</v>
      </c>
      <c r="S58" s="231">
        <v>489</v>
      </c>
      <c r="T58" s="231">
        <v>461</v>
      </c>
      <c r="U58" s="231">
        <v>586</v>
      </c>
      <c r="V58" s="231">
        <v>495</v>
      </c>
      <c r="W58" s="231">
        <v>358</v>
      </c>
      <c r="X58" s="231">
        <v>524</v>
      </c>
      <c r="Y58" s="231">
        <v>803</v>
      </c>
      <c r="Z58" s="231">
        <v>1041</v>
      </c>
      <c r="AA58" s="231">
        <f t="shared" si="10"/>
        <v>7414</v>
      </c>
      <c r="AB58" s="233">
        <f>IF(AA58=0,"",IFERROR(AA58/AA$104,""))</f>
        <v>0.13161024621447465</v>
      </c>
      <c r="AC58" s="140"/>
      <c r="AD58" s="231">
        <v>13372.93568185</v>
      </c>
      <c r="AE58" s="233">
        <f>IF(AD58=0,"",IFERROR(AD58/AD$104,""))</f>
        <v>0.1892721293965941</v>
      </c>
      <c r="AF58" s="234">
        <f t="shared" si="11"/>
        <v>-5958.93568185</v>
      </c>
      <c r="AG58" s="231">
        <v>7308</v>
      </c>
      <c r="AH58" s="233">
        <f>IF(AG58=0,"",IFERROR(AG58/AG$104,""))</f>
        <v>0.17212709329439196</v>
      </c>
      <c r="AI58" s="234">
        <f t="shared" si="12"/>
        <v>106</v>
      </c>
    </row>
    <row r="59" spans="1:35" x14ac:dyDescent="0.25">
      <c r="A59" s="11"/>
      <c r="B59" s="11"/>
      <c r="C59" s="11"/>
      <c r="D59" s="11"/>
      <c r="E59" s="11"/>
      <c r="F59" s="11"/>
      <c r="G59" s="11"/>
      <c r="H59" s="185" t="s">
        <v>317</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90" t="str">
        <f>IF(_epmOfflineCondition_,"Dinner - Average Check",IF(_xll.EVDES(H59,$B$1)="#NODATA","",_xll.EVDES(H59,$B$1)))</f>
        <v>Dinner - Average Check</v>
      </c>
      <c r="O59" s="495">
        <v>55.483841642228697</v>
      </c>
      <c r="P59" s="495">
        <v>60.704269662921298</v>
      </c>
      <c r="Q59" s="495">
        <v>46.0579710144928</v>
      </c>
      <c r="R59" s="495">
        <v>56.877826086956503</v>
      </c>
      <c r="S59" s="495">
        <v>54.515521472392599</v>
      </c>
      <c r="T59" s="495">
        <v>50.976138828633403</v>
      </c>
      <c r="U59" s="495">
        <v>47.498976109215</v>
      </c>
      <c r="V59" s="495">
        <v>45.119797979798001</v>
      </c>
      <c r="W59" s="495">
        <v>45.460055865921802</v>
      </c>
      <c r="X59" s="495">
        <v>57.9473282442748</v>
      </c>
      <c r="Y59" s="495">
        <v>44.959277708592801</v>
      </c>
      <c r="Z59" s="495">
        <v>32.710614793467798</v>
      </c>
      <c r="AA59" s="495">
        <f>IFERROR(AA57/AA58,"")</f>
        <v>48.956331265173993</v>
      </c>
      <c r="AB59" s="495"/>
      <c r="AC59" s="140"/>
      <c r="AD59" s="495">
        <v>54.548451989702997</v>
      </c>
      <c r="AE59" s="495"/>
      <c r="AF59" s="496">
        <f t="shared" si="11"/>
        <v>-5.5921207245290034</v>
      </c>
      <c r="AG59" s="495">
        <v>52.126956759715398</v>
      </c>
      <c r="AH59" s="495"/>
      <c r="AI59" s="496">
        <f t="shared" si="12"/>
        <v>-3.1706254945414045</v>
      </c>
    </row>
    <row r="60" spans="1:35" x14ac:dyDescent="0.25">
      <c r="A60" s="11"/>
      <c r="B60" s="11"/>
      <c r="C60" s="11"/>
      <c r="D60" s="11"/>
      <c r="E60" s="11"/>
      <c r="F60" s="11"/>
      <c r="G60" s="490">
        <f>COUNTIF(O61:AI61,FALSE)</f>
        <v>0</v>
      </c>
      <c r="H60" s="88"/>
      <c r="I60" s="122"/>
      <c r="J60" s="122"/>
      <c r="K60" s="90"/>
      <c r="L60" s="90"/>
      <c r="M60" s="90"/>
      <c r="N60" s="491" t="s">
        <v>345</v>
      </c>
      <c r="O60" s="497">
        <f t="shared" ref="O60:AA60" si="13">ROUND(IFERROR(O57/O58,0),2)</f>
        <v>55.48</v>
      </c>
      <c r="P60" s="498">
        <f t="shared" si="13"/>
        <v>60.7</v>
      </c>
      <c r="Q60" s="498">
        <f t="shared" si="13"/>
        <v>46.06</v>
      </c>
      <c r="R60" s="498">
        <f t="shared" si="13"/>
        <v>56.88</v>
      </c>
      <c r="S60" s="498">
        <f t="shared" si="13"/>
        <v>54.52</v>
      </c>
      <c r="T60" s="498">
        <f t="shared" si="13"/>
        <v>50.98</v>
      </c>
      <c r="U60" s="498">
        <f t="shared" si="13"/>
        <v>47.5</v>
      </c>
      <c r="V60" s="498">
        <f t="shared" si="13"/>
        <v>45.12</v>
      </c>
      <c r="W60" s="498">
        <f t="shared" si="13"/>
        <v>45.46</v>
      </c>
      <c r="X60" s="498">
        <f t="shared" si="13"/>
        <v>57.95</v>
      </c>
      <c r="Y60" s="498">
        <f t="shared" si="13"/>
        <v>44.96</v>
      </c>
      <c r="Z60" s="498">
        <f t="shared" si="13"/>
        <v>32.71</v>
      </c>
      <c r="AA60" s="498">
        <f t="shared" si="13"/>
        <v>48.96</v>
      </c>
      <c r="AB60" s="499"/>
      <c r="AC60" s="140"/>
      <c r="AD60" s="497">
        <f>ROUND(IFERROR(AD57/AD58,0),2)</f>
        <v>54.55</v>
      </c>
      <c r="AE60" s="498"/>
      <c r="AF60" s="155"/>
      <c r="AG60" s="497">
        <f>ROUND(IFERROR(AG57/AG58,0),2)</f>
        <v>52.13</v>
      </c>
      <c r="AH60" s="498"/>
      <c r="AI60" s="155"/>
    </row>
    <row r="61" spans="1:35" x14ac:dyDescent="0.25">
      <c r="A61" s="11"/>
      <c r="B61" s="11"/>
      <c r="C61" s="11"/>
      <c r="D61" s="11"/>
      <c r="E61" s="11"/>
      <c r="F61" s="11"/>
      <c r="G61" s="11"/>
      <c r="H61" s="185"/>
      <c r="I61" s="122"/>
      <c r="J61" s="122"/>
      <c r="K61" s="90"/>
      <c r="L61" s="90"/>
      <c r="M61" s="90"/>
      <c r="N61" s="53" t="s">
        <v>307</v>
      </c>
      <c r="O61" s="500" t="b">
        <f t="shared" ref="O61:AA61" si="14">ROUND(O59,2)=ROUND(O60,2)</f>
        <v>1</v>
      </c>
      <c r="P61" s="501" t="b">
        <f t="shared" si="14"/>
        <v>1</v>
      </c>
      <c r="Q61" s="501" t="b">
        <f t="shared" si="14"/>
        <v>1</v>
      </c>
      <c r="R61" s="501" t="b">
        <f t="shared" si="14"/>
        <v>1</v>
      </c>
      <c r="S61" s="501" t="b">
        <f t="shared" si="14"/>
        <v>1</v>
      </c>
      <c r="T61" s="501" t="b">
        <f t="shared" si="14"/>
        <v>1</v>
      </c>
      <c r="U61" s="501" t="b">
        <f t="shared" si="14"/>
        <v>1</v>
      </c>
      <c r="V61" s="501" t="b">
        <f t="shared" si="14"/>
        <v>1</v>
      </c>
      <c r="W61" s="501" t="b">
        <f t="shared" si="14"/>
        <v>1</v>
      </c>
      <c r="X61" s="501" t="b">
        <f t="shared" si="14"/>
        <v>1</v>
      </c>
      <c r="Y61" s="501" t="b">
        <f t="shared" si="14"/>
        <v>1</v>
      </c>
      <c r="Z61" s="501" t="b">
        <f t="shared" si="14"/>
        <v>1</v>
      </c>
      <c r="AA61" s="501" t="b">
        <f t="shared" si="14"/>
        <v>1</v>
      </c>
      <c r="AB61" s="502"/>
      <c r="AC61" s="503"/>
      <c r="AD61" s="500"/>
      <c r="AE61" s="501" t="b">
        <f>ROUND(AD59,2)=ROUND(AD60,2)</f>
        <v>1</v>
      </c>
      <c r="AF61" s="502"/>
      <c r="AG61" s="500"/>
      <c r="AH61" s="501" t="b">
        <f>ROUND(AG59,2)=ROUND(AG60,2)</f>
        <v>1</v>
      </c>
      <c r="AI61" s="502"/>
    </row>
    <row r="62" spans="1:35" x14ac:dyDescent="0.25">
      <c r="A62" s="11"/>
      <c r="B62" s="11"/>
      <c r="C62" s="11"/>
      <c r="D62" s="11"/>
      <c r="E62" s="11"/>
      <c r="F62" s="11"/>
      <c r="G62" s="11"/>
      <c r="H62" s="185" t="s">
        <v>263</v>
      </c>
      <c r="I62" s="122" t="str">
        <f>IF(_epmOfflineCondition_,"T5",_xll.EVPRO($B$1,$H62,"STYLE"))</f>
        <v>T5</v>
      </c>
      <c r="J62" s="122" t="str">
        <f>IF(_epmOfflineCondition_,"Y",_xll.EVPRO($B$1,$H62,"CALC"))</f>
        <v>Y</v>
      </c>
      <c r="K62" s="90"/>
      <c r="L62" s="90" t="str">
        <f>IF(_epmOfflineCondition_,"464100",_xll.EVPRO($B$1,H62,"JDEID"))</f>
        <v>464100</v>
      </c>
      <c r="M62" s="90" t="str">
        <f>IF(_epmOfflineCondition_,"",IF(AND(I62="N",J62="N"),_xll.EVPRO($B$1,H62,"PSFTID"),""))</f>
        <v/>
      </c>
      <c r="N62" s="90" t="str">
        <f>IF(_epmOfflineCondition_,"Bar Food",IF(_xll.EVDES(H62,$B$1)="#NODATA","",_xll.EVDES(H62,$B$1)))</f>
        <v>Bar Food</v>
      </c>
      <c r="O62" s="138">
        <v>9761.5</v>
      </c>
      <c r="P62" s="138">
        <v>9193</v>
      </c>
      <c r="Q62" s="138">
        <v>10319</v>
      </c>
      <c r="R62" s="138">
        <v>10338</v>
      </c>
      <c r="S62" s="138">
        <v>12730.52</v>
      </c>
      <c r="T62" s="138">
        <v>10309.4</v>
      </c>
      <c r="U62" s="138">
        <v>9387</v>
      </c>
      <c r="V62" s="138">
        <v>6317.5</v>
      </c>
      <c r="W62" s="138">
        <v>6631.05</v>
      </c>
      <c r="X62" s="138">
        <v>6375</v>
      </c>
      <c r="Y62" s="138">
        <v>9117.09</v>
      </c>
      <c r="Z62" s="138">
        <v>10870.4</v>
      </c>
      <c r="AA62" s="138">
        <f t="shared" ref="AA62:AA67" si="15">SUM(O62:Z62)</f>
        <v>111349.46</v>
      </c>
      <c r="AB62" s="142">
        <f>IF(AA62=0,"",IFERROR(AA62/AA$19,""))</f>
        <v>5.7113261419446795E-2</v>
      </c>
      <c r="AC62" s="140"/>
      <c r="AD62" s="138">
        <v>62032.653599999998</v>
      </c>
      <c r="AE62" s="142">
        <f>IF(AD62=0,"",IFERROR(AD62/AD$19,""))</f>
        <v>2.4230280575893517E-2</v>
      </c>
      <c r="AF62" s="141">
        <f t="shared" ref="AF62:AF68" si="16">IF(AND($AA62="",AD62=""),"",$AA62-AD62)</f>
        <v>49316.806400000009</v>
      </c>
      <c r="AG62" s="138">
        <v>23207.31</v>
      </c>
      <c r="AH62" s="142">
        <f>IF(AG62=0,"",IFERROR(AG62/AG$19,""))</f>
        <v>1.7458310649693547E-2</v>
      </c>
      <c r="AI62" s="141">
        <f t="shared" ref="AI62:AI68" si="17">IF(AND($AA62="",AG62=""),"",$AA62-AG62)</f>
        <v>88142.150000000009</v>
      </c>
    </row>
    <row r="63" spans="1:35" x14ac:dyDescent="0.25">
      <c r="A63" s="11"/>
      <c r="B63" s="11"/>
      <c r="C63" s="11"/>
      <c r="D63" s="11"/>
      <c r="E63" s="11"/>
      <c r="F63" s="11"/>
      <c r="G63" s="11"/>
      <c r="H63" s="185" t="s">
        <v>308</v>
      </c>
      <c r="I63" s="122" t="str">
        <f>IF(_epmOfflineCondition_,"T6",_xll.EVPRO($B$1,$H63,"STYLE"))</f>
        <v>T6</v>
      </c>
      <c r="J63" s="122" t="str">
        <f>IF(_epmOfflineCondition_,"Y",_xll.EVPRO($B$1,$H63,"CALC"))</f>
        <v>Y</v>
      </c>
      <c r="K63" s="90"/>
      <c r="L63" s="90" t="str">
        <f>IF(_epmOfflineCondition_,"464200",_xll.EVPRO($B$1,H63,"JDEID"))</f>
        <v>464200</v>
      </c>
      <c r="M63" s="90" t="str">
        <f>IF(_epmOfflineCondition_,"",IF(AND(I63="N",J63="N"),_xll.EVPRO($B$1,H63,"PSFTID"),""))</f>
        <v/>
      </c>
      <c r="N63" s="90" t="str">
        <f>IF(_epmOfflineCondition_,"Bar Liquor",IF(_xll.EVDES(H63,$B$1)="#NODATA","",_xll.EVDES(H63,$B$1)))</f>
        <v>Bar Liquor</v>
      </c>
      <c r="O63" s="138">
        <v>20028</v>
      </c>
      <c r="P63" s="138">
        <v>27768</v>
      </c>
      <c r="Q63" s="138">
        <v>22428</v>
      </c>
      <c r="R63" s="138">
        <v>20290.2</v>
      </c>
      <c r="S63" s="138">
        <v>23890</v>
      </c>
      <c r="T63" s="138">
        <v>13256.2</v>
      </c>
      <c r="U63" s="138">
        <v>18288</v>
      </c>
      <c r="V63" s="138">
        <v>11728</v>
      </c>
      <c r="W63" s="138">
        <v>13303.02</v>
      </c>
      <c r="X63" s="138">
        <v>12771</v>
      </c>
      <c r="Y63" s="138">
        <v>17951.009999999998</v>
      </c>
      <c r="Z63" s="138">
        <v>17111.48</v>
      </c>
      <c r="AA63" s="138">
        <f t="shared" si="15"/>
        <v>218812.91</v>
      </c>
      <c r="AB63" s="142">
        <f>IF(AA63=0,"",IFERROR(AA63/AA$19,""))</f>
        <v>0.11223331420538442</v>
      </c>
      <c r="AC63" s="140"/>
      <c r="AD63" s="138">
        <v>279086.64360000001</v>
      </c>
      <c r="AE63" s="142">
        <f>IF(AD63=0,"",IFERROR(AD63/AD$19,""))</f>
        <v>0.10901271003200155</v>
      </c>
      <c r="AF63" s="141">
        <f t="shared" si="16"/>
        <v>-60273.733600000007</v>
      </c>
      <c r="AG63" s="138">
        <v>90722.72</v>
      </c>
      <c r="AH63" s="142">
        <f>IF(AG63=0,"",IFERROR(AG63/AG$19,""))</f>
        <v>6.8248557404764529E-2</v>
      </c>
      <c r="AI63" s="141">
        <f t="shared" si="17"/>
        <v>128090.19</v>
      </c>
    </row>
    <row r="64" spans="1:35" x14ac:dyDescent="0.25">
      <c r="A64" s="11"/>
      <c r="B64" s="11"/>
      <c r="C64" s="11"/>
      <c r="D64" s="11"/>
      <c r="E64" s="11"/>
      <c r="F64" s="11"/>
      <c r="G64" s="11"/>
      <c r="H64" s="185" t="s">
        <v>310</v>
      </c>
      <c r="I64" s="122" t="str">
        <f>IF(_epmOfflineCondition_,"T6",_xll.EVPRO($B$1,$H64,"STYLE"))</f>
        <v>T6</v>
      </c>
      <c r="J64" s="122" t="str">
        <f>IF(_epmOfflineCondition_,"Y",_xll.EVPRO($B$1,$H64,"CALC"))</f>
        <v>Y</v>
      </c>
      <c r="K64" s="90"/>
      <c r="L64" s="90" t="str">
        <f>IF(_epmOfflineCondition_,"464300",_xll.EVPRO($B$1,H64,"JDEID"))</f>
        <v>464300</v>
      </c>
      <c r="M64" s="90" t="str">
        <f>IF(_epmOfflineCondition_,"",IF(AND(I64="N",J64="N"),_xll.EVPRO($B$1,H64,"PSFTID"),""))</f>
        <v/>
      </c>
      <c r="N64" s="90" t="str">
        <f>IF(_epmOfflineCondition_,"Bar Beer",IF(_xll.EVDES(H64,$B$1)="#NODATA","",_xll.EVDES(H64,$B$1)))</f>
        <v>Bar Beer</v>
      </c>
      <c r="O64" s="138">
        <v>2926</v>
      </c>
      <c r="P64" s="138">
        <v>4435</v>
      </c>
      <c r="Q64" s="138">
        <v>3536</v>
      </c>
      <c r="R64" s="138">
        <v>3418</v>
      </c>
      <c r="S64" s="138">
        <v>5586</v>
      </c>
      <c r="T64" s="138">
        <v>2062</v>
      </c>
      <c r="U64" s="138">
        <v>1916</v>
      </c>
      <c r="V64" s="138">
        <v>1725</v>
      </c>
      <c r="W64" s="138">
        <v>1777.5</v>
      </c>
      <c r="X64" s="138">
        <v>3204</v>
      </c>
      <c r="Y64" s="138">
        <v>4604</v>
      </c>
      <c r="Z64" s="138">
        <v>2561</v>
      </c>
      <c r="AA64" s="138">
        <f t="shared" si="15"/>
        <v>37750.5</v>
      </c>
      <c r="AB64" s="142">
        <f>IF(AA64=0,"",IFERROR(AA64/AA$19,""))</f>
        <v>1.9362951335505588E-2</v>
      </c>
      <c r="AC64" s="140"/>
      <c r="AD64" s="138">
        <v>20642.0556</v>
      </c>
      <c r="AE64" s="142">
        <f>IF(AD64=0,"",IFERROR(AD64/AD$19,""))</f>
        <v>8.0628954240189715E-3</v>
      </c>
      <c r="AF64" s="141">
        <f t="shared" si="16"/>
        <v>17108.4444</v>
      </c>
      <c r="AG64" s="138">
        <v>7489.48</v>
      </c>
      <c r="AH64" s="142">
        <f>IF(AG64=0,"",IFERROR(AG64/AG$19,""))</f>
        <v>5.6341587389777967E-3</v>
      </c>
      <c r="AI64" s="141">
        <f t="shared" si="17"/>
        <v>30261.02</v>
      </c>
    </row>
    <row r="65" spans="1:35" x14ac:dyDescent="0.25">
      <c r="A65" s="11"/>
      <c r="B65" s="11"/>
      <c r="C65" s="11"/>
      <c r="D65" s="11"/>
      <c r="E65" s="11"/>
      <c r="F65" s="11"/>
      <c r="G65" s="11"/>
      <c r="H65" s="185" t="s">
        <v>309</v>
      </c>
      <c r="I65" s="122" t="str">
        <f>IF(_epmOfflineCondition_,"T6",_xll.EVPRO($B$1,$H65,"STYLE"))</f>
        <v>T6</v>
      </c>
      <c r="J65" s="122" t="str">
        <f>IF(_epmOfflineCondition_,"Y",_xll.EVPRO($B$1,$H65,"CALC"))</f>
        <v>Y</v>
      </c>
      <c r="K65" s="90"/>
      <c r="L65" s="90" t="str">
        <f>IF(_epmOfflineCondition_,"464400",_xll.EVPRO($B$1,H65,"JDEID"))</f>
        <v>464400</v>
      </c>
      <c r="M65" s="90" t="str">
        <f>IF(_epmOfflineCondition_,"",IF(AND(I65="N",J65="N"),_xll.EVPRO($B$1,H65,"PSFTID"),""))</f>
        <v/>
      </c>
      <c r="N65" s="90" t="str">
        <f>IF(_epmOfflineCondition_,"Bar Wine",IF(_xll.EVDES(H65,$B$1)="#NODATA","",_xll.EVDES(H65,$B$1)))</f>
        <v>Bar Wine</v>
      </c>
      <c r="O65" s="215">
        <v>5378</v>
      </c>
      <c r="P65" s="215">
        <v>7536.5</v>
      </c>
      <c r="Q65" s="215">
        <v>7041</v>
      </c>
      <c r="R65" s="215">
        <v>3972</v>
      </c>
      <c r="S65" s="215">
        <v>3849</v>
      </c>
      <c r="T65" s="215">
        <v>2914.6</v>
      </c>
      <c r="U65" s="215">
        <v>2610</v>
      </c>
      <c r="V65" s="215">
        <v>1629</v>
      </c>
      <c r="W65" s="215">
        <v>1690</v>
      </c>
      <c r="X65" s="215">
        <v>2791</v>
      </c>
      <c r="Y65" s="215">
        <v>4235</v>
      </c>
      <c r="Z65" s="215">
        <v>3932.8</v>
      </c>
      <c r="AA65" s="215">
        <f t="shared" si="15"/>
        <v>47578.9</v>
      </c>
      <c r="AB65" s="217">
        <f>IF(AA65=0,"",IFERROR(AA65/AA$19,""))</f>
        <v>2.4404125118790133E-2</v>
      </c>
      <c r="AC65" s="140"/>
      <c r="AD65" s="215">
        <v>38459.647199999999</v>
      </c>
      <c r="AE65" s="217">
        <f>IF(AD65=0,"",IFERROR(AD65/AD$19,""))</f>
        <v>1.5022540362611176E-2</v>
      </c>
      <c r="AF65" s="218">
        <f t="shared" si="16"/>
        <v>9119.252800000002</v>
      </c>
      <c r="AG65" s="215">
        <v>14747.03</v>
      </c>
      <c r="AH65" s="217">
        <f>IF(AG65=0,"",IFERROR(AG65/AG$19,""))</f>
        <v>1.1093842022205513E-2</v>
      </c>
      <c r="AI65" s="218">
        <f t="shared" si="17"/>
        <v>32831.870000000003</v>
      </c>
    </row>
    <row r="66" spans="1:35" x14ac:dyDescent="0.25">
      <c r="A66" s="11"/>
      <c r="B66" s="11"/>
      <c r="C66" s="11"/>
      <c r="D66" s="11"/>
      <c r="E66" s="11"/>
      <c r="F66" s="11"/>
      <c r="G66" s="11"/>
      <c r="H66" s="185" t="s">
        <v>327</v>
      </c>
      <c r="I66" s="122" t="str">
        <f>IF(_epmOfflineCondition_,"N",_xll.EVPRO($B$1,$H66,"STYLE"))</f>
        <v>N</v>
      </c>
      <c r="J66" s="122" t="str">
        <f>IF(_epmOfflineCondition_,"Y",_xll.EVPRO($B$1,$H66,"CALC"))</f>
        <v>Y</v>
      </c>
      <c r="K66" s="90"/>
      <c r="L66" s="90" t="str">
        <f>IF(_epmOfflineCondition_,"",_xll.EVPRO($B$1,H66,"JDEID"))</f>
        <v/>
      </c>
      <c r="M66" s="90" t="str">
        <f>IF(_epmOfflineCondition_,"",IF(AND(I66="N",J66="N"),_xll.EVPRO($B$1,H66,"PSFTID"),""))</f>
        <v/>
      </c>
      <c r="N66" s="106" t="str">
        <f>IF(_epmOfflineCondition_,"Bar Revenue",IF(_xll.EVDES(H66,$B$1)="#NODATA","",_xll.EVDES(H66,$B$1)))</f>
        <v>Bar Revenue</v>
      </c>
      <c r="O66" s="162">
        <v>38093.5</v>
      </c>
      <c r="P66" s="162">
        <v>48932.5</v>
      </c>
      <c r="Q66" s="162">
        <v>43324</v>
      </c>
      <c r="R66" s="162">
        <v>38018.199999999997</v>
      </c>
      <c r="S66" s="162">
        <v>46055.519999999997</v>
      </c>
      <c r="T66" s="162">
        <v>28542.2</v>
      </c>
      <c r="U66" s="162">
        <v>32201</v>
      </c>
      <c r="V66" s="162">
        <v>21399.5</v>
      </c>
      <c r="W66" s="162">
        <v>23401.57</v>
      </c>
      <c r="X66" s="162">
        <v>25141</v>
      </c>
      <c r="Y66" s="162">
        <v>35907.1</v>
      </c>
      <c r="Z66" s="162">
        <v>34475.68</v>
      </c>
      <c r="AA66" s="162">
        <f t="shared" si="15"/>
        <v>415491.77</v>
      </c>
      <c r="AB66" s="163">
        <f>IF(AA66=0,"",IFERROR(AA66/AA$19,""))</f>
        <v>0.21311365207912694</v>
      </c>
      <c r="AC66" s="140"/>
      <c r="AD66" s="162">
        <v>400221</v>
      </c>
      <c r="AE66" s="163">
        <f>IF(AD66=0,"",IFERROR(AD66/AD$19,""))</f>
        <v>0.15632842639452521</v>
      </c>
      <c r="AF66" s="164">
        <f t="shared" si="16"/>
        <v>15270.770000000019</v>
      </c>
      <c r="AG66" s="162">
        <v>136166.54</v>
      </c>
      <c r="AH66" s="163">
        <f>IF(AG66=0,"",IFERROR(AG66/AG$19,""))</f>
        <v>0.10243486881564139</v>
      </c>
      <c r="AI66" s="164">
        <f t="shared" si="17"/>
        <v>279325.23</v>
      </c>
    </row>
    <row r="67" spans="1:35" x14ac:dyDescent="0.25">
      <c r="A67" s="11"/>
      <c r="B67" s="11"/>
      <c r="C67" s="11"/>
      <c r="D67" s="11"/>
      <c r="E67" s="11"/>
      <c r="F67" s="11"/>
      <c r="G67" s="11"/>
      <c r="H67" s="185" t="s">
        <v>326</v>
      </c>
      <c r="I67" s="122" t="str">
        <f>IF(_epmOfflineCondition_,"N",_xll.EVPRO($B$1,$H67,"STYLE"))</f>
        <v>N</v>
      </c>
      <c r="J67" s="122" t="str">
        <f>IF(_epmOfflineCondition_,"N",_xll.EVPRO($B$1,$H67,"CALC"))</f>
        <v>N</v>
      </c>
      <c r="K67" s="90"/>
      <c r="L67" s="90" t="str">
        <f>IF(_epmOfflineCondition_,"946500",_xll.EVPRO($B$1,H67,"JDEID"))</f>
        <v>946500</v>
      </c>
      <c r="M67" s="90" t="str">
        <f>IF(_epmOfflineCondition_,"991522",IF(AND(I67="N",J67="N"),_xll.EVPRO($B$1,H67,"PSFTID"),""))</f>
        <v>991522</v>
      </c>
      <c r="N67" s="90" t="str">
        <f>IF(_epmOfflineCondition_,"Bar Customers",IF(_xll.EVDES(H67,$B$1)="#NODATA","",_xll.EVDES(H67,$B$1)))</f>
        <v>Bar Customers</v>
      </c>
      <c r="O67" s="231">
        <v>1433</v>
      </c>
      <c r="P67" s="231">
        <v>1415</v>
      </c>
      <c r="Q67" s="231">
        <v>1418</v>
      </c>
      <c r="R67" s="231">
        <v>1095</v>
      </c>
      <c r="S67" s="231">
        <v>1078</v>
      </c>
      <c r="T67" s="231">
        <v>870</v>
      </c>
      <c r="U67" s="231">
        <v>1166</v>
      </c>
      <c r="V67" s="231">
        <v>825</v>
      </c>
      <c r="W67" s="231">
        <v>814</v>
      </c>
      <c r="X67" s="231">
        <v>974</v>
      </c>
      <c r="Y67" s="231">
        <v>1190</v>
      </c>
      <c r="Z67" s="231">
        <v>1066</v>
      </c>
      <c r="AA67" s="231">
        <f t="shared" si="15"/>
        <v>13344</v>
      </c>
      <c r="AB67" s="233">
        <f>IF(AA67=0,"",IFERROR(AA67/AA$104,""))</f>
        <v>0.23687714128485968</v>
      </c>
      <c r="AC67" s="140"/>
      <c r="AD67" s="231">
        <v>15300</v>
      </c>
      <c r="AE67" s="233">
        <f>IF(AD67=0,"",IFERROR(AD67/AD$104,""))</f>
        <v>0.21654658697702484</v>
      </c>
      <c r="AF67" s="234">
        <f t="shared" si="16"/>
        <v>-1956</v>
      </c>
      <c r="AG67" s="231">
        <v>5627</v>
      </c>
      <c r="AH67" s="233">
        <f>IF(AG67=0,"",IFERROR(AG67/AG$104,""))</f>
        <v>0.13253409331794522</v>
      </c>
      <c r="AI67" s="234">
        <f t="shared" si="17"/>
        <v>7717</v>
      </c>
    </row>
    <row r="68" spans="1:35" x14ac:dyDescent="0.25">
      <c r="A68" s="11"/>
      <c r="B68" s="11"/>
      <c r="C68" s="11"/>
      <c r="D68" s="11"/>
      <c r="E68" s="11"/>
      <c r="F68" s="11"/>
      <c r="G68" s="11"/>
      <c r="H68" s="185" t="s">
        <v>328</v>
      </c>
      <c r="I68" s="122" t="str">
        <f>IF(_epmOfflineCondition_,"N",_xll.EVPRO($B$1,$H68,"STYLE"))</f>
        <v>N</v>
      </c>
      <c r="J68" s="122" t="str">
        <f>IF(_epmOfflineCondition_,"Y",_xll.EVPRO($B$1,$H68,"CALC"))</f>
        <v>Y</v>
      </c>
      <c r="K68" s="90"/>
      <c r="L68" s="90" t="str">
        <f>IF(_epmOfflineCondition_,"",_xll.EVPRO($B$1,H68,"JDEID"))</f>
        <v/>
      </c>
      <c r="M68" s="90" t="str">
        <f>IF(_epmOfflineCondition_,"",IF(AND(I68="N",J68="N"),_xll.EVPRO($B$1,H68,"PSFTID"),""))</f>
        <v/>
      </c>
      <c r="N68" s="190" t="str">
        <f>IF(_epmOfflineCondition_,"Bar- Average Check",IF(_xll.EVDES(H68,$B$1)="#NODATA","",_xll.EVDES(H68,$B$1)))</f>
        <v>Bar- Average Check</v>
      </c>
      <c r="O68" s="495">
        <v>26.583042568039101</v>
      </c>
      <c r="P68" s="495">
        <v>34.581272084805697</v>
      </c>
      <c r="Q68" s="495">
        <v>30.5528913963329</v>
      </c>
      <c r="R68" s="495">
        <v>34.719817351598202</v>
      </c>
      <c r="S68" s="495">
        <v>42.723116883116901</v>
      </c>
      <c r="T68" s="495">
        <v>32.807126436781601</v>
      </c>
      <c r="U68" s="495">
        <v>27.616638078902199</v>
      </c>
      <c r="V68" s="495">
        <v>25.938787878787899</v>
      </c>
      <c r="W68" s="495">
        <v>28.7488574938575</v>
      </c>
      <c r="X68" s="495">
        <v>25.8121149897331</v>
      </c>
      <c r="Y68" s="495">
        <v>30.174033613445399</v>
      </c>
      <c r="Z68" s="495">
        <v>32.341163227016899</v>
      </c>
      <c r="AA68" s="495">
        <f>IFERROR(AA66/AA67,"")</f>
        <v>31.136973171462831</v>
      </c>
      <c r="AB68" s="495"/>
      <c r="AC68" s="140"/>
      <c r="AD68" s="495">
        <v>26.158235294117599</v>
      </c>
      <c r="AE68" s="495"/>
      <c r="AF68" s="496">
        <f t="shared" si="16"/>
        <v>4.9787378773452318</v>
      </c>
      <c r="AG68" s="495">
        <v>24.198780877910099</v>
      </c>
      <c r="AH68" s="495"/>
      <c r="AI68" s="496">
        <f t="shared" si="17"/>
        <v>6.9381922935527314</v>
      </c>
    </row>
    <row r="69" spans="1:35" x14ac:dyDescent="0.25">
      <c r="A69" s="11"/>
      <c r="B69" s="11"/>
      <c r="C69" s="11"/>
      <c r="D69" s="11"/>
      <c r="E69" s="11"/>
      <c r="F69" s="11"/>
      <c r="G69" s="490">
        <f>COUNTIF(O70:AI70,FALSE)</f>
        <v>0</v>
      </c>
      <c r="H69" s="88"/>
      <c r="I69" s="122"/>
      <c r="J69" s="122"/>
      <c r="K69" s="90"/>
      <c r="L69" s="90"/>
      <c r="M69" s="90"/>
      <c r="N69" s="491" t="s">
        <v>345</v>
      </c>
      <c r="O69" s="497">
        <f t="shared" ref="O69:AA69" si="18">ROUND(IFERROR(O66/O67,0),2)</f>
        <v>26.58</v>
      </c>
      <c r="P69" s="498">
        <f t="shared" si="18"/>
        <v>34.58</v>
      </c>
      <c r="Q69" s="498">
        <f t="shared" si="18"/>
        <v>30.55</v>
      </c>
      <c r="R69" s="498">
        <f t="shared" si="18"/>
        <v>34.72</v>
      </c>
      <c r="S69" s="498">
        <f t="shared" si="18"/>
        <v>42.72</v>
      </c>
      <c r="T69" s="498">
        <f t="shared" si="18"/>
        <v>32.81</v>
      </c>
      <c r="U69" s="498">
        <f t="shared" si="18"/>
        <v>27.62</v>
      </c>
      <c r="V69" s="498">
        <f t="shared" si="18"/>
        <v>25.94</v>
      </c>
      <c r="W69" s="498">
        <f t="shared" si="18"/>
        <v>28.75</v>
      </c>
      <c r="X69" s="498">
        <f t="shared" si="18"/>
        <v>25.81</v>
      </c>
      <c r="Y69" s="498">
        <f t="shared" si="18"/>
        <v>30.17</v>
      </c>
      <c r="Z69" s="498">
        <f t="shared" si="18"/>
        <v>32.340000000000003</v>
      </c>
      <c r="AA69" s="498">
        <f t="shared" si="18"/>
        <v>31.14</v>
      </c>
      <c r="AB69" s="499"/>
      <c r="AC69" s="140"/>
      <c r="AD69" s="497">
        <f>ROUND(IFERROR(AD66/AD67,0),2)</f>
        <v>26.16</v>
      </c>
      <c r="AE69" s="498"/>
      <c r="AF69" s="155"/>
      <c r="AG69" s="497">
        <f>ROUND(IFERROR(AG66/AG67,0),2)</f>
        <v>24.2</v>
      </c>
      <c r="AH69" s="498"/>
      <c r="AI69" s="155"/>
    </row>
    <row r="70" spans="1:35" x14ac:dyDescent="0.25">
      <c r="A70" s="11"/>
      <c r="B70" s="11"/>
      <c r="C70" s="11"/>
      <c r="D70" s="11"/>
      <c r="E70" s="11"/>
      <c r="F70" s="11"/>
      <c r="G70" s="11"/>
      <c r="H70" s="185"/>
      <c r="I70" s="122"/>
      <c r="J70" s="122"/>
      <c r="K70" s="90"/>
      <c r="L70" s="90"/>
      <c r="M70" s="90"/>
      <c r="N70" s="53" t="s">
        <v>324</v>
      </c>
      <c r="O70" s="500" t="b">
        <f t="shared" ref="O70:AA70" si="19">ROUND(O68,2)=ROUND(O69,2)</f>
        <v>1</v>
      </c>
      <c r="P70" s="501" t="b">
        <f t="shared" si="19"/>
        <v>1</v>
      </c>
      <c r="Q70" s="501" t="b">
        <f t="shared" si="19"/>
        <v>1</v>
      </c>
      <c r="R70" s="501" t="b">
        <f t="shared" si="19"/>
        <v>1</v>
      </c>
      <c r="S70" s="501" t="b">
        <f t="shared" si="19"/>
        <v>1</v>
      </c>
      <c r="T70" s="501" t="b">
        <f t="shared" si="19"/>
        <v>1</v>
      </c>
      <c r="U70" s="501" t="b">
        <f t="shared" si="19"/>
        <v>1</v>
      </c>
      <c r="V70" s="501" t="b">
        <f t="shared" si="19"/>
        <v>1</v>
      </c>
      <c r="W70" s="501" t="b">
        <f t="shared" si="19"/>
        <v>1</v>
      </c>
      <c r="X70" s="501" t="b">
        <f t="shared" si="19"/>
        <v>1</v>
      </c>
      <c r="Y70" s="501" t="b">
        <f t="shared" si="19"/>
        <v>1</v>
      </c>
      <c r="Z70" s="501" t="b">
        <f t="shared" si="19"/>
        <v>1</v>
      </c>
      <c r="AA70" s="501" t="b">
        <f t="shared" si="19"/>
        <v>1</v>
      </c>
      <c r="AB70" s="502"/>
      <c r="AC70" s="503"/>
      <c r="AD70" s="500"/>
      <c r="AE70" s="501" t="b">
        <f>ROUND(AD68,2)=ROUND(AD69,2)</f>
        <v>1</v>
      </c>
      <c r="AF70" s="502"/>
      <c r="AG70" s="500"/>
      <c r="AH70" s="501" t="b">
        <f>ROUND(AG68,2)=ROUND(AG69,2)</f>
        <v>1</v>
      </c>
      <c r="AI70" s="502"/>
    </row>
    <row r="71" spans="1:35" x14ac:dyDescent="0.25">
      <c r="A71" s="11"/>
      <c r="B71" s="11"/>
      <c r="C71" s="11"/>
      <c r="D71" s="11"/>
      <c r="E71" s="11"/>
      <c r="F71" s="11"/>
      <c r="G71" s="11"/>
      <c r="H71" s="185" t="s">
        <v>264</v>
      </c>
      <c r="I71" s="122" t="str">
        <f>IF(_epmOfflineCondition_,"T5",_xll.EVPRO($B$1,$H71,"STYLE"))</f>
        <v>T5</v>
      </c>
      <c r="J71" s="122" t="str">
        <f>IF(_epmOfflineCondition_,"Y",_xll.EVPRO($B$1,$H71,"CALC"))</f>
        <v>Y</v>
      </c>
      <c r="K71" s="90"/>
      <c r="L71" s="90" t="str">
        <f>IF(_epmOfflineCondition_,"465100",_xll.EVPRO($B$1,H71,"JDEID"))</f>
        <v>465100</v>
      </c>
      <c r="M71" s="90" t="str">
        <f>IF(_epmOfflineCondition_,"",IF(AND(I71="N",J71="N"),_xll.EVPRO($B$1,H71,"PSFTID"),""))</f>
        <v/>
      </c>
      <c r="N71" s="90" t="str">
        <f>IF(_epmOfflineCondition_,"Private Dining Food",IF(_xll.EVDES(H71,$B$1)="#NODATA","",_xll.EVDES(H71,$B$1)))</f>
        <v>Private Dining Food</v>
      </c>
      <c r="O71" s="138"/>
      <c r="P71" s="138"/>
      <c r="Q71" s="138"/>
      <c r="R71" s="138"/>
      <c r="S71" s="138"/>
      <c r="T71" s="138"/>
      <c r="U71" s="138"/>
      <c r="V71" s="138"/>
      <c r="W71" s="138"/>
      <c r="X71" s="138"/>
      <c r="Y71" s="138"/>
      <c r="Z71" s="138"/>
      <c r="AA71" s="138">
        <f t="shared" ref="AA71:AA76" si="20">SUM(O71:Z71)</f>
        <v>0</v>
      </c>
      <c r="AB71" s="142" t="str">
        <f>IF(AA71=0,"",IFERROR(AA71/AA$19,""))</f>
        <v/>
      </c>
      <c r="AC71" s="140"/>
      <c r="AD71" s="138"/>
      <c r="AE71" s="142" t="str">
        <f>IF(AD71=0,"",IFERROR(AD71/AD$19,""))</f>
        <v/>
      </c>
      <c r="AF71" s="141">
        <f t="shared" ref="AF71:AF77" si="21">IF(AND($AA71="",AD71=""),"",$AA71-AD71)</f>
        <v>0</v>
      </c>
      <c r="AG71" s="138"/>
      <c r="AH71" s="142" t="str">
        <f>IF(AG71=0,"",IFERROR(AG71/AG$19,""))</f>
        <v/>
      </c>
      <c r="AI71" s="141">
        <f t="shared" ref="AI71:AI77" si="22">IF(AND($AA71="",AG71=""),"",$AA71-AG71)</f>
        <v>0</v>
      </c>
    </row>
    <row r="72" spans="1:35" x14ac:dyDescent="0.25">
      <c r="A72" s="11"/>
      <c r="B72" s="11"/>
      <c r="C72" s="11"/>
      <c r="D72" s="11"/>
      <c r="E72" s="11"/>
      <c r="F72" s="11"/>
      <c r="G72" s="11"/>
      <c r="H72" s="185" t="s">
        <v>321</v>
      </c>
      <c r="I72" s="122" t="str">
        <f>IF(_epmOfflineCondition_,"T6",_xll.EVPRO($B$1,$H72,"STYLE"))</f>
        <v>T6</v>
      </c>
      <c r="J72" s="122" t="str">
        <f>IF(_epmOfflineCondition_,"Y",_xll.EVPRO($B$1,$H72,"CALC"))</f>
        <v>Y</v>
      </c>
      <c r="K72" s="90"/>
      <c r="L72" s="90" t="str">
        <f>IF(_epmOfflineCondition_,"465200",_xll.EVPRO($B$1,H72,"JDEID"))</f>
        <v>465200</v>
      </c>
      <c r="M72" s="90" t="str">
        <f>IF(_epmOfflineCondition_,"",IF(AND(I72="N",J72="N"),_xll.EVPRO($B$1,H72,"PSFTID"),""))</f>
        <v/>
      </c>
      <c r="N72" s="90" t="str">
        <f>IF(_epmOfflineCondition_,"Private Dining Liquor",IF(_xll.EVDES(H72,$B$1)="#NODATA","",_xll.EVDES(H72,$B$1)))</f>
        <v>Private Dining Liquor</v>
      </c>
      <c r="O72" s="138"/>
      <c r="P72" s="138"/>
      <c r="Q72" s="138"/>
      <c r="R72" s="138"/>
      <c r="S72" s="138"/>
      <c r="T72" s="138"/>
      <c r="U72" s="138"/>
      <c r="V72" s="138"/>
      <c r="W72" s="138"/>
      <c r="X72" s="138"/>
      <c r="Y72" s="138"/>
      <c r="Z72" s="138"/>
      <c r="AA72" s="138">
        <f t="shared" si="20"/>
        <v>0</v>
      </c>
      <c r="AB72" s="142" t="str">
        <f>IF(AA72=0,"",IFERROR(AA72/AA$19,""))</f>
        <v/>
      </c>
      <c r="AC72" s="140"/>
      <c r="AD72" s="138"/>
      <c r="AE72" s="142" t="str">
        <f>IF(AD72=0,"",IFERROR(AD72/AD$19,""))</f>
        <v/>
      </c>
      <c r="AF72" s="141">
        <f t="shared" si="21"/>
        <v>0</v>
      </c>
      <c r="AG72" s="138"/>
      <c r="AH72" s="142" t="str">
        <f>IF(AG72=0,"",IFERROR(AG72/AG$19,""))</f>
        <v/>
      </c>
      <c r="AI72" s="141">
        <f t="shared" si="22"/>
        <v>0</v>
      </c>
    </row>
    <row r="73" spans="1:35" x14ac:dyDescent="0.25">
      <c r="A73" s="11"/>
      <c r="B73" s="11"/>
      <c r="C73" s="11"/>
      <c r="D73" s="11"/>
      <c r="E73" s="11"/>
      <c r="F73" s="11"/>
      <c r="G73" s="11"/>
      <c r="H73" s="185" t="s">
        <v>323</v>
      </c>
      <c r="I73" s="122" t="str">
        <f>IF(_epmOfflineCondition_,"T6",_xll.EVPRO($B$1,$H73,"STYLE"))</f>
        <v>T6</v>
      </c>
      <c r="J73" s="122" t="str">
        <f>IF(_epmOfflineCondition_,"Y",_xll.EVPRO($B$1,$H73,"CALC"))</f>
        <v>Y</v>
      </c>
      <c r="K73" s="90"/>
      <c r="L73" s="90" t="str">
        <f>IF(_epmOfflineCondition_,"465300",_xll.EVPRO($B$1,H73,"JDEID"))</f>
        <v>465300</v>
      </c>
      <c r="M73" s="90" t="str">
        <f>IF(_epmOfflineCondition_,"",IF(AND(I73="N",J73="N"),_xll.EVPRO($B$1,H73,"PSFTID"),""))</f>
        <v/>
      </c>
      <c r="N73" s="90" t="str">
        <f>IF(_epmOfflineCondition_,"Private Dining Beer",IF(_xll.EVDES(H73,$B$1)="#NODATA","",_xll.EVDES(H73,$B$1)))</f>
        <v>Private Dining Beer</v>
      </c>
      <c r="O73" s="138"/>
      <c r="P73" s="138"/>
      <c r="Q73" s="138"/>
      <c r="R73" s="138"/>
      <c r="S73" s="138"/>
      <c r="T73" s="138"/>
      <c r="U73" s="138"/>
      <c r="V73" s="138"/>
      <c r="W73" s="138"/>
      <c r="X73" s="138"/>
      <c r="Y73" s="138"/>
      <c r="Z73" s="138"/>
      <c r="AA73" s="138">
        <f t="shared" si="20"/>
        <v>0</v>
      </c>
      <c r="AB73" s="142" t="str">
        <f>IF(AA73=0,"",IFERROR(AA73/AA$19,""))</f>
        <v/>
      </c>
      <c r="AC73" s="140"/>
      <c r="AD73" s="138"/>
      <c r="AE73" s="142" t="str">
        <f>IF(AD73=0,"",IFERROR(AD73/AD$19,""))</f>
        <v/>
      </c>
      <c r="AF73" s="141">
        <f t="shared" si="21"/>
        <v>0</v>
      </c>
      <c r="AG73" s="138"/>
      <c r="AH73" s="142" t="str">
        <f>IF(AG73=0,"",IFERROR(AG73/AG$19,""))</f>
        <v/>
      </c>
      <c r="AI73" s="141">
        <f t="shared" si="22"/>
        <v>0</v>
      </c>
    </row>
    <row r="74" spans="1:35" x14ac:dyDescent="0.25">
      <c r="A74" s="11"/>
      <c r="B74" s="11"/>
      <c r="C74" s="11"/>
      <c r="D74" s="11"/>
      <c r="E74" s="11"/>
      <c r="F74" s="11"/>
      <c r="G74" s="11"/>
      <c r="H74" s="185" t="s">
        <v>322</v>
      </c>
      <c r="I74" s="122" t="str">
        <f>IF(_epmOfflineCondition_,"T6",_xll.EVPRO($B$1,$H74,"STYLE"))</f>
        <v>T6</v>
      </c>
      <c r="J74" s="122" t="str">
        <f>IF(_epmOfflineCondition_,"Y",_xll.EVPRO($B$1,$H74,"CALC"))</f>
        <v>Y</v>
      </c>
      <c r="K74" s="90"/>
      <c r="L74" s="90" t="str">
        <f>IF(_epmOfflineCondition_,"465400",_xll.EVPRO($B$1,H74,"JDEID"))</f>
        <v>465400</v>
      </c>
      <c r="M74" s="90" t="str">
        <f>IF(_epmOfflineCondition_,"",IF(AND(I74="N",J74="N"),_xll.EVPRO($B$1,H74,"PSFTID"),""))</f>
        <v/>
      </c>
      <c r="N74" s="90" t="str">
        <f>IF(_epmOfflineCondition_,"Private Dining Wine",IF(_xll.EVDES(H74,$B$1)="#NODATA","",_xll.EVDES(H74,$B$1)))</f>
        <v>Private Dining Wine</v>
      </c>
      <c r="O74" s="215"/>
      <c r="P74" s="215"/>
      <c r="Q74" s="215"/>
      <c r="R74" s="215"/>
      <c r="S74" s="215"/>
      <c r="T74" s="215"/>
      <c r="U74" s="215"/>
      <c r="V74" s="215"/>
      <c r="W74" s="215"/>
      <c r="X74" s="215"/>
      <c r="Y74" s="215"/>
      <c r="Z74" s="215"/>
      <c r="AA74" s="215">
        <f t="shared" si="20"/>
        <v>0</v>
      </c>
      <c r="AB74" s="217" t="str">
        <f>IF(AA74=0,"",IFERROR(AA74/AA$19,""))</f>
        <v/>
      </c>
      <c r="AC74" s="140"/>
      <c r="AD74" s="215"/>
      <c r="AE74" s="217" t="str">
        <f>IF(AD74=0,"",IFERROR(AD74/AD$19,""))</f>
        <v/>
      </c>
      <c r="AF74" s="218">
        <f t="shared" si="21"/>
        <v>0</v>
      </c>
      <c r="AG74" s="215"/>
      <c r="AH74" s="217" t="str">
        <f>IF(AG74=0,"",IFERROR(AG74/AG$19,""))</f>
        <v/>
      </c>
      <c r="AI74" s="218">
        <f t="shared" si="22"/>
        <v>0</v>
      </c>
    </row>
    <row r="75" spans="1:35" x14ac:dyDescent="0.25">
      <c r="A75" s="11"/>
      <c r="B75" s="11"/>
      <c r="C75" s="11"/>
      <c r="D75" s="11"/>
      <c r="E75" s="11"/>
      <c r="F75" s="11"/>
      <c r="G75" s="11"/>
      <c r="H75" s="185" t="s">
        <v>329</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IF(_epmOfflineCondition_,"Private Dining Revenue",IF(_xll.EVDES(H75,$B$1)="#NODATA","",_xll.EVDES(H75,$B$1)))</f>
        <v>Private Dining Revenue</v>
      </c>
      <c r="O75" s="162"/>
      <c r="P75" s="162"/>
      <c r="Q75" s="162"/>
      <c r="R75" s="162"/>
      <c r="S75" s="162"/>
      <c r="T75" s="162"/>
      <c r="U75" s="162"/>
      <c r="V75" s="162"/>
      <c r="W75" s="162"/>
      <c r="X75" s="162"/>
      <c r="Y75" s="162"/>
      <c r="Z75" s="162"/>
      <c r="AA75" s="162">
        <f t="shared" si="20"/>
        <v>0</v>
      </c>
      <c r="AB75" s="163" t="str">
        <f>IF(AA75=0,"",IFERROR(AA75/AA$19,""))</f>
        <v/>
      </c>
      <c r="AC75" s="140"/>
      <c r="AD75" s="162"/>
      <c r="AE75" s="163" t="str">
        <f>IF(AD75=0,"",IFERROR(AD75/AD$19,""))</f>
        <v/>
      </c>
      <c r="AF75" s="164">
        <f t="shared" si="21"/>
        <v>0</v>
      </c>
      <c r="AG75" s="162"/>
      <c r="AH75" s="163" t="str">
        <f>IF(AG75=0,"",IFERROR(AG75/AG$19,""))</f>
        <v/>
      </c>
      <c r="AI75" s="164">
        <f t="shared" si="22"/>
        <v>0</v>
      </c>
    </row>
    <row r="76" spans="1:35" x14ac:dyDescent="0.25">
      <c r="A76" s="11"/>
      <c r="B76" s="11"/>
      <c r="C76" s="11"/>
      <c r="D76" s="11"/>
      <c r="E76" s="11"/>
      <c r="F76" s="11"/>
      <c r="G76" s="11"/>
      <c r="H76" s="185" t="s">
        <v>300</v>
      </c>
      <c r="I76" s="122" t="str">
        <f>IF(_epmOfflineCondition_,"N",_xll.EVPRO($B$1,$H76,"STYLE"))</f>
        <v>N</v>
      </c>
      <c r="J76" s="122" t="str">
        <f>IF(_epmOfflineCondition_,"N",_xll.EVPRO($B$1,$H76,"CALC"))</f>
        <v>N</v>
      </c>
      <c r="K76" s="90"/>
      <c r="L76" s="90" t="str">
        <f>IF(_epmOfflineCondition_,"946400",_xll.EVPRO($B$1,H76,"JDEID"))</f>
        <v>946400</v>
      </c>
      <c r="M76" s="90" t="str">
        <f>IF(_epmOfflineCondition_,"991510",IF(AND(I76="N",J76="N"),_xll.EVPRO($B$1,H76,"PSFTID"),""))</f>
        <v>991510</v>
      </c>
      <c r="N76" s="90" t="str">
        <f>IF(_epmOfflineCondition_,"Private Dining Customers",IF(_xll.EVDES(H76,$B$1)="#NODATA","",_xll.EVDES(H76,$B$1)))</f>
        <v>Private Dining Customers</v>
      </c>
      <c r="O76" s="231"/>
      <c r="P76" s="231"/>
      <c r="Q76" s="231"/>
      <c r="R76" s="231"/>
      <c r="S76" s="231"/>
      <c r="T76" s="231"/>
      <c r="U76" s="231"/>
      <c r="V76" s="231"/>
      <c r="W76" s="231"/>
      <c r="X76" s="231"/>
      <c r="Y76" s="231"/>
      <c r="Z76" s="231"/>
      <c r="AA76" s="231">
        <f t="shared" si="20"/>
        <v>0</v>
      </c>
      <c r="AB76" s="233" t="str">
        <f>IF(AA76=0,"",IFERROR(AA76/AA$104,""))</f>
        <v/>
      </c>
      <c r="AC76" s="140"/>
      <c r="AD76" s="231"/>
      <c r="AE76" s="233" t="str">
        <f>IF(AD76=0,"",IFERROR(AD76/AD$104,""))</f>
        <v/>
      </c>
      <c r="AF76" s="234">
        <f t="shared" si="21"/>
        <v>0</v>
      </c>
      <c r="AG76" s="231"/>
      <c r="AH76" s="233" t="str">
        <f>IF(AG76=0,"",IFERROR(AG76/AG$104,""))</f>
        <v/>
      </c>
      <c r="AI76" s="234">
        <f t="shared" si="22"/>
        <v>0</v>
      </c>
    </row>
    <row r="77" spans="1:35" x14ac:dyDescent="0.25">
      <c r="A77" s="11"/>
      <c r="B77" s="11"/>
      <c r="C77" s="11"/>
      <c r="D77" s="11"/>
      <c r="E77" s="11"/>
      <c r="F77" s="11"/>
      <c r="G77" s="11"/>
      <c r="H77" s="185" t="s">
        <v>325</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IF(_epmOfflineCondition_,"Private Dining - Average Check",IF(_xll.EVDES(H77,$B$1)="#NODATA","",_xll.EVDES(H77,$B$1)))</f>
        <v>Private Dining - Average Check</v>
      </c>
      <c r="O77" s="495"/>
      <c r="P77" s="495"/>
      <c r="Q77" s="495"/>
      <c r="R77" s="495"/>
      <c r="S77" s="495"/>
      <c r="T77" s="495"/>
      <c r="U77" s="495"/>
      <c r="V77" s="495"/>
      <c r="W77" s="495"/>
      <c r="X77" s="495"/>
      <c r="Y77" s="495"/>
      <c r="Z77" s="495"/>
      <c r="AA77" s="495" t="str">
        <f>IFERROR(AA75/AA76,"")</f>
        <v/>
      </c>
      <c r="AB77" s="495"/>
      <c r="AC77" s="140"/>
      <c r="AD77" s="495"/>
      <c r="AE77" s="495"/>
      <c r="AF77" s="496" t="str">
        <f t="shared" si="21"/>
        <v/>
      </c>
      <c r="AG77" s="495"/>
      <c r="AH77" s="495"/>
      <c r="AI77" s="496" t="str">
        <f t="shared" si="22"/>
        <v/>
      </c>
    </row>
    <row r="78" spans="1:35" x14ac:dyDescent="0.25">
      <c r="A78" s="11"/>
      <c r="B78" s="11"/>
      <c r="C78" s="11"/>
      <c r="D78" s="11"/>
      <c r="E78" s="11"/>
      <c r="F78" s="11"/>
      <c r="G78" s="490">
        <f>COUNTIF(O79:AI79,FALSE)</f>
        <v>0</v>
      </c>
      <c r="H78" s="88"/>
      <c r="I78" s="122"/>
      <c r="J78" s="122"/>
      <c r="K78" s="90"/>
      <c r="L78" s="90"/>
      <c r="M78" s="90"/>
      <c r="N78" s="491" t="s">
        <v>345</v>
      </c>
      <c r="O78" s="497">
        <f t="shared" ref="O78:AA78" si="23">ROUND(IFERROR(O75/O76,0),2)</f>
        <v>0</v>
      </c>
      <c r="P78" s="498">
        <f t="shared" si="23"/>
        <v>0</v>
      </c>
      <c r="Q78" s="498">
        <f t="shared" si="23"/>
        <v>0</v>
      </c>
      <c r="R78" s="498">
        <f t="shared" si="23"/>
        <v>0</v>
      </c>
      <c r="S78" s="498">
        <f t="shared" si="23"/>
        <v>0</v>
      </c>
      <c r="T78" s="498">
        <f t="shared" si="23"/>
        <v>0</v>
      </c>
      <c r="U78" s="498">
        <f t="shared" si="23"/>
        <v>0</v>
      </c>
      <c r="V78" s="498">
        <f t="shared" si="23"/>
        <v>0</v>
      </c>
      <c r="W78" s="498">
        <f t="shared" si="23"/>
        <v>0</v>
      </c>
      <c r="X78" s="498">
        <f t="shared" si="23"/>
        <v>0</v>
      </c>
      <c r="Y78" s="498">
        <f t="shared" si="23"/>
        <v>0</v>
      </c>
      <c r="Z78" s="498">
        <f t="shared" si="23"/>
        <v>0</v>
      </c>
      <c r="AA78" s="498">
        <f t="shared" si="23"/>
        <v>0</v>
      </c>
      <c r="AB78" s="499"/>
      <c r="AC78" s="140"/>
      <c r="AD78" s="497">
        <f>ROUND(IFERROR(AD75/AD76,0),2)</f>
        <v>0</v>
      </c>
      <c r="AE78" s="498"/>
      <c r="AF78" s="155"/>
      <c r="AG78" s="497">
        <f>ROUND(IFERROR(AG75/AG76,0),2)</f>
        <v>0</v>
      </c>
      <c r="AH78" s="498"/>
      <c r="AI78" s="155"/>
    </row>
    <row r="79" spans="1:35" x14ac:dyDescent="0.25">
      <c r="A79" s="11"/>
      <c r="B79" s="11"/>
      <c r="C79" s="11"/>
      <c r="D79" s="11"/>
      <c r="E79" s="11"/>
      <c r="F79" s="11"/>
      <c r="G79" s="11"/>
      <c r="H79" s="185"/>
      <c r="I79" s="122"/>
      <c r="J79" s="122"/>
      <c r="K79" s="90"/>
      <c r="L79" s="90"/>
      <c r="M79" s="90"/>
      <c r="N79" s="53" t="s">
        <v>807</v>
      </c>
      <c r="O79" s="500" t="b">
        <f t="shared" ref="O79:AA79" si="24">ROUND(O77,2)=ROUND(O78,2)</f>
        <v>1</v>
      </c>
      <c r="P79" s="501" t="b">
        <f t="shared" si="24"/>
        <v>1</v>
      </c>
      <c r="Q79" s="501" t="b">
        <f t="shared" si="24"/>
        <v>1</v>
      </c>
      <c r="R79" s="501" t="b">
        <f t="shared" si="24"/>
        <v>1</v>
      </c>
      <c r="S79" s="501" t="b">
        <f t="shared" si="24"/>
        <v>1</v>
      </c>
      <c r="T79" s="501" t="b">
        <f t="shared" si="24"/>
        <v>1</v>
      </c>
      <c r="U79" s="501" t="b">
        <f t="shared" si="24"/>
        <v>1</v>
      </c>
      <c r="V79" s="501" t="b">
        <f t="shared" si="24"/>
        <v>1</v>
      </c>
      <c r="W79" s="501" t="b">
        <f t="shared" si="24"/>
        <v>1</v>
      </c>
      <c r="X79" s="501" t="b">
        <f t="shared" si="24"/>
        <v>1</v>
      </c>
      <c r="Y79" s="501" t="b">
        <f t="shared" si="24"/>
        <v>1</v>
      </c>
      <c r="Z79" s="501" t="b">
        <f t="shared" si="24"/>
        <v>1</v>
      </c>
      <c r="AA79" s="501" t="e">
        <f t="shared" si="24"/>
        <v>#VALUE!</v>
      </c>
      <c r="AB79" s="502"/>
      <c r="AC79" s="503"/>
      <c r="AD79" s="500"/>
      <c r="AE79" s="501" t="b">
        <f>ROUND(AD77,2)=ROUND(AD78,2)</f>
        <v>1</v>
      </c>
      <c r="AF79" s="502"/>
      <c r="AG79" s="500"/>
      <c r="AH79" s="501" t="b">
        <f>ROUND(AG77,2)=ROUND(AG78,2)</f>
        <v>1</v>
      </c>
      <c r="AI79" s="502"/>
    </row>
    <row r="80" spans="1:35" x14ac:dyDescent="0.25">
      <c r="A80" s="11"/>
      <c r="B80" s="11"/>
      <c r="C80" s="11"/>
      <c r="D80" s="11"/>
      <c r="E80" s="11"/>
      <c r="F80" s="11"/>
      <c r="G80" s="11"/>
      <c r="H80" s="185" t="s">
        <v>790</v>
      </c>
      <c r="I80" s="122" t="str">
        <f>IF(_epmOfflineCondition_,"N",_xll.EVPRO($B$1,$H80,"STYLE"))</f>
        <v>N</v>
      </c>
      <c r="J80" s="122" t="str">
        <f>IF(_epmOfflineCondition_,"N",_xll.EVPRO($B$1,$H80,"CALC"))</f>
        <v>N</v>
      </c>
      <c r="K80" s="90"/>
      <c r="L80" s="90" t="str">
        <f>IF(_epmOfflineCondition_,"471110",_xll.EVPRO($B$1,H80,"JDEID"))</f>
        <v>471110</v>
      </c>
      <c r="M80" s="90" t="str">
        <f>IF(_epmOfflineCondition_,"201017",IF(AND(I80="N",J80="N"),_xll.EVPRO($B$1,H80,"PSFTID"),""))</f>
        <v>201017</v>
      </c>
      <c r="N80" s="90" t="str">
        <f>IF(_epmOfflineCondition_,"Reception Food",IF(_xll.EVDES(H80,$B$1)="#NODATA","",_xll.EVDES(H80,$B$1)))</f>
        <v>Reception Food</v>
      </c>
      <c r="O80" s="138"/>
      <c r="P80" s="138"/>
      <c r="Q80" s="138"/>
      <c r="R80" s="138"/>
      <c r="S80" s="138"/>
      <c r="T80" s="138"/>
      <c r="U80" s="138"/>
      <c r="V80" s="138"/>
      <c r="W80" s="138"/>
      <c r="X80" s="138"/>
      <c r="Y80" s="138">
        <v>1535</v>
      </c>
      <c r="Z80" s="138"/>
      <c r="AA80" s="138">
        <f t="shared" ref="AA80:AA85" si="25">SUM(O80:Z80)</f>
        <v>1535</v>
      </c>
      <c r="AB80" s="142">
        <f>IF(AA80=0,"",IFERROR(AA80/AA$19,""))</f>
        <v>7.8733077177788589E-4</v>
      </c>
      <c r="AC80" s="140"/>
      <c r="AD80" s="138"/>
      <c r="AE80" s="142" t="str">
        <f>IF(AD80=0,"",IFERROR(AD80/AD$19,""))</f>
        <v/>
      </c>
      <c r="AF80" s="141">
        <f t="shared" ref="AF80:AF86" si="26">IF(AND($AA80="",AD80=""),"",$AA80-AD80)</f>
        <v>1535</v>
      </c>
      <c r="AG80" s="138"/>
      <c r="AH80" s="142" t="str">
        <f>IF(AG80=0,"",IFERROR(AG80/AG$19,""))</f>
        <v/>
      </c>
      <c r="AI80" s="141">
        <f t="shared" ref="AI80:AI86" si="27">IF(AND($AA80="",AG80=""),"",$AA80-AG80)</f>
        <v>1535</v>
      </c>
    </row>
    <row r="81" spans="1:35" x14ac:dyDescent="0.25">
      <c r="A81" s="11"/>
      <c r="B81" s="11"/>
      <c r="C81" s="11"/>
      <c r="D81" s="11"/>
      <c r="E81" s="11"/>
      <c r="F81" s="11"/>
      <c r="G81" s="11"/>
      <c r="H81" s="185" t="s">
        <v>808</v>
      </c>
      <c r="I81" s="122" t="str">
        <f>IF(_epmOfflineCondition_,"N",_xll.EVPRO($B$1,$H81,"STYLE"))</f>
        <v>N</v>
      </c>
      <c r="J81" s="122" t="str">
        <f>IF(_epmOfflineCondition_,"N",_xll.EVPRO($B$1,$H81,"CALC"))</f>
        <v>N</v>
      </c>
      <c r="K81" s="90"/>
      <c r="L81" s="90" t="str">
        <f>IF(_epmOfflineCondition_,"471210",_xll.EVPRO($B$1,H81,"JDEID"))</f>
        <v>471210</v>
      </c>
      <c r="M81" s="90" t="str">
        <f>IF(_epmOfflineCondition_,"NA",IF(AND(I81="N",J81="N"),_xll.EVPRO($B$1,H81,"PSFTID"),""))</f>
        <v>NA</v>
      </c>
      <c r="N81" s="90" t="str">
        <f>IF(_epmOfflineCondition_,"Reception Liquor",IF(_xll.EVDES(H81,$B$1)="#NODATA","",_xll.EVDES(H81,$B$1)))</f>
        <v>Reception Liquor</v>
      </c>
      <c r="O81" s="138"/>
      <c r="P81" s="138"/>
      <c r="Q81" s="138"/>
      <c r="R81" s="138"/>
      <c r="S81" s="138"/>
      <c r="T81" s="138"/>
      <c r="U81" s="138"/>
      <c r="V81" s="138"/>
      <c r="W81" s="138"/>
      <c r="X81" s="138"/>
      <c r="Y81" s="138">
        <v>615</v>
      </c>
      <c r="Z81" s="138"/>
      <c r="AA81" s="138">
        <f t="shared" si="25"/>
        <v>615</v>
      </c>
      <c r="AB81" s="142">
        <f>IF(AA81=0,"",IFERROR(AA81/AA$19,""))</f>
        <v>3.1544522778071646E-4</v>
      </c>
      <c r="AC81" s="140"/>
      <c r="AD81" s="138"/>
      <c r="AE81" s="142" t="str">
        <f>IF(AD81=0,"",IFERROR(AD81/AD$19,""))</f>
        <v/>
      </c>
      <c r="AF81" s="141">
        <f t="shared" si="26"/>
        <v>615</v>
      </c>
      <c r="AG81" s="138"/>
      <c r="AH81" s="142" t="str">
        <f>IF(AG81=0,"",IFERROR(AG81/AG$19,""))</f>
        <v/>
      </c>
      <c r="AI81" s="141">
        <f t="shared" si="27"/>
        <v>615</v>
      </c>
    </row>
    <row r="82" spans="1:35" x14ac:dyDescent="0.25">
      <c r="A82" s="11"/>
      <c r="B82" s="11"/>
      <c r="C82" s="11"/>
      <c r="D82" s="11"/>
      <c r="E82" s="11"/>
      <c r="F82" s="11"/>
      <c r="G82" s="11"/>
      <c r="H82" s="185" t="s">
        <v>809</v>
      </c>
      <c r="I82" s="122" t="str">
        <f>IF(_epmOfflineCondition_,"N",_xll.EVPRO($B$1,$H82,"STYLE"))</f>
        <v>N</v>
      </c>
      <c r="J82" s="122" t="str">
        <f>IF(_epmOfflineCondition_,"N",_xll.EVPRO($B$1,$H82,"CALC"))</f>
        <v>N</v>
      </c>
      <c r="K82" s="90"/>
      <c r="L82" s="90" t="str">
        <f>IF(_epmOfflineCondition_,"471310",_xll.EVPRO($B$1,H82,"JDEID"))</f>
        <v>471310</v>
      </c>
      <c r="M82" s="90" t="str">
        <f>IF(_epmOfflineCondition_,"NA",IF(AND(I82="N",J82="N"),_xll.EVPRO($B$1,H82,"PSFTID"),""))</f>
        <v>NA</v>
      </c>
      <c r="N82" s="90" t="str">
        <f>IF(_epmOfflineCondition_,"Reception Beer",IF(_xll.EVDES(H82,$B$1)="#NODATA","",_xll.EVDES(H82,$B$1)))</f>
        <v>Reception Beer</v>
      </c>
      <c r="O82" s="138"/>
      <c r="P82" s="138"/>
      <c r="Q82" s="138"/>
      <c r="R82" s="138"/>
      <c r="S82" s="138"/>
      <c r="T82" s="138"/>
      <c r="U82" s="138"/>
      <c r="V82" s="138"/>
      <c r="W82" s="138"/>
      <c r="X82" s="138"/>
      <c r="Y82" s="138">
        <v>127</v>
      </c>
      <c r="Z82" s="138"/>
      <c r="AA82" s="138">
        <f t="shared" si="25"/>
        <v>127</v>
      </c>
      <c r="AB82" s="142">
        <f>IF(AA82=0,"",IFERROR(AA82/AA$19,""))</f>
        <v>6.5140721834391863E-5</v>
      </c>
      <c r="AC82" s="140"/>
      <c r="AD82" s="138"/>
      <c r="AE82" s="142" t="str">
        <f>IF(AD82=0,"",IFERROR(AD82/AD$19,""))</f>
        <v/>
      </c>
      <c r="AF82" s="141">
        <f t="shared" si="26"/>
        <v>127</v>
      </c>
      <c r="AG82" s="138"/>
      <c r="AH82" s="142" t="str">
        <f>IF(AG82=0,"",IFERROR(AG82/AG$19,""))</f>
        <v/>
      </c>
      <c r="AI82" s="141">
        <f t="shared" si="27"/>
        <v>127</v>
      </c>
    </row>
    <row r="83" spans="1:35" x14ac:dyDescent="0.25">
      <c r="A83" s="11"/>
      <c r="B83" s="11"/>
      <c r="C83" s="11"/>
      <c r="D83" s="11"/>
      <c r="E83" s="11"/>
      <c r="F83" s="11"/>
      <c r="G83" s="11"/>
      <c r="H83" s="185" t="s">
        <v>810</v>
      </c>
      <c r="I83" s="122" t="str">
        <f>IF(_epmOfflineCondition_,"N",_xll.EVPRO($B$1,$H83,"STYLE"))</f>
        <v>N</v>
      </c>
      <c r="J83" s="122" t="str">
        <f>IF(_epmOfflineCondition_,"N",_xll.EVPRO($B$1,$H83,"CALC"))</f>
        <v>N</v>
      </c>
      <c r="K83" s="90"/>
      <c r="L83" s="90" t="str">
        <f>IF(_epmOfflineCondition_,"471410",_xll.EVPRO($B$1,H83,"JDEID"))</f>
        <v>471410</v>
      </c>
      <c r="M83" s="90" t="str">
        <f>IF(_epmOfflineCondition_,"NA",IF(AND(I83="N",J83="N"),_xll.EVPRO($B$1,H83,"PSFTID"),""))</f>
        <v>NA</v>
      </c>
      <c r="N83" s="90" t="str">
        <f>IF(_epmOfflineCondition_,"Reception Wine",IF(_xll.EVDES(H83,$B$1)="#NODATA","",_xll.EVDES(H83,$B$1)))</f>
        <v>Reception Wine</v>
      </c>
      <c r="O83" s="215"/>
      <c r="P83" s="215"/>
      <c r="Q83" s="215"/>
      <c r="R83" s="215"/>
      <c r="S83" s="215"/>
      <c r="T83" s="215"/>
      <c r="U83" s="215"/>
      <c r="V83" s="215"/>
      <c r="W83" s="215"/>
      <c r="X83" s="215"/>
      <c r="Y83" s="215">
        <v>52</v>
      </c>
      <c r="Z83" s="215"/>
      <c r="AA83" s="215">
        <f t="shared" si="25"/>
        <v>52</v>
      </c>
      <c r="AB83" s="217">
        <f>IF(AA83=0,"",IFERROR(AA83/AA$19,""))</f>
        <v>2.6671791617231313E-5</v>
      </c>
      <c r="AC83" s="140"/>
      <c r="AD83" s="215"/>
      <c r="AE83" s="217" t="str">
        <f>IF(AD83=0,"",IFERROR(AD83/AD$19,""))</f>
        <v/>
      </c>
      <c r="AF83" s="218">
        <f t="shared" si="26"/>
        <v>52</v>
      </c>
      <c r="AG83" s="215"/>
      <c r="AH83" s="217" t="str">
        <f>IF(AG83=0,"",IFERROR(AG83/AG$19,""))</f>
        <v/>
      </c>
      <c r="AI83" s="218">
        <f t="shared" si="27"/>
        <v>52</v>
      </c>
    </row>
    <row r="84" spans="1:35" x14ac:dyDescent="0.25">
      <c r="A84" s="11"/>
      <c r="B84" s="11"/>
      <c r="C84" s="11"/>
      <c r="D84" s="11"/>
      <c r="E84" s="11"/>
      <c r="F84" s="11"/>
      <c r="G84" s="11"/>
      <c r="H84" s="185" t="s">
        <v>811</v>
      </c>
      <c r="I84" s="122" t="str">
        <f>IF(_epmOfflineCondition_,"N",_xll.EVPRO($B$1,$H84,"STYLE"))</f>
        <v>N</v>
      </c>
      <c r="J84" s="122" t="str">
        <f>IF(_epmOfflineCondition_,"Y",_xll.EVPRO($B$1,$H84,"CALC"))</f>
        <v>Y</v>
      </c>
      <c r="K84" s="90"/>
      <c r="L84" s="90" t="str">
        <f>IF(_epmOfflineCondition_,"",_xll.EVPRO($B$1,H84,"JDEID"))</f>
        <v/>
      </c>
      <c r="M84" s="90" t="str">
        <f>IF(_epmOfflineCondition_,"",IF(AND(I84="N",J84="N"),_xll.EVPRO($B$1,H84,"PSFTID"),""))</f>
        <v/>
      </c>
      <c r="N84" s="106" t="str">
        <f>IF(_epmOfflineCondition_,"Reception Revenue",IF(_xll.EVDES(H84,$B$1)="#NODATA","",_xll.EVDES(H84,$B$1)))</f>
        <v>Reception Revenue</v>
      </c>
      <c r="O84" s="162"/>
      <c r="P84" s="162"/>
      <c r="Q84" s="162"/>
      <c r="R84" s="162"/>
      <c r="S84" s="162"/>
      <c r="T84" s="162"/>
      <c r="U84" s="162"/>
      <c r="V84" s="162"/>
      <c r="W84" s="162"/>
      <c r="X84" s="162"/>
      <c r="Y84" s="162">
        <v>2329</v>
      </c>
      <c r="Z84" s="162"/>
      <c r="AA84" s="162">
        <f t="shared" si="25"/>
        <v>2329</v>
      </c>
      <c r="AB84" s="163">
        <f>IF(AA84=0,"",IFERROR(AA84/AA$19,""))</f>
        <v>1.1945885130102256E-3</v>
      </c>
      <c r="AC84" s="140"/>
      <c r="AD84" s="162"/>
      <c r="AE84" s="163" t="str">
        <f>IF(AD84=0,"",IFERROR(AD84/AD$19,""))</f>
        <v/>
      </c>
      <c r="AF84" s="164">
        <f t="shared" si="26"/>
        <v>2329</v>
      </c>
      <c r="AG84" s="162"/>
      <c r="AH84" s="163" t="str">
        <f>IF(AG84=0,"",IFERROR(AG84/AG$19,""))</f>
        <v/>
      </c>
      <c r="AI84" s="164">
        <f t="shared" si="27"/>
        <v>2329</v>
      </c>
    </row>
    <row r="85" spans="1:35" x14ac:dyDescent="0.25">
      <c r="A85" s="11"/>
      <c r="B85" s="11"/>
      <c r="C85" s="11"/>
      <c r="D85" s="11"/>
      <c r="E85" s="11"/>
      <c r="F85" s="11"/>
      <c r="G85" s="11"/>
      <c r="H85" s="185" t="s">
        <v>812</v>
      </c>
      <c r="I85" s="122" t="str">
        <f>IF(_epmOfflineCondition_,"N",_xll.EVPRO($B$1,$H85,"STYLE"))</f>
        <v>N</v>
      </c>
      <c r="J85" s="122" t="str">
        <f>IF(_epmOfflineCondition_,"N",_xll.EVPRO($B$1,$H85,"CALC"))</f>
        <v>N</v>
      </c>
      <c r="K85" s="90"/>
      <c r="L85" s="90" t="str">
        <f>IF(_epmOfflineCondition_,"946700",_xll.EVPRO($B$1,H85,"JDEID"))</f>
        <v>946700</v>
      </c>
      <c r="M85" s="90" t="str">
        <f>IF(_epmOfflineCondition_,"991508",IF(AND(I85="N",J85="N"),_xll.EVPRO($B$1,H85,"PSFTID"),""))</f>
        <v>991508</v>
      </c>
      <c r="N85" s="90" t="str">
        <f>IF(_epmOfflineCondition_,"Reception Customers",IF(_xll.EVDES(H85,$B$1)="#NODATA","",_xll.EVDES(H85,$B$1)))</f>
        <v>Reception Customers</v>
      </c>
      <c r="O85" s="231"/>
      <c r="P85" s="231"/>
      <c r="Q85" s="231"/>
      <c r="R85" s="231"/>
      <c r="S85" s="231"/>
      <c r="T85" s="231"/>
      <c r="U85" s="231"/>
      <c r="V85" s="231"/>
      <c r="W85" s="231"/>
      <c r="X85" s="231"/>
      <c r="Y85" s="231">
        <v>176</v>
      </c>
      <c r="Z85" s="231">
        <v>10</v>
      </c>
      <c r="AA85" s="231">
        <f t="shared" si="25"/>
        <v>186</v>
      </c>
      <c r="AB85" s="233">
        <f>IF(AA85=0,"",IFERROR(AA85/AA$84,""))</f>
        <v>7.9862601975096606E-2</v>
      </c>
      <c r="AC85" s="140"/>
      <c r="AD85" s="231"/>
      <c r="AE85" s="233" t="str">
        <f>IF(AD85=0,"",IFERROR(AD85/AD$84,""))</f>
        <v/>
      </c>
      <c r="AF85" s="234">
        <f t="shared" si="26"/>
        <v>186</v>
      </c>
      <c r="AG85" s="231">
        <v>71</v>
      </c>
      <c r="AH85" s="233" t="str">
        <f>IF(AG85=0,"",IFERROR(AG85/AG$84,""))</f>
        <v/>
      </c>
      <c r="AI85" s="234">
        <f t="shared" si="27"/>
        <v>115</v>
      </c>
    </row>
    <row r="86" spans="1:35" x14ac:dyDescent="0.25">
      <c r="A86" s="11"/>
      <c r="B86" s="11"/>
      <c r="C86" s="11"/>
      <c r="D86" s="11"/>
      <c r="E86" s="11"/>
      <c r="F86" s="11"/>
      <c r="G86" s="11"/>
      <c r="H86" s="185" t="s">
        <v>813</v>
      </c>
      <c r="I86" s="122" t="str">
        <f>IF(_epmOfflineCondition_,"N",_xll.EVPRO($B$1,$H86,"STYLE"))</f>
        <v>N</v>
      </c>
      <c r="J86" s="122" t="str">
        <f>IF(_epmOfflineCondition_,"Y",_xll.EVPRO($B$1,$H86,"CALC"))</f>
        <v>Y</v>
      </c>
      <c r="K86" s="90"/>
      <c r="L86" s="90" t="str">
        <f>IF(_epmOfflineCondition_,"",_xll.EVPRO($B$1,H86,"JDEID"))</f>
        <v/>
      </c>
      <c r="M86" s="90" t="str">
        <f>IF(_epmOfflineCondition_,"",IF(AND(I86="N",J86="N"),_xll.EVPRO($B$1,H86,"PSFTID"),""))</f>
        <v/>
      </c>
      <c r="N86" s="190" t="str">
        <f>IF(_epmOfflineCondition_,"Reception Average Check",IF(_xll.EVDES(H86,$B$1)="#NODATA","",_xll.EVDES(H86,$B$1)))</f>
        <v>Reception Average Check</v>
      </c>
      <c r="O86" s="495"/>
      <c r="P86" s="495"/>
      <c r="Q86" s="495"/>
      <c r="R86" s="495"/>
      <c r="S86" s="495"/>
      <c r="T86" s="495"/>
      <c r="U86" s="495"/>
      <c r="V86" s="495"/>
      <c r="W86" s="495"/>
      <c r="X86" s="495"/>
      <c r="Y86" s="495">
        <v>13.232954545454501</v>
      </c>
      <c r="Z86" s="495"/>
      <c r="AA86" s="495">
        <f>IFERROR(AA84/AA85,"")</f>
        <v>12.521505376344086</v>
      </c>
      <c r="AB86" s="495"/>
      <c r="AC86" s="140"/>
      <c r="AD86" s="495"/>
      <c r="AE86" s="495"/>
      <c r="AF86" s="496">
        <f t="shared" si="26"/>
        <v>12.521505376344086</v>
      </c>
      <c r="AG86" s="495"/>
      <c r="AH86" s="495"/>
      <c r="AI86" s="496">
        <f t="shared" si="27"/>
        <v>12.521505376344086</v>
      </c>
    </row>
    <row r="87" spans="1:35" x14ac:dyDescent="0.25">
      <c r="A87" s="11"/>
      <c r="B87" s="11"/>
      <c r="C87" s="11"/>
      <c r="D87" s="11"/>
      <c r="E87" s="11"/>
      <c r="F87" s="11"/>
      <c r="G87" s="490">
        <f>COUNTIF(O88:AI88,FALSE)</f>
        <v>0</v>
      </c>
      <c r="H87" s="88"/>
      <c r="I87" s="122"/>
      <c r="J87" s="122"/>
      <c r="K87" s="90"/>
      <c r="L87" s="90"/>
      <c r="M87" s="90"/>
      <c r="N87" s="491" t="s">
        <v>345</v>
      </c>
      <c r="O87" s="497">
        <f t="shared" ref="O87:AA87" si="28">ROUND(IFERROR(O84/O85,0),2)</f>
        <v>0</v>
      </c>
      <c r="P87" s="498">
        <f t="shared" si="28"/>
        <v>0</v>
      </c>
      <c r="Q87" s="498">
        <f t="shared" si="28"/>
        <v>0</v>
      </c>
      <c r="R87" s="498">
        <f t="shared" si="28"/>
        <v>0</v>
      </c>
      <c r="S87" s="498">
        <f t="shared" si="28"/>
        <v>0</v>
      </c>
      <c r="T87" s="498">
        <f t="shared" si="28"/>
        <v>0</v>
      </c>
      <c r="U87" s="498">
        <f t="shared" si="28"/>
        <v>0</v>
      </c>
      <c r="V87" s="498">
        <f t="shared" si="28"/>
        <v>0</v>
      </c>
      <c r="W87" s="498">
        <f t="shared" si="28"/>
        <v>0</v>
      </c>
      <c r="X87" s="498">
        <f t="shared" si="28"/>
        <v>0</v>
      </c>
      <c r="Y87" s="498">
        <f t="shared" si="28"/>
        <v>13.23</v>
      </c>
      <c r="Z87" s="498">
        <f t="shared" si="28"/>
        <v>0</v>
      </c>
      <c r="AA87" s="498">
        <f t="shared" si="28"/>
        <v>12.52</v>
      </c>
      <c r="AB87" s="499"/>
      <c r="AC87" s="140"/>
      <c r="AD87" s="497">
        <f>ROUND(IFERROR(AD84/AD85,0),2)</f>
        <v>0</v>
      </c>
      <c r="AE87" s="498"/>
      <c r="AF87" s="155"/>
      <c r="AG87" s="497">
        <f>ROUND(IFERROR(AG84/AG85,0),2)</f>
        <v>0</v>
      </c>
      <c r="AH87" s="498"/>
      <c r="AI87" s="155"/>
    </row>
    <row r="88" spans="1:35" x14ac:dyDescent="0.25">
      <c r="A88" s="11"/>
      <c r="B88" s="11"/>
      <c r="C88" s="11"/>
      <c r="D88" s="11"/>
      <c r="E88" s="11"/>
      <c r="F88" s="11"/>
      <c r="G88" s="11"/>
      <c r="H88" s="185"/>
      <c r="I88" s="122"/>
      <c r="J88" s="122"/>
      <c r="K88" s="90"/>
      <c r="L88" s="90"/>
      <c r="M88" s="90"/>
      <c r="N88" s="53" t="s">
        <v>814</v>
      </c>
      <c r="O88" s="500" t="b">
        <f t="shared" ref="O88:AA88" si="29">ROUND(O86,2)=ROUND(O87,2)</f>
        <v>1</v>
      </c>
      <c r="P88" s="501" t="b">
        <f t="shared" si="29"/>
        <v>1</v>
      </c>
      <c r="Q88" s="501" t="b">
        <f t="shared" si="29"/>
        <v>1</v>
      </c>
      <c r="R88" s="501" t="b">
        <f t="shared" si="29"/>
        <v>1</v>
      </c>
      <c r="S88" s="501" t="b">
        <f t="shared" si="29"/>
        <v>1</v>
      </c>
      <c r="T88" s="501" t="b">
        <f t="shared" si="29"/>
        <v>1</v>
      </c>
      <c r="U88" s="501" t="b">
        <f t="shared" si="29"/>
        <v>1</v>
      </c>
      <c r="V88" s="501" t="b">
        <f t="shared" si="29"/>
        <v>1</v>
      </c>
      <c r="W88" s="501" t="b">
        <f t="shared" si="29"/>
        <v>1</v>
      </c>
      <c r="X88" s="501" t="b">
        <f t="shared" si="29"/>
        <v>1</v>
      </c>
      <c r="Y88" s="501" t="b">
        <f t="shared" si="29"/>
        <v>1</v>
      </c>
      <c r="Z88" s="501" t="b">
        <f t="shared" si="29"/>
        <v>1</v>
      </c>
      <c r="AA88" s="501" t="b">
        <f t="shared" si="29"/>
        <v>1</v>
      </c>
      <c r="AB88" s="502"/>
      <c r="AC88" s="503"/>
      <c r="AD88" s="500"/>
      <c r="AE88" s="501" t="b">
        <f>ROUND(AD86,2)=ROUND(AD87,2)</f>
        <v>1</v>
      </c>
      <c r="AF88" s="502"/>
      <c r="AG88" s="500"/>
      <c r="AH88" s="501" t="b">
        <f>ROUND(AG86,2)=ROUND(AG87,2)</f>
        <v>1</v>
      </c>
      <c r="AI88" s="502"/>
    </row>
    <row r="89" spans="1:35" x14ac:dyDescent="0.25">
      <c r="A89" s="11"/>
      <c r="B89" s="11"/>
      <c r="C89" s="11"/>
      <c r="D89" s="11"/>
      <c r="E89" s="11"/>
      <c r="F89" s="11"/>
      <c r="G89" s="11"/>
      <c r="H89" s="185" t="s">
        <v>789</v>
      </c>
      <c r="I89" s="122" t="str">
        <f>IF(_epmOfflineCondition_,"N",_xll.EVPRO($B$1,$H89,"STYLE"))</f>
        <v>N</v>
      </c>
      <c r="J89" s="122" t="str">
        <f>IF(_epmOfflineCondition_,"N",_xll.EVPRO($B$1,$H89,"CALC"))</f>
        <v>N</v>
      </c>
      <c r="K89" s="90"/>
      <c r="L89" s="90" t="str">
        <f>IF(_epmOfflineCondition_,"470110",_xll.EVPRO($B$1,H89,"JDEID"))</f>
        <v>470110</v>
      </c>
      <c r="M89" s="90" t="str">
        <f>IF(_epmOfflineCondition_,"201016",IF(AND(I89="N",J89="N"),_xll.EVPRO($B$1,H89,"PSFTID"),""))</f>
        <v>201016</v>
      </c>
      <c r="N89" s="90" t="str">
        <f>IF(_epmOfflineCondition_,"Break Food",IF(_xll.EVDES(H89,$B$1)="#NODATA","",_xll.EVDES(H89,$B$1)))</f>
        <v>Break Food</v>
      </c>
      <c r="O89" s="138"/>
      <c r="P89" s="138"/>
      <c r="Q89" s="138"/>
      <c r="R89" s="138"/>
      <c r="S89" s="138"/>
      <c r="T89" s="138"/>
      <c r="U89" s="138"/>
      <c r="V89" s="138"/>
      <c r="W89" s="138"/>
      <c r="X89" s="138"/>
      <c r="Y89" s="138"/>
      <c r="Z89" s="138"/>
      <c r="AA89" s="138">
        <f>SUM(O89:Z89)</f>
        <v>0</v>
      </c>
      <c r="AB89" s="142" t="str">
        <f>IF(AA89=0,"",IFERROR(AA89/AA$19,""))</f>
        <v/>
      </c>
      <c r="AC89" s="140"/>
      <c r="AD89" s="138"/>
      <c r="AE89" s="142" t="str">
        <f>IF(AD89=0,"",IFERROR(AD89/AD$19,""))</f>
        <v/>
      </c>
      <c r="AF89" s="141">
        <f>IF(AND($AA89="",AD89=""),"",$AA89-AD89)</f>
        <v>0</v>
      </c>
      <c r="AG89" s="138"/>
      <c r="AH89" s="142" t="str">
        <f>IF(AG89=0,"",IFERROR(AG89/AG$19,""))</f>
        <v/>
      </c>
      <c r="AI89" s="141">
        <f>IF(AND($AA89="",AG89=""),"",$AA89-AG89)</f>
        <v>0</v>
      </c>
    </row>
    <row r="90" spans="1:35" x14ac:dyDescent="0.25">
      <c r="A90" s="11"/>
      <c r="B90" s="11"/>
      <c r="C90" s="11"/>
      <c r="D90" s="11"/>
      <c r="E90" s="11"/>
      <c r="F90" s="11"/>
      <c r="G90" s="11"/>
      <c r="H90" s="185" t="s">
        <v>815</v>
      </c>
      <c r="I90" s="122" t="str">
        <f>IF(_epmOfflineCondition_,"N",_xll.EVPRO($B$1,$H90,"STYLE"))</f>
        <v>N</v>
      </c>
      <c r="J90" s="122" t="str">
        <f>IF(_epmOfflineCondition_,"Y",_xll.EVPRO($B$1,$H90,"CALC"))</f>
        <v>Y</v>
      </c>
      <c r="K90" s="90"/>
      <c r="L90" s="90" t="str">
        <f>IF(_epmOfflineCondition_,"",_xll.EVPRO($B$1,H90,"JDEID"))</f>
        <v/>
      </c>
      <c r="M90" s="90" t="str">
        <f>IF(_epmOfflineCondition_,"",IF(AND(I90="N",J90="N"),_xll.EVPRO($B$1,H90,"PSFTID"),""))</f>
        <v/>
      </c>
      <c r="N90" s="106" t="str">
        <f>IF(_epmOfflineCondition_,"Break Revenue",IF(_xll.EVDES(H90,$B$1)="#NODATA","",_xll.EVDES(H90,$B$1)))</f>
        <v>Break Revenue</v>
      </c>
      <c r="O90" s="162"/>
      <c r="P90" s="162"/>
      <c r="Q90" s="162"/>
      <c r="R90" s="162"/>
      <c r="S90" s="162"/>
      <c r="T90" s="162"/>
      <c r="U90" s="162"/>
      <c r="V90" s="162"/>
      <c r="W90" s="162"/>
      <c r="X90" s="162"/>
      <c r="Y90" s="162"/>
      <c r="Z90" s="162"/>
      <c r="AA90" s="162">
        <f>SUM(O90:Z90)</f>
        <v>0</v>
      </c>
      <c r="AB90" s="163" t="str">
        <f>IF(AA90=0,"",IFERROR(AA90/AA$19,""))</f>
        <v/>
      </c>
      <c r="AC90" s="140"/>
      <c r="AD90" s="162"/>
      <c r="AE90" s="163" t="str">
        <f>IF(AD90=0,"",IFERROR(AD90/AD$19,""))</f>
        <v/>
      </c>
      <c r="AF90" s="164">
        <f>IF(AND($AA90="",AD90=""),"",$AA90-AD90)</f>
        <v>0</v>
      </c>
      <c r="AG90" s="162"/>
      <c r="AH90" s="163" t="str">
        <f>IF(AG90=0,"",IFERROR(AG90/AG$19,""))</f>
        <v/>
      </c>
      <c r="AI90" s="164">
        <f>IF(AND($AA90="",AG90=""),"",$AA90-AG90)</f>
        <v>0</v>
      </c>
    </row>
    <row r="91" spans="1:35" x14ac:dyDescent="0.25">
      <c r="A91" s="11"/>
      <c r="B91" s="11"/>
      <c r="C91" s="11"/>
      <c r="D91" s="11"/>
      <c r="E91" s="11"/>
      <c r="F91" s="11"/>
      <c r="G91" s="11"/>
      <c r="H91" s="185" t="s">
        <v>816</v>
      </c>
      <c r="I91" s="122" t="str">
        <f>IF(_epmOfflineCondition_,"N",_xll.EVPRO($B$1,$H91,"STYLE"))</f>
        <v>N</v>
      </c>
      <c r="J91" s="122" t="str">
        <f>IF(_epmOfflineCondition_,"N",_xll.EVPRO($B$1,$H91,"CALC"))</f>
        <v>N</v>
      </c>
      <c r="K91" s="90"/>
      <c r="L91" s="90" t="str">
        <f>IF(_epmOfflineCondition_,"946600",_xll.EVPRO($B$1,H91,"JDEID"))</f>
        <v>946600</v>
      </c>
      <c r="M91" s="90" t="str">
        <f>IF(_epmOfflineCondition_,"991507",IF(AND(I91="N",J91="N"),_xll.EVPRO($B$1,H91,"PSFTID"),""))</f>
        <v>991507</v>
      </c>
      <c r="N91" s="90" t="str">
        <f>IF(_epmOfflineCondition_,"Break Customers",IF(_xll.EVDES(H91,$B$1)="#NODATA","",_xll.EVDES(H91,$B$1)))</f>
        <v>Break Customers</v>
      </c>
      <c r="O91" s="231"/>
      <c r="P91" s="231"/>
      <c r="Q91" s="231"/>
      <c r="R91" s="231"/>
      <c r="S91" s="231"/>
      <c r="T91" s="231"/>
      <c r="U91" s="231"/>
      <c r="V91" s="231"/>
      <c r="W91" s="231"/>
      <c r="X91" s="231"/>
      <c r="Y91" s="231"/>
      <c r="Z91" s="231"/>
      <c r="AA91" s="231">
        <f>SUM(O91:Z91)</f>
        <v>0</v>
      </c>
      <c r="AB91" s="233" t="str">
        <f>IF(AA91=0,"",IFERROR(AA91/AA$84,""))</f>
        <v/>
      </c>
      <c r="AC91" s="140"/>
      <c r="AD91" s="231"/>
      <c r="AE91" s="233" t="str">
        <f>IF(AD91=0,"",IFERROR(AD91/AD$84,""))</f>
        <v/>
      </c>
      <c r="AF91" s="234">
        <f>IF(AND($AA91="",AD91=""),"",$AA91-AD91)</f>
        <v>0</v>
      </c>
      <c r="AG91" s="231"/>
      <c r="AH91" s="233" t="str">
        <f>IF(AG91=0,"",IFERROR(AG91/AG$84,""))</f>
        <v/>
      </c>
      <c r="AI91" s="234">
        <f>IF(AND($AA91="",AG91=""),"",$AA91-AG91)</f>
        <v>0</v>
      </c>
    </row>
    <row r="92" spans="1:35" x14ac:dyDescent="0.25">
      <c r="A92" s="11"/>
      <c r="B92" s="11"/>
      <c r="C92" s="11"/>
      <c r="D92" s="11"/>
      <c r="E92" s="11"/>
      <c r="F92" s="11"/>
      <c r="G92" s="11"/>
      <c r="H92" s="185" t="s">
        <v>817</v>
      </c>
      <c r="I92" s="122" t="str">
        <f>IF(_epmOfflineCondition_,"N",_xll.EVPRO($B$1,$H92,"STYLE"))</f>
        <v>N</v>
      </c>
      <c r="J92" s="122" t="str">
        <f>IF(_epmOfflineCondition_,"Y",_xll.EVPRO($B$1,$H92,"CALC"))</f>
        <v>Y</v>
      </c>
      <c r="K92" s="90"/>
      <c r="L92" s="90" t="str">
        <f>IF(_epmOfflineCondition_,"",_xll.EVPRO($B$1,H92,"JDEID"))</f>
        <v/>
      </c>
      <c r="M92" s="90" t="str">
        <f>IF(_epmOfflineCondition_,"",IF(AND(I92="N",J92="N"),_xll.EVPRO($B$1,H92,"PSFTID"),""))</f>
        <v/>
      </c>
      <c r="N92" s="190" t="str">
        <f>IF(_epmOfflineCondition_,"Break Average Check",IF(_xll.EVDES(H92,$B$1)="#NODATA","",_xll.EVDES(H92,$B$1)))</f>
        <v>Break Average Check</v>
      </c>
      <c r="O92" s="495"/>
      <c r="P92" s="495"/>
      <c r="Q92" s="495"/>
      <c r="R92" s="495"/>
      <c r="S92" s="495"/>
      <c r="T92" s="495"/>
      <c r="U92" s="495"/>
      <c r="V92" s="495"/>
      <c r="W92" s="495"/>
      <c r="X92" s="495"/>
      <c r="Y92" s="495"/>
      <c r="Z92" s="495"/>
      <c r="AA92" s="495" t="str">
        <f>IFERROR(AA90/AA91,"")</f>
        <v/>
      </c>
      <c r="AB92" s="495"/>
      <c r="AC92" s="140"/>
      <c r="AD92" s="495"/>
      <c r="AE92" s="495"/>
      <c r="AF92" s="496" t="str">
        <f>IF(AND($AA92="",AD92=""),"",$AA92-AD92)</f>
        <v/>
      </c>
      <c r="AG92" s="495"/>
      <c r="AH92" s="495"/>
      <c r="AI92" s="496" t="str">
        <f>IF(AND($AA92="",AG92=""),"",$AA92-AG92)</f>
        <v/>
      </c>
    </row>
    <row r="93" spans="1:35" x14ac:dyDescent="0.25">
      <c r="A93" s="11"/>
      <c r="B93" s="11"/>
      <c r="C93" s="208"/>
      <c r="D93" s="11"/>
      <c r="E93" s="11"/>
      <c r="F93" s="11"/>
      <c r="G93" s="490">
        <f>COUNTIF(O94:AI94,FALSE)</f>
        <v>0</v>
      </c>
      <c r="H93" s="88"/>
      <c r="I93" s="122"/>
      <c r="J93" s="122"/>
      <c r="K93" s="90"/>
      <c r="L93" s="90"/>
      <c r="M93" s="90"/>
      <c r="N93" s="491" t="s">
        <v>345</v>
      </c>
      <c r="O93" s="497">
        <f t="shared" ref="O93:AA93" si="30">ROUND(IFERROR(O75/O76,0),2)</f>
        <v>0</v>
      </c>
      <c r="P93" s="498">
        <f t="shared" si="30"/>
        <v>0</v>
      </c>
      <c r="Q93" s="498">
        <f t="shared" si="30"/>
        <v>0</v>
      </c>
      <c r="R93" s="498">
        <f t="shared" si="30"/>
        <v>0</v>
      </c>
      <c r="S93" s="498">
        <f t="shared" si="30"/>
        <v>0</v>
      </c>
      <c r="T93" s="498">
        <f t="shared" si="30"/>
        <v>0</v>
      </c>
      <c r="U93" s="498">
        <f t="shared" si="30"/>
        <v>0</v>
      </c>
      <c r="V93" s="498">
        <f t="shared" si="30"/>
        <v>0</v>
      </c>
      <c r="W93" s="498">
        <f t="shared" si="30"/>
        <v>0</v>
      </c>
      <c r="X93" s="498">
        <f t="shared" si="30"/>
        <v>0</v>
      </c>
      <c r="Y93" s="498">
        <f t="shared" si="30"/>
        <v>0</v>
      </c>
      <c r="Z93" s="498">
        <f t="shared" si="30"/>
        <v>0</v>
      </c>
      <c r="AA93" s="498">
        <f t="shared" si="30"/>
        <v>0</v>
      </c>
      <c r="AB93" s="499"/>
      <c r="AC93" s="140"/>
      <c r="AD93" s="497">
        <f>ROUND(IFERROR(AD75/AD76,0),2)</f>
        <v>0</v>
      </c>
      <c r="AE93" s="498"/>
      <c r="AF93" s="155"/>
      <c r="AG93" s="497">
        <f>ROUND(IFERROR(AG75/AG76,0),2)</f>
        <v>0</v>
      </c>
      <c r="AH93" s="498"/>
      <c r="AI93" s="155"/>
    </row>
    <row r="94" spans="1:35" x14ac:dyDescent="0.25">
      <c r="A94" s="11"/>
      <c r="B94" s="11"/>
      <c r="C94" s="208"/>
      <c r="D94" s="11"/>
      <c r="E94" s="11"/>
      <c r="F94" s="11"/>
      <c r="G94" s="11"/>
      <c r="H94" s="88"/>
      <c r="I94" s="122"/>
      <c r="J94" s="122"/>
      <c r="K94" s="90"/>
      <c r="L94" s="90"/>
      <c r="M94" s="90"/>
      <c r="N94" s="53" t="s">
        <v>362</v>
      </c>
      <c r="O94" s="500" t="b">
        <f t="shared" ref="O94:AA94" si="31">ROUND(O77,2)=ROUND(O93,2)</f>
        <v>1</v>
      </c>
      <c r="P94" s="501" t="b">
        <f t="shared" si="31"/>
        <v>1</v>
      </c>
      <c r="Q94" s="501" t="b">
        <f t="shared" si="31"/>
        <v>1</v>
      </c>
      <c r="R94" s="501" t="b">
        <f t="shared" si="31"/>
        <v>1</v>
      </c>
      <c r="S94" s="501" t="b">
        <f t="shared" si="31"/>
        <v>1</v>
      </c>
      <c r="T94" s="501" t="b">
        <f t="shared" si="31"/>
        <v>1</v>
      </c>
      <c r="U94" s="501" t="b">
        <f t="shared" si="31"/>
        <v>1</v>
      </c>
      <c r="V94" s="501" t="b">
        <f t="shared" si="31"/>
        <v>1</v>
      </c>
      <c r="W94" s="501" t="b">
        <f t="shared" si="31"/>
        <v>1</v>
      </c>
      <c r="X94" s="501" t="b">
        <f t="shared" si="31"/>
        <v>1</v>
      </c>
      <c r="Y94" s="501" t="b">
        <f t="shared" si="31"/>
        <v>1</v>
      </c>
      <c r="Z94" s="501" t="b">
        <f t="shared" si="31"/>
        <v>1</v>
      </c>
      <c r="AA94" s="501" t="e">
        <f t="shared" si="31"/>
        <v>#VALUE!</v>
      </c>
      <c r="AB94" s="502"/>
      <c r="AC94" s="503"/>
      <c r="AD94" s="500"/>
      <c r="AE94" s="501" t="b">
        <f>ROUND(AD77,2)=ROUND(AD93,2)</f>
        <v>1</v>
      </c>
      <c r="AF94" s="502"/>
      <c r="AG94" s="500"/>
      <c r="AH94" s="501" t="b">
        <f>ROUND(AG77,2)=ROUND(AG93,2)</f>
        <v>1</v>
      </c>
      <c r="AI94" s="502"/>
    </row>
    <row r="95" spans="1:35" x14ac:dyDescent="0.25">
      <c r="A95" s="11"/>
      <c r="B95" s="11"/>
      <c r="C95" s="208"/>
      <c r="D95" s="11"/>
      <c r="E95" s="11"/>
      <c r="F95" s="11"/>
      <c r="G95" s="11"/>
      <c r="H95" s="88" t="s">
        <v>350</v>
      </c>
      <c r="I95" s="122" t="str">
        <f>IF(_epmOfflineCondition_,"T5",_xll.EVPRO($B$1,$H95,"STYLE"))</f>
        <v>T5</v>
      </c>
      <c r="J95" s="122" t="str">
        <f>IF(_epmOfflineCondition_,"Y",_xll.EVPRO($B$1,$H95,"CALC"))</f>
        <v>Y</v>
      </c>
      <c r="K95" s="90"/>
      <c r="L95" s="90" t="str">
        <f>IF(_epmOfflineCondition_,"467100",_xll.EVPRO($B$1,H95,"JDEID"))</f>
        <v>467100</v>
      </c>
      <c r="M95" s="90" t="str">
        <f>IF(_epmOfflineCondition_,"",IF(AND(I95="N",J95="N"),_xll.EVPRO($B$1,H95,"PSFTID"),""))</f>
        <v/>
      </c>
      <c r="N95" s="90" t="str">
        <f>IF(_epmOfflineCondition_,"Mini Bar Food",IF(_xll.EVDES(H95,$B$1)="#NODATA","",_xll.EVDES(H95,$B$1)))</f>
        <v>Mini Bar Food</v>
      </c>
      <c r="O95" s="138">
        <v>5754.28</v>
      </c>
      <c r="P95" s="138">
        <v>5888.38</v>
      </c>
      <c r="Q95" s="138">
        <v>6499</v>
      </c>
      <c r="R95" s="138">
        <v>6449</v>
      </c>
      <c r="S95" s="138">
        <v>5833</v>
      </c>
      <c r="T95" s="138">
        <v>3215</v>
      </c>
      <c r="U95" s="138">
        <v>4414.34</v>
      </c>
      <c r="V95" s="138">
        <v>3892</v>
      </c>
      <c r="W95" s="138">
        <v>3447.5</v>
      </c>
      <c r="X95" s="138">
        <v>3291.5</v>
      </c>
      <c r="Y95" s="138">
        <v>2216</v>
      </c>
      <c r="Z95" s="138">
        <v>2185.5</v>
      </c>
      <c r="AA95" s="138">
        <f>SUM(O95:Z95)</f>
        <v>53085.5</v>
      </c>
      <c r="AB95" s="142">
        <f>IF(AA95=0,"",IFERROR(AA95/AA$19,""))</f>
        <v>2.7228565267241017E-2</v>
      </c>
      <c r="AC95" s="140"/>
      <c r="AD95" s="138">
        <v>56798</v>
      </c>
      <c r="AE95" s="142">
        <f>IF(AD95=0,"",IFERROR(AD95/AD$19,""))</f>
        <v>2.2185597363347357E-2</v>
      </c>
      <c r="AF95" s="141">
        <f>IF(AND($AA95="",AD95=""),"",$AA95-AD95)</f>
        <v>-3712.5</v>
      </c>
      <c r="AG95" s="138">
        <v>37173.74</v>
      </c>
      <c r="AH95" s="142">
        <f>IF(AG95=0,"",IFERROR(AG95/AG$19,""))</f>
        <v>2.796492574671252E-2</v>
      </c>
      <c r="AI95" s="141">
        <f>IF(AND($AA95="",AG95=""),"",$AA95-AG95)</f>
        <v>15911.760000000002</v>
      </c>
    </row>
    <row r="96" spans="1:35" x14ac:dyDescent="0.25">
      <c r="A96" s="11"/>
      <c r="B96" s="11"/>
      <c r="C96" s="208"/>
      <c r="D96" s="11"/>
      <c r="E96" s="11"/>
      <c r="F96" s="11"/>
      <c r="G96" s="11"/>
      <c r="H96" s="88" t="s">
        <v>351</v>
      </c>
      <c r="I96" s="122" t="str">
        <f>IF(_epmOfflineCondition_,"T5",_xll.EVPRO($B$1,$H96,"STYLE"))</f>
        <v>T5</v>
      </c>
      <c r="J96" s="122" t="str">
        <f>IF(_epmOfflineCondition_,"Y",_xll.EVPRO($B$1,$H96,"CALC"))</f>
        <v>Y</v>
      </c>
      <c r="K96" s="90"/>
      <c r="L96" s="90" t="str">
        <f>IF(_epmOfflineCondition_,"467200",_xll.EVPRO($B$1,H96,"JDEID"))</f>
        <v>467200</v>
      </c>
      <c r="M96" s="90" t="str">
        <f>IF(_epmOfflineCondition_,"",IF(AND(I96="N",J96="N"),_xll.EVPRO($B$1,H96,"PSFTID"),""))</f>
        <v/>
      </c>
      <c r="N96" s="90" t="str">
        <f>IF(_epmOfflineCondition_,"Mini Bar Beverage",IF(_xll.EVDES(H96,$B$1)="#NODATA","",_xll.EVDES(H96,$B$1)))</f>
        <v>Mini Bar Beverage</v>
      </c>
      <c r="O96" s="138">
        <v>989</v>
      </c>
      <c r="P96" s="138">
        <v>788</v>
      </c>
      <c r="Q96" s="138">
        <v>863.35</v>
      </c>
      <c r="R96" s="138">
        <v>325</v>
      </c>
      <c r="S96" s="138">
        <v>155</v>
      </c>
      <c r="T96" s="138">
        <v>130</v>
      </c>
      <c r="U96" s="138">
        <v>777</v>
      </c>
      <c r="V96" s="138">
        <v>617</v>
      </c>
      <c r="W96" s="138">
        <v>350</v>
      </c>
      <c r="X96" s="138">
        <v>1118</v>
      </c>
      <c r="Y96" s="138">
        <v>2924</v>
      </c>
      <c r="Z96" s="138">
        <v>3582</v>
      </c>
      <c r="AA96" s="138">
        <f>SUM(O96:Z96)</f>
        <v>12618.35</v>
      </c>
      <c r="AB96" s="142">
        <f>IF(AA96=0,"",IFERROR(AA96/AA$19,""))</f>
        <v>6.4721923414094371E-3</v>
      </c>
      <c r="AC96" s="140"/>
      <c r="AD96" s="138">
        <v>31101.56</v>
      </c>
      <c r="AE96" s="142">
        <f>IF(AD96=0,"",IFERROR(AD96/AD$19,""))</f>
        <v>1.2148432823902069E-2</v>
      </c>
      <c r="AF96" s="141">
        <f>IF(AND($AA96="",AD96=""),"",$AA96-AD96)</f>
        <v>-18483.21</v>
      </c>
      <c r="AG96" s="138">
        <v>15536</v>
      </c>
      <c r="AH96" s="142">
        <f>IF(AG96=0,"",IFERROR(AG96/AG$19,""))</f>
        <v>1.1687365500509923E-2</v>
      </c>
      <c r="AI96" s="141">
        <f>IF(AND($AA96="",AG96=""),"",$AA96-AG96)</f>
        <v>-2917.6499999999996</v>
      </c>
    </row>
    <row r="97" spans="1:35" x14ac:dyDescent="0.25">
      <c r="A97" s="11"/>
      <c r="B97" s="11"/>
      <c r="C97" s="208"/>
      <c r="D97" s="11"/>
      <c r="E97" s="11"/>
      <c r="F97" s="11"/>
      <c r="G97" s="11"/>
      <c r="H97" s="88" t="s">
        <v>363</v>
      </c>
      <c r="I97" s="122" t="str">
        <f>IF(_epmOfflineCondition_,"N",_xll.EVPRO($B$1,$H97,"STYLE"))</f>
        <v>N</v>
      </c>
      <c r="J97" s="122" t="str">
        <f>IF(_epmOfflineCondition_,"Y",_xll.EVPRO($B$1,$H97,"CALC"))</f>
        <v>Y</v>
      </c>
      <c r="K97" s="90"/>
      <c r="L97" s="90" t="str">
        <f>IF(_epmOfflineCondition_,"",_xll.EVPRO($B$1,H97,"JDEID"))</f>
        <v/>
      </c>
      <c r="M97" s="90" t="str">
        <f>IF(_epmOfflineCondition_,"",IF(AND(I97="N",J97="N"),_xll.EVPRO($B$1,H97,"PSFTID"),""))</f>
        <v/>
      </c>
      <c r="N97" s="106" t="str">
        <f>IF(_epmOfflineCondition_,"Mini Bar F&amp;B Revenue",IF(_xll.EVDES(H97,$B$1)="#NODATA","",_xll.EVDES(H97,$B$1)))</f>
        <v>Mini Bar F&amp;B Revenue</v>
      </c>
      <c r="O97" s="162">
        <v>6743.28</v>
      </c>
      <c r="P97" s="162">
        <v>6676.38</v>
      </c>
      <c r="Q97" s="162">
        <v>7362.35</v>
      </c>
      <c r="R97" s="162">
        <v>6774</v>
      </c>
      <c r="S97" s="162">
        <v>5988</v>
      </c>
      <c r="T97" s="162">
        <v>3345</v>
      </c>
      <c r="U97" s="162">
        <v>5191.34</v>
      </c>
      <c r="V97" s="162">
        <v>4509</v>
      </c>
      <c r="W97" s="162">
        <v>3797.5</v>
      </c>
      <c r="X97" s="162">
        <v>4409.5</v>
      </c>
      <c r="Y97" s="162">
        <v>5140</v>
      </c>
      <c r="Z97" s="162">
        <v>5767.5</v>
      </c>
      <c r="AA97" s="162">
        <f>SUM(O97:Z97)</f>
        <v>65703.850000000006</v>
      </c>
      <c r="AB97" s="163">
        <f>IF(AA97=0,"",IFERROR(AA97/AA$19,""))</f>
        <v>3.3700757608650454E-2</v>
      </c>
      <c r="AC97" s="140"/>
      <c r="AD97" s="162">
        <v>87899.56</v>
      </c>
      <c r="AE97" s="163">
        <f>IF(AD97=0,"",IFERROR(AD97/AD$19,""))</f>
        <v>3.4334030187249426E-2</v>
      </c>
      <c r="AF97" s="164">
        <f>IF(AND($AA97="",AD97=""),"",$AA97-AD97)</f>
        <v>-22195.709999999992</v>
      </c>
      <c r="AG97" s="162">
        <v>52709.74</v>
      </c>
      <c r="AH97" s="163">
        <f>IF(AG97=0,"",IFERROR(AG97/AG$19,""))</f>
        <v>3.9652291247222443E-2</v>
      </c>
      <c r="AI97" s="164">
        <f>IF(AND($AA97="",AG97=""),"",$AA97-AG97)</f>
        <v>12994.110000000008</v>
      </c>
    </row>
    <row r="98" spans="1:35" x14ac:dyDescent="0.25">
      <c r="A98" s="11"/>
      <c r="B98" s="11"/>
      <c r="C98" s="208"/>
      <c r="D98" s="11"/>
      <c r="E98" s="11"/>
      <c r="F98" s="11"/>
      <c r="G98" s="11"/>
      <c r="H98" s="88"/>
      <c r="I98" s="122"/>
      <c r="J98" s="122"/>
      <c r="K98" s="90"/>
      <c r="L98" s="90"/>
      <c r="M98" s="90"/>
      <c r="N98" s="491"/>
      <c r="O98" s="504"/>
      <c r="P98" s="505"/>
      <c r="Q98" s="505"/>
      <c r="R98" s="505"/>
      <c r="S98" s="505"/>
      <c r="T98" s="505"/>
      <c r="U98" s="505"/>
      <c r="V98" s="505"/>
      <c r="W98" s="505"/>
      <c r="X98" s="505"/>
      <c r="Y98" s="505"/>
      <c r="Z98" s="505"/>
      <c r="AA98" s="505"/>
      <c r="AB98" s="506"/>
      <c r="AC98" s="140"/>
      <c r="AD98" s="504"/>
      <c r="AE98" s="505"/>
      <c r="AF98" s="161"/>
      <c r="AG98" s="504"/>
      <c r="AH98" s="505"/>
      <c r="AI98" s="161"/>
    </row>
    <row r="99" spans="1:35" x14ac:dyDescent="0.25">
      <c r="A99" s="11"/>
      <c r="B99" s="11"/>
      <c r="C99" s="208"/>
      <c r="D99" s="11"/>
      <c r="E99" s="11"/>
      <c r="F99" s="11"/>
      <c r="G99" s="11"/>
      <c r="H99" s="88" t="s">
        <v>486</v>
      </c>
      <c r="I99" s="122" t="str">
        <f>IF(_epmOfflineCondition_,"T5",_xll.EVPRO($B$1,$H99,"STYLE"))</f>
        <v>T5</v>
      </c>
      <c r="J99" s="122" t="str">
        <f>IF(_epmOfflineCondition_,"Y",_xll.EVPRO($B$1,$H99,"CALC"))</f>
        <v>Y</v>
      </c>
      <c r="K99" s="90"/>
      <c r="L99" s="90" t="str">
        <f>IF(_epmOfflineCondition_,"",_xll.EVPRO($B$1,H99,"JDEID"))</f>
        <v/>
      </c>
      <c r="M99" s="90" t="str">
        <f>IF(_epmOfflineCondition_,"",IF(AND(I99="N",J99="N"),_xll.EVPRO($B$1,H99,"PSFTID"),""))</f>
        <v/>
      </c>
      <c r="N99" s="90" t="str">
        <f>IF(_epmOfflineCondition_,"Food &amp; Beverage: Allowances",IF(_xll.EVDES(H99,$B$1)="#NODATA","",_xll.EVDES(H99,$B$1)))</f>
        <v>Food &amp; Beverage: Allowances</v>
      </c>
      <c r="O99" s="138">
        <v>-33</v>
      </c>
      <c r="P99" s="138">
        <v>-470.91</v>
      </c>
      <c r="Q99" s="138">
        <v>-22.05</v>
      </c>
      <c r="R99" s="138">
        <v>-216.09</v>
      </c>
      <c r="S99" s="138">
        <v>-886.88</v>
      </c>
      <c r="T99" s="138">
        <v>-10</v>
      </c>
      <c r="U99" s="138">
        <v>-91.59</v>
      </c>
      <c r="V99" s="138">
        <v>-13.43</v>
      </c>
      <c r="W99" s="138"/>
      <c r="X99" s="138">
        <v>-50.8</v>
      </c>
      <c r="Y99" s="138">
        <v>-134.49</v>
      </c>
      <c r="Z99" s="138">
        <v>-551.46</v>
      </c>
      <c r="AA99" s="138">
        <f>SUM(O99:Z99)</f>
        <v>-2480.6999999999998</v>
      </c>
      <c r="AB99" s="142">
        <f>IF(AA99=0,"",IFERROR(AA99/AA$19,""))</f>
        <v>-1.2723983358628021E-3</v>
      </c>
      <c r="AC99" s="140"/>
      <c r="AD99" s="138"/>
      <c r="AE99" s="142" t="str">
        <f>IF(AD99=0,"",IFERROR(AD99/AD$19,""))</f>
        <v/>
      </c>
      <c r="AF99" s="141">
        <f>IF(AND($AA99="",AD99=""),"",$AA99-AD99)</f>
        <v>-2480.6999999999998</v>
      </c>
      <c r="AG99" s="138">
        <v>-1607.29</v>
      </c>
      <c r="AH99" s="142">
        <f>IF(AG99=0,"",IFERROR(AG99/AG$19,""))</f>
        <v>-1.2091262677210732E-3</v>
      </c>
      <c r="AI99" s="141">
        <f>IF(AND($AA99="",AG99=""),"",$AA99-AG99)</f>
        <v>-873.40999999999985</v>
      </c>
    </row>
    <row r="100" spans="1:35" x14ac:dyDescent="0.25">
      <c r="A100" s="11"/>
      <c r="B100" s="11"/>
      <c r="C100" s="208"/>
      <c r="D100" s="11"/>
      <c r="E100" s="11"/>
      <c r="F100" s="11"/>
      <c r="G100" s="11"/>
      <c r="H100" s="185"/>
      <c r="I100" s="122"/>
      <c r="J100" s="122"/>
      <c r="K100" s="11"/>
      <c r="L100" s="90"/>
      <c r="M100" s="90"/>
      <c r="N100" s="53" t="s">
        <v>348</v>
      </c>
      <c r="O100" s="158"/>
      <c r="P100" s="159"/>
      <c r="Q100" s="159"/>
      <c r="R100" s="159"/>
      <c r="S100" s="159"/>
      <c r="T100" s="159"/>
      <c r="U100" s="159"/>
      <c r="V100" s="159"/>
      <c r="W100" s="159"/>
      <c r="X100" s="159"/>
      <c r="Y100" s="159"/>
      <c r="Z100" s="159"/>
      <c r="AA100" s="159"/>
      <c r="AB100" s="160"/>
      <c r="AC100" s="140"/>
      <c r="AD100" s="158"/>
      <c r="AE100" s="159"/>
      <c r="AF100" s="160"/>
      <c r="AG100" s="158"/>
      <c r="AH100" s="159"/>
      <c r="AI100" s="160"/>
    </row>
    <row r="101" spans="1:35" x14ac:dyDescent="0.25">
      <c r="A101" s="11"/>
      <c r="B101" s="11"/>
      <c r="C101" s="208"/>
      <c r="D101" s="11"/>
      <c r="E101" s="11"/>
      <c r="F101" s="11"/>
      <c r="G101" s="11"/>
      <c r="H101" s="185"/>
      <c r="I101" s="122"/>
      <c r="J101" s="122"/>
      <c r="K101" s="11"/>
      <c r="L101" s="90"/>
      <c r="M101" s="90"/>
      <c r="N101" s="53"/>
      <c r="O101" s="158"/>
      <c r="P101" s="159"/>
      <c r="Q101" s="159"/>
      <c r="R101" s="159"/>
      <c r="S101" s="159"/>
      <c r="T101" s="159"/>
      <c r="U101" s="159"/>
      <c r="V101" s="159"/>
      <c r="W101" s="159"/>
      <c r="X101" s="159"/>
      <c r="Y101" s="159"/>
      <c r="Z101" s="159"/>
      <c r="AA101" s="159"/>
      <c r="AB101" s="160"/>
      <c r="AC101" s="140"/>
      <c r="AD101" s="158"/>
      <c r="AE101" s="159"/>
      <c r="AF101" s="160"/>
      <c r="AG101" s="158"/>
      <c r="AH101" s="159"/>
      <c r="AI101" s="160"/>
    </row>
    <row r="102" spans="1:35" x14ac:dyDescent="0.25">
      <c r="A102" s="11"/>
      <c r="B102" s="11"/>
      <c r="C102" s="208"/>
      <c r="D102" s="11"/>
      <c r="E102" s="11"/>
      <c r="F102" s="11"/>
      <c r="G102" s="11"/>
      <c r="H102" s="185" t="s">
        <v>273</v>
      </c>
      <c r="I102" s="122" t="str">
        <f>IF(_epmOfflineCondition_,"T4",_xll.EVPRO($B$1,$H102,"STYLE"))</f>
        <v>T4</v>
      </c>
      <c r="J102" s="122" t="str">
        <f>IF(_epmOfflineCondition_,"Y",_xll.EVPRO($B$1,$H102,"CALC"))</f>
        <v>Y</v>
      </c>
      <c r="K102" s="11"/>
      <c r="L102" s="90" t="str">
        <f>IF(_epmOfflineCondition_,"",_xll.EVPRO($B$1,H102,"JDEID"))</f>
        <v/>
      </c>
      <c r="M102" s="90" t="str">
        <f>IF(_epmOfflineCondition_,"",IF(AND(I102="N",J102="N"),_xll.EVPRO($B$1,H102,"PSFTID"),""))</f>
        <v/>
      </c>
      <c r="N102" s="90" t="str">
        <f>IF(_epmOfflineCondition_,"Total Food &amp; Beverage Revenue",IF(_xll.EVDES(H102,$B$1)="#NODATA","",_xll.EVDES(H102,$B$1)))</f>
        <v>Total Food &amp; Beverage Revenue</v>
      </c>
      <c r="O102" s="507">
        <v>147690.82999999999</v>
      </c>
      <c r="P102" s="507">
        <v>221589.92</v>
      </c>
      <c r="Q102" s="507">
        <v>241565.71</v>
      </c>
      <c r="R102" s="507">
        <v>215539.66</v>
      </c>
      <c r="S102" s="507">
        <v>194751.81</v>
      </c>
      <c r="T102" s="507">
        <v>139925.71</v>
      </c>
      <c r="U102" s="507">
        <v>158331.49</v>
      </c>
      <c r="V102" s="507">
        <v>115067.91</v>
      </c>
      <c r="W102" s="507">
        <v>96303.21</v>
      </c>
      <c r="X102" s="507">
        <v>113037.08</v>
      </c>
      <c r="Y102" s="507">
        <v>155380.88</v>
      </c>
      <c r="Z102" s="507">
        <v>150441.1</v>
      </c>
      <c r="AA102" s="507">
        <f>SUM(O102:Z102)</f>
        <v>1949625.31</v>
      </c>
      <c r="AB102" s="508">
        <f>IF(AA102=0,"",IFERROR(AA102/AA$19,""))</f>
        <v>1</v>
      </c>
      <c r="AC102" s="140"/>
      <c r="AD102" s="507">
        <v>2560129.3970039999</v>
      </c>
      <c r="AE102" s="508">
        <f>IF(AD102=0,"",IFERROR(AD102/AD$19,""))</f>
        <v>1</v>
      </c>
      <c r="AF102" s="509">
        <f>IF(AND($AA102="",AD102=""),"",$AA102-AD102)</f>
        <v>-610504.08700399986</v>
      </c>
      <c r="AG102" s="507">
        <v>1329298.72</v>
      </c>
      <c r="AH102" s="508">
        <f>IF(AG102=0,"",IFERROR(AG102/AG$19,""))</f>
        <v>1</v>
      </c>
      <c r="AI102" s="509">
        <f>IF(AND($AA102="",AG102=""),"",$AA102-AG102)</f>
        <v>620326.59000000008</v>
      </c>
    </row>
    <row r="103" spans="1:35" x14ac:dyDescent="0.25">
      <c r="A103" s="11"/>
      <c r="B103" s="11"/>
      <c r="C103" s="208"/>
      <c r="D103" s="11"/>
      <c r="E103" s="11"/>
      <c r="F103" s="11"/>
      <c r="G103" s="11"/>
      <c r="H103" s="185" t="s">
        <v>767</v>
      </c>
      <c r="I103" s="122" t="str">
        <f>IF(_epmOfflineCondition_,"N",_xll.EVPRO($B$1,$H103,"STYLE"))</f>
        <v>N</v>
      </c>
      <c r="J103" s="122" t="str">
        <f>IF(_epmOfflineCondition_,"N",_xll.EVPRO($B$1,$H103,"CALC"))</f>
        <v>N</v>
      </c>
      <c r="K103" s="11"/>
      <c r="L103" s="90" t="str">
        <f>IF(_epmOfflineCondition_,"947500",_xll.EVPRO($B$1,H103,"JDEID"))</f>
        <v>947500</v>
      </c>
      <c r="M103" s="90" t="str">
        <f>IF(_epmOfflineCondition_,"991552",IF(AND(I103="N",J103="N"),_xll.EVPRO($B$1,H103,"PSFTID"),""))</f>
        <v>991552</v>
      </c>
      <c r="N103" s="90" t="str">
        <f>IF(_epmOfflineCondition_,"# of Seats in Outlet",IF(_xll.EVDES(H103,$B$1)="#NODATA","",_xll.EVDES(H103,$B$1)))</f>
        <v># of Seats in Outlet</v>
      </c>
      <c r="O103" s="507">
        <v>115</v>
      </c>
      <c r="P103" s="507">
        <v>115</v>
      </c>
      <c r="Q103" s="507">
        <v>115</v>
      </c>
      <c r="R103" s="507">
        <v>115</v>
      </c>
      <c r="S103" s="507">
        <v>115</v>
      </c>
      <c r="T103" s="507">
        <v>115</v>
      </c>
      <c r="U103" s="507">
        <v>115</v>
      </c>
      <c r="V103" s="507">
        <v>115</v>
      </c>
      <c r="W103" s="507">
        <v>115</v>
      </c>
      <c r="X103" s="507">
        <v>115</v>
      </c>
      <c r="Y103" s="507">
        <v>115</v>
      </c>
      <c r="Z103" s="507">
        <v>115</v>
      </c>
      <c r="AA103" s="507">
        <f>SUM(O103:Z103)</f>
        <v>1380</v>
      </c>
      <c r="AB103" s="508"/>
      <c r="AC103" s="140"/>
      <c r="AD103" s="507"/>
      <c r="AE103" s="508"/>
      <c r="AF103" s="509">
        <f>IF(AND($AA103="",AD103=""),"",$AA103-AD103)</f>
        <v>1380</v>
      </c>
      <c r="AG103" s="507">
        <v>1380</v>
      </c>
      <c r="AH103" s="508"/>
      <c r="AI103" s="509">
        <f>IF(AND($AA103="",AG103=""),"",$AA103-AG103)</f>
        <v>0</v>
      </c>
    </row>
    <row r="104" spans="1:35" x14ac:dyDescent="0.25">
      <c r="A104" s="11"/>
      <c r="B104" s="11"/>
      <c r="C104" s="208"/>
      <c r="D104" s="11"/>
      <c r="E104" s="11"/>
      <c r="F104" s="11"/>
      <c r="G104" s="11"/>
      <c r="H104" s="185" t="s">
        <v>331</v>
      </c>
      <c r="I104" s="122" t="str">
        <f>IF(_epmOfflineCondition_,"T2",_xll.EVPRO($B$1,$H104,"STYLE"))</f>
        <v>T2</v>
      </c>
      <c r="J104" s="122" t="str">
        <f>IF(_epmOfflineCondition_,"Y",_xll.EVPRO($B$1,$H104,"CALC"))</f>
        <v>Y</v>
      </c>
      <c r="K104" s="11"/>
      <c r="L104" s="90" t="str">
        <f>IF(_epmOfflineCondition_,"946000",_xll.EVPRO($B$1,H104,"JDEID"))</f>
        <v>946000</v>
      </c>
      <c r="M104" s="90" t="str">
        <f>IF(_epmOfflineCondition_,"",IF(AND(I104="N",J104="N"),_xll.EVPRO($B$1,H104,"PSFTID"),""))</f>
        <v/>
      </c>
      <c r="N104" s="90" t="str">
        <f>IF(_epmOfflineCondition_,"Total Customers (excl Mini Bar)",IF(_xll.EVDES(H104,$B$1)="#NODATA","",_xll.EVDES(H104,$B$1))&amp;" (excl Mini Bar)")</f>
        <v>Total Customers (excl Mini Bar)</v>
      </c>
      <c r="O104" s="507">
        <v>4578</v>
      </c>
      <c r="P104" s="507">
        <v>5807</v>
      </c>
      <c r="Q104" s="507">
        <v>6112</v>
      </c>
      <c r="R104" s="507">
        <v>5586</v>
      </c>
      <c r="S104" s="507">
        <v>4848</v>
      </c>
      <c r="T104" s="507">
        <v>4336</v>
      </c>
      <c r="U104" s="507">
        <v>5224</v>
      </c>
      <c r="V104" s="507">
        <v>3734</v>
      </c>
      <c r="W104" s="507">
        <v>3390</v>
      </c>
      <c r="X104" s="507">
        <v>3241</v>
      </c>
      <c r="Y104" s="507">
        <v>4784</v>
      </c>
      <c r="Z104" s="507">
        <v>4693</v>
      </c>
      <c r="AA104" s="507">
        <f>SUM(O104:Z104)</f>
        <v>56333</v>
      </c>
      <c r="AB104" s="508">
        <f>IF(AA104=0,"",IFERROR(AA104/AA$20,""))</f>
        <v>1</v>
      </c>
      <c r="AC104" s="140"/>
      <c r="AD104" s="507">
        <v>70654.542348539995</v>
      </c>
      <c r="AE104" s="508">
        <f>IF(AD104=0,"",IFERROR(AD104/AD$20,""))</f>
        <v>1</v>
      </c>
      <c r="AF104" s="509">
        <f>IF(AND($AA104="",AD104=""),"",$AA104-AD104)</f>
        <v>-14321.542348539995</v>
      </c>
      <c r="AG104" s="507">
        <v>42457</v>
      </c>
      <c r="AH104" s="508">
        <f>IF(AG104=0,"",IFERROR(AG104/AG$20,""))</f>
        <v>1</v>
      </c>
      <c r="AI104" s="509">
        <f>IF(AND($AA104="",AG104=""),"",$AA104-AG104)</f>
        <v>13876</v>
      </c>
    </row>
    <row r="105" spans="1:35" x14ac:dyDescent="0.25">
      <c r="A105" s="11"/>
      <c r="B105" s="11"/>
      <c r="C105" s="208"/>
      <c r="D105" s="11"/>
      <c r="E105" s="11"/>
      <c r="F105" s="11"/>
      <c r="G105" s="11"/>
      <c r="H105" s="185" t="s">
        <v>311</v>
      </c>
      <c r="I105" s="122" t="str">
        <f>IF(_epmOfflineCondition_,"N",_xll.EVPRO($B$1,$H105,"STYLE"))</f>
        <v>N</v>
      </c>
      <c r="J105" s="122" t="str">
        <f>IF(_epmOfflineCondition_,"Y",_xll.EVPRO($B$1,$H105,"CALC"))</f>
        <v>Y</v>
      </c>
      <c r="K105" s="11"/>
      <c r="L105" s="90"/>
      <c r="M105" s="90"/>
      <c r="N105" s="90" t="str">
        <f>IF(_epmOfflineCondition_,"Total Average Check (excl Mini Bar)",IF(_xll.EVDES(H105,$B$1)="#NODATA","",_xll.EVDES(H105,$B$1))&amp;" (excl Mini Bar)")</f>
        <v>Total Average Check (excl Mini Bar)</v>
      </c>
      <c r="O105" s="495">
        <v>30.788018785495801</v>
      </c>
      <c r="P105" s="495">
        <v>37.009392112967099</v>
      </c>
      <c r="Q105" s="495">
        <v>38.318612565445001</v>
      </c>
      <c r="R105" s="495">
        <v>37.373014679556</v>
      </c>
      <c r="S105" s="495">
        <v>38.936429455445499</v>
      </c>
      <c r="T105" s="495">
        <v>31.499241236162401</v>
      </c>
      <c r="U105" s="495">
        <v>29.3147300918836</v>
      </c>
      <c r="V105" s="495">
        <v>29.6087064809855</v>
      </c>
      <c r="W105" s="495">
        <v>27.287820058997099</v>
      </c>
      <c r="X105" s="495">
        <v>33.516686207960497</v>
      </c>
      <c r="Y105" s="495">
        <v>31.404866220735801</v>
      </c>
      <c r="Z105" s="495">
        <v>30.8275303643725</v>
      </c>
      <c r="AA105" s="495">
        <f>IFERROR(AA102/AA104,"")</f>
        <v>34.608938100225444</v>
      </c>
      <c r="AB105" s="495"/>
      <c r="AC105" s="140"/>
      <c r="AD105" s="495">
        <v>34.990387805619697</v>
      </c>
      <c r="AE105" s="495"/>
      <c r="AF105" s="496">
        <f>IF(AND($AA105="",AD105=""),"",$AA105-AD105)</f>
        <v>-0.38144970539425316</v>
      </c>
      <c r="AG105" s="495">
        <v>30.067809312951901</v>
      </c>
      <c r="AH105" s="495"/>
      <c r="AI105" s="496">
        <f>IF(AND($AA105="",AG105=""),"",$AA105-AG105)</f>
        <v>4.5411287872735429</v>
      </c>
    </row>
    <row r="106" spans="1:35" x14ac:dyDescent="0.25">
      <c r="A106" s="11"/>
      <c r="B106" s="11"/>
      <c r="C106" s="208"/>
      <c r="D106" s="11"/>
      <c r="E106" s="11"/>
      <c r="F106" s="11"/>
      <c r="G106" s="11"/>
      <c r="H106" s="185"/>
      <c r="I106" s="122"/>
      <c r="J106" s="122"/>
      <c r="K106" s="11"/>
      <c r="L106" s="90"/>
      <c r="M106" s="90"/>
      <c r="N106" s="90"/>
      <c r="O106" s="170"/>
      <c r="P106" s="171"/>
      <c r="Q106" s="171"/>
      <c r="R106" s="171"/>
      <c r="S106" s="171"/>
      <c r="T106" s="171"/>
      <c r="U106" s="171"/>
      <c r="V106" s="171"/>
      <c r="W106" s="171"/>
      <c r="X106" s="171"/>
      <c r="Y106" s="171"/>
      <c r="Z106" s="171"/>
      <c r="AA106" s="171"/>
      <c r="AB106" s="172"/>
      <c r="AC106" s="140"/>
      <c r="AD106" s="170"/>
      <c r="AE106" s="171"/>
      <c r="AF106" s="172"/>
      <c r="AG106" s="170"/>
      <c r="AH106" s="171"/>
      <c r="AI106" s="172"/>
    </row>
    <row r="107" spans="1:35" x14ac:dyDescent="0.25">
      <c r="A107" s="11"/>
      <c r="B107" s="11"/>
      <c r="C107" s="208"/>
      <c r="D107" s="11"/>
      <c r="E107" s="11"/>
      <c r="F107" s="11"/>
      <c r="G107" s="11"/>
      <c r="H107" s="185"/>
      <c r="I107" s="122"/>
      <c r="J107" s="122"/>
      <c r="K107" s="11"/>
      <c r="L107" s="90"/>
      <c r="M107" s="90"/>
      <c r="N107" s="53" t="s">
        <v>334</v>
      </c>
      <c r="O107" s="158"/>
      <c r="P107" s="159"/>
      <c r="Q107" s="159"/>
      <c r="R107" s="159"/>
      <c r="S107" s="159"/>
      <c r="T107" s="159"/>
      <c r="U107" s="159"/>
      <c r="V107" s="159"/>
      <c r="W107" s="159"/>
      <c r="X107" s="159"/>
      <c r="Y107" s="159"/>
      <c r="Z107" s="159"/>
      <c r="AA107" s="159"/>
      <c r="AB107" s="160"/>
      <c r="AC107" s="140"/>
      <c r="AD107" s="158"/>
      <c r="AE107" s="159"/>
      <c r="AF107" s="160"/>
      <c r="AG107" s="158"/>
      <c r="AH107" s="159"/>
      <c r="AI107" s="160"/>
    </row>
    <row r="108" spans="1:35" hidden="1" outlineLevel="1" x14ac:dyDescent="0.25">
      <c r="A108" s="11"/>
      <c r="B108" s="11"/>
      <c r="C108" s="208"/>
      <c r="D108" s="11"/>
      <c r="E108" s="11"/>
      <c r="F108" s="11"/>
      <c r="G108" s="11"/>
      <c r="H108" s="185" t="s">
        <v>332</v>
      </c>
      <c r="I108" s="122" t="str">
        <f>IF(_epmOfflineCondition_,"T4",_xll.EVPRO($B$1,$H108,"STYLE"))</f>
        <v>T4</v>
      </c>
      <c r="J108" s="122" t="str">
        <f>IF(_epmOfflineCondition_,"Y",_xll.EVPRO($B$1,$H108,"CALC"))</f>
        <v>Y</v>
      </c>
      <c r="K108" s="11"/>
      <c r="L108" s="90"/>
      <c r="M108" s="90"/>
      <c r="N108" s="90" t="str">
        <f>IF(_epmOfflineCondition_,"F&amp;B Kitchen - THW",IF(_xll.EVDES(H108,$B$1)="#NODATA","",_xll.EVDES(H108,$B$1)))</f>
        <v>F&amp;B Kitchen - THW</v>
      </c>
      <c r="O108" s="138">
        <v>480.84</v>
      </c>
      <c r="P108" s="138">
        <v>428.14</v>
      </c>
      <c r="Q108" s="138">
        <v>367.77</v>
      </c>
      <c r="R108" s="138">
        <v>361.02</v>
      </c>
      <c r="S108" s="138">
        <v>301.25</v>
      </c>
      <c r="T108" s="138">
        <v>172.12</v>
      </c>
      <c r="U108" s="138">
        <v>170.98</v>
      </c>
      <c r="V108" s="138">
        <v>178.07</v>
      </c>
      <c r="W108" s="138">
        <v>181.93</v>
      </c>
      <c r="X108" s="138">
        <v>176.61</v>
      </c>
      <c r="Y108" s="138">
        <v>174.36</v>
      </c>
      <c r="Z108" s="138">
        <v>176.05</v>
      </c>
      <c r="AA108" s="138">
        <f>SUM(O108:Z108)</f>
        <v>3169.1400000000003</v>
      </c>
      <c r="AB108" s="142"/>
      <c r="AC108" s="140"/>
      <c r="AD108" s="138">
        <v>16105.285714285301</v>
      </c>
      <c r="AE108" s="142"/>
      <c r="AF108" s="141">
        <f>IF(AND($AA108="",AD108=""),"",$AA108-AD108)</f>
        <v>-12936.1457142853</v>
      </c>
      <c r="AG108" s="138">
        <v>4661.75</v>
      </c>
      <c r="AH108" s="142"/>
      <c r="AI108" s="141">
        <f>IF(AND($AA108="",AG108=""),"",$AA108-AG108)</f>
        <v>-1492.6099999999997</v>
      </c>
    </row>
    <row r="109" spans="1:35" hidden="1" outlineLevel="1" x14ac:dyDescent="0.25">
      <c r="A109" s="11"/>
      <c r="B109" s="11"/>
      <c r="C109" s="208"/>
      <c r="D109" s="11"/>
      <c r="E109" s="11"/>
      <c r="F109" s="11"/>
      <c r="G109" s="11"/>
      <c r="H109" s="185" t="s">
        <v>333</v>
      </c>
      <c r="I109" s="122" t="str">
        <f>IF(_epmOfflineCondition_,"T4",_xll.EVPRO($B$1,$H109,"STYLE"))</f>
        <v>T4</v>
      </c>
      <c r="J109" s="122" t="str">
        <f>IF(_epmOfflineCondition_,"Y",_xll.EVPRO($B$1,$H109,"CALC"))</f>
        <v>Y</v>
      </c>
      <c r="K109" s="11"/>
      <c r="L109" s="90"/>
      <c r="M109" s="90"/>
      <c r="N109" s="90" t="str">
        <f>IF(_epmOfflineCondition_,"F&amp;B Venues - THW",IF(_xll.EVDES(H109,$B$1)="#NODATA","",_xll.EVDES(H109,$B$1)))</f>
        <v>F&amp;B Venues - THW</v>
      </c>
      <c r="O109" s="138">
        <v>1061.07</v>
      </c>
      <c r="P109" s="138">
        <v>864.35</v>
      </c>
      <c r="Q109" s="138">
        <v>746.23</v>
      </c>
      <c r="R109" s="138">
        <v>94.19</v>
      </c>
      <c r="S109" s="138">
        <v>682.2</v>
      </c>
      <c r="T109" s="138">
        <v>756.17</v>
      </c>
      <c r="U109" s="138">
        <v>952.42</v>
      </c>
      <c r="V109" s="138">
        <v>834.52</v>
      </c>
      <c r="W109" s="138">
        <v>700.47</v>
      </c>
      <c r="X109" s="138">
        <v>746.01</v>
      </c>
      <c r="Y109" s="138">
        <v>822.5</v>
      </c>
      <c r="Z109" s="138">
        <v>753.49</v>
      </c>
      <c r="AA109" s="138">
        <f>SUM(O109:Z109)</f>
        <v>9013.6200000000008</v>
      </c>
      <c r="AB109" s="142"/>
      <c r="AC109" s="140"/>
      <c r="AD109" s="138">
        <v>24853.714285715199</v>
      </c>
      <c r="AE109" s="142"/>
      <c r="AF109" s="141">
        <f>IF(AND($AA109="",AD109=""),"",$AA109-AD109)</f>
        <v>-15840.094285715199</v>
      </c>
      <c r="AG109" s="138">
        <v>13738.97</v>
      </c>
      <c r="AH109" s="142"/>
      <c r="AI109" s="141">
        <f>IF(AND($AA109="",AG109=""),"",$AA109-AG109)</f>
        <v>-4725.3499999999985</v>
      </c>
    </row>
    <row r="110" spans="1:35" collapsed="1" x14ac:dyDescent="0.25">
      <c r="A110" s="11"/>
      <c r="B110" s="11"/>
      <c r="C110" s="208"/>
      <c r="D110" s="11"/>
      <c r="E110" s="11"/>
      <c r="F110" s="11"/>
      <c r="G110" s="11"/>
      <c r="H110" s="185"/>
      <c r="I110" s="122"/>
      <c r="J110" s="122"/>
      <c r="K110" s="11"/>
      <c r="L110" s="90"/>
      <c r="M110" s="90"/>
      <c r="N110" s="104" t="s">
        <v>335</v>
      </c>
      <c r="O110" s="510">
        <f t="shared" ref="O110:AA110" si="32">IFERROR(O$104/O108,"")</f>
        <v>9.5208385325680069</v>
      </c>
      <c r="P110" s="510">
        <f t="shared" si="32"/>
        <v>13.56332040921194</v>
      </c>
      <c r="Q110" s="510">
        <f t="shared" si="32"/>
        <v>16.619082578785655</v>
      </c>
      <c r="R110" s="510">
        <f t="shared" si="32"/>
        <v>15.47282699019445</v>
      </c>
      <c r="S110" s="510">
        <f t="shared" si="32"/>
        <v>16.092946058091286</v>
      </c>
      <c r="T110" s="510">
        <f t="shared" si="32"/>
        <v>25.19172670230072</v>
      </c>
      <c r="U110" s="510">
        <f t="shared" si="32"/>
        <v>30.553281085507077</v>
      </c>
      <c r="V110" s="510">
        <f t="shared" si="32"/>
        <v>20.969281743134722</v>
      </c>
      <c r="W110" s="510">
        <f t="shared" si="32"/>
        <v>18.633540372670808</v>
      </c>
      <c r="X110" s="510">
        <f t="shared" si="32"/>
        <v>18.351169242964723</v>
      </c>
      <c r="Y110" s="510">
        <f t="shared" si="32"/>
        <v>27.437485661849045</v>
      </c>
      <c r="Z110" s="510">
        <f t="shared" si="32"/>
        <v>26.657199659187729</v>
      </c>
      <c r="AA110" s="510">
        <f t="shared" si="32"/>
        <v>17.775484831847123</v>
      </c>
      <c r="AB110" s="511"/>
      <c r="AC110" s="140"/>
      <c r="AD110" s="510">
        <f>IFERROR(AD$104/AD108,"")</f>
        <v>4.3870406028171116</v>
      </c>
      <c r="AE110" s="511"/>
      <c r="AF110" s="213">
        <f>IF(AND($AA110="",AD110=""),"",$AA110-AD110)</f>
        <v>13.388444229030011</v>
      </c>
      <c r="AG110" s="510">
        <f>IFERROR(AG$104/AG108,"")</f>
        <v>9.1075239984984186</v>
      </c>
      <c r="AH110" s="511"/>
      <c r="AI110" s="213">
        <f>IF(AND($AA110="",AG110=""),"",$AA110-AG110)</f>
        <v>8.6679608333487046</v>
      </c>
    </row>
    <row r="111" spans="1:35" x14ac:dyDescent="0.25">
      <c r="A111" s="11"/>
      <c r="B111" s="11"/>
      <c r="C111" s="208"/>
      <c r="D111" s="11"/>
      <c r="E111" s="11"/>
      <c r="F111" s="11"/>
      <c r="G111" s="11"/>
      <c r="H111" s="185"/>
      <c r="I111" s="122"/>
      <c r="J111" s="122"/>
      <c r="K111" s="11"/>
      <c r="L111" s="90"/>
      <c r="M111" s="90"/>
      <c r="N111" s="104" t="s">
        <v>336</v>
      </c>
      <c r="O111" s="510">
        <f t="shared" ref="O111:AA111" si="33">IFERROR(O$104/O109,"")</f>
        <v>4.3145127088693496</v>
      </c>
      <c r="P111" s="510">
        <f t="shared" si="33"/>
        <v>6.7183432637241856</v>
      </c>
      <c r="Q111" s="510">
        <f t="shared" si="33"/>
        <v>8.1905042681210887</v>
      </c>
      <c r="R111" s="510">
        <f t="shared" si="33"/>
        <v>59.305658774816862</v>
      </c>
      <c r="S111" s="510">
        <f t="shared" si="33"/>
        <v>7.1064204045734387</v>
      </c>
      <c r="T111" s="510">
        <f t="shared" si="33"/>
        <v>5.7341603078672785</v>
      </c>
      <c r="U111" s="510">
        <f t="shared" si="33"/>
        <v>5.4849751160202436</v>
      </c>
      <c r="V111" s="510">
        <f t="shared" si="33"/>
        <v>4.4744284139385515</v>
      </c>
      <c r="W111" s="510">
        <f t="shared" si="33"/>
        <v>4.8396076919782427</v>
      </c>
      <c r="X111" s="510">
        <f t="shared" si="33"/>
        <v>4.3444457849090492</v>
      </c>
      <c r="Y111" s="510">
        <f t="shared" si="33"/>
        <v>5.8164133738601826</v>
      </c>
      <c r="Z111" s="510">
        <f t="shared" si="33"/>
        <v>6.2283507412175343</v>
      </c>
      <c r="AA111" s="510">
        <f t="shared" si="33"/>
        <v>6.2497642456637834</v>
      </c>
      <c r="AB111" s="511"/>
      <c r="AC111" s="140"/>
      <c r="AD111" s="510">
        <f>IFERROR(AD$104/AD109,"")</f>
        <v>2.842816230053351</v>
      </c>
      <c r="AE111" s="511"/>
      <c r="AF111" s="213">
        <f>IF(AND($AA111="",AD111=""),"",$AA111-AD111)</f>
        <v>3.4069480156104324</v>
      </c>
      <c r="AG111" s="510">
        <f>IFERROR(AG$104/AG109,"")</f>
        <v>3.0902607691842987</v>
      </c>
      <c r="AH111" s="511"/>
      <c r="AI111" s="213">
        <f>IF(AND($AA111="",AG111=""),"",$AA111-AG111)</f>
        <v>3.1595034764794847</v>
      </c>
    </row>
    <row r="112" spans="1:35" x14ac:dyDescent="0.25">
      <c r="A112" s="11"/>
      <c r="B112" s="11"/>
      <c r="C112" s="208"/>
      <c r="D112" s="11"/>
      <c r="E112" s="11"/>
      <c r="F112" s="11"/>
      <c r="G112" s="11"/>
      <c r="H112" s="185"/>
      <c r="I112" s="122"/>
      <c r="J112" s="122"/>
      <c r="K112" s="11"/>
      <c r="L112" s="90"/>
      <c r="M112" s="90"/>
      <c r="N112" s="90"/>
      <c r="O112" s="512"/>
      <c r="P112" s="513"/>
      <c r="Q112" s="513"/>
      <c r="R112" s="513"/>
      <c r="S112" s="513"/>
      <c r="T112" s="513"/>
      <c r="U112" s="513"/>
      <c r="V112" s="513"/>
      <c r="W112" s="513"/>
      <c r="X112" s="513"/>
      <c r="Y112" s="513"/>
      <c r="Z112" s="513"/>
      <c r="AA112" s="513"/>
      <c r="AB112" s="157"/>
      <c r="AC112" s="140"/>
      <c r="AD112" s="514"/>
      <c r="AE112" s="481"/>
      <c r="AF112" s="157"/>
      <c r="AG112" s="481"/>
      <c r="AH112" s="481"/>
      <c r="AI112" s="157"/>
    </row>
    <row r="113" spans="1:35" x14ac:dyDescent="0.25">
      <c r="A113" s="11"/>
      <c r="B113" s="11"/>
      <c r="C113" s="208"/>
      <c r="D113" s="11"/>
      <c r="E113" s="11"/>
      <c r="F113" s="11"/>
      <c r="G113" s="11"/>
      <c r="H113" s="185"/>
      <c r="I113" s="122"/>
      <c r="J113" s="122"/>
      <c r="K113" s="11"/>
      <c r="L113" s="90"/>
      <c r="M113" s="90"/>
      <c r="N113" s="53" t="s">
        <v>343</v>
      </c>
      <c r="O113" s="514"/>
      <c r="P113" s="481"/>
      <c r="Q113" s="481"/>
      <c r="R113" s="481"/>
      <c r="S113" s="481"/>
      <c r="T113" s="481"/>
      <c r="U113" s="481"/>
      <c r="V113" s="481"/>
      <c r="W113" s="481"/>
      <c r="X113" s="481"/>
      <c r="Y113" s="481"/>
      <c r="Z113" s="481"/>
      <c r="AA113" s="481"/>
      <c r="AB113" s="515"/>
      <c r="AC113" s="140"/>
      <c r="AD113" s="516"/>
      <c r="AE113" s="517"/>
      <c r="AF113" s="157"/>
      <c r="AG113" s="481"/>
      <c r="AH113" s="517"/>
      <c r="AI113" s="157"/>
    </row>
    <row r="114" spans="1:35" x14ac:dyDescent="0.25">
      <c r="A114" s="11"/>
      <c r="B114" s="11"/>
      <c r="C114" s="208"/>
      <c r="D114" s="11"/>
      <c r="E114" s="11"/>
      <c r="F114" s="11"/>
      <c r="G114" s="11"/>
      <c r="H114" s="185"/>
      <c r="I114" s="122"/>
      <c r="J114" s="122"/>
      <c r="K114" s="11"/>
      <c r="L114" s="90"/>
      <c r="M114" s="90"/>
      <c r="N114" s="53" t="s">
        <v>337</v>
      </c>
      <c r="O114" s="158"/>
      <c r="P114" s="159"/>
      <c r="Q114" s="159"/>
      <c r="R114" s="159"/>
      <c r="S114" s="159"/>
      <c r="T114" s="159"/>
      <c r="U114" s="159"/>
      <c r="V114" s="159"/>
      <c r="W114" s="159"/>
      <c r="X114" s="159"/>
      <c r="Y114" s="159"/>
      <c r="Z114" s="159"/>
      <c r="AA114" s="159"/>
      <c r="AB114" s="160"/>
      <c r="AC114" s="140"/>
      <c r="AD114" s="158"/>
      <c r="AE114" s="159"/>
      <c r="AF114" s="160"/>
      <c r="AG114" s="159"/>
      <c r="AH114" s="159"/>
      <c r="AI114" s="160"/>
    </row>
    <row r="115" spans="1:35" x14ac:dyDescent="0.25">
      <c r="A115" s="11"/>
      <c r="B115" s="11"/>
      <c r="C115" s="208"/>
      <c r="D115" s="11"/>
      <c r="E115" s="11"/>
      <c r="F115" s="11"/>
      <c r="G115" s="11"/>
      <c r="H115" s="185" t="s">
        <v>294</v>
      </c>
      <c r="I115" s="122"/>
      <c r="J115" s="122"/>
      <c r="K115" s="11"/>
      <c r="L115" s="90" t="str">
        <f>IF(_epmOfflineCondition_,"461200",_xll.EVPRO($B$1,H115,"JDEID"))</f>
        <v>461200</v>
      </c>
      <c r="M115" s="90" t="str">
        <f>IF(_epmOfflineCondition_,"",IF(AND(I115="N",J115="N"),_xll.EVPRO($B$1,H115,"PSFTID"),""))</f>
        <v/>
      </c>
      <c r="N115" s="90" t="str">
        <f>IF(_epmOfflineCondition_,"Breakfast Liquor",IF(_xll.EVDES(H115,$B$1)="#NODATA","",_xll.EVDES(H115,$B$1)))</f>
        <v>Breakfast Liquor</v>
      </c>
      <c r="O115" s="138">
        <v>1727</v>
      </c>
      <c r="P115" s="138">
        <v>2601</v>
      </c>
      <c r="Q115" s="138">
        <v>2733</v>
      </c>
      <c r="R115" s="138">
        <v>2061.67</v>
      </c>
      <c r="S115" s="138">
        <v>2428</v>
      </c>
      <c r="T115" s="138">
        <v>1394.01</v>
      </c>
      <c r="U115" s="138">
        <v>2488</v>
      </c>
      <c r="V115" s="138">
        <v>1524</v>
      </c>
      <c r="W115" s="138">
        <v>1967</v>
      </c>
      <c r="X115" s="138">
        <v>1379</v>
      </c>
      <c r="Y115" s="138">
        <v>1338.1</v>
      </c>
      <c r="Z115" s="138">
        <v>1450.4</v>
      </c>
      <c r="AA115" s="138">
        <f t="shared" ref="AA115:AA121" si="34">SUM(O115:Z115)</f>
        <v>23091.18</v>
      </c>
      <c r="AB115" s="142">
        <f t="shared" ref="AB115:AB121" si="35">IF(AA115=0,"",IFERROR(AA115/AA$19,""))</f>
        <v>1.1843906560691911E-2</v>
      </c>
      <c r="AC115" s="140"/>
      <c r="AD115" s="138">
        <v>38440.589999999997</v>
      </c>
      <c r="AE115" s="142">
        <f t="shared" ref="AE115:AE121" si="36">IF(AD115=0,"",IFERROR(AD115/AD$19,""))</f>
        <v>1.5015096520115439E-2</v>
      </c>
      <c r="AF115" s="141">
        <f t="shared" ref="AF115:AF121" si="37">IF(AND($AA115="",AD115=""),"",$AA115-AD115)</f>
        <v>-15349.409999999996</v>
      </c>
      <c r="AG115" s="138">
        <v>6693.07</v>
      </c>
      <c r="AH115" s="142">
        <f t="shared" ref="AH115:AH121" si="38">IF(AG115=0,"",IFERROR(AG115/AG$19,""))</f>
        <v>5.0350383245686119E-3</v>
      </c>
      <c r="AI115" s="141">
        <f t="shared" ref="AI115:AI121" si="39">IF(AND($AA115="",AG115=""),"",$AA115-AG115)</f>
        <v>16398.11</v>
      </c>
    </row>
    <row r="116" spans="1:35" x14ac:dyDescent="0.25">
      <c r="A116" s="11"/>
      <c r="B116" s="11"/>
      <c r="C116" s="208"/>
      <c r="D116" s="11"/>
      <c r="E116" s="11"/>
      <c r="F116" s="11"/>
      <c r="G116" s="11"/>
      <c r="H116" s="185" t="s">
        <v>301</v>
      </c>
      <c r="I116" s="122"/>
      <c r="J116" s="122"/>
      <c r="K116" s="11"/>
      <c r="L116" s="90" t="str">
        <f>IF(_epmOfflineCondition_,"462200",_xll.EVPRO($B$1,H116,"JDEID"))</f>
        <v>462200</v>
      </c>
      <c r="M116" s="90" t="str">
        <f>IF(_epmOfflineCondition_,"",IF(AND(I116="N",J116="N"),_xll.EVPRO($B$1,H116,"PSFTID"),""))</f>
        <v/>
      </c>
      <c r="N116" s="90" t="str">
        <f>IF(_epmOfflineCondition_,"Lunch Liquor",IF(_xll.EVDES(H116,$B$1)="#NODATA","",_xll.EVDES(H116,$B$1)))</f>
        <v>Lunch Liquor</v>
      </c>
      <c r="O116" s="138">
        <v>12495</v>
      </c>
      <c r="P116" s="138">
        <v>24003</v>
      </c>
      <c r="Q116" s="138">
        <v>25398</v>
      </c>
      <c r="R116" s="138">
        <v>22282.51</v>
      </c>
      <c r="S116" s="138">
        <v>22548.66</v>
      </c>
      <c r="T116" s="138">
        <v>13892.4</v>
      </c>
      <c r="U116" s="138">
        <v>18145.5</v>
      </c>
      <c r="V116" s="138">
        <v>12808.5</v>
      </c>
      <c r="W116" s="138">
        <v>12508.4</v>
      </c>
      <c r="X116" s="138">
        <v>9769</v>
      </c>
      <c r="Y116" s="138">
        <v>11578.4</v>
      </c>
      <c r="Z116" s="138">
        <v>7564.2</v>
      </c>
      <c r="AA116" s="138">
        <f t="shared" si="34"/>
        <v>192993.57</v>
      </c>
      <c r="AB116" s="142">
        <f t="shared" si="35"/>
        <v>9.8990082355875864E-2</v>
      </c>
      <c r="AC116" s="140"/>
      <c r="AD116" s="138">
        <v>363665.85140055598</v>
      </c>
      <c r="AE116" s="142">
        <f t="shared" si="36"/>
        <v>0.14204979319644437</v>
      </c>
      <c r="AF116" s="141">
        <f t="shared" si="37"/>
        <v>-170672.28140055598</v>
      </c>
      <c r="AG116" s="138">
        <v>257808.19</v>
      </c>
      <c r="AH116" s="142">
        <f t="shared" si="38"/>
        <v>0.19394300627928085</v>
      </c>
      <c r="AI116" s="141">
        <f t="shared" si="39"/>
        <v>-64814.619999999995</v>
      </c>
    </row>
    <row r="117" spans="1:35" x14ac:dyDescent="0.25">
      <c r="A117" s="11"/>
      <c r="B117" s="11"/>
      <c r="C117" s="208"/>
      <c r="D117" s="11"/>
      <c r="E117" s="11"/>
      <c r="F117" s="11"/>
      <c r="G117" s="11"/>
      <c r="H117" s="185" t="s">
        <v>302</v>
      </c>
      <c r="I117" s="122"/>
      <c r="J117" s="122"/>
      <c r="K117" s="11"/>
      <c r="L117" s="90" t="str">
        <f>IF(_epmOfflineCondition_,"463200",_xll.EVPRO($B$1,H117,"JDEID"))</f>
        <v>463200</v>
      </c>
      <c r="M117" s="90" t="str">
        <f>IF(_epmOfflineCondition_,"",IF(AND(I117="N",J117="N"),_xll.EVPRO($B$1,H117,"PSFTID"),""))</f>
        <v/>
      </c>
      <c r="N117" s="90" t="str">
        <f>IF(_epmOfflineCondition_,"Dinner Liquor",IF(_xll.EVDES(H117,$B$1)="#NODATA","",_xll.EVDES(H117,$B$1)))</f>
        <v>Dinner Liquor</v>
      </c>
      <c r="O117" s="138">
        <v>2660.99</v>
      </c>
      <c r="P117" s="138">
        <v>5321</v>
      </c>
      <c r="Q117" s="138">
        <v>5741</v>
      </c>
      <c r="R117" s="138">
        <v>6036.51</v>
      </c>
      <c r="S117" s="138">
        <v>4236.5</v>
      </c>
      <c r="T117" s="138">
        <v>3740.71</v>
      </c>
      <c r="U117" s="138">
        <v>3697.5</v>
      </c>
      <c r="V117" s="138">
        <v>2950.2</v>
      </c>
      <c r="W117" s="138">
        <v>2677</v>
      </c>
      <c r="X117" s="138">
        <v>8112</v>
      </c>
      <c r="Y117" s="138">
        <v>10537</v>
      </c>
      <c r="Z117" s="138">
        <v>3276</v>
      </c>
      <c r="AA117" s="138">
        <f t="shared" si="34"/>
        <v>58986.409999999996</v>
      </c>
      <c r="AB117" s="142">
        <f t="shared" si="35"/>
        <v>3.0255254534010945E-2</v>
      </c>
      <c r="AC117" s="140"/>
      <c r="AD117" s="138">
        <v>107290.74025459601</v>
      </c>
      <c r="AE117" s="142">
        <f t="shared" si="36"/>
        <v>4.1908327126024707E-2</v>
      </c>
      <c r="AF117" s="141">
        <f t="shared" si="37"/>
        <v>-48304.33025459601</v>
      </c>
      <c r="AG117" s="138">
        <v>58577.25</v>
      </c>
      <c r="AH117" s="142">
        <f t="shared" si="38"/>
        <v>4.406628030154125E-2</v>
      </c>
      <c r="AI117" s="141">
        <f t="shared" si="39"/>
        <v>409.15999999999622</v>
      </c>
    </row>
    <row r="118" spans="1:35" x14ac:dyDescent="0.25">
      <c r="A118" s="11"/>
      <c r="B118" s="11"/>
      <c r="C118" s="208"/>
      <c r="D118" s="11"/>
      <c r="E118" s="11"/>
      <c r="F118" s="11"/>
      <c r="G118" s="11"/>
      <c r="H118" s="185" t="s">
        <v>308</v>
      </c>
      <c r="I118" s="122"/>
      <c r="J118" s="122"/>
      <c r="K118" s="11"/>
      <c r="L118" s="90" t="str">
        <f>IF(_epmOfflineCondition_,"464200",_xll.EVPRO($B$1,H118,"JDEID"))</f>
        <v>464200</v>
      </c>
      <c r="M118" s="90" t="str">
        <f>IF(_epmOfflineCondition_,"",IF(AND(I118="N",J118="N"),_xll.EVPRO($B$1,H118,"PSFTID"),""))</f>
        <v/>
      </c>
      <c r="N118" s="90" t="str">
        <f>IF(_epmOfflineCondition_,"Bar Liquor",IF(_xll.EVDES(H118,$B$1)="#NODATA","",_xll.EVDES(H118,$B$1)))</f>
        <v>Bar Liquor</v>
      </c>
      <c r="O118" s="138">
        <v>20028</v>
      </c>
      <c r="P118" s="138">
        <v>27768</v>
      </c>
      <c r="Q118" s="138">
        <v>22428</v>
      </c>
      <c r="R118" s="138">
        <v>20290.2</v>
      </c>
      <c r="S118" s="138">
        <v>23890</v>
      </c>
      <c r="T118" s="138">
        <v>13256.2</v>
      </c>
      <c r="U118" s="138">
        <v>18288</v>
      </c>
      <c r="V118" s="138">
        <v>11728</v>
      </c>
      <c r="W118" s="138">
        <v>13303.02</v>
      </c>
      <c r="X118" s="138">
        <v>12771</v>
      </c>
      <c r="Y118" s="138">
        <v>17951.009999999998</v>
      </c>
      <c r="Z118" s="138">
        <v>17111.48</v>
      </c>
      <c r="AA118" s="138">
        <f t="shared" si="34"/>
        <v>218812.91</v>
      </c>
      <c r="AB118" s="142">
        <f t="shared" si="35"/>
        <v>0.11223331420538442</v>
      </c>
      <c r="AC118" s="140"/>
      <c r="AD118" s="138">
        <v>279086.64360000001</v>
      </c>
      <c r="AE118" s="142">
        <f t="shared" si="36"/>
        <v>0.10901271003200155</v>
      </c>
      <c r="AF118" s="141">
        <f t="shared" si="37"/>
        <v>-60273.733600000007</v>
      </c>
      <c r="AG118" s="138">
        <v>90722.72</v>
      </c>
      <c r="AH118" s="142">
        <f t="shared" si="38"/>
        <v>6.8248557404764529E-2</v>
      </c>
      <c r="AI118" s="141">
        <f t="shared" si="39"/>
        <v>128090.19</v>
      </c>
    </row>
    <row r="119" spans="1:35" x14ac:dyDescent="0.25">
      <c r="A119" s="11"/>
      <c r="B119" s="11"/>
      <c r="C119" s="208"/>
      <c r="D119" s="11"/>
      <c r="E119" s="11"/>
      <c r="F119" s="11"/>
      <c r="G119" s="11"/>
      <c r="H119" s="185" t="s">
        <v>321</v>
      </c>
      <c r="I119" s="122"/>
      <c r="J119" s="122"/>
      <c r="K119" s="11"/>
      <c r="L119" s="90" t="str">
        <f>IF(_epmOfflineCondition_,"465200",_xll.EVPRO($B$1,H119,"JDEID"))</f>
        <v>465200</v>
      </c>
      <c r="M119" s="90" t="str">
        <f>IF(_epmOfflineCondition_,"",IF(AND(I119="N",J119="N"),_xll.EVPRO($B$1,H119,"PSFTID"),""))</f>
        <v/>
      </c>
      <c r="N119" s="90" t="str">
        <f>IF(_epmOfflineCondition_,"Private Dining Liquor",IF(_xll.EVDES(H119,$B$1)="#NODATA","",_xll.EVDES(H119,$B$1)))</f>
        <v>Private Dining Liquor</v>
      </c>
      <c r="O119" s="138"/>
      <c r="P119" s="138"/>
      <c r="Q119" s="138"/>
      <c r="R119" s="138"/>
      <c r="S119" s="138"/>
      <c r="T119" s="138"/>
      <c r="U119" s="138"/>
      <c r="V119" s="138"/>
      <c r="W119" s="138"/>
      <c r="X119" s="138"/>
      <c r="Y119" s="138"/>
      <c r="Z119" s="138"/>
      <c r="AA119" s="138">
        <f t="shared" si="34"/>
        <v>0</v>
      </c>
      <c r="AB119" s="142" t="str">
        <f t="shared" si="35"/>
        <v/>
      </c>
      <c r="AC119" s="140"/>
      <c r="AD119" s="138"/>
      <c r="AE119" s="142" t="str">
        <f t="shared" si="36"/>
        <v/>
      </c>
      <c r="AF119" s="141">
        <f t="shared" si="37"/>
        <v>0</v>
      </c>
      <c r="AG119" s="138"/>
      <c r="AH119" s="142" t="str">
        <f t="shared" si="38"/>
        <v/>
      </c>
      <c r="AI119" s="141">
        <f t="shared" si="39"/>
        <v>0</v>
      </c>
    </row>
    <row r="120" spans="1:35" x14ac:dyDescent="0.25">
      <c r="A120" s="11"/>
      <c r="B120" s="11"/>
      <c r="C120" s="208"/>
      <c r="D120" s="11"/>
      <c r="E120" s="11"/>
      <c r="F120" s="11"/>
      <c r="G120" s="11"/>
      <c r="H120" s="185" t="s">
        <v>808</v>
      </c>
      <c r="I120" s="122"/>
      <c r="J120" s="122"/>
      <c r="K120" s="11"/>
      <c r="L120" s="90" t="str">
        <f>IF(_epmOfflineCondition_,"471210",_xll.EVPRO($B$1,H120,"JDEID"))</f>
        <v>471210</v>
      </c>
      <c r="M120" s="90" t="str">
        <f>IF(_epmOfflineCondition_,"",IF(AND(I120="N",J120="N"),_xll.EVPRO($B$1,H120,"PSFTID"),""))</f>
        <v/>
      </c>
      <c r="N120" s="90" t="str">
        <f>IF(_epmOfflineCondition_,"Reception Liquor",IF(_xll.EVDES(H120,$B$1)="#NODATA","",_xll.EVDES(H120,$B$1)))</f>
        <v>Reception Liquor</v>
      </c>
      <c r="O120" s="138"/>
      <c r="P120" s="138"/>
      <c r="Q120" s="138"/>
      <c r="R120" s="138"/>
      <c r="S120" s="138"/>
      <c r="T120" s="138"/>
      <c r="U120" s="138"/>
      <c r="V120" s="138"/>
      <c r="W120" s="138"/>
      <c r="X120" s="138"/>
      <c r="Y120" s="138">
        <v>615</v>
      </c>
      <c r="Z120" s="138"/>
      <c r="AA120" s="138">
        <f t="shared" si="34"/>
        <v>615</v>
      </c>
      <c r="AB120" s="142">
        <f t="shared" si="35"/>
        <v>3.1544522778071646E-4</v>
      </c>
      <c r="AC120" s="140"/>
      <c r="AD120" s="138"/>
      <c r="AE120" s="142" t="str">
        <f t="shared" si="36"/>
        <v/>
      </c>
      <c r="AF120" s="141">
        <f t="shared" si="37"/>
        <v>615</v>
      </c>
      <c r="AG120" s="138"/>
      <c r="AH120" s="142" t="str">
        <f t="shared" si="38"/>
        <v/>
      </c>
      <c r="AI120" s="141">
        <f t="shared" si="39"/>
        <v>615</v>
      </c>
    </row>
    <row r="121" spans="1:35" x14ac:dyDescent="0.25">
      <c r="A121" s="11"/>
      <c r="B121" s="11"/>
      <c r="C121" s="208"/>
      <c r="D121" s="11"/>
      <c r="E121" s="11"/>
      <c r="F121" s="11"/>
      <c r="G121" s="11"/>
      <c r="H121" s="185" t="s">
        <v>340</v>
      </c>
      <c r="I121" s="122"/>
      <c r="J121" s="122"/>
      <c r="K121" s="11"/>
      <c r="L121" s="90" t="str">
        <f>IF(_epmOfflineCondition_,"",_xll.EVPRO($B$1,H121,"JDEID"))</f>
        <v/>
      </c>
      <c r="M121" s="90" t="str">
        <f>IF(_epmOfflineCondition_,"",IF(AND(I121="N",J121="N"),_xll.EVPRO($B$1,H121,"PSFTID"),""))</f>
        <v/>
      </c>
      <c r="N121" s="106" t="str">
        <f>IF(_epmOfflineCondition_,"Liquor Revenue ",IF(_xll.EVDES(H121,$B$1)="#NODATA","",_xll.EVDES(H121,$B$1)))</f>
        <v xml:space="preserve">Liquor Revenue </v>
      </c>
      <c r="O121" s="162">
        <v>36910.99</v>
      </c>
      <c r="P121" s="162">
        <v>59693</v>
      </c>
      <c r="Q121" s="162">
        <v>56300</v>
      </c>
      <c r="R121" s="162">
        <v>50670.89</v>
      </c>
      <c r="S121" s="162">
        <v>53103.16</v>
      </c>
      <c r="T121" s="162">
        <v>32283.32</v>
      </c>
      <c r="U121" s="162">
        <v>42619</v>
      </c>
      <c r="V121" s="162">
        <v>29010.7</v>
      </c>
      <c r="W121" s="162">
        <v>30455.42</v>
      </c>
      <c r="X121" s="162">
        <v>32031</v>
      </c>
      <c r="Y121" s="162">
        <v>42019.51</v>
      </c>
      <c r="Z121" s="162">
        <v>29402.080000000002</v>
      </c>
      <c r="AA121" s="162">
        <f t="shared" si="34"/>
        <v>494499.07</v>
      </c>
      <c r="AB121" s="163">
        <f t="shared" si="35"/>
        <v>0.25363800288374383</v>
      </c>
      <c r="AC121" s="140"/>
      <c r="AD121" s="162">
        <v>788483.82525515195</v>
      </c>
      <c r="AE121" s="163">
        <f t="shared" si="36"/>
        <v>0.30798592687458604</v>
      </c>
      <c r="AF121" s="164">
        <f t="shared" si="37"/>
        <v>-293984.75525515195</v>
      </c>
      <c r="AG121" s="162">
        <v>413801.23</v>
      </c>
      <c r="AH121" s="163">
        <f t="shared" si="38"/>
        <v>0.31129288231015523</v>
      </c>
      <c r="AI121" s="164">
        <f t="shared" si="39"/>
        <v>80697.840000000026</v>
      </c>
    </row>
    <row r="122" spans="1:35" x14ac:dyDescent="0.25">
      <c r="A122" s="11"/>
      <c r="B122" s="11"/>
      <c r="C122" s="208"/>
      <c r="D122" s="11"/>
      <c r="E122" s="11"/>
      <c r="F122" s="11"/>
      <c r="G122" s="11"/>
      <c r="H122" s="185"/>
      <c r="I122" s="122"/>
      <c r="J122" s="122"/>
      <c r="K122" s="11"/>
      <c r="L122" s="90"/>
      <c r="M122" s="90"/>
      <c r="N122" s="53"/>
      <c r="O122" s="170"/>
      <c r="P122" s="171"/>
      <c r="Q122" s="171"/>
      <c r="R122" s="171"/>
      <c r="S122" s="171"/>
      <c r="T122" s="171"/>
      <c r="U122" s="171"/>
      <c r="V122" s="171"/>
      <c r="W122" s="171"/>
      <c r="X122" s="171"/>
      <c r="Y122" s="171"/>
      <c r="Z122" s="171"/>
      <c r="AA122" s="171"/>
      <c r="AB122" s="172"/>
      <c r="AC122" s="140"/>
      <c r="AD122" s="170"/>
      <c r="AE122" s="171"/>
      <c r="AF122" s="172"/>
      <c r="AG122" s="170"/>
      <c r="AH122" s="171"/>
      <c r="AI122" s="172"/>
    </row>
    <row r="123" spans="1:35" x14ac:dyDescent="0.25">
      <c r="A123" s="11"/>
      <c r="B123" s="11"/>
      <c r="C123" s="208"/>
      <c r="D123" s="11"/>
      <c r="E123" s="11"/>
      <c r="F123" s="11"/>
      <c r="G123" s="11"/>
      <c r="H123" s="185"/>
      <c r="I123" s="122"/>
      <c r="J123" s="122"/>
      <c r="K123" s="11"/>
      <c r="L123" s="90"/>
      <c r="M123" s="90"/>
      <c r="N123" s="53" t="s">
        <v>339</v>
      </c>
      <c r="O123" s="158"/>
      <c r="P123" s="159"/>
      <c r="Q123" s="159"/>
      <c r="R123" s="159"/>
      <c r="S123" s="159"/>
      <c r="T123" s="159"/>
      <c r="U123" s="159"/>
      <c r="V123" s="159"/>
      <c r="W123" s="159"/>
      <c r="X123" s="159"/>
      <c r="Y123" s="159"/>
      <c r="Z123" s="159"/>
      <c r="AA123" s="159"/>
      <c r="AB123" s="160"/>
      <c r="AC123" s="140"/>
      <c r="AD123" s="158"/>
      <c r="AE123" s="159"/>
      <c r="AF123" s="160"/>
      <c r="AG123" s="158"/>
      <c r="AH123" s="159"/>
      <c r="AI123" s="160"/>
    </row>
    <row r="124" spans="1:35" x14ac:dyDescent="0.25">
      <c r="A124" s="11"/>
      <c r="B124" s="11"/>
      <c r="C124" s="208"/>
      <c r="D124" s="11"/>
      <c r="E124" s="11"/>
      <c r="F124" s="11"/>
      <c r="G124" s="11"/>
      <c r="H124" s="185" t="s">
        <v>295</v>
      </c>
      <c r="I124" s="122"/>
      <c r="J124" s="122"/>
      <c r="K124" s="11"/>
      <c r="L124" s="90" t="str">
        <f>IF(_epmOfflineCondition_,"461300",_xll.EVPRO($B$1,H124,"JDEID"))</f>
        <v>461300</v>
      </c>
      <c r="M124" s="90" t="str">
        <f>IF(_epmOfflineCondition_,"",IF(AND(I124="N",J124="N"),_xll.EVPRO($B$1,H124,"PSFTID"),""))</f>
        <v/>
      </c>
      <c r="N124" s="90" t="str">
        <f>IF(_epmOfflineCondition_,"Breakfast Beer",IF(_xll.EVDES(H124,$B$1)="#NODATA","",_xll.EVDES(H124,$B$1)))</f>
        <v>Breakfast Beer</v>
      </c>
      <c r="O124" s="138">
        <v>368</v>
      </c>
      <c r="P124" s="138">
        <v>440</v>
      </c>
      <c r="Q124" s="138">
        <v>454</v>
      </c>
      <c r="R124" s="138">
        <v>397</v>
      </c>
      <c r="S124" s="138">
        <v>454</v>
      </c>
      <c r="T124" s="138">
        <v>231.5</v>
      </c>
      <c r="U124" s="138">
        <v>368</v>
      </c>
      <c r="V124" s="138">
        <v>123</v>
      </c>
      <c r="W124" s="138">
        <v>196</v>
      </c>
      <c r="X124" s="138">
        <v>239</v>
      </c>
      <c r="Y124" s="138">
        <v>150</v>
      </c>
      <c r="Z124" s="138">
        <v>148</v>
      </c>
      <c r="AA124" s="138">
        <f t="shared" ref="AA124:AA130" si="40">SUM(O124:Z124)</f>
        <v>3568.5</v>
      </c>
      <c r="AB124" s="142">
        <f t="shared" ref="AB124:AB130" si="41">IF(AA124=0,"",IFERROR(AA124/AA$19,""))</f>
        <v>1.8303516997324987E-3</v>
      </c>
      <c r="AC124" s="140"/>
      <c r="AD124" s="138">
        <v>3203.3825000000002</v>
      </c>
      <c r="AE124" s="142">
        <f t="shared" ref="AE124:AE130" si="42">IF(AD124=0,"",IFERROR(AD124/AD$19,""))</f>
        <v>1.2512580433429535E-3</v>
      </c>
      <c r="AF124" s="141">
        <f t="shared" ref="AF124:AF130" si="43">IF(AND($AA124="",AD124=""),"",$AA124-AD124)</f>
        <v>365.11749999999984</v>
      </c>
      <c r="AG124" s="138">
        <v>740</v>
      </c>
      <c r="AH124" s="142">
        <f t="shared" ref="AH124:AH130" si="44">IF(AG124=0,"",IFERROR(AG124/AG$19,""))</f>
        <v>5.5668450504488569E-4</v>
      </c>
      <c r="AI124" s="141">
        <f t="shared" ref="AI124:AI130" si="45">IF(AND($AA124="",AG124=""),"",$AA124-AG124)</f>
        <v>2828.5</v>
      </c>
    </row>
    <row r="125" spans="1:35" x14ac:dyDescent="0.25">
      <c r="A125" s="11"/>
      <c r="B125" s="11"/>
      <c r="C125" s="208"/>
      <c r="D125" s="11"/>
      <c r="E125" s="11"/>
      <c r="F125" s="11"/>
      <c r="G125" s="11"/>
      <c r="H125" s="185" t="s">
        <v>305</v>
      </c>
      <c r="I125" s="122"/>
      <c r="J125" s="122"/>
      <c r="K125" s="11"/>
      <c r="L125" s="90" t="str">
        <f>IF(_epmOfflineCondition_,"462300",_xll.EVPRO($B$1,H125,"JDEID"))</f>
        <v>462300</v>
      </c>
      <c r="M125" s="90" t="str">
        <f>IF(_epmOfflineCondition_,"",IF(AND(I125="N",J125="N"),_xll.EVPRO($B$1,H125,"PSFTID"),""))</f>
        <v/>
      </c>
      <c r="N125" s="90" t="str">
        <f>IF(_epmOfflineCondition_,"Lunch Beer",IF(_xll.EVDES(H125,$B$1)="#NODATA","",_xll.EVDES(H125,$B$1)))</f>
        <v>Lunch Beer</v>
      </c>
      <c r="O125" s="138">
        <v>1955</v>
      </c>
      <c r="P125" s="138">
        <v>3029</v>
      </c>
      <c r="Q125" s="138">
        <v>3923</v>
      </c>
      <c r="R125" s="138">
        <v>4218</v>
      </c>
      <c r="S125" s="138">
        <v>3467.6</v>
      </c>
      <c r="T125" s="138">
        <v>2453.6</v>
      </c>
      <c r="U125" s="138">
        <v>4300</v>
      </c>
      <c r="V125" s="138">
        <v>2596</v>
      </c>
      <c r="W125" s="138">
        <v>1991</v>
      </c>
      <c r="X125" s="138">
        <v>2298</v>
      </c>
      <c r="Y125" s="138">
        <v>2786</v>
      </c>
      <c r="Z125" s="138">
        <v>2000</v>
      </c>
      <c r="AA125" s="138">
        <f t="shared" si="40"/>
        <v>35017.199999999997</v>
      </c>
      <c r="AB125" s="142">
        <f t="shared" si="41"/>
        <v>1.7960989642671388E-2</v>
      </c>
      <c r="AC125" s="140"/>
      <c r="AD125" s="138">
        <v>30033.186672299998</v>
      </c>
      <c r="AE125" s="142">
        <f t="shared" si="42"/>
        <v>1.1731120586110389E-2</v>
      </c>
      <c r="AF125" s="141">
        <f t="shared" si="43"/>
        <v>4984.0133276999986</v>
      </c>
      <c r="AG125" s="138">
        <v>24158</v>
      </c>
      <c r="AH125" s="142">
        <f t="shared" si="44"/>
        <v>1.8173492260641008E-2</v>
      </c>
      <c r="AI125" s="141">
        <f t="shared" si="45"/>
        <v>10859.199999999997</v>
      </c>
    </row>
    <row r="126" spans="1:35" x14ac:dyDescent="0.25">
      <c r="A126" s="11"/>
      <c r="B126" s="11"/>
      <c r="C126" s="208"/>
      <c r="D126" s="11"/>
      <c r="E126" s="11"/>
      <c r="F126" s="11"/>
      <c r="G126" s="11"/>
      <c r="H126" s="185" t="s">
        <v>306</v>
      </c>
      <c r="I126" s="122"/>
      <c r="J126" s="122"/>
      <c r="K126" s="11"/>
      <c r="L126" s="90" t="str">
        <f>IF(_epmOfflineCondition_,"463300",_xll.EVPRO($B$1,H126,"JDEID"))</f>
        <v>463300</v>
      </c>
      <c r="M126" s="90" t="str">
        <f>IF(_epmOfflineCondition_,"",IF(AND(I126="N",J126="N"),_xll.EVPRO($B$1,H126,"PSFTID"),""))</f>
        <v/>
      </c>
      <c r="N126" s="90" t="str">
        <f>IF(_epmOfflineCondition_,"Dinner Beer",IF(_xll.EVDES(H126,$B$1)="#NODATA","",_xll.EVDES(H126,$B$1)))</f>
        <v>Dinner Beer</v>
      </c>
      <c r="O126" s="138">
        <v>664</v>
      </c>
      <c r="P126" s="138">
        <v>752</v>
      </c>
      <c r="Q126" s="138">
        <v>615</v>
      </c>
      <c r="R126" s="138">
        <v>828</v>
      </c>
      <c r="S126" s="138">
        <v>628</v>
      </c>
      <c r="T126" s="138">
        <v>457</v>
      </c>
      <c r="U126" s="138">
        <v>726</v>
      </c>
      <c r="V126" s="138">
        <v>408.2</v>
      </c>
      <c r="W126" s="138">
        <v>322</v>
      </c>
      <c r="X126" s="138">
        <v>551.5</v>
      </c>
      <c r="Y126" s="138">
        <v>558.4</v>
      </c>
      <c r="Z126" s="138">
        <v>672</v>
      </c>
      <c r="AA126" s="138">
        <f t="shared" si="40"/>
        <v>7182.0999999999995</v>
      </c>
      <c r="AB126" s="142">
        <f t="shared" si="41"/>
        <v>3.6838360495022498E-3</v>
      </c>
      <c r="AC126" s="140"/>
      <c r="AD126" s="138">
        <v>14548.977699999999</v>
      </c>
      <c r="AE126" s="142">
        <f t="shared" si="42"/>
        <v>5.6829071675150444E-3</v>
      </c>
      <c r="AF126" s="141">
        <f t="shared" si="43"/>
        <v>-7366.8777</v>
      </c>
      <c r="AG126" s="138">
        <v>6829.72</v>
      </c>
      <c r="AH126" s="142">
        <f t="shared" si="44"/>
        <v>5.1378368889123732E-3</v>
      </c>
      <c r="AI126" s="141">
        <f t="shared" si="45"/>
        <v>352.3799999999992</v>
      </c>
    </row>
    <row r="127" spans="1:35" x14ac:dyDescent="0.25">
      <c r="A127" s="11"/>
      <c r="B127" s="11"/>
      <c r="C127" s="208"/>
      <c r="D127" s="11"/>
      <c r="E127" s="11"/>
      <c r="F127" s="11"/>
      <c r="G127" s="11"/>
      <c r="H127" s="185" t="s">
        <v>310</v>
      </c>
      <c r="I127" s="122"/>
      <c r="J127" s="122"/>
      <c r="K127" s="11"/>
      <c r="L127" s="90" t="str">
        <f>IF(_epmOfflineCondition_,"464300",_xll.EVPRO($B$1,H127,"JDEID"))</f>
        <v>464300</v>
      </c>
      <c r="M127" s="90" t="str">
        <f>IF(_epmOfflineCondition_,"",IF(AND(I127="N",J127="N"),_xll.EVPRO($B$1,H127,"PSFTID"),""))</f>
        <v/>
      </c>
      <c r="N127" s="90" t="str">
        <f>IF(_epmOfflineCondition_,"Bar Beer",IF(_xll.EVDES(H127,$B$1)="#NODATA","",_xll.EVDES(H127,$B$1)))</f>
        <v>Bar Beer</v>
      </c>
      <c r="O127" s="138">
        <v>2926</v>
      </c>
      <c r="P127" s="138">
        <v>4435</v>
      </c>
      <c r="Q127" s="138">
        <v>3536</v>
      </c>
      <c r="R127" s="138">
        <v>3418</v>
      </c>
      <c r="S127" s="138">
        <v>5586</v>
      </c>
      <c r="T127" s="138">
        <v>2062</v>
      </c>
      <c r="U127" s="138">
        <v>1916</v>
      </c>
      <c r="V127" s="138">
        <v>1725</v>
      </c>
      <c r="W127" s="138">
        <v>1777.5</v>
      </c>
      <c r="X127" s="138">
        <v>3204</v>
      </c>
      <c r="Y127" s="138">
        <v>4604</v>
      </c>
      <c r="Z127" s="138">
        <v>2561</v>
      </c>
      <c r="AA127" s="138">
        <f t="shared" si="40"/>
        <v>37750.5</v>
      </c>
      <c r="AB127" s="142">
        <f t="shared" si="41"/>
        <v>1.9362951335505588E-2</v>
      </c>
      <c r="AC127" s="140"/>
      <c r="AD127" s="138">
        <v>20642.0556</v>
      </c>
      <c r="AE127" s="142">
        <f t="shared" si="42"/>
        <v>8.0628954240189715E-3</v>
      </c>
      <c r="AF127" s="141">
        <f t="shared" si="43"/>
        <v>17108.4444</v>
      </c>
      <c r="AG127" s="138">
        <v>7489.48</v>
      </c>
      <c r="AH127" s="142">
        <f t="shared" si="44"/>
        <v>5.6341587389777967E-3</v>
      </c>
      <c r="AI127" s="141">
        <f t="shared" si="45"/>
        <v>30261.02</v>
      </c>
    </row>
    <row r="128" spans="1:35" x14ac:dyDescent="0.25">
      <c r="A128" s="11"/>
      <c r="B128" s="11"/>
      <c r="C128" s="208"/>
      <c r="D128" s="11"/>
      <c r="E128" s="11"/>
      <c r="F128" s="11"/>
      <c r="G128" s="11"/>
      <c r="H128" s="185" t="s">
        <v>323</v>
      </c>
      <c r="I128" s="122"/>
      <c r="J128" s="122"/>
      <c r="K128" s="11"/>
      <c r="L128" s="90" t="str">
        <f>IF(_epmOfflineCondition_,"465300",_xll.EVPRO($B$1,H128,"JDEID"))</f>
        <v>465300</v>
      </c>
      <c r="M128" s="90" t="str">
        <f>IF(_epmOfflineCondition_,"",IF(AND(I128="N",J128="N"),_xll.EVPRO($B$1,H128,"PSFTID"),""))</f>
        <v/>
      </c>
      <c r="N128" s="90" t="str">
        <f>IF(_epmOfflineCondition_,"Private Dining Beer",IF(_xll.EVDES(H128,$B$1)="#NODATA","",_xll.EVDES(H128,$B$1)))</f>
        <v>Private Dining Beer</v>
      </c>
      <c r="O128" s="138"/>
      <c r="P128" s="138"/>
      <c r="Q128" s="138"/>
      <c r="R128" s="138"/>
      <c r="S128" s="138"/>
      <c r="T128" s="138"/>
      <c r="U128" s="138"/>
      <c r="V128" s="138"/>
      <c r="W128" s="138"/>
      <c r="X128" s="138"/>
      <c r="Y128" s="138"/>
      <c r="Z128" s="138"/>
      <c r="AA128" s="138">
        <f t="shared" si="40"/>
        <v>0</v>
      </c>
      <c r="AB128" s="142" t="str">
        <f t="shared" si="41"/>
        <v/>
      </c>
      <c r="AC128" s="140"/>
      <c r="AD128" s="138"/>
      <c r="AE128" s="142" t="str">
        <f t="shared" si="42"/>
        <v/>
      </c>
      <c r="AF128" s="141">
        <f t="shared" si="43"/>
        <v>0</v>
      </c>
      <c r="AG128" s="138"/>
      <c r="AH128" s="142" t="str">
        <f t="shared" si="44"/>
        <v/>
      </c>
      <c r="AI128" s="141">
        <f t="shared" si="45"/>
        <v>0</v>
      </c>
    </row>
    <row r="129" spans="1:35" x14ac:dyDescent="0.25">
      <c r="A129" s="11"/>
      <c r="B129" s="11"/>
      <c r="C129" s="208"/>
      <c r="D129" s="11"/>
      <c r="E129" s="11"/>
      <c r="F129" s="11"/>
      <c r="G129" s="11"/>
      <c r="H129" s="185" t="s">
        <v>809</v>
      </c>
      <c r="I129" s="122"/>
      <c r="J129" s="122"/>
      <c r="K129" s="11"/>
      <c r="L129" s="90" t="str">
        <f>IF(_epmOfflineCondition_,"471310",_xll.EVPRO($B$1,H129,"JDEID"))</f>
        <v>471310</v>
      </c>
      <c r="M129" s="90" t="str">
        <f>IF(_epmOfflineCondition_,"",IF(AND(I129="N",J129="N"),_xll.EVPRO($B$1,H129,"PSFTID"),""))</f>
        <v/>
      </c>
      <c r="N129" s="90" t="str">
        <f>IF(_epmOfflineCondition_,"Reception Beer",IF(_xll.EVDES(H129,$B$1)="#NODATA","",_xll.EVDES(H129,$B$1)))</f>
        <v>Reception Beer</v>
      </c>
      <c r="O129" s="138"/>
      <c r="P129" s="138"/>
      <c r="Q129" s="138"/>
      <c r="R129" s="138"/>
      <c r="S129" s="138"/>
      <c r="T129" s="138"/>
      <c r="U129" s="138"/>
      <c r="V129" s="138"/>
      <c r="W129" s="138"/>
      <c r="X129" s="138"/>
      <c r="Y129" s="138">
        <v>127</v>
      </c>
      <c r="Z129" s="138"/>
      <c r="AA129" s="138">
        <f t="shared" si="40"/>
        <v>127</v>
      </c>
      <c r="AB129" s="142">
        <f t="shared" si="41"/>
        <v>6.5140721834391863E-5</v>
      </c>
      <c r="AC129" s="140"/>
      <c r="AD129" s="138"/>
      <c r="AE129" s="142" t="str">
        <f t="shared" si="42"/>
        <v/>
      </c>
      <c r="AF129" s="141">
        <f t="shared" si="43"/>
        <v>127</v>
      </c>
      <c r="AG129" s="138"/>
      <c r="AH129" s="142" t="str">
        <f t="shared" si="44"/>
        <v/>
      </c>
      <c r="AI129" s="141">
        <f t="shared" si="45"/>
        <v>127</v>
      </c>
    </row>
    <row r="130" spans="1:35" x14ac:dyDescent="0.25">
      <c r="A130" s="11"/>
      <c r="B130" s="11"/>
      <c r="C130" s="208"/>
      <c r="D130" s="11"/>
      <c r="E130" s="11"/>
      <c r="F130" s="11"/>
      <c r="G130" s="11"/>
      <c r="H130" s="185" t="s">
        <v>342</v>
      </c>
      <c r="I130" s="122"/>
      <c r="J130" s="122"/>
      <c r="K130" s="11"/>
      <c r="L130" s="90" t="str">
        <f>IF(_epmOfflineCondition_,"",_xll.EVPRO($B$1,H130,"JDEID"))</f>
        <v/>
      </c>
      <c r="M130" s="90" t="str">
        <f>IF(_epmOfflineCondition_,"",IF(AND(I130="N",J130="N"),_xll.EVPRO($B$1,H130,"PSFTID"),""))</f>
        <v/>
      </c>
      <c r="N130" s="106" t="str">
        <f>IF(_epmOfflineCondition_,"Beer Revenue",IF(_xll.EVDES(H130,$B$1)="#NODATA","",_xll.EVDES(H130,$B$1)))</f>
        <v>Beer Revenue</v>
      </c>
      <c r="O130" s="162">
        <v>5913</v>
      </c>
      <c r="P130" s="162">
        <v>8656</v>
      </c>
      <c r="Q130" s="162">
        <v>8528</v>
      </c>
      <c r="R130" s="162">
        <v>8861</v>
      </c>
      <c r="S130" s="162">
        <v>10135.6</v>
      </c>
      <c r="T130" s="162">
        <v>5204.1000000000004</v>
      </c>
      <c r="U130" s="162">
        <v>7310</v>
      </c>
      <c r="V130" s="162">
        <v>4852.2</v>
      </c>
      <c r="W130" s="162">
        <v>4286.5</v>
      </c>
      <c r="X130" s="162">
        <v>6292.5</v>
      </c>
      <c r="Y130" s="162">
        <v>8225.4</v>
      </c>
      <c r="Z130" s="162">
        <v>5381</v>
      </c>
      <c r="AA130" s="162">
        <f t="shared" si="40"/>
        <v>83645.299999999988</v>
      </c>
      <c r="AB130" s="163">
        <f t="shared" si="41"/>
        <v>4.2903269449246113E-2</v>
      </c>
      <c r="AC130" s="140"/>
      <c r="AD130" s="162">
        <v>68427.602472300001</v>
      </c>
      <c r="AE130" s="163">
        <f t="shared" si="42"/>
        <v>2.6728181220987361E-2</v>
      </c>
      <c r="AF130" s="164">
        <f t="shared" si="43"/>
        <v>15217.697527699987</v>
      </c>
      <c r="AG130" s="162">
        <v>39217.199999999997</v>
      </c>
      <c r="AH130" s="163">
        <f t="shared" si="44"/>
        <v>2.9502172393576064E-2</v>
      </c>
      <c r="AI130" s="164">
        <f t="shared" si="45"/>
        <v>44428.099999999991</v>
      </c>
    </row>
    <row r="131" spans="1:35" x14ac:dyDescent="0.25">
      <c r="A131" s="11"/>
      <c r="B131" s="11"/>
      <c r="C131" s="208"/>
      <c r="D131" s="11"/>
      <c r="E131" s="11"/>
      <c r="F131" s="11"/>
      <c r="G131" s="11"/>
      <c r="H131" s="185"/>
      <c r="I131" s="122"/>
      <c r="J131" s="122"/>
      <c r="K131" s="11"/>
      <c r="L131" s="90"/>
      <c r="M131" s="90"/>
      <c r="N131" s="53"/>
      <c r="O131" s="170"/>
      <c r="P131" s="171"/>
      <c r="Q131" s="171"/>
      <c r="R131" s="171"/>
      <c r="S131" s="171"/>
      <c r="T131" s="171"/>
      <c r="U131" s="171"/>
      <c r="V131" s="171"/>
      <c r="W131" s="171"/>
      <c r="X131" s="171"/>
      <c r="Y131" s="171"/>
      <c r="Z131" s="171"/>
      <c r="AA131" s="171"/>
      <c r="AB131" s="172"/>
      <c r="AC131" s="140"/>
      <c r="AD131" s="170"/>
      <c r="AE131" s="171"/>
      <c r="AF131" s="172"/>
      <c r="AG131" s="170"/>
      <c r="AH131" s="171"/>
      <c r="AI131" s="172"/>
    </row>
    <row r="132" spans="1:35" x14ac:dyDescent="0.25">
      <c r="A132" s="11"/>
      <c r="B132" s="11"/>
      <c r="C132" s="208"/>
      <c r="D132" s="11"/>
      <c r="E132" s="11"/>
      <c r="F132" s="11"/>
      <c r="G132" s="11"/>
      <c r="H132" s="185"/>
      <c r="I132" s="122"/>
      <c r="J132" s="122"/>
      <c r="K132" s="11"/>
      <c r="L132" s="90"/>
      <c r="M132" s="90"/>
      <c r="N132" s="53" t="s">
        <v>338</v>
      </c>
      <c r="O132" s="158"/>
      <c r="P132" s="159"/>
      <c r="Q132" s="159"/>
      <c r="R132" s="159"/>
      <c r="S132" s="159"/>
      <c r="T132" s="159"/>
      <c r="U132" s="159"/>
      <c r="V132" s="159"/>
      <c r="W132" s="159"/>
      <c r="X132" s="159"/>
      <c r="Y132" s="159"/>
      <c r="Z132" s="159"/>
      <c r="AA132" s="159"/>
      <c r="AB132" s="160"/>
      <c r="AC132" s="140"/>
      <c r="AD132" s="158"/>
      <c r="AE132" s="159"/>
      <c r="AF132" s="160"/>
      <c r="AG132" s="158"/>
      <c r="AH132" s="159"/>
      <c r="AI132" s="160"/>
    </row>
    <row r="133" spans="1:35" x14ac:dyDescent="0.25">
      <c r="A133" s="11"/>
      <c r="B133" s="11"/>
      <c r="C133" s="208"/>
      <c r="D133" s="11"/>
      <c r="E133" s="11"/>
      <c r="F133" s="11"/>
      <c r="G133" s="11"/>
      <c r="H133" s="185" t="s">
        <v>296</v>
      </c>
      <c r="I133" s="122"/>
      <c r="J133" s="122"/>
      <c r="K133" s="11"/>
      <c r="L133" s="90" t="str">
        <f>IF(_epmOfflineCondition_,"461400",_xll.EVPRO($B$1,H133,"JDEID"))</f>
        <v>461400</v>
      </c>
      <c r="M133" s="90" t="str">
        <f>IF(_epmOfflineCondition_,"",IF(AND(I133="N",J133="N"),_xll.EVPRO($B$1,H133,"PSFTID"),""))</f>
        <v/>
      </c>
      <c r="N133" s="90" t="str">
        <f>IF(_epmOfflineCondition_,"Breakfast Wine",IF(_xll.EVDES(H133,$B$1)="#NODATA","",_xll.EVDES(H133,$B$1)))</f>
        <v>Breakfast Wine</v>
      </c>
      <c r="O133" s="138">
        <v>3483</v>
      </c>
      <c r="P133" s="138">
        <v>5248.4</v>
      </c>
      <c r="Q133" s="138">
        <v>5335</v>
      </c>
      <c r="R133" s="138">
        <v>5144</v>
      </c>
      <c r="S133" s="138">
        <v>5683</v>
      </c>
      <c r="T133" s="138">
        <v>3626</v>
      </c>
      <c r="U133" s="138">
        <v>3115</v>
      </c>
      <c r="V133" s="138">
        <v>2920</v>
      </c>
      <c r="W133" s="138">
        <v>2701</v>
      </c>
      <c r="X133" s="138">
        <v>1476</v>
      </c>
      <c r="Y133" s="138">
        <v>1659.1</v>
      </c>
      <c r="Z133" s="138">
        <v>2847.7</v>
      </c>
      <c r="AA133" s="138">
        <f t="shared" ref="AA133:AA139" si="46">SUM(O133:Z133)</f>
        <v>43238.2</v>
      </c>
      <c r="AB133" s="142">
        <f t="shared" ref="AB133:AB139" si="47">IF(AA133=0,"",IFERROR(AA133/AA$19,""))</f>
        <v>2.2177697313541748E-2</v>
      </c>
      <c r="AC133" s="140"/>
      <c r="AD133" s="138">
        <v>96101.475000000006</v>
      </c>
      <c r="AE133" s="142">
        <f t="shared" ref="AE133:AE139" si="48">IF(AD133=0,"",IFERROR(AD133/AD$19,""))</f>
        <v>3.7537741300288606E-2</v>
      </c>
      <c r="AF133" s="141">
        <f t="shared" ref="AF133:AF139" si="49">IF(AND($AA133="",AD133=""),"",$AA133-AD133)</f>
        <v>-52863.275000000009</v>
      </c>
      <c r="AG133" s="138">
        <v>17115.099999999999</v>
      </c>
      <c r="AH133" s="142">
        <f t="shared" ref="AH133:AH139" si="50">IF(AG133=0,"",IFERROR(AG133/AG$19,""))</f>
        <v>1.2875285097694218E-2</v>
      </c>
      <c r="AI133" s="141">
        <f t="shared" ref="AI133:AI139" si="51">IF(AND($AA133="",AG133=""),"",$AA133-AG133)</f>
        <v>26123.1</v>
      </c>
    </row>
    <row r="134" spans="1:35" x14ac:dyDescent="0.25">
      <c r="A134" s="11"/>
      <c r="B134" s="11"/>
      <c r="C134" s="208"/>
      <c r="D134" s="11"/>
      <c r="E134" s="11"/>
      <c r="F134" s="11"/>
      <c r="G134" s="11"/>
      <c r="H134" s="185" t="s">
        <v>303</v>
      </c>
      <c r="I134" s="122"/>
      <c r="J134" s="122"/>
      <c r="K134" s="11"/>
      <c r="L134" s="90" t="str">
        <f>IF(_epmOfflineCondition_,"462400",_xll.EVPRO($B$1,H134,"JDEID"))</f>
        <v>462400</v>
      </c>
      <c r="M134" s="90" t="str">
        <f>IF(_epmOfflineCondition_,"",IF(AND(I134="N",J134="N"),_xll.EVPRO($B$1,H134,"PSFTID"),""))</f>
        <v/>
      </c>
      <c r="N134" s="90" t="str">
        <f>IF(_epmOfflineCondition_,"Lunch Wine",IF(_xll.EVDES(H134,$B$1)="#NODATA","",_xll.EVDES(H134,$B$1)))</f>
        <v>Lunch Wine</v>
      </c>
      <c r="O134" s="138">
        <v>2987.92</v>
      </c>
      <c r="P134" s="138">
        <v>2148</v>
      </c>
      <c r="Q134" s="138">
        <v>2354</v>
      </c>
      <c r="R134" s="138">
        <v>1708</v>
      </c>
      <c r="S134" s="138">
        <v>1648.4</v>
      </c>
      <c r="T134" s="138">
        <v>1190.5</v>
      </c>
      <c r="U134" s="138">
        <v>807</v>
      </c>
      <c r="V134" s="138">
        <v>391</v>
      </c>
      <c r="W134" s="138">
        <v>510</v>
      </c>
      <c r="X134" s="138">
        <v>1167</v>
      </c>
      <c r="Y134" s="138">
        <v>1344.4</v>
      </c>
      <c r="Z134" s="138">
        <v>520.20000000000005</v>
      </c>
      <c r="AA134" s="138">
        <f t="shared" si="46"/>
        <v>16776.419999999998</v>
      </c>
      <c r="AB134" s="142">
        <f t="shared" si="47"/>
        <v>8.6049457369836869E-3</v>
      </c>
      <c r="AC134" s="140"/>
      <c r="AD134" s="138">
        <v>41090.070065400003</v>
      </c>
      <c r="AE134" s="142">
        <f t="shared" si="48"/>
        <v>1.6049997360870039E-2</v>
      </c>
      <c r="AF134" s="141">
        <f t="shared" si="49"/>
        <v>-24313.650065400005</v>
      </c>
      <c r="AG134" s="138">
        <v>40765.94</v>
      </c>
      <c r="AH134" s="142">
        <f t="shared" si="50"/>
        <v>3.0667252880526359E-2</v>
      </c>
      <c r="AI134" s="141">
        <f t="shared" si="51"/>
        <v>-23989.520000000004</v>
      </c>
    </row>
    <row r="135" spans="1:35" x14ac:dyDescent="0.25">
      <c r="A135" s="11"/>
      <c r="B135" s="11"/>
      <c r="C135" s="208"/>
      <c r="D135" s="11"/>
      <c r="E135" s="11"/>
      <c r="F135" s="11"/>
      <c r="G135" s="11"/>
      <c r="H135" s="185" t="s">
        <v>304</v>
      </c>
      <c r="I135" s="122"/>
      <c r="J135" s="122"/>
      <c r="K135" s="11"/>
      <c r="L135" s="90" t="str">
        <f>IF(_epmOfflineCondition_,"463400",_xll.EVPRO($B$1,H135,"JDEID"))</f>
        <v>463400</v>
      </c>
      <c r="M135" s="90" t="str">
        <f>IF(_epmOfflineCondition_,"",IF(AND(I135="N",J135="N"),_xll.EVPRO($B$1,H135,"PSFTID"),""))</f>
        <v/>
      </c>
      <c r="N135" s="90" t="str">
        <f>IF(_epmOfflineCondition_,"Dinner Wine",IF(_xll.EVDES(H135,$B$1)="#NODATA","",_xll.EVDES(H135,$B$1)))</f>
        <v>Dinner Wine</v>
      </c>
      <c r="O135" s="138">
        <v>2772.06</v>
      </c>
      <c r="P135" s="138">
        <v>4773.8</v>
      </c>
      <c r="Q135" s="138">
        <v>4094</v>
      </c>
      <c r="R135" s="138">
        <v>4564</v>
      </c>
      <c r="S135" s="138">
        <v>3211.59</v>
      </c>
      <c r="T135" s="138">
        <v>1737.5</v>
      </c>
      <c r="U135" s="138">
        <v>2130.6</v>
      </c>
      <c r="V135" s="138">
        <v>1919.3</v>
      </c>
      <c r="W135" s="138">
        <v>1253.5</v>
      </c>
      <c r="X135" s="138">
        <v>2317.5</v>
      </c>
      <c r="Y135" s="138">
        <v>1957.21</v>
      </c>
      <c r="Z135" s="138">
        <v>3978</v>
      </c>
      <c r="AA135" s="138">
        <f t="shared" si="46"/>
        <v>34709.06</v>
      </c>
      <c r="AB135" s="142">
        <f t="shared" si="47"/>
        <v>1.7802938760576512E-2</v>
      </c>
      <c r="AC135" s="140"/>
      <c r="AD135" s="138">
        <v>68867.493600105605</v>
      </c>
      <c r="AE135" s="142">
        <f t="shared" si="48"/>
        <v>2.6900005007832035E-2</v>
      </c>
      <c r="AF135" s="141">
        <f t="shared" si="49"/>
        <v>-34158.433600105607</v>
      </c>
      <c r="AG135" s="138">
        <v>34858.32</v>
      </c>
      <c r="AH135" s="142">
        <f t="shared" si="50"/>
        <v>2.6223090021481401E-2</v>
      </c>
      <c r="AI135" s="141">
        <f t="shared" si="51"/>
        <v>-149.26000000000204</v>
      </c>
    </row>
    <row r="136" spans="1:35" x14ac:dyDescent="0.25">
      <c r="A136" s="11"/>
      <c r="B136" s="11"/>
      <c r="C136" s="208"/>
      <c r="D136" s="11"/>
      <c r="E136" s="11"/>
      <c r="F136" s="11"/>
      <c r="G136" s="11"/>
      <c r="H136" s="185" t="s">
        <v>309</v>
      </c>
      <c r="I136" s="122"/>
      <c r="J136" s="122"/>
      <c r="K136" s="11"/>
      <c r="L136" s="90" t="str">
        <f>IF(_epmOfflineCondition_,"464400",_xll.EVPRO($B$1,H136,"JDEID"))</f>
        <v>464400</v>
      </c>
      <c r="M136" s="90" t="str">
        <f>IF(_epmOfflineCondition_,"",IF(AND(I136="N",J136="N"),_xll.EVPRO($B$1,H136,"PSFTID"),""))</f>
        <v/>
      </c>
      <c r="N136" s="90" t="str">
        <f>IF(_epmOfflineCondition_,"Bar Wine",IF(_xll.EVDES(H136,$B$1)="#NODATA","",_xll.EVDES(H136,$B$1)))</f>
        <v>Bar Wine</v>
      </c>
      <c r="O136" s="138">
        <v>5378</v>
      </c>
      <c r="P136" s="138">
        <v>7536.5</v>
      </c>
      <c r="Q136" s="138">
        <v>7041</v>
      </c>
      <c r="R136" s="138">
        <v>3972</v>
      </c>
      <c r="S136" s="138">
        <v>3849</v>
      </c>
      <c r="T136" s="138">
        <v>2914.6</v>
      </c>
      <c r="U136" s="138">
        <v>2610</v>
      </c>
      <c r="V136" s="138">
        <v>1629</v>
      </c>
      <c r="W136" s="138">
        <v>1690</v>
      </c>
      <c r="X136" s="138">
        <v>2791</v>
      </c>
      <c r="Y136" s="138">
        <v>4235</v>
      </c>
      <c r="Z136" s="138">
        <v>3932.8</v>
      </c>
      <c r="AA136" s="138">
        <f t="shared" si="46"/>
        <v>47578.9</v>
      </c>
      <c r="AB136" s="142">
        <f t="shared" si="47"/>
        <v>2.4404125118790133E-2</v>
      </c>
      <c r="AC136" s="140"/>
      <c r="AD136" s="138">
        <v>38459.647199999999</v>
      </c>
      <c r="AE136" s="142">
        <f t="shared" si="48"/>
        <v>1.5022540362611176E-2</v>
      </c>
      <c r="AF136" s="141">
        <f t="shared" si="49"/>
        <v>9119.252800000002</v>
      </c>
      <c r="AG136" s="138">
        <v>14747.03</v>
      </c>
      <c r="AH136" s="142">
        <f t="shared" si="50"/>
        <v>1.1093842022205513E-2</v>
      </c>
      <c r="AI136" s="141">
        <f t="shared" si="51"/>
        <v>32831.870000000003</v>
      </c>
    </row>
    <row r="137" spans="1:35" x14ac:dyDescent="0.25">
      <c r="A137" s="11"/>
      <c r="B137" s="11"/>
      <c r="C137" s="208"/>
      <c r="D137" s="11"/>
      <c r="E137" s="11"/>
      <c r="F137" s="11"/>
      <c r="G137" s="11"/>
      <c r="H137" s="185" t="s">
        <v>322</v>
      </c>
      <c r="I137" s="122"/>
      <c r="J137" s="122"/>
      <c r="K137" s="11"/>
      <c r="L137" s="90" t="str">
        <f>IF(_epmOfflineCondition_,"465400",_xll.EVPRO($B$1,H137,"JDEID"))</f>
        <v>465400</v>
      </c>
      <c r="M137" s="90" t="str">
        <f>IF(_epmOfflineCondition_,"",IF(AND(I137="N",J137="N"),_xll.EVPRO($B$1,H137,"PSFTID"),""))</f>
        <v/>
      </c>
      <c r="N137" s="90" t="str">
        <f>IF(_epmOfflineCondition_,"Private Dining Wine",IF(_xll.EVDES(H137,$B$1)="#NODATA","",_xll.EVDES(H137,$B$1)))</f>
        <v>Private Dining Wine</v>
      </c>
      <c r="O137" s="138"/>
      <c r="P137" s="138"/>
      <c r="Q137" s="138"/>
      <c r="R137" s="138"/>
      <c r="S137" s="138"/>
      <c r="T137" s="138"/>
      <c r="U137" s="138"/>
      <c r="V137" s="138"/>
      <c r="W137" s="138"/>
      <c r="X137" s="138"/>
      <c r="Y137" s="138"/>
      <c r="Z137" s="138"/>
      <c r="AA137" s="138">
        <f t="shared" si="46"/>
        <v>0</v>
      </c>
      <c r="AB137" s="142" t="str">
        <f t="shared" si="47"/>
        <v/>
      </c>
      <c r="AC137" s="140"/>
      <c r="AD137" s="138"/>
      <c r="AE137" s="142" t="str">
        <f t="shared" si="48"/>
        <v/>
      </c>
      <c r="AF137" s="141">
        <f t="shared" si="49"/>
        <v>0</v>
      </c>
      <c r="AG137" s="138"/>
      <c r="AH137" s="142" t="str">
        <f t="shared" si="50"/>
        <v/>
      </c>
      <c r="AI137" s="141">
        <f t="shared" si="51"/>
        <v>0</v>
      </c>
    </row>
    <row r="138" spans="1:35" x14ac:dyDescent="0.25">
      <c r="A138" s="11"/>
      <c r="B138" s="11"/>
      <c r="C138" s="208"/>
      <c r="D138" s="11"/>
      <c r="E138" s="11"/>
      <c r="F138" s="11"/>
      <c r="G138" s="11"/>
      <c r="H138" s="185" t="s">
        <v>810</v>
      </c>
      <c r="I138" s="122"/>
      <c r="J138" s="122"/>
      <c r="K138" s="11"/>
      <c r="L138" s="90" t="str">
        <f>IF(_epmOfflineCondition_,"471410",_xll.EVPRO($B$1,H138,"JDEID"))</f>
        <v>471410</v>
      </c>
      <c r="M138" s="90" t="str">
        <f>IF(_epmOfflineCondition_,"",IF(AND(I138="N",J138="N"),_xll.EVPRO($B$1,H138,"PSFTID"),""))</f>
        <v/>
      </c>
      <c r="N138" s="90" t="str">
        <f>IF(_epmOfflineCondition_,"Reception Wine",IF(_xll.EVDES(H138,$B$1)="#NODATA","",_xll.EVDES(H138,$B$1)))</f>
        <v>Reception Wine</v>
      </c>
      <c r="O138" s="138"/>
      <c r="P138" s="138"/>
      <c r="Q138" s="138"/>
      <c r="R138" s="138"/>
      <c r="S138" s="138"/>
      <c r="T138" s="138"/>
      <c r="U138" s="138"/>
      <c r="V138" s="138"/>
      <c r="W138" s="138"/>
      <c r="X138" s="138"/>
      <c r="Y138" s="138">
        <v>52</v>
      </c>
      <c r="Z138" s="138"/>
      <c r="AA138" s="138">
        <f t="shared" si="46"/>
        <v>52</v>
      </c>
      <c r="AB138" s="142">
        <f t="shared" si="47"/>
        <v>2.6671791617231313E-5</v>
      </c>
      <c r="AC138" s="140"/>
      <c r="AD138" s="138"/>
      <c r="AE138" s="142" t="str">
        <f t="shared" si="48"/>
        <v/>
      </c>
      <c r="AF138" s="141">
        <f t="shared" si="49"/>
        <v>52</v>
      </c>
      <c r="AG138" s="138"/>
      <c r="AH138" s="142" t="str">
        <f t="shared" si="50"/>
        <v/>
      </c>
      <c r="AI138" s="141">
        <f t="shared" si="51"/>
        <v>52</v>
      </c>
    </row>
    <row r="139" spans="1:35" x14ac:dyDescent="0.25">
      <c r="A139" s="11"/>
      <c r="B139" s="11"/>
      <c r="C139" s="208"/>
      <c r="D139" s="11"/>
      <c r="E139" s="11"/>
      <c r="F139" s="11"/>
      <c r="G139" s="11"/>
      <c r="H139" s="185" t="s">
        <v>341</v>
      </c>
      <c r="I139" s="122"/>
      <c r="J139" s="122"/>
      <c r="K139" s="11"/>
      <c r="L139" s="90" t="str">
        <f>IF(_epmOfflineCondition_,"",_xll.EVPRO($B$1,H139,"JDEID"))</f>
        <v/>
      </c>
      <c r="M139" s="90" t="str">
        <f>IF(_epmOfflineCondition_,"",IF(AND(I139="N",J139="N"),_xll.EVPRO($B$1,H139,"PSFTID"),""))</f>
        <v/>
      </c>
      <c r="N139" s="106" t="str">
        <f>IF(_epmOfflineCondition_,"Wine Revenue",IF(_xll.EVDES(H139,$B$1)="#NODATA","",_xll.EVDES(H139,$B$1)))</f>
        <v>Wine Revenue</v>
      </c>
      <c r="O139" s="162">
        <v>14620.98</v>
      </c>
      <c r="P139" s="162">
        <v>19706.7</v>
      </c>
      <c r="Q139" s="162">
        <v>18824</v>
      </c>
      <c r="R139" s="162">
        <v>15388</v>
      </c>
      <c r="S139" s="162">
        <v>14391.99</v>
      </c>
      <c r="T139" s="162">
        <v>9468.6</v>
      </c>
      <c r="U139" s="162">
        <v>8662.6</v>
      </c>
      <c r="V139" s="162">
        <v>6859.3</v>
      </c>
      <c r="W139" s="162">
        <v>6154.5</v>
      </c>
      <c r="X139" s="162">
        <v>7751.5</v>
      </c>
      <c r="Y139" s="162">
        <v>9247.7099999999991</v>
      </c>
      <c r="Z139" s="162">
        <v>11278.7</v>
      </c>
      <c r="AA139" s="162">
        <f t="shared" si="46"/>
        <v>142354.58000000002</v>
      </c>
      <c r="AB139" s="163">
        <f t="shared" si="47"/>
        <v>7.3016378721509317E-2</v>
      </c>
      <c r="AC139" s="140"/>
      <c r="AD139" s="162">
        <v>244518.68586550601</v>
      </c>
      <c r="AE139" s="163">
        <f t="shared" si="48"/>
        <v>9.5510284031602E-2</v>
      </c>
      <c r="AF139" s="164">
        <f t="shared" si="49"/>
        <v>-102164.10586550599</v>
      </c>
      <c r="AG139" s="162">
        <v>107486.39</v>
      </c>
      <c r="AH139" s="163">
        <f t="shared" si="50"/>
        <v>8.0859470021907492E-2</v>
      </c>
      <c r="AI139" s="164">
        <f t="shared" si="51"/>
        <v>34868.190000000017</v>
      </c>
    </row>
    <row r="140" spans="1:35" x14ac:dyDescent="0.25">
      <c r="A140" s="11"/>
      <c r="B140" s="11"/>
      <c r="C140" s="208"/>
      <c r="D140" s="11"/>
      <c r="E140" s="11"/>
      <c r="F140" s="11"/>
      <c r="G140" s="11"/>
      <c r="H140" s="185"/>
      <c r="I140" s="122"/>
      <c r="J140" s="122"/>
      <c r="K140" s="11"/>
      <c r="L140" s="90"/>
      <c r="M140" s="90"/>
      <c r="N140" s="11"/>
      <c r="O140" s="170"/>
      <c r="P140" s="171"/>
      <c r="Q140" s="171"/>
      <c r="R140" s="171"/>
      <c r="S140" s="171"/>
      <c r="T140" s="171"/>
      <c r="U140" s="171"/>
      <c r="V140" s="171"/>
      <c r="W140" s="171"/>
      <c r="X140" s="171"/>
      <c r="Y140" s="171"/>
      <c r="Z140" s="171"/>
      <c r="AA140" s="171"/>
      <c r="AB140" s="172"/>
      <c r="AC140" s="140"/>
      <c r="AD140" s="170"/>
      <c r="AE140" s="171"/>
      <c r="AF140" s="172"/>
      <c r="AG140" s="170"/>
      <c r="AH140" s="171"/>
      <c r="AI140" s="172"/>
    </row>
    <row r="141" spans="1:35" x14ac:dyDescent="0.25">
      <c r="A141" s="11"/>
      <c r="B141" s="11"/>
      <c r="C141" s="208"/>
      <c r="D141" s="11"/>
      <c r="E141" s="11"/>
      <c r="F141" s="11"/>
      <c r="G141" s="11"/>
      <c r="H141" s="88" t="s">
        <v>267</v>
      </c>
      <c r="I141" s="122"/>
      <c r="J141" s="122"/>
      <c r="K141" s="11"/>
      <c r="L141" s="90" t="str">
        <f>IF(_epmOfflineCondition_,"",_xll.EVPRO($B$1,H141,"JDEID"))</f>
        <v/>
      </c>
      <c r="M141" s="90" t="str">
        <f>IF(_epmOfflineCondition_,"",IF(AND(I141="N",J141="N"),_xll.EVPRO($B$1,H141,"PSFTID"),""))</f>
        <v/>
      </c>
      <c r="N141" s="90" t="str">
        <f>IF(_epmOfflineCondition_,"Breakfast  Beverage Revenue",IF(_xll.EVDES(H141,$B$1)="#NODATA","",_xll.EVDES(H141,$B$1)))</f>
        <v>Breakfast  Beverage Revenue</v>
      </c>
      <c r="O141" s="138">
        <f t="shared" ref="O141:Z141" si="52">O115+O124+O133</f>
        <v>5578</v>
      </c>
      <c r="P141" s="138">
        <f t="shared" si="52"/>
        <v>8289.4</v>
      </c>
      <c r="Q141" s="138">
        <f t="shared" si="52"/>
        <v>8522</v>
      </c>
      <c r="R141" s="138">
        <f t="shared" si="52"/>
        <v>7602.67</v>
      </c>
      <c r="S141" s="138">
        <f t="shared" si="52"/>
        <v>8565</v>
      </c>
      <c r="T141" s="138">
        <f t="shared" si="52"/>
        <v>5251.51</v>
      </c>
      <c r="U141" s="138">
        <f t="shared" si="52"/>
        <v>5971</v>
      </c>
      <c r="V141" s="138">
        <f t="shared" si="52"/>
        <v>4567</v>
      </c>
      <c r="W141" s="138">
        <f t="shared" si="52"/>
        <v>4864</v>
      </c>
      <c r="X141" s="138">
        <f t="shared" si="52"/>
        <v>3094</v>
      </c>
      <c r="Y141" s="138">
        <f t="shared" si="52"/>
        <v>3147.2</v>
      </c>
      <c r="Z141" s="138">
        <f t="shared" si="52"/>
        <v>4446.1000000000004</v>
      </c>
      <c r="AA141" s="138">
        <f t="shared" ref="AA141:AA148" si="53">SUM(O141:Z141)</f>
        <v>69897.88</v>
      </c>
      <c r="AB141" s="142">
        <f t="shared" ref="AB141:AB148" si="54">IF(AA141=0,"",IFERROR(AA141/AA$19,""))</f>
        <v>3.5851955573966157E-2</v>
      </c>
      <c r="AC141" s="140"/>
      <c r="AD141" s="138">
        <f t="shared" ref="AD141:AD146" si="55">AD115+AD124+AD133</f>
        <v>137745.44750000001</v>
      </c>
      <c r="AE141" s="142">
        <f t="shared" ref="AE141:AE148" si="56">IF(AD141=0,"",IFERROR(AD141/AD$19,""))</f>
        <v>5.3804095863747001E-2</v>
      </c>
      <c r="AF141" s="141">
        <f t="shared" ref="AF141:AF148" si="57">IF(AND($AA141="",AD141=""),"",$AA141-AD141)</f>
        <v>-67847.567500000005</v>
      </c>
      <c r="AG141" s="138">
        <f t="shared" ref="AG141:AG146" si="58">AG115+AG124+AG133</f>
        <v>24548.17</v>
      </c>
      <c r="AH141" s="142">
        <f t="shared" ref="AH141:AH148" si="59">IF(AG141=0,"",IFERROR(AG141/AG$19,""))</f>
        <v>1.8467007927307714E-2</v>
      </c>
      <c r="AI141" s="141">
        <f t="shared" ref="AI141:AI148" si="60">IF(AND($AA141="",AG141=""),"",$AA141-AG141)</f>
        <v>45349.710000000006</v>
      </c>
    </row>
    <row r="142" spans="1:35" x14ac:dyDescent="0.25">
      <c r="A142" s="11"/>
      <c r="B142" s="11"/>
      <c r="C142" s="208"/>
      <c r="D142" s="11"/>
      <c r="E142" s="11"/>
      <c r="F142" s="11"/>
      <c r="G142" s="11"/>
      <c r="H142" s="88" t="s">
        <v>268</v>
      </c>
      <c r="I142" s="122"/>
      <c r="J142" s="122"/>
      <c r="K142" s="11"/>
      <c r="L142" s="90" t="str">
        <f>IF(_epmOfflineCondition_,"",_xll.EVPRO($B$1,H142,"JDEID"))</f>
        <v/>
      </c>
      <c r="M142" s="90" t="str">
        <f>IF(_epmOfflineCondition_,"",IF(AND(I142="N",J142="N"),_xll.EVPRO($B$1,H142,"PSFTID"),""))</f>
        <v/>
      </c>
      <c r="N142" s="90" t="str">
        <f>IF(_epmOfflineCondition_,"Lunch Beverage Revenue",IF(_xll.EVDES(H142,$B$1)="#NODATA","",_xll.EVDES(H142,$B$1)))</f>
        <v>Lunch Beverage Revenue</v>
      </c>
      <c r="O142" s="138">
        <f t="shared" ref="O142:Z142" si="61">O116+O125+O134</f>
        <v>17437.919999999998</v>
      </c>
      <c r="P142" s="138">
        <f t="shared" si="61"/>
        <v>29180</v>
      </c>
      <c r="Q142" s="138">
        <f t="shared" si="61"/>
        <v>31675</v>
      </c>
      <c r="R142" s="138">
        <f t="shared" si="61"/>
        <v>28208.51</v>
      </c>
      <c r="S142" s="138">
        <f t="shared" si="61"/>
        <v>27664.66</v>
      </c>
      <c r="T142" s="138">
        <f t="shared" si="61"/>
        <v>17536.5</v>
      </c>
      <c r="U142" s="138">
        <f t="shared" si="61"/>
        <v>23252.5</v>
      </c>
      <c r="V142" s="138">
        <f t="shared" si="61"/>
        <v>15795.5</v>
      </c>
      <c r="W142" s="138">
        <f t="shared" si="61"/>
        <v>15009.4</v>
      </c>
      <c r="X142" s="138">
        <f t="shared" si="61"/>
        <v>13234</v>
      </c>
      <c r="Y142" s="138">
        <f t="shared" si="61"/>
        <v>15708.8</v>
      </c>
      <c r="Z142" s="138">
        <f t="shared" si="61"/>
        <v>10084.400000000001</v>
      </c>
      <c r="AA142" s="138">
        <f t="shared" si="53"/>
        <v>244787.18999999997</v>
      </c>
      <c r="AB142" s="142">
        <f t="shared" si="54"/>
        <v>0.12555601773553091</v>
      </c>
      <c r="AC142" s="140"/>
      <c r="AD142" s="138">
        <f t="shared" si="55"/>
        <v>434789.10813825595</v>
      </c>
      <c r="AE142" s="142">
        <f t="shared" si="56"/>
        <v>0.16983091114342477</v>
      </c>
      <c r="AF142" s="141">
        <f t="shared" si="57"/>
        <v>-190001.91813825598</v>
      </c>
      <c r="AG142" s="138">
        <f t="shared" si="58"/>
        <v>322732.13</v>
      </c>
      <c r="AH142" s="142">
        <f t="shared" si="59"/>
        <v>0.24278375142044822</v>
      </c>
      <c r="AI142" s="141">
        <f t="shared" si="60"/>
        <v>-77944.940000000031</v>
      </c>
    </row>
    <row r="143" spans="1:35" x14ac:dyDescent="0.25">
      <c r="A143" s="11"/>
      <c r="B143" s="11"/>
      <c r="C143" s="208"/>
      <c r="D143" s="11"/>
      <c r="E143" s="11"/>
      <c r="F143" s="11"/>
      <c r="G143" s="11"/>
      <c r="H143" s="185" t="s">
        <v>269</v>
      </c>
      <c r="I143" s="122"/>
      <c r="J143" s="122"/>
      <c r="K143" s="11"/>
      <c r="L143" s="90" t="str">
        <f>IF(_epmOfflineCondition_,"",_xll.EVPRO($B$1,H143,"JDEID"))</f>
        <v/>
      </c>
      <c r="M143" s="90" t="str">
        <f>IF(_epmOfflineCondition_,"",IF(AND(I143="N",J143="N"),_xll.EVPRO($B$1,H143,"PSFTID"),""))</f>
        <v/>
      </c>
      <c r="N143" s="90" t="str">
        <f>IF(_epmOfflineCondition_,"Dinner Beverage Revenue",IF(_xll.EVDES(H143,$B$1)="#NODATA","",_xll.EVDES(H143,$B$1)))</f>
        <v>Dinner Beverage Revenue</v>
      </c>
      <c r="O143" s="138">
        <f t="shared" ref="O143:Z143" si="62">O117+O126+O135</f>
        <v>6097.0499999999993</v>
      </c>
      <c r="P143" s="138">
        <f t="shared" si="62"/>
        <v>10846.8</v>
      </c>
      <c r="Q143" s="138">
        <f t="shared" si="62"/>
        <v>10450</v>
      </c>
      <c r="R143" s="138">
        <f t="shared" si="62"/>
        <v>11428.51</v>
      </c>
      <c r="S143" s="138">
        <f t="shared" si="62"/>
        <v>8076.09</v>
      </c>
      <c r="T143" s="138">
        <f t="shared" si="62"/>
        <v>5935.21</v>
      </c>
      <c r="U143" s="138">
        <f t="shared" si="62"/>
        <v>6554.1</v>
      </c>
      <c r="V143" s="138">
        <f t="shared" si="62"/>
        <v>5277.7</v>
      </c>
      <c r="W143" s="138">
        <f t="shared" si="62"/>
        <v>4252.5</v>
      </c>
      <c r="X143" s="138">
        <f t="shared" si="62"/>
        <v>10981</v>
      </c>
      <c r="Y143" s="138">
        <f t="shared" si="62"/>
        <v>13052.61</v>
      </c>
      <c r="Z143" s="138">
        <f t="shared" si="62"/>
        <v>7926</v>
      </c>
      <c r="AA143" s="138">
        <f t="shared" si="53"/>
        <v>100877.56999999999</v>
      </c>
      <c r="AB143" s="142">
        <f t="shared" si="54"/>
        <v>5.1742029344089703E-2</v>
      </c>
      <c r="AC143" s="140"/>
      <c r="AD143" s="138">
        <f t="shared" si="55"/>
        <v>190707.21155470161</v>
      </c>
      <c r="AE143" s="142">
        <f t="shared" si="56"/>
        <v>7.4491239301371789E-2</v>
      </c>
      <c r="AF143" s="141">
        <f t="shared" si="57"/>
        <v>-89829.641554701622</v>
      </c>
      <c r="AG143" s="138">
        <f t="shared" si="58"/>
        <v>100265.29000000001</v>
      </c>
      <c r="AH143" s="142">
        <f t="shared" si="59"/>
        <v>7.5427207211935035E-2</v>
      </c>
      <c r="AI143" s="141">
        <f t="shared" si="60"/>
        <v>612.27999999998428</v>
      </c>
    </row>
    <row r="144" spans="1:35" x14ac:dyDescent="0.25">
      <c r="A144" s="11"/>
      <c r="B144" s="11"/>
      <c r="C144" s="208"/>
      <c r="D144" s="11"/>
      <c r="E144" s="11"/>
      <c r="F144" s="11"/>
      <c r="G144" s="11"/>
      <c r="H144" s="185" t="s">
        <v>270</v>
      </c>
      <c r="I144" s="122"/>
      <c r="J144" s="122"/>
      <c r="K144" s="11"/>
      <c r="L144" s="90" t="str">
        <f>IF(_epmOfflineCondition_,"",_xll.EVPRO($B$1,H144,"JDEID"))</f>
        <v/>
      </c>
      <c r="M144" s="90" t="str">
        <f>IF(_epmOfflineCondition_,"",IF(AND(I144="N",J144="N"),_xll.EVPRO($B$1,H144,"PSFTID"),""))</f>
        <v/>
      </c>
      <c r="N144" s="90" t="str">
        <f>IF(_epmOfflineCondition_,"Bar Beverage Revenue",IF(_xll.EVDES(H144,$B$1)="#NODATA","",_xll.EVDES(H144,$B$1)))</f>
        <v>Bar Beverage Revenue</v>
      </c>
      <c r="O144" s="138">
        <f t="shared" ref="O144:Z144" si="63">O118+O127+O136</f>
        <v>28332</v>
      </c>
      <c r="P144" s="138">
        <f t="shared" si="63"/>
        <v>39739.5</v>
      </c>
      <c r="Q144" s="138">
        <f t="shared" si="63"/>
        <v>33005</v>
      </c>
      <c r="R144" s="138">
        <f t="shared" si="63"/>
        <v>27680.2</v>
      </c>
      <c r="S144" s="138">
        <f t="shared" si="63"/>
        <v>33325</v>
      </c>
      <c r="T144" s="138">
        <f t="shared" si="63"/>
        <v>18232.8</v>
      </c>
      <c r="U144" s="138">
        <f t="shared" si="63"/>
        <v>22814</v>
      </c>
      <c r="V144" s="138">
        <f t="shared" si="63"/>
        <v>15082</v>
      </c>
      <c r="W144" s="138">
        <f t="shared" si="63"/>
        <v>16770.52</v>
      </c>
      <c r="X144" s="138">
        <f t="shared" si="63"/>
        <v>18766</v>
      </c>
      <c r="Y144" s="138">
        <f t="shared" si="63"/>
        <v>26790.01</v>
      </c>
      <c r="Z144" s="138">
        <f t="shared" si="63"/>
        <v>23605.279999999999</v>
      </c>
      <c r="AA144" s="138">
        <f t="shared" si="53"/>
        <v>304142.30999999994</v>
      </c>
      <c r="AB144" s="142">
        <f t="shared" si="54"/>
        <v>0.1560003906596801</v>
      </c>
      <c r="AC144" s="140"/>
      <c r="AD144" s="138">
        <f t="shared" si="55"/>
        <v>338188.34640000004</v>
      </c>
      <c r="AE144" s="142">
        <f t="shared" si="56"/>
        <v>0.13209814581863172</v>
      </c>
      <c r="AF144" s="141">
        <f t="shared" si="57"/>
        <v>-34046.036400000099</v>
      </c>
      <c r="AG144" s="138">
        <f t="shared" si="58"/>
        <v>112959.23</v>
      </c>
      <c r="AH144" s="142">
        <f t="shared" si="59"/>
        <v>8.4976558165947833E-2</v>
      </c>
      <c r="AI144" s="141">
        <f t="shared" si="60"/>
        <v>191183.07999999996</v>
      </c>
    </row>
    <row r="145" spans="1:35" x14ac:dyDescent="0.25">
      <c r="A145" s="11"/>
      <c r="B145" s="11"/>
      <c r="C145" s="208"/>
      <c r="D145" s="11"/>
      <c r="E145" s="11"/>
      <c r="F145" s="11"/>
      <c r="G145" s="11"/>
      <c r="H145" s="185" t="s">
        <v>271</v>
      </c>
      <c r="I145" s="122"/>
      <c r="J145" s="122"/>
      <c r="K145" s="11"/>
      <c r="L145" s="90" t="str">
        <f>IF(_epmOfflineCondition_,"",_xll.EVPRO($B$1,H145,"JDEID"))</f>
        <v/>
      </c>
      <c r="M145" s="90" t="str">
        <f>IF(_epmOfflineCondition_,"",IF(AND(I145="N",J145="N"),_xll.EVPRO($B$1,H145,"PSFTID"),""))</f>
        <v/>
      </c>
      <c r="N145" s="90" t="str">
        <f>IF(_epmOfflineCondition_,"Private Dining Beverage Revenue",IF(_xll.EVDES(H145,$B$1)="#NODATA","",_xll.EVDES(H145,$B$1)))</f>
        <v>Private Dining Beverage Revenue</v>
      </c>
      <c r="O145" s="138">
        <f t="shared" ref="O145:Z145" si="64">O119+O128+O137</f>
        <v>0</v>
      </c>
      <c r="P145" s="138">
        <f t="shared" si="64"/>
        <v>0</v>
      </c>
      <c r="Q145" s="138">
        <f t="shared" si="64"/>
        <v>0</v>
      </c>
      <c r="R145" s="138">
        <f t="shared" si="64"/>
        <v>0</v>
      </c>
      <c r="S145" s="138">
        <f t="shared" si="64"/>
        <v>0</v>
      </c>
      <c r="T145" s="138">
        <f t="shared" si="64"/>
        <v>0</v>
      </c>
      <c r="U145" s="138">
        <f t="shared" si="64"/>
        <v>0</v>
      </c>
      <c r="V145" s="138">
        <f t="shared" si="64"/>
        <v>0</v>
      </c>
      <c r="W145" s="138">
        <f t="shared" si="64"/>
        <v>0</v>
      </c>
      <c r="X145" s="138">
        <f t="shared" si="64"/>
        <v>0</v>
      </c>
      <c r="Y145" s="138">
        <f t="shared" si="64"/>
        <v>0</v>
      </c>
      <c r="Z145" s="138">
        <f t="shared" si="64"/>
        <v>0</v>
      </c>
      <c r="AA145" s="138">
        <f t="shared" si="53"/>
        <v>0</v>
      </c>
      <c r="AB145" s="142" t="str">
        <f t="shared" si="54"/>
        <v/>
      </c>
      <c r="AC145" s="140"/>
      <c r="AD145" s="138">
        <f t="shared" si="55"/>
        <v>0</v>
      </c>
      <c r="AE145" s="142" t="str">
        <f t="shared" si="56"/>
        <v/>
      </c>
      <c r="AF145" s="141">
        <f t="shared" si="57"/>
        <v>0</v>
      </c>
      <c r="AG145" s="138">
        <f t="shared" si="58"/>
        <v>0</v>
      </c>
      <c r="AH145" s="142" t="str">
        <f t="shared" si="59"/>
        <v/>
      </c>
      <c r="AI145" s="141">
        <f t="shared" si="60"/>
        <v>0</v>
      </c>
    </row>
    <row r="146" spans="1:35" x14ac:dyDescent="0.25">
      <c r="A146" s="11"/>
      <c r="B146" s="11"/>
      <c r="C146" s="208"/>
      <c r="D146" s="11"/>
      <c r="E146" s="11"/>
      <c r="F146" s="11"/>
      <c r="G146" s="11"/>
      <c r="H146" s="185" t="s">
        <v>811</v>
      </c>
      <c r="I146" s="122"/>
      <c r="J146" s="122"/>
      <c r="K146" s="11"/>
      <c r="L146" s="90" t="str">
        <f>IF(_epmOfflineCondition_,"",_xll.EVPRO($B$1,H146,"JDEID"))</f>
        <v/>
      </c>
      <c r="M146" s="90" t="str">
        <f>IF(_epmOfflineCondition_,"",IF(AND(I146="N",J146="N"),_xll.EVPRO($B$1,H146,"PSFTID"),""))</f>
        <v/>
      </c>
      <c r="N146" s="90" t="str">
        <f>IF(_epmOfflineCondition_,"Reception Revenue",IF(_xll.EVDES(H146,$B$1)="#NODATA","",_xll.EVDES(H146,$B$1)))</f>
        <v>Reception Revenue</v>
      </c>
      <c r="O146" s="138">
        <f t="shared" ref="O146:Z146" si="65">O120+O129+O138</f>
        <v>0</v>
      </c>
      <c r="P146" s="138">
        <f t="shared" si="65"/>
        <v>0</v>
      </c>
      <c r="Q146" s="138">
        <f t="shared" si="65"/>
        <v>0</v>
      </c>
      <c r="R146" s="138">
        <f t="shared" si="65"/>
        <v>0</v>
      </c>
      <c r="S146" s="138">
        <f t="shared" si="65"/>
        <v>0</v>
      </c>
      <c r="T146" s="138">
        <f t="shared" si="65"/>
        <v>0</v>
      </c>
      <c r="U146" s="138">
        <f t="shared" si="65"/>
        <v>0</v>
      </c>
      <c r="V146" s="138">
        <f t="shared" si="65"/>
        <v>0</v>
      </c>
      <c r="W146" s="138">
        <f t="shared" si="65"/>
        <v>0</v>
      </c>
      <c r="X146" s="138">
        <f t="shared" si="65"/>
        <v>0</v>
      </c>
      <c r="Y146" s="138">
        <f t="shared" si="65"/>
        <v>794</v>
      </c>
      <c r="Z146" s="138">
        <f t="shared" si="65"/>
        <v>0</v>
      </c>
      <c r="AA146" s="138">
        <f t="shared" si="53"/>
        <v>794</v>
      </c>
      <c r="AB146" s="142">
        <f t="shared" si="54"/>
        <v>4.0725774123233967E-4</v>
      </c>
      <c r="AC146" s="140"/>
      <c r="AD146" s="138">
        <f t="shared" si="55"/>
        <v>0</v>
      </c>
      <c r="AE146" s="142" t="str">
        <f t="shared" si="56"/>
        <v/>
      </c>
      <c r="AF146" s="141">
        <f t="shared" si="57"/>
        <v>794</v>
      </c>
      <c r="AG146" s="138">
        <f t="shared" si="58"/>
        <v>0</v>
      </c>
      <c r="AH146" s="142" t="str">
        <f t="shared" si="59"/>
        <v/>
      </c>
      <c r="AI146" s="141">
        <f t="shared" si="60"/>
        <v>794</v>
      </c>
    </row>
    <row r="147" spans="1:35" x14ac:dyDescent="0.25">
      <c r="A147" s="11"/>
      <c r="B147" s="11"/>
      <c r="C147" s="208"/>
      <c r="D147" s="11"/>
      <c r="E147" s="11"/>
      <c r="F147" s="11"/>
      <c r="G147" s="11"/>
      <c r="H147" s="185" t="s">
        <v>351</v>
      </c>
      <c r="I147" s="122"/>
      <c r="J147" s="122"/>
      <c r="K147" s="11"/>
      <c r="L147" s="90" t="str">
        <f>IF(_epmOfflineCondition_,"467200",_xll.EVPRO($B$1,H147,"JDEID"))</f>
        <v>467200</v>
      </c>
      <c r="M147" s="90" t="str">
        <f>IF(_epmOfflineCondition_,"",IF(AND(I147="N",J147="N"),_xll.EVPRO($B$1,H147,"PSFTID"),""))</f>
        <v/>
      </c>
      <c r="N147" s="90" t="str">
        <f>IF(_epmOfflineCondition_,"Mini Bar Beverage",IF(_xll.EVDES(H147,$B$1)="#NODATA","",_xll.EVDES(H147,$B$1)))</f>
        <v>Mini Bar Beverage</v>
      </c>
      <c r="O147" s="138">
        <f t="shared" ref="O147:Z147" si="66">O96</f>
        <v>989</v>
      </c>
      <c r="P147" s="138">
        <f t="shared" si="66"/>
        <v>788</v>
      </c>
      <c r="Q147" s="138">
        <f t="shared" si="66"/>
        <v>863.35</v>
      </c>
      <c r="R147" s="138">
        <f t="shared" si="66"/>
        <v>325</v>
      </c>
      <c r="S147" s="138">
        <f t="shared" si="66"/>
        <v>155</v>
      </c>
      <c r="T147" s="138">
        <f t="shared" si="66"/>
        <v>130</v>
      </c>
      <c r="U147" s="138">
        <f t="shared" si="66"/>
        <v>777</v>
      </c>
      <c r="V147" s="138">
        <f t="shared" si="66"/>
        <v>617</v>
      </c>
      <c r="W147" s="138">
        <f t="shared" si="66"/>
        <v>350</v>
      </c>
      <c r="X147" s="138">
        <f t="shared" si="66"/>
        <v>1118</v>
      </c>
      <c r="Y147" s="138">
        <f t="shared" si="66"/>
        <v>2924</v>
      </c>
      <c r="Z147" s="138">
        <f t="shared" si="66"/>
        <v>3582</v>
      </c>
      <c r="AA147" s="138">
        <f t="shared" si="53"/>
        <v>12618.35</v>
      </c>
      <c r="AB147" s="142">
        <f t="shared" si="54"/>
        <v>6.4721923414094371E-3</v>
      </c>
      <c r="AC147" s="140"/>
      <c r="AD147" s="138">
        <f>AD96</f>
        <v>31101.56</v>
      </c>
      <c r="AE147" s="142">
        <f t="shared" si="56"/>
        <v>1.2148432823902069E-2</v>
      </c>
      <c r="AF147" s="141">
        <f t="shared" si="57"/>
        <v>-18483.21</v>
      </c>
      <c r="AG147" s="138">
        <f>AG96</f>
        <v>15536</v>
      </c>
      <c r="AH147" s="142">
        <f t="shared" si="59"/>
        <v>1.1687365500509923E-2</v>
      </c>
      <c r="AI147" s="141">
        <f t="shared" si="60"/>
        <v>-2917.6499999999996</v>
      </c>
    </row>
    <row r="148" spans="1:35" x14ac:dyDescent="0.25">
      <c r="A148" s="11"/>
      <c r="B148" s="11"/>
      <c r="C148" s="208"/>
      <c r="D148" s="11"/>
      <c r="E148" s="11"/>
      <c r="F148" s="11"/>
      <c r="G148" s="11"/>
      <c r="H148" s="88" t="s">
        <v>272</v>
      </c>
      <c r="I148" s="122"/>
      <c r="J148" s="122"/>
      <c r="K148" s="11"/>
      <c r="L148" s="90" t="str">
        <f>IF(_epmOfflineCondition_,"",_xll.EVPRO($B$1,H148,"JDEID"))</f>
        <v/>
      </c>
      <c r="M148" s="90" t="str">
        <f>IF(_epmOfflineCondition_,"",IF(AND(I148="N",J148="N"),_xll.EVPRO($B$1,H148,"PSFTID"),""))</f>
        <v/>
      </c>
      <c r="N148" s="106" t="str">
        <f>IF(_epmOfflineCondition_,"Total Beverage Revenue",IF(_xll.EVDES(H148,$B$1)="#NODATA","",_xll.EVDES(H148,$B$1)))</f>
        <v>Total Beverage Revenue</v>
      </c>
      <c r="O148" s="162">
        <f t="shared" ref="O148:Z148" si="67">SUM(O141:O147)</f>
        <v>58433.97</v>
      </c>
      <c r="P148" s="162">
        <f t="shared" si="67"/>
        <v>88843.7</v>
      </c>
      <c r="Q148" s="162">
        <f t="shared" si="67"/>
        <v>84515.35</v>
      </c>
      <c r="R148" s="162">
        <f t="shared" si="67"/>
        <v>75244.89</v>
      </c>
      <c r="S148" s="162">
        <f t="shared" si="67"/>
        <v>77785.75</v>
      </c>
      <c r="T148" s="162">
        <f t="shared" si="67"/>
        <v>47086.020000000004</v>
      </c>
      <c r="U148" s="162">
        <f t="shared" si="67"/>
        <v>59368.6</v>
      </c>
      <c r="V148" s="162">
        <f t="shared" si="67"/>
        <v>41339.199999999997</v>
      </c>
      <c r="W148" s="162">
        <f t="shared" si="67"/>
        <v>41246.42</v>
      </c>
      <c r="X148" s="162">
        <f t="shared" si="67"/>
        <v>47193</v>
      </c>
      <c r="Y148" s="162">
        <f t="shared" si="67"/>
        <v>62416.619999999995</v>
      </c>
      <c r="Z148" s="162">
        <f t="shared" si="67"/>
        <v>49643.78</v>
      </c>
      <c r="AA148" s="162">
        <f t="shared" si="53"/>
        <v>733117.3</v>
      </c>
      <c r="AB148" s="163">
        <f t="shared" si="54"/>
        <v>0.37602984339590872</v>
      </c>
      <c r="AC148" s="140"/>
      <c r="AD148" s="162">
        <f>SUM(AD141:AD147)</f>
        <v>1132531.6735929577</v>
      </c>
      <c r="AE148" s="163">
        <f t="shared" si="56"/>
        <v>0.44237282495107733</v>
      </c>
      <c r="AF148" s="164">
        <f t="shared" si="57"/>
        <v>-399414.37359295762</v>
      </c>
      <c r="AG148" s="162">
        <f>SUM(AG141:AG147)</f>
        <v>576040.81999999995</v>
      </c>
      <c r="AH148" s="163">
        <f t="shared" si="59"/>
        <v>0.43334189022614866</v>
      </c>
      <c r="AI148" s="164">
        <f t="shared" si="60"/>
        <v>157076.4800000001</v>
      </c>
    </row>
    <row r="149" spans="1:35" x14ac:dyDescent="0.25">
      <c r="A149" s="11"/>
      <c r="B149" s="11"/>
      <c r="C149" s="208"/>
      <c r="D149" s="11"/>
      <c r="E149" s="11"/>
      <c r="F149" s="11"/>
      <c r="G149" s="11"/>
      <c r="H149" s="185"/>
      <c r="I149" s="122"/>
      <c r="J149" s="122"/>
      <c r="K149" s="11"/>
      <c r="L149" s="11"/>
      <c r="M149" s="11"/>
      <c r="N149" s="11"/>
      <c r="O149" s="170"/>
      <c r="P149" s="171"/>
      <c r="Q149" s="171"/>
      <c r="R149" s="171"/>
      <c r="S149" s="171"/>
      <c r="T149" s="171"/>
      <c r="U149" s="171"/>
      <c r="V149" s="171"/>
      <c r="W149" s="171"/>
      <c r="X149" s="171"/>
      <c r="Y149" s="171"/>
      <c r="Z149" s="171"/>
      <c r="AA149" s="171"/>
      <c r="AB149" s="172"/>
      <c r="AC149" s="140"/>
      <c r="AD149" s="170"/>
      <c r="AE149" s="171"/>
      <c r="AF149" s="172"/>
      <c r="AG149" s="170"/>
      <c r="AH149" s="171"/>
      <c r="AI149" s="172"/>
    </row>
    <row r="150" spans="1:35" x14ac:dyDescent="0.25">
      <c r="A150" s="11"/>
      <c r="B150" s="11"/>
      <c r="C150" s="208"/>
      <c r="D150" s="11"/>
      <c r="E150" s="11"/>
      <c r="F150" s="11"/>
      <c r="G150" s="11"/>
      <c r="H150" s="185"/>
      <c r="I150" s="122"/>
      <c r="J150" s="122"/>
      <c r="K150" s="11"/>
      <c r="L150" s="11"/>
      <c r="M150" s="11"/>
      <c r="N150" s="11"/>
      <c r="O150" s="158"/>
      <c r="P150" s="159"/>
      <c r="Q150" s="159"/>
      <c r="R150" s="159"/>
      <c r="S150" s="159"/>
      <c r="T150" s="159"/>
      <c r="U150" s="159"/>
      <c r="V150" s="159"/>
      <c r="W150" s="159"/>
      <c r="X150" s="159"/>
      <c r="Y150" s="159"/>
      <c r="Z150" s="159"/>
      <c r="AA150" s="159"/>
      <c r="AB150" s="160"/>
      <c r="AC150" s="140"/>
      <c r="AD150" s="158"/>
      <c r="AE150" s="159"/>
      <c r="AF150" s="160"/>
      <c r="AG150" s="158"/>
      <c r="AH150" s="159"/>
      <c r="AI150" s="160"/>
    </row>
    <row r="151" spans="1:35" ht="15" customHeight="1" x14ac:dyDescent="0.25">
      <c r="A151" s="11"/>
      <c r="B151" s="11"/>
      <c r="C151" s="208"/>
      <c r="D151" s="11"/>
      <c r="E151" s="11"/>
      <c r="F151" s="11"/>
      <c r="G151" s="11"/>
      <c r="H151" s="185" t="s">
        <v>281</v>
      </c>
      <c r="I151" s="122"/>
      <c r="J151" s="122"/>
      <c r="K151" s="11"/>
      <c r="L151" s="11"/>
      <c r="M151" s="11"/>
      <c r="N151" s="489" t="str">
        <f>IF(_epmOfflineCondition_,"Cost of Sales",IF(_xll.EVDES(H151,$B$1)="#NODATA","",_xll.EVDES(H151,$B$1)))</f>
        <v>Cost of Sales</v>
      </c>
      <c r="O151" s="518"/>
      <c r="P151" s="519"/>
      <c r="Q151" s="519"/>
      <c r="R151" s="519"/>
      <c r="S151" s="519"/>
      <c r="T151" s="519"/>
      <c r="U151" s="519"/>
      <c r="V151" s="519"/>
      <c r="W151" s="519"/>
      <c r="X151" s="519"/>
      <c r="Y151" s="519"/>
      <c r="Z151" s="519"/>
      <c r="AA151" s="519"/>
      <c r="AB151" s="520"/>
      <c r="AC151" s="140"/>
      <c r="AD151" s="518"/>
      <c r="AE151" s="519"/>
      <c r="AF151" s="519"/>
      <c r="AG151" s="519"/>
      <c r="AH151" s="519"/>
      <c r="AI151" s="520"/>
    </row>
    <row r="152" spans="1:35" x14ac:dyDescent="0.25">
      <c r="A152" s="11"/>
      <c r="B152" s="11"/>
      <c r="C152" s="208"/>
      <c r="D152" s="11"/>
      <c r="E152" s="11"/>
      <c r="F152" s="11"/>
      <c r="G152" s="11"/>
      <c r="H152" s="185">
        <v>561100</v>
      </c>
      <c r="I152" s="122"/>
      <c r="J152" s="122"/>
      <c r="K152" s="11"/>
      <c r="L152" s="90" t="str">
        <f>IF(_epmOfflineCondition_,"561100",_xll.EVPRO($B$1,H152,"JDEID"))</f>
        <v>561100</v>
      </c>
      <c r="M152" s="90" t="str">
        <f>IF(_epmOfflineCondition_,"",IF(AND(I152="N",J152="N"),_xll.EVPRO($B$1,H152,"PSFTID"),""))</f>
        <v/>
      </c>
      <c r="N152" s="90" t="str">
        <f>IF(_epmOfflineCondition_,"Cost of Food Sales",IF(_xll.EVDES(H152,$B$1)="#NODATA","",_xll.EVDES(H152,$B$1)))</f>
        <v>Cost of Food Sales</v>
      </c>
      <c r="O152" s="138">
        <v>25692.97</v>
      </c>
      <c r="P152" s="138">
        <v>52780.78</v>
      </c>
      <c r="Q152" s="138">
        <v>48235.55</v>
      </c>
      <c r="R152" s="138">
        <v>32343.67</v>
      </c>
      <c r="S152" s="138">
        <v>45112.53</v>
      </c>
      <c r="T152" s="138">
        <v>29424.81</v>
      </c>
      <c r="U152" s="138">
        <v>31783.25</v>
      </c>
      <c r="V152" s="138">
        <v>27779.14</v>
      </c>
      <c r="W152" s="138">
        <v>22257.63</v>
      </c>
      <c r="X152" s="138">
        <v>20282.64</v>
      </c>
      <c r="Y152" s="138">
        <v>19593.71</v>
      </c>
      <c r="Z152" s="138">
        <v>32683.95</v>
      </c>
      <c r="AA152" s="138">
        <f>SUM(O152:Z152)</f>
        <v>387970.63000000006</v>
      </c>
      <c r="AB152" s="458">
        <f>IF(_epmOfflineCondition_,0.318272537569277,IF(AA152=0,"",IFERROR(AA152/_xll.EVGTS($B$1,1,_xll.EVPRO($B$1,$H152,"COSBASIS"),$B$3,$B$5,$B$6,$B$7,$B$9,AA$16,AA$17,AA$11),"")))</f>
        <v>0.31827253756927698</v>
      </c>
      <c r="AC152" s="140"/>
      <c r="AD152" s="138">
        <v>419413.79800000001</v>
      </c>
      <c r="AE152" s="458">
        <f>IF(_epmOfflineCondition_,0.293789903921863,IF(AD152=0,"",IFERROR(AD152/_xll.EVGTS($B$1,1,_xll.EVPRO($B$1,$H152,"COSBASIS"),$B$3,$B$5,$B$6,$B$7,$B$9,AD$16,AD$17,AD$18),"")))</f>
        <v>0.29378990392186299</v>
      </c>
      <c r="AF152" s="141">
        <f t="shared" ref="AF152:AF157" si="68">IF(AND($AA152="",AD152=""),"",$AA152-AD152)</f>
        <v>-31443.167999999947</v>
      </c>
      <c r="AG152" s="138">
        <v>252932.57</v>
      </c>
      <c r="AH152" s="458">
        <f>IF(_epmOfflineCondition_,0.335069855320789,IF(AG152=0,"",IFERROR(AG152/_xll.EVGTS($B$1,1,_xll.EVPRO($B$1,$H152,"COSBASIS"),$B$3,$B$5,$B$6,$B$7,$B$9,AG$16,AG$17,AG$18),"")))</f>
        <v>0.33506985532078898</v>
      </c>
      <c r="AI152" s="141">
        <f t="shared" ref="AI152:AI157" si="69">IF(AND($AA152="",AG152=""),"",$AA152-AG152)</f>
        <v>135038.06000000006</v>
      </c>
    </row>
    <row r="153" spans="1:35" x14ac:dyDescent="0.25">
      <c r="A153" s="11"/>
      <c r="B153" s="11"/>
      <c r="C153" s="208"/>
      <c r="D153" s="11"/>
      <c r="E153" s="11"/>
      <c r="F153" s="11"/>
      <c r="G153" s="11"/>
      <c r="H153" s="185" t="s">
        <v>756</v>
      </c>
      <c r="I153" s="122"/>
      <c r="J153" s="122"/>
      <c r="K153" s="11"/>
      <c r="L153" s="90" t="str">
        <f>IF(_epmOfflineCondition_,"",_xll.EVPRO($B$1,H153,"JDEID"))</f>
        <v/>
      </c>
      <c r="M153" s="90" t="str">
        <f>IF(_epmOfflineCondition_,"",IF(AND(I153="N",J153="N"),_xll.EVPRO($B$1,H153,"PSFTID"),""))</f>
        <v/>
      </c>
      <c r="N153" s="493" t="str">
        <f>IF(_epmOfflineCondition_,"Food Cost %",IF(_xll.EVDES(H153,$B$1)="#NODATA","",_xll.EVDES(H153,$B$1)))</f>
        <v>Food Cost %</v>
      </c>
      <c r="O153" s="508">
        <v>0.28774790328935401</v>
      </c>
      <c r="P153" s="508">
        <v>0.39620114920656202</v>
      </c>
      <c r="Q153" s="508">
        <v>0.30709116897104999</v>
      </c>
      <c r="R153" s="508">
        <v>0.23018626460616601</v>
      </c>
      <c r="S153" s="508">
        <v>0.38278663222147902</v>
      </c>
      <c r="T153" s="508">
        <v>0.31690800475478198</v>
      </c>
      <c r="U153" s="508">
        <v>0.32086635556513998</v>
      </c>
      <c r="V153" s="508">
        <v>0.37670645305384398</v>
      </c>
      <c r="W153" s="508">
        <v>0.40426675801477002</v>
      </c>
      <c r="X153" s="508">
        <v>0.30780297346318902</v>
      </c>
      <c r="Y153" s="508">
        <v>0.21046157977416499</v>
      </c>
      <c r="Z153" s="508">
        <v>0.32248982178177199</v>
      </c>
      <c r="AA153" s="508">
        <v>0.31827253756927698</v>
      </c>
      <c r="AB153" s="458"/>
      <c r="AC153" s="140"/>
      <c r="AD153" s="508">
        <v>0.29378990392186299</v>
      </c>
      <c r="AE153" s="458"/>
      <c r="AF153" s="521">
        <f t="shared" si="68"/>
        <v>2.4482633647413987E-2</v>
      </c>
      <c r="AG153" s="508">
        <v>0.33506985532078898</v>
      </c>
      <c r="AH153" s="458"/>
      <c r="AI153" s="521">
        <f t="shared" si="69"/>
        <v>-1.6797317751511998E-2</v>
      </c>
    </row>
    <row r="154" spans="1:35" x14ac:dyDescent="0.25">
      <c r="A154" s="11"/>
      <c r="B154" s="11"/>
      <c r="C154" s="208"/>
      <c r="D154" s="11"/>
      <c r="E154" s="11"/>
      <c r="F154" s="11"/>
      <c r="G154" s="11"/>
      <c r="H154" s="185" t="s">
        <v>770</v>
      </c>
      <c r="I154" s="122"/>
      <c r="J154" s="122"/>
      <c r="K154" s="11"/>
      <c r="L154" s="90" t="str">
        <f>IF(_epmOfflineCondition_,"",_xll.EVPRO($B$1,H154,"JDEID"))</f>
        <v/>
      </c>
      <c r="M154" s="90" t="str">
        <f>IF(_epmOfflineCondition_,"",IF(AND(I154="N",J154="N"),_xll.EVPRO($B$1,H154,"PSFTID"),""))</f>
        <v/>
      </c>
      <c r="N154" s="90" t="str">
        <f>IF(_epmOfflineCondition_,"Cost of Food (Excl Minibar)",IF(_xll.EVDES(H154,$B$1)="#NODATA","",_xll.EVDES(H154,$B$1)))</f>
        <v>Cost of Food (Excl Minibar)</v>
      </c>
      <c r="O154" s="138">
        <v>24154.45</v>
      </c>
      <c r="P154" s="138">
        <v>51117.49</v>
      </c>
      <c r="Q154" s="138">
        <v>46811.19</v>
      </c>
      <c r="R154" s="138">
        <v>30808.53</v>
      </c>
      <c r="S154" s="138">
        <v>43618.11</v>
      </c>
      <c r="T154" s="138">
        <v>28493.439999999999</v>
      </c>
      <c r="U154" s="138">
        <v>30625.75</v>
      </c>
      <c r="V154" s="138">
        <v>26737.58</v>
      </c>
      <c r="W154" s="138">
        <v>21890.41</v>
      </c>
      <c r="X154" s="138">
        <v>19317.72</v>
      </c>
      <c r="Y154" s="138">
        <v>18894.310000000001</v>
      </c>
      <c r="Z154" s="138">
        <v>32091.43</v>
      </c>
      <c r="AA154" s="138">
        <f>SUM(O154:Z154)</f>
        <v>374560.41000000003</v>
      </c>
      <c r="AB154" s="458">
        <f>IF(_epmOfflineCondition_,0.321262011106394,IF(AA154=0,"",IFERROR(AA154/_xll.EVGTS($B$1,1,_xll.EVPRO($B$1,$H154,"COSBASIS"),$B$3,$B$5,$B$6,$B$7,$B$9,AA$16,AA$17,AA$11),"")))</f>
        <v>0.32126201110639402</v>
      </c>
      <c r="AC154" s="140"/>
      <c r="AD154" s="138">
        <v>404021.54</v>
      </c>
      <c r="AE154" s="458">
        <f>IF(_epmOfflineCondition_,0.294734185526862,IF(AD154=0,"",IFERROR(AD154/_xll.EVGTS($B$1,1,_xll.EVPRO($B$1,$H154,"COSBASIS"),$B$3,$B$5,$B$6,$B$7,$B$9,AD$16,AD$17,AD$18),"")))</f>
        <v>0.29473418552686198</v>
      </c>
      <c r="AF154" s="141">
        <f t="shared" si="68"/>
        <v>-29461.129999999946</v>
      </c>
      <c r="AG154" s="138">
        <v>243361.46</v>
      </c>
      <c r="AH154" s="458">
        <f>IF(_epmOfflineCondition_,0.339089256253506,IF(AG154=0,"",IFERROR(AG154/_xll.EVGTS($B$1,1,_xll.EVPRO($B$1,$H154,"COSBASIS"),$B$3,$B$5,$B$6,$B$7,$B$9,AG$16,AG$17,AG$18),"")))</f>
        <v>0.339089256253506</v>
      </c>
      <c r="AI154" s="141">
        <f t="shared" si="69"/>
        <v>131198.95000000004</v>
      </c>
    </row>
    <row r="155" spans="1:35" x14ac:dyDescent="0.25">
      <c r="A155" s="11"/>
      <c r="B155" s="11"/>
      <c r="C155" s="208"/>
      <c r="D155" s="11"/>
      <c r="E155" s="11"/>
      <c r="F155" s="11"/>
      <c r="G155" s="11"/>
      <c r="H155" s="185" t="s">
        <v>771</v>
      </c>
      <c r="I155" s="122"/>
      <c r="J155" s="122"/>
      <c r="K155" s="11"/>
      <c r="L155" s="90" t="str">
        <f>IF(_epmOfflineCondition_,"",_xll.EVPRO($B$1,H155,"JDEID"))</f>
        <v/>
      </c>
      <c r="M155" s="90" t="str">
        <f>IF(_epmOfflineCondition_,"",IF(AND(I155="N",J155="N"),_xll.EVPRO($B$1,H155,"PSFTID"),""))</f>
        <v/>
      </c>
      <c r="N155" s="493" t="str">
        <f>IF(_epmOfflineCondition_,"Cost of Food % (Excl Minibar)",IF(_xll.EVDES(H155,$B$1)="#NODATA","",_xll.EVDES(H155,$B$1)))</f>
        <v>Cost of Food % (Excl Minibar)</v>
      </c>
      <c r="O155" s="508">
        <v>0.289151640534488</v>
      </c>
      <c r="P155" s="508">
        <v>0.40146070702806702</v>
      </c>
      <c r="Q155" s="508">
        <v>0.310886165093824</v>
      </c>
      <c r="R155" s="508">
        <v>0.22980831386346601</v>
      </c>
      <c r="S155" s="508">
        <v>0.38937808750834901</v>
      </c>
      <c r="T155" s="508">
        <v>0.31788406921472001</v>
      </c>
      <c r="U155" s="508">
        <v>0.32360212062239102</v>
      </c>
      <c r="V155" s="508">
        <v>0.38278491639386802</v>
      </c>
      <c r="W155" s="508">
        <v>0.42415638734809202</v>
      </c>
      <c r="X155" s="508">
        <v>0.30857311538130999</v>
      </c>
      <c r="Y155" s="508">
        <v>0.20789764834360799</v>
      </c>
      <c r="Z155" s="508">
        <v>0.32362211092654503</v>
      </c>
      <c r="AA155" s="508">
        <v>0.32126201110639402</v>
      </c>
      <c r="AB155" s="458"/>
      <c r="AC155" s="140"/>
      <c r="AD155" s="508">
        <v>0.29473418552686198</v>
      </c>
      <c r="AE155" s="458"/>
      <c r="AF155" s="521">
        <f t="shared" si="68"/>
        <v>2.6527825579532038E-2</v>
      </c>
      <c r="AG155" s="508">
        <v>0.339089256253506</v>
      </c>
      <c r="AH155" s="458"/>
      <c r="AI155" s="521">
        <f t="shared" si="69"/>
        <v>-1.7827245147111981E-2</v>
      </c>
    </row>
    <row r="156" spans="1:35" x14ac:dyDescent="0.25">
      <c r="A156" s="11"/>
      <c r="B156" s="11"/>
      <c r="C156" s="208"/>
      <c r="D156" s="11"/>
      <c r="E156" s="11"/>
      <c r="F156" s="11"/>
      <c r="G156" s="11"/>
      <c r="H156" s="494">
        <v>567100</v>
      </c>
      <c r="I156" s="122"/>
      <c r="J156" s="122"/>
      <c r="K156" s="11"/>
      <c r="L156" s="90" t="str">
        <f>IF(_epmOfflineCondition_,"567100",_xll.EVPRO($B$1,H156,"JDEID"))</f>
        <v>567100</v>
      </c>
      <c r="M156" s="90" t="str">
        <f>IF(_epmOfflineCondition_,"",IF(AND(I156="N",J156="N"),_xll.EVPRO($B$1,H156,"PSFTID"),""))</f>
        <v/>
      </c>
      <c r="N156" s="90" t="str">
        <f>IF(_epmOfflineCondition_,"Mini Bar Cost of Food",IF(_xll.EVDES(H156,$B$1)="#NODATA","",_xll.EVDES(H156,$B$1)))</f>
        <v>Mini Bar Cost of Food</v>
      </c>
      <c r="O156" s="138">
        <v>1538.52</v>
      </c>
      <c r="P156" s="138">
        <v>1663.29</v>
      </c>
      <c r="Q156" s="138">
        <v>1424.36</v>
      </c>
      <c r="R156" s="138">
        <v>1535.14</v>
      </c>
      <c r="S156" s="138">
        <v>1494.42</v>
      </c>
      <c r="T156" s="138">
        <v>931.37</v>
      </c>
      <c r="U156" s="138">
        <v>1157.5</v>
      </c>
      <c r="V156" s="138">
        <v>1041.56</v>
      </c>
      <c r="W156" s="138">
        <v>367.22</v>
      </c>
      <c r="X156" s="138">
        <v>964.92</v>
      </c>
      <c r="Y156" s="138">
        <v>699.4</v>
      </c>
      <c r="Z156" s="138">
        <v>592.52</v>
      </c>
      <c r="AA156" s="138">
        <f>SUM(O156:Z156)</f>
        <v>13410.22</v>
      </c>
      <c r="AB156" s="458">
        <f>IF(_epmOfflineCondition_,0.252615497640599,IF(AA156=0,"",IFERROR(AA156/_xll.EVGTS($B$1,1,_xll.EVPRO($B$1,$H156,"COSBASIS"),$B$3,$B$5,$B$6,$B$7,$B$9,AA$16,AA$17,AA$11),"")))</f>
        <v>0.25261549764059898</v>
      </c>
      <c r="AC156" s="140"/>
      <c r="AD156" s="138">
        <v>15392.258</v>
      </c>
      <c r="AE156" s="458">
        <f>IF(_epmOfflineCondition_,0.271,IF(AD156=0,"",IFERROR(AD156/_xll.EVGTS($B$1,1,_xll.EVPRO($B$1,$H156,"COSBASIS"),$B$3,$B$5,$B$6,$B$7,$B$9,AD$16,AD$17,AD$18),"")))</f>
        <v>0.27100000000000002</v>
      </c>
      <c r="AF156" s="141">
        <f t="shared" si="68"/>
        <v>-1982.0380000000005</v>
      </c>
      <c r="AG156" s="138">
        <v>9571.11</v>
      </c>
      <c r="AH156" s="458">
        <f>IF(_epmOfflineCondition_,0.257469654654065,IF(AG156=0,"",IFERROR(AG156/_xll.EVGTS($B$1,1,_xll.EVPRO($B$1,$H156,"COSBASIS"),$B$3,$B$5,$B$6,$B$7,$B$9,AG$16,AG$17,AG$18),"")))</f>
        <v>0.25746965465406502</v>
      </c>
      <c r="AI156" s="141">
        <f t="shared" si="69"/>
        <v>3839.1099999999988</v>
      </c>
    </row>
    <row r="157" spans="1:35" x14ac:dyDescent="0.25">
      <c r="A157" s="11"/>
      <c r="B157" s="11"/>
      <c r="C157" s="208"/>
      <c r="D157" s="11"/>
      <c r="E157" s="11"/>
      <c r="F157" s="11"/>
      <c r="G157" s="11"/>
      <c r="H157" s="185" t="s">
        <v>772</v>
      </c>
      <c r="I157" s="122"/>
      <c r="J157" s="122"/>
      <c r="K157" s="11"/>
      <c r="L157" s="90" t="str">
        <f>IF(_epmOfflineCondition_,"",_xll.EVPRO($B$1,H157,"JDEID"))</f>
        <v/>
      </c>
      <c r="M157" s="90" t="str">
        <f>IF(_epmOfflineCondition_,"",IF(AND(I157="N",J157="N"),_xll.EVPRO($B$1,H157,"PSFTID"),""))</f>
        <v/>
      </c>
      <c r="N157" s="493" t="str">
        <f>IF(_epmOfflineCondition_,"Minibar Food Cost %",IF(_xll.EVDES(H157,$B$1)="#NODATA","",_xll.EVDES(H157,$B$1)))</f>
        <v>Minibar Food Cost %</v>
      </c>
      <c r="O157" s="508">
        <v>0.267369679612393</v>
      </c>
      <c r="P157" s="508">
        <v>0.28246988135955903</v>
      </c>
      <c r="Q157" s="508">
        <v>0.21916602554239101</v>
      </c>
      <c r="R157" s="508">
        <v>0.238043107458521</v>
      </c>
      <c r="S157" s="508">
        <v>0.256200925767187</v>
      </c>
      <c r="T157" s="508">
        <v>0.28969517884914497</v>
      </c>
      <c r="U157" s="508">
        <v>0.26221360384564901</v>
      </c>
      <c r="V157" s="508">
        <v>0.26761562178828402</v>
      </c>
      <c r="W157" s="508">
        <v>0.106517766497462</v>
      </c>
      <c r="X157" s="508">
        <v>0.29315509646058002</v>
      </c>
      <c r="Y157" s="508">
        <v>0.315613718411552</v>
      </c>
      <c r="Z157" s="508">
        <v>0.271114161519103</v>
      </c>
      <c r="AA157" s="508">
        <v>0.25261549764059898</v>
      </c>
      <c r="AB157" s="458"/>
      <c r="AC157" s="140"/>
      <c r="AD157" s="508">
        <v>0.27100000000000002</v>
      </c>
      <c r="AE157" s="458"/>
      <c r="AF157" s="521">
        <f t="shared" si="68"/>
        <v>-1.8384502359401034E-2</v>
      </c>
      <c r="AG157" s="508">
        <v>0.25746965465406502</v>
      </c>
      <c r="AH157" s="458"/>
      <c r="AI157" s="521">
        <f t="shared" si="69"/>
        <v>-4.8541570134660317E-3</v>
      </c>
    </row>
    <row r="158" spans="1:35" x14ac:dyDescent="0.25">
      <c r="A158" s="11"/>
      <c r="B158" s="11"/>
      <c r="C158" s="208"/>
      <c r="D158" s="11"/>
      <c r="E158" s="11"/>
      <c r="F158" s="11"/>
      <c r="G158" s="11"/>
      <c r="H158" s="185"/>
      <c r="I158" s="122"/>
      <c r="J158" s="122"/>
      <c r="K158" s="11"/>
      <c r="L158" s="90"/>
      <c r="M158" s="90"/>
      <c r="N158" s="493"/>
      <c r="O158" s="518"/>
      <c r="P158" s="519"/>
      <c r="Q158" s="519"/>
      <c r="R158" s="519"/>
      <c r="S158" s="519"/>
      <c r="T158" s="519"/>
      <c r="U158" s="519"/>
      <c r="V158" s="519"/>
      <c r="W158" s="519"/>
      <c r="X158" s="519"/>
      <c r="Y158" s="519"/>
      <c r="Z158" s="519"/>
      <c r="AA158" s="519"/>
      <c r="AB158" s="520"/>
      <c r="AC158" s="140"/>
      <c r="AD158" s="518"/>
      <c r="AE158" s="519"/>
      <c r="AF158" s="519"/>
      <c r="AG158" s="519"/>
      <c r="AH158" s="519"/>
      <c r="AI158" s="520"/>
    </row>
    <row r="159" spans="1:35" x14ac:dyDescent="0.25">
      <c r="A159" s="11"/>
      <c r="B159" s="11"/>
      <c r="C159" s="208"/>
      <c r="D159" s="11"/>
      <c r="E159" s="11"/>
      <c r="F159" s="11"/>
      <c r="G159" s="11"/>
      <c r="H159" s="185" t="s">
        <v>636</v>
      </c>
      <c r="I159" s="122"/>
      <c r="J159" s="122"/>
      <c r="K159" s="11"/>
      <c r="L159" s="90" t="str">
        <f>IF(_epmOfflineCondition_,"",_xll.EVPRO($B$1,H159,"JDEID"))</f>
        <v/>
      </c>
      <c r="M159" s="90" t="str">
        <f>IF(_epmOfflineCondition_,"",IF(AND(I159="N",J159="N"),_xll.EVPRO($B$1,H159,"PSFTID"),""))</f>
        <v/>
      </c>
      <c r="N159" s="90" t="str">
        <f>IF(_epmOfflineCondition_,"Cost of Beverage Sales",IF(_xll.EVDES(H159,$B$1)="#NODATA","",_xll.EVDES(H159,$B$1)))</f>
        <v>Cost of Beverage Sales</v>
      </c>
      <c r="O159" s="138">
        <v>12481.51</v>
      </c>
      <c r="P159" s="138">
        <v>20078.32</v>
      </c>
      <c r="Q159" s="138">
        <v>16974.53</v>
      </c>
      <c r="R159" s="138">
        <v>12819.07</v>
      </c>
      <c r="S159" s="138">
        <v>17578.07</v>
      </c>
      <c r="T159" s="138">
        <v>9407.5400000000009</v>
      </c>
      <c r="U159" s="138">
        <v>13127.27</v>
      </c>
      <c r="V159" s="138">
        <v>12016.26</v>
      </c>
      <c r="W159" s="138">
        <v>9305.4599999999991</v>
      </c>
      <c r="X159" s="138">
        <v>9494.15</v>
      </c>
      <c r="Y159" s="138">
        <v>14261.36</v>
      </c>
      <c r="Z159" s="138">
        <v>11196.9</v>
      </c>
      <c r="AA159" s="138">
        <f>SUM(O159:Z159)</f>
        <v>158740.43999999997</v>
      </c>
      <c r="AB159" s="458">
        <f>IF(_epmOfflineCondition_,0.216528023550938,IF(AA159=0,"",IFERROR(AA159/_xll.EVGTS($B$1,1,_xll.EVPRO($B$1,$H159,"COSBASIS"),$B$3,$B$5,$B$6,$B$7,$B$9,AA$16,AA$17,AA$11),"")))</f>
        <v>0.216528023550938</v>
      </c>
      <c r="AC159" s="140"/>
      <c r="AD159" s="138">
        <v>254093.06012000001</v>
      </c>
      <c r="AE159" s="458">
        <f>IF(_epmOfflineCondition_,0.224358458173526,IF(AD159=0,"",IFERROR(AD159/_xll.EVGTS($B$1,1,_xll.EVPRO($B$1,$H159,"COSBASIS"),$B$3,$B$5,$B$6,$B$7,$B$9,AD$16,AD$17,AD$18),"")))</f>
        <v>0.22435845817352601</v>
      </c>
      <c r="AF159" s="141">
        <f t="shared" ref="AF159:AF168" si="70">IF(AND($AA159="",AD159=""),"",$AA159-AD159)</f>
        <v>-95352.620120000036</v>
      </c>
      <c r="AG159" s="138">
        <v>127274.08</v>
      </c>
      <c r="AH159" s="458">
        <f>IF(_epmOfflineCondition_,0.220946286410744,IF(AG159=0,"",IFERROR(AG159/_xll.EVGTS($B$1,1,_xll.EVPRO($B$1,$H159,"COSBASIS"),$B$3,$B$5,$B$6,$B$7,$B$9,AG$16,AG$17,AG$18),"")))</f>
        <v>0.22094628641074399</v>
      </c>
      <c r="AI159" s="141">
        <f t="shared" ref="AI159:AI168" si="71">IF(AND($AA159="",AG159=""),"",$AA159-AG159)</f>
        <v>31466.359999999971</v>
      </c>
    </row>
    <row r="160" spans="1:35" x14ac:dyDescent="0.25">
      <c r="A160" s="11"/>
      <c r="B160" s="11"/>
      <c r="C160" s="208"/>
      <c r="D160" s="11"/>
      <c r="E160" s="11"/>
      <c r="F160" s="11"/>
      <c r="G160" s="11"/>
      <c r="H160" s="185" t="s">
        <v>757</v>
      </c>
      <c r="I160" s="122"/>
      <c r="J160" s="122"/>
      <c r="K160" s="11"/>
      <c r="L160" s="90" t="str">
        <f>IF(_epmOfflineCondition_,"",_xll.EVPRO($B$1,H160,"JDEID"))</f>
        <v/>
      </c>
      <c r="M160" s="90" t="str">
        <f>IF(_epmOfflineCondition_,"",IF(AND(I160="N",J160="N"),_xll.EVPRO($B$1,H160,"PSFTID"),""))</f>
        <v/>
      </c>
      <c r="N160" s="493" t="str">
        <f>IF(_epmOfflineCondition_,"Beverage Cost %",IF(_xll.EVDES(H160,$B$1)="#NODATA","",_xll.EVDES(H160,$B$1)))</f>
        <v>Beverage Cost %</v>
      </c>
      <c r="O160" s="508">
        <v>0.21360023972357201</v>
      </c>
      <c r="P160" s="508">
        <v>0.22599599071177801</v>
      </c>
      <c r="Q160" s="508">
        <v>0.200845526877662</v>
      </c>
      <c r="R160" s="508">
        <v>0.17036465864990999</v>
      </c>
      <c r="S160" s="508">
        <v>0.22598059413195901</v>
      </c>
      <c r="T160" s="508">
        <v>0.19979475861412799</v>
      </c>
      <c r="U160" s="508">
        <v>0.22111469699470801</v>
      </c>
      <c r="V160" s="508">
        <v>0.29067471068622502</v>
      </c>
      <c r="W160" s="508">
        <v>0.22560648899953001</v>
      </c>
      <c r="X160" s="508">
        <v>0.20117708134681</v>
      </c>
      <c r="Y160" s="508">
        <v>0.22848657937581399</v>
      </c>
      <c r="Z160" s="508">
        <v>0.22554487188525901</v>
      </c>
      <c r="AA160" s="508">
        <v>0.216528023550938</v>
      </c>
      <c r="AB160" s="458"/>
      <c r="AC160" s="140"/>
      <c r="AD160" s="508">
        <v>0.22435845817352701</v>
      </c>
      <c r="AE160" s="458"/>
      <c r="AF160" s="521">
        <f t="shared" si="70"/>
        <v>-7.8304346225890054E-3</v>
      </c>
      <c r="AG160" s="508">
        <v>0.22094628641074399</v>
      </c>
      <c r="AH160" s="458"/>
      <c r="AI160" s="521">
        <f t="shared" si="71"/>
        <v>-4.4182628598059825E-3</v>
      </c>
    </row>
    <row r="161" spans="1:35" x14ac:dyDescent="0.25">
      <c r="A161" s="11"/>
      <c r="B161" s="11"/>
      <c r="C161" s="208"/>
      <c r="D161" s="11"/>
      <c r="E161" s="11"/>
      <c r="F161" s="11"/>
      <c r="G161" s="11"/>
      <c r="H161" s="185" t="s">
        <v>755</v>
      </c>
      <c r="I161" s="122"/>
      <c r="J161" s="122"/>
      <c r="K161" s="11"/>
      <c r="L161" s="90" t="str">
        <f>IF(_epmOfflineCondition_,"561300",_xll.EVPRO($B$1,H161,"JDEID"))</f>
        <v>561300</v>
      </c>
      <c r="M161" s="90" t="str">
        <f>IF(_epmOfflineCondition_,"",IF(AND(I161="N",J161="N"),_xll.EVPRO($B$1,H161,"PSFTID"),""))</f>
        <v/>
      </c>
      <c r="N161" s="90" t="str">
        <f>IF(_epmOfflineCondition_,"Liquor Cost of Sales",IF(_xll.EVDES(H161,$B$1)="#NODATA","",_xll.EVDES(H161,$B$1)))</f>
        <v>Liquor Cost of Sales</v>
      </c>
      <c r="O161" s="138">
        <v>6727.46</v>
      </c>
      <c r="P161" s="138">
        <v>10672.56</v>
      </c>
      <c r="Q161" s="138">
        <v>11232.63</v>
      </c>
      <c r="R161" s="138">
        <v>7789.41</v>
      </c>
      <c r="S161" s="138">
        <v>10291.02</v>
      </c>
      <c r="T161" s="138">
        <v>6004.64</v>
      </c>
      <c r="U161" s="138">
        <v>7483.08</v>
      </c>
      <c r="V161" s="138">
        <v>10179.86</v>
      </c>
      <c r="W161" s="138">
        <v>5592.14</v>
      </c>
      <c r="X161" s="138">
        <v>5649.15</v>
      </c>
      <c r="Y161" s="138">
        <v>7290.94</v>
      </c>
      <c r="Z161" s="138">
        <v>5932.05</v>
      </c>
      <c r="AA161" s="138">
        <f>SUM(O161:Z161)</f>
        <v>94844.94</v>
      </c>
      <c r="AB161" s="458">
        <f>IF(_epmOfflineCondition_,0.191800037156794,IF(AA161=0,"",IFERROR(AA161/_xll.EVGTS($B$1,1,_xll.EVPRO($B$1,$H161,"COSBASIS"),$B$3,$B$5,$B$6,$B$7,$B$9,AA$16,AA$17,AA$11),"")))</f>
        <v>0.191800037156794</v>
      </c>
      <c r="AC161" s="140"/>
      <c r="AD161" s="138">
        <v>171051.99</v>
      </c>
      <c r="AE161" s="458">
        <f>IF(_epmOfflineCondition_,0.216937855313199,IF(AD161=0,"",IFERROR(AD161/_xll.EVGTS($B$1,1,_xll.EVPRO($B$1,$H161,"COSBASIS"),$B$3,$B$5,$B$6,$B$7,$B$9,AD$16,AD$17,AD$18),"")))</f>
        <v>0.21693785531319901</v>
      </c>
      <c r="AF161" s="141">
        <f t="shared" si="70"/>
        <v>-76207.049999999988</v>
      </c>
      <c r="AG161" s="138">
        <v>85061.18</v>
      </c>
      <c r="AH161" s="458">
        <f>IF(_epmOfflineCondition_,0.205560481296781,IF(AG161=0,"",IFERROR(AG161/_xll.EVGTS($B$1,1,_xll.EVPRO($B$1,$H161,"COSBASIS"),$B$3,$B$5,$B$6,$B$7,$B$9,AG$16,AG$17,AG$18),"")))</f>
        <v>0.20556048129678101</v>
      </c>
      <c r="AI161" s="141">
        <f t="shared" si="71"/>
        <v>9783.7600000000093</v>
      </c>
    </row>
    <row r="162" spans="1:35" x14ac:dyDescent="0.25">
      <c r="A162" s="11"/>
      <c r="B162" s="11"/>
      <c r="C162" s="208"/>
      <c r="D162" s="11"/>
      <c r="E162" s="11"/>
      <c r="F162" s="11"/>
      <c r="G162" s="11"/>
      <c r="H162" s="185" t="s">
        <v>758</v>
      </c>
      <c r="I162" s="122"/>
      <c r="J162" s="122"/>
      <c r="K162" s="11"/>
      <c r="L162" s="90" t="str">
        <f>IF(_epmOfflineCondition_,"",_xll.EVPRO($B$1,H162,"JDEID"))</f>
        <v/>
      </c>
      <c r="M162" s="90" t="str">
        <f>IF(_epmOfflineCondition_,"",IF(AND(I162="N",J162="N"),_xll.EVPRO($B$1,H162,"PSFTID"),""))</f>
        <v/>
      </c>
      <c r="N162" s="493" t="str">
        <f>IF(_epmOfflineCondition_,"Liquor Cost %",IF(_xll.EVDES(H162,$B$1)="#NODATA","",_xll.EVDES(H162,$B$1)))</f>
        <v>Liquor Cost %</v>
      </c>
      <c r="O162" s="508">
        <v>0.18226170579548301</v>
      </c>
      <c r="P162" s="508">
        <v>0.178790812993148</v>
      </c>
      <c r="Q162" s="508">
        <v>0.199513854351687</v>
      </c>
      <c r="R162" s="508">
        <v>0.15372554143019801</v>
      </c>
      <c r="S162" s="508">
        <v>0.19379298708400799</v>
      </c>
      <c r="T162" s="508">
        <v>0.185998218274948</v>
      </c>
      <c r="U162" s="508">
        <v>0.17558084422440701</v>
      </c>
      <c r="V162" s="508">
        <v>0.35090018510411702</v>
      </c>
      <c r="W162" s="508">
        <v>0.18361723463344101</v>
      </c>
      <c r="X162" s="508">
        <v>0.17636508382504401</v>
      </c>
      <c r="Y162" s="508">
        <v>0.17351320850719101</v>
      </c>
      <c r="Z162" s="508">
        <v>0.201756134259889</v>
      </c>
      <c r="AA162" s="508">
        <v>0.191800037156794</v>
      </c>
      <c r="AB162" s="458"/>
      <c r="AC162" s="140"/>
      <c r="AD162" s="508">
        <v>0.21693785531319901</v>
      </c>
      <c r="AE162" s="458"/>
      <c r="AF162" s="521">
        <f t="shared" si="70"/>
        <v>-2.5137818156405006E-2</v>
      </c>
      <c r="AG162" s="508">
        <v>0.20556048129678101</v>
      </c>
      <c r="AH162" s="458"/>
      <c r="AI162" s="521">
        <f t="shared" si="71"/>
        <v>-1.3760444139987005E-2</v>
      </c>
    </row>
    <row r="163" spans="1:35" x14ac:dyDescent="0.25">
      <c r="A163" s="11"/>
      <c r="B163" s="11"/>
      <c r="C163" s="208"/>
      <c r="D163" s="11"/>
      <c r="E163" s="11"/>
      <c r="F163" s="11"/>
      <c r="G163" s="11"/>
      <c r="H163" s="185">
        <v>561400</v>
      </c>
      <c r="I163" s="122"/>
      <c r="J163" s="122"/>
      <c r="K163" s="11"/>
      <c r="L163" s="90" t="str">
        <f>IF(_epmOfflineCondition_,"561400",_xll.EVPRO($B$1,H163,"JDEID"))</f>
        <v>561400</v>
      </c>
      <c r="M163" s="90" t="str">
        <f>IF(_epmOfflineCondition_,"",IF(AND(I163="N",J163="N"),_xll.EVPRO($B$1,H163,"PSFTID"),""))</f>
        <v/>
      </c>
      <c r="N163" s="90" t="str">
        <f>IF(_epmOfflineCondition_,"Beer Cost of Sales",IF(_xll.EVDES(H163,$B$1)="#NODATA","",_xll.EVDES(H163,$B$1)))</f>
        <v>Beer Cost of Sales</v>
      </c>
      <c r="O163" s="138">
        <v>978.23</v>
      </c>
      <c r="P163" s="138">
        <v>2015.45</v>
      </c>
      <c r="Q163" s="138">
        <v>1734.53</v>
      </c>
      <c r="R163" s="138">
        <v>1463.73</v>
      </c>
      <c r="S163" s="138">
        <v>2088.8200000000002</v>
      </c>
      <c r="T163" s="138">
        <v>1888.83</v>
      </c>
      <c r="U163" s="138">
        <v>1490.29</v>
      </c>
      <c r="V163" s="138">
        <v>859.96</v>
      </c>
      <c r="W163" s="138">
        <v>719.48</v>
      </c>
      <c r="X163" s="138">
        <v>1935.81</v>
      </c>
      <c r="Y163" s="138">
        <v>1856.94</v>
      </c>
      <c r="Z163" s="138">
        <v>1273.8599999999999</v>
      </c>
      <c r="AA163" s="138">
        <f>SUM(O163:Z163)</f>
        <v>18305.93</v>
      </c>
      <c r="AB163" s="458">
        <f>IF(_epmOfflineCondition_,0.218851866153866,IF(AA163=0,"",IFERROR(AA163/_xll.EVGTS($B$1,1,_xll.EVPRO($B$1,$H163,"COSBASIS"),$B$3,$B$5,$B$6,$B$7,$B$9,AA$16,AA$17,AA$11),"")))</f>
        <v>0.21885186615386601</v>
      </c>
      <c r="AC163" s="140"/>
      <c r="AD163" s="138">
        <v>13865.01</v>
      </c>
      <c r="AE163" s="458">
        <f>IF(_epmOfflineCondition_,0.202623057056729,IF(AD163=0,"",IFERROR(AD163/_xll.EVGTS($B$1,1,_xll.EVPRO($B$1,$H163,"COSBASIS"),$B$3,$B$5,$B$6,$B$7,$B$9,AD$16,AD$17,AD$18),"")))</f>
        <v>0.20262305705672901</v>
      </c>
      <c r="AF163" s="141">
        <f t="shared" si="70"/>
        <v>4440.92</v>
      </c>
      <c r="AG163" s="138">
        <v>6479.23</v>
      </c>
      <c r="AH163" s="458">
        <f>IF(_epmOfflineCondition_,0.165213987740073,IF(AG163=0,"",IFERROR(AG163/_xll.EVGTS($B$1,1,_xll.EVPRO($B$1,$H163,"COSBASIS"),$B$3,$B$5,$B$6,$B$7,$B$9,AG$16,AG$17,AG$18),"")))</f>
        <v>0.16521398774007301</v>
      </c>
      <c r="AI163" s="141">
        <f t="shared" si="71"/>
        <v>11826.7</v>
      </c>
    </row>
    <row r="164" spans="1:35" x14ac:dyDescent="0.25">
      <c r="A164" s="11"/>
      <c r="B164" s="11"/>
      <c r="C164" s="208"/>
      <c r="D164" s="11"/>
      <c r="E164" s="11"/>
      <c r="F164" s="11"/>
      <c r="G164" s="11"/>
      <c r="H164" s="185" t="s">
        <v>759</v>
      </c>
      <c r="I164" s="122"/>
      <c r="J164" s="122"/>
      <c r="K164" s="11"/>
      <c r="L164" s="90" t="str">
        <f>IF(_epmOfflineCondition_,"",_xll.EVPRO($B$1,H164,"JDEID"))</f>
        <v/>
      </c>
      <c r="M164" s="90" t="str">
        <f>IF(_epmOfflineCondition_,"",IF(AND(I164="N",J164="N"),_xll.EVPRO($B$1,H164,"PSFTID"),""))</f>
        <v/>
      </c>
      <c r="N164" s="493" t="str">
        <f>IF(_epmOfflineCondition_,"Beer Cost %",IF(_xll.EVDES(H164,$B$1)="#NODATA","",_xll.EVDES(H164,$B$1)))</f>
        <v>Beer Cost %</v>
      </c>
      <c r="O164" s="508">
        <v>0.16543717233215</v>
      </c>
      <c r="P164" s="508">
        <v>0.23283849353049901</v>
      </c>
      <c r="Q164" s="508">
        <v>0.203392354596623</v>
      </c>
      <c r="R164" s="508">
        <v>0.16518790204265901</v>
      </c>
      <c r="S164" s="508">
        <v>0.206087454122104</v>
      </c>
      <c r="T164" s="508">
        <v>0.362950366057532</v>
      </c>
      <c r="U164" s="508">
        <v>0.20387004103967199</v>
      </c>
      <c r="V164" s="508">
        <v>0.177230946787024</v>
      </c>
      <c r="W164" s="508">
        <v>0.16784789455266499</v>
      </c>
      <c r="X164" s="508">
        <v>0.30763766388557801</v>
      </c>
      <c r="Y164" s="508">
        <v>0.22575680210081001</v>
      </c>
      <c r="Z164" s="508">
        <v>0.23673294926593599</v>
      </c>
      <c r="AA164" s="508">
        <v>0.21885186615386601</v>
      </c>
      <c r="AB164" s="458"/>
      <c r="AC164" s="140"/>
      <c r="AD164" s="508">
        <v>0.20262305705672901</v>
      </c>
      <c r="AE164" s="458"/>
      <c r="AF164" s="521">
        <f t="shared" si="70"/>
        <v>1.6228809097137004E-2</v>
      </c>
      <c r="AG164" s="508">
        <v>0.16521398774007301</v>
      </c>
      <c r="AH164" s="458"/>
      <c r="AI164" s="521">
        <f t="shared" si="71"/>
        <v>5.3637878413793E-2</v>
      </c>
    </row>
    <row r="165" spans="1:35" x14ac:dyDescent="0.25">
      <c r="A165" s="11"/>
      <c r="B165" s="11"/>
      <c r="C165" s="208"/>
      <c r="D165" s="11"/>
      <c r="E165" s="11"/>
      <c r="F165" s="11"/>
      <c r="G165" s="11"/>
      <c r="H165" s="185">
        <v>561500</v>
      </c>
      <c r="I165" s="122"/>
      <c r="J165" s="122"/>
      <c r="K165" s="11"/>
      <c r="L165" s="90" t="str">
        <f>IF(_epmOfflineCondition_,"561500",_xll.EVPRO($B$1,H165,"JDEID"))</f>
        <v>561500</v>
      </c>
      <c r="M165" s="90" t="str">
        <f>IF(_epmOfflineCondition_,"",IF(AND(I165="N",J165="N"),_xll.EVPRO($B$1,H165,"PSFTID"),""))</f>
        <v/>
      </c>
      <c r="N165" s="90" t="str">
        <f>IF(_epmOfflineCondition_,"Wine Cost of Sales",IF(_xll.EVDES(H165,$B$1)="#NODATA","",_xll.EVDES(H165,$B$1)))</f>
        <v>Wine Cost of Sales</v>
      </c>
      <c r="O165" s="138">
        <v>4542.41</v>
      </c>
      <c r="P165" s="138">
        <v>7126.53</v>
      </c>
      <c r="Q165" s="138">
        <v>3772.54</v>
      </c>
      <c r="R165" s="138">
        <v>3466.14</v>
      </c>
      <c r="S165" s="138">
        <v>5152.2299999999996</v>
      </c>
      <c r="T165" s="138">
        <v>1472.01</v>
      </c>
      <c r="U165" s="138">
        <v>3819.22</v>
      </c>
      <c r="V165" s="138">
        <v>1083.82</v>
      </c>
      <c r="W165" s="138">
        <v>2925.3</v>
      </c>
      <c r="X165" s="138">
        <v>1547.92</v>
      </c>
      <c r="Y165" s="138">
        <v>3921.82</v>
      </c>
      <c r="Z165" s="138">
        <v>2820.26</v>
      </c>
      <c r="AA165" s="138">
        <f>SUM(O165:Z165)</f>
        <v>41650.199999999997</v>
      </c>
      <c r="AB165" s="458">
        <f>IF(_epmOfflineCondition_,0.292580681281909,IF(AA165=0,"",IFERROR(AA165/_xll.EVGTS($B$1,1,_xll.EVPRO($B$1,$H165,"COSBASIS"),$B$3,$B$5,$B$6,$B$7,$B$9,AA$16,AA$17,AA$11),"")))</f>
        <v>0.29258068128190901</v>
      </c>
      <c r="AC165" s="140"/>
      <c r="AD165" s="138">
        <v>59005.85</v>
      </c>
      <c r="AE165" s="458">
        <f>IF(_epmOfflineCondition_,0.241314277439129,IF(AD165=0,"",IFERROR(AD165/_xll.EVGTS($B$1,1,_xll.EVPRO($B$1,$H165,"COSBASIS"),$B$3,$B$5,$B$6,$B$7,$B$9,AD$16,AD$17,AD$18),"")))</f>
        <v>0.241314277439129</v>
      </c>
      <c r="AF165" s="141">
        <f t="shared" si="70"/>
        <v>-17355.650000000001</v>
      </c>
      <c r="AG165" s="138">
        <v>30975.74</v>
      </c>
      <c r="AH165" s="458">
        <f>IF(_epmOfflineCondition_,0.288182903900671,IF(AG165=0,"",IFERROR(AG165/_xll.EVGTS($B$1,1,_xll.EVPRO($B$1,$H165,"COSBASIS"),$B$3,$B$5,$B$6,$B$7,$B$9,AG$16,AG$17,AG$18),"")))</f>
        <v>0.28818290390067097</v>
      </c>
      <c r="AI165" s="141">
        <f t="shared" si="71"/>
        <v>10674.459999999995</v>
      </c>
    </row>
    <row r="166" spans="1:35" x14ac:dyDescent="0.25">
      <c r="A166" s="11"/>
      <c r="B166" s="11"/>
      <c r="C166" s="208"/>
      <c r="D166" s="11"/>
      <c r="E166" s="11"/>
      <c r="F166" s="11"/>
      <c r="G166" s="11"/>
      <c r="H166" s="185" t="s">
        <v>760</v>
      </c>
      <c r="I166" s="122"/>
      <c r="J166" s="122"/>
      <c r="K166" s="11"/>
      <c r="L166" s="90" t="str">
        <f>IF(_epmOfflineCondition_,"",_xll.EVPRO($B$1,H166,"JDEID"))</f>
        <v/>
      </c>
      <c r="M166" s="90" t="str">
        <f>IF(_epmOfflineCondition_,"",IF(AND(I166="N",J166="N"),_xll.EVPRO($B$1,H166,"PSFTID"),""))</f>
        <v/>
      </c>
      <c r="N166" s="493" t="str">
        <f>IF(_epmOfflineCondition_,"Wine Cost %",IF(_xll.EVDES(H166,$B$1)="#NODATA","",_xll.EVDES(H166,$B$1)))</f>
        <v>Wine Cost %</v>
      </c>
      <c r="O166" s="508">
        <v>0.31067753324332598</v>
      </c>
      <c r="P166" s="508">
        <v>0.36162980103213599</v>
      </c>
      <c r="Q166" s="508">
        <v>0.200411177220569</v>
      </c>
      <c r="R166" s="508">
        <v>0.225249545100078</v>
      </c>
      <c r="S166" s="508">
        <v>0.35799288354147002</v>
      </c>
      <c r="T166" s="508">
        <v>0.155462264748749</v>
      </c>
      <c r="U166" s="508">
        <v>0.44088610809687601</v>
      </c>
      <c r="V166" s="508">
        <v>0.158007376846034</v>
      </c>
      <c r="W166" s="508">
        <v>0.47531074823300001</v>
      </c>
      <c r="X166" s="508">
        <v>0.19969296265239</v>
      </c>
      <c r="Y166" s="508">
        <v>0.42408553036373298</v>
      </c>
      <c r="Z166" s="508">
        <v>0.25005186767978599</v>
      </c>
      <c r="AA166" s="508">
        <v>0.29258068128190901</v>
      </c>
      <c r="AB166" s="458"/>
      <c r="AC166" s="140"/>
      <c r="AD166" s="508">
        <v>0.24131427743913</v>
      </c>
      <c r="AE166" s="458"/>
      <c r="AF166" s="521">
        <f t="shared" si="70"/>
        <v>5.1266403842779001E-2</v>
      </c>
      <c r="AG166" s="508">
        <v>0.28818290390067097</v>
      </c>
      <c r="AH166" s="458"/>
      <c r="AI166" s="521">
        <f t="shared" si="71"/>
        <v>4.3977773812380327E-3</v>
      </c>
    </row>
    <row r="167" spans="1:35" x14ac:dyDescent="0.25">
      <c r="A167" s="11"/>
      <c r="B167" s="11"/>
      <c r="C167" s="208"/>
      <c r="D167" s="11"/>
      <c r="E167" s="11"/>
      <c r="F167" s="11"/>
      <c r="G167" s="11"/>
      <c r="H167" s="185">
        <v>567200</v>
      </c>
      <c r="I167" s="122"/>
      <c r="J167" s="122"/>
      <c r="K167" s="11"/>
      <c r="L167" s="90" t="str">
        <f>IF(_epmOfflineCondition_,"567200",_xll.EVPRO($B$1,H167,"JDEID"))</f>
        <v>567200</v>
      </c>
      <c r="M167" s="90" t="str">
        <f>IF(_epmOfflineCondition_,"",IF(AND(I167="N",J167="N"),_xll.EVPRO($B$1,H167,"PSFTID"),""))</f>
        <v/>
      </c>
      <c r="N167" s="90" t="str">
        <f>IF(_epmOfflineCondition_,"Mini Bar Cost of Beverage",IF(_xll.EVDES(H167,$B$1)="#NODATA","",_xll.EVDES(H167,$B$1)))</f>
        <v>Mini Bar Cost of Beverage</v>
      </c>
      <c r="O167" s="138">
        <v>233.41</v>
      </c>
      <c r="P167" s="138">
        <v>263.77999999999997</v>
      </c>
      <c r="Q167" s="138">
        <v>234.83</v>
      </c>
      <c r="R167" s="138">
        <v>99.79</v>
      </c>
      <c r="S167" s="138">
        <v>46</v>
      </c>
      <c r="T167" s="138">
        <v>42.06</v>
      </c>
      <c r="U167" s="138">
        <v>334.68</v>
      </c>
      <c r="V167" s="138">
        <v>-107.38</v>
      </c>
      <c r="W167" s="138">
        <v>68.540000000000006</v>
      </c>
      <c r="X167" s="138">
        <v>361.27</v>
      </c>
      <c r="Y167" s="138">
        <v>1191.6600000000001</v>
      </c>
      <c r="Z167" s="138">
        <v>1170.73</v>
      </c>
      <c r="AA167" s="138">
        <f>SUM(O167:Z167)</f>
        <v>3939.3700000000003</v>
      </c>
      <c r="AB167" s="458">
        <f>IF(_epmOfflineCondition_,0.312193749578986,IF(AA167=0,"",IFERROR(AA167/_xll.EVGTS($B$1,1,_xll.EVPRO($B$1,$H167,"COSBASIS"),$B$3,$B$5,$B$6,$B$7,$B$9,AA$16,AA$17,AA$11),"")))</f>
        <v>0.31219374957898599</v>
      </c>
      <c r="AC167" s="140"/>
      <c r="AD167" s="138">
        <v>10170.21012</v>
      </c>
      <c r="AE167" s="458">
        <f>IF(_epmOfflineCondition_,0.327,IF(AD167=0,"",IFERROR(AD167/_xll.EVGTS($B$1,1,_xll.EVPRO($B$1,$H167,"COSBASIS"),$B$3,$B$5,$B$6,$B$7,$B$9,AD$16,AD$17,AD$18),"")))</f>
        <v>0.32700000000000001</v>
      </c>
      <c r="AF167" s="141">
        <f t="shared" si="70"/>
        <v>-6230.8401199999989</v>
      </c>
      <c r="AG167" s="138">
        <v>4757.93</v>
      </c>
      <c r="AH167" s="458">
        <f>IF(_epmOfflineCondition_,0.30625193099897,IF(AG167=0,"",IFERROR(AG167/_xll.EVGTS($B$1,1,_xll.EVPRO($B$1,$H167,"COSBASIS"),$B$3,$B$5,$B$6,$B$7,$B$9,AG$16,AG$17,AG$18),"")))</f>
        <v>0.30625193099897002</v>
      </c>
      <c r="AI167" s="141">
        <f t="shared" si="71"/>
        <v>-818.56</v>
      </c>
    </row>
    <row r="168" spans="1:35" x14ac:dyDescent="0.25">
      <c r="A168" s="11"/>
      <c r="B168" s="11"/>
      <c r="C168" s="208"/>
      <c r="D168" s="11"/>
      <c r="E168" s="11"/>
      <c r="F168" s="11"/>
      <c r="G168" s="11"/>
      <c r="H168" s="185"/>
      <c r="I168" s="122"/>
      <c r="J168" s="122"/>
      <c r="K168" s="11"/>
      <c r="L168" s="90"/>
      <c r="M168" s="90"/>
      <c r="N168" s="493" t="s">
        <v>761</v>
      </c>
      <c r="O168" s="508">
        <f t="shared" ref="O168:AA168" si="72">IFERROR(O167/O96,"")</f>
        <v>0.23600606673407482</v>
      </c>
      <c r="P168" s="508">
        <f t="shared" si="72"/>
        <v>0.33474619289340096</v>
      </c>
      <c r="Q168" s="508">
        <f t="shared" si="72"/>
        <v>0.27199861006544274</v>
      </c>
      <c r="R168" s="508">
        <f t="shared" si="72"/>
        <v>0.30704615384615386</v>
      </c>
      <c r="S168" s="508">
        <f t="shared" si="72"/>
        <v>0.29677419354838708</v>
      </c>
      <c r="T168" s="508">
        <f t="shared" si="72"/>
        <v>0.32353846153846155</v>
      </c>
      <c r="U168" s="508">
        <f t="shared" si="72"/>
        <v>0.43073359073359074</v>
      </c>
      <c r="V168" s="508">
        <f t="shared" si="72"/>
        <v>-0.17403565640194488</v>
      </c>
      <c r="W168" s="508">
        <f t="shared" si="72"/>
        <v>0.19582857142857144</v>
      </c>
      <c r="X168" s="508">
        <f t="shared" si="72"/>
        <v>0.32313953488372094</v>
      </c>
      <c r="Y168" s="508">
        <f t="shared" si="72"/>
        <v>0.4075444596443229</v>
      </c>
      <c r="Z168" s="508">
        <f t="shared" si="72"/>
        <v>0.32683696259073142</v>
      </c>
      <c r="AA168" s="508">
        <f t="shared" si="72"/>
        <v>0.31219374957898616</v>
      </c>
      <c r="AB168" s="458"/>
      <c r="AC168" s="140"/>
      <c r="AD168" s="508">
        <f>IFERROR(AD167/AD96,"")</f>
        <v>0.32699999999999996</v>
      </c>
      <c r="AE168" s="458"/>
      <c r="AF168" s="521">
        <f t="shared" si="70"/>
        <v>-1.48062504210138E-2</v>
      </c>
      <c r="AG168" s="508">
        <f>IFERROR(AG167/AG96,"")</f>
        <v>0.30625193099897013</v>
      </c>
      <c r="AH168" s="458"/>
      <c r="AI168" s="521">
        <f t="shared" si="71"/>
        <v>5.9418185800160228E-3</v>
      </c>
    </row>
    <row r="169" spans="1:35" x14ac:dyDescent="0.25">
      <c r="A169" s="11"/>
      <c r="B169" s="11"/>
      <c r="C169" s="208"/>
      <c r="D169" s="11"/>
      <c r="E169" s="11"/>
      <c r="F169" s="11"/>
      <c r="G169" s="11"/>
      <c r="H169" s="185"/>
      <c r="I169" s="122"/>
      <c r="J169" s="122"/>
      <c r="K169" s="11"/>
      <c r="L169" s="90"/>
      <c r="M169" s="90"/>
      <c r="N169" s="493"/>
      <c r="O169" s="518"/>
      <c r="P169" s="519"/>
      <c r="Q169" s="519"/>
      <c r="R169" s="519"/>
      <c r="S169" s="519"/>
      <c r="T169" s="519"/>
      <c r="U169" s="519"/>
      <c r="V169" s="519"/>
      <c r="W169" s="519"/>
      <c r="X169" s="519"/>
      <c r="Y169" s="519"/>
      <c r="Z169" s="519"/>
      <c r="AA169" s="519"/>
      <c r="AB169" s="520"/>
      <c r="AC169" s="140"/>
      <c r="AD169" s="518"/>
      <c r="AE169" s="519"/>
      <c r="AF169" s="519"/>
      <c r="AG169" s="519"/>
      <c r="AH169" s="519"/>
      <c r="AI169" s="520"/>
    </row>
    <row r="170" spans="1:35" x14ac:dyDescent="0.25">
      <c r="A170" s="11"/>
      <c r="B170" s="11"/>
      <c r="C170" s="208"/>
      <c r="D170" s="11"/>
      <c r="E170" s="11"/>
      <c r="F170" s="11"/>
      <c r="G170" s="11"/>
      <c r="H170" s="185" t="s">
        <v>286</v>
      </c>
      <c r="I170" s="122"/>
      <c r="J170" s="122"/>
      <c r="K170" s="11"/>
      <c r="L170" s="90" t="str">
        <f>IF(_epmOfflineCondition_,"",_xll.EVPRO($B$1,H170,"JDEID"))</f>
        <v/>
      </c>
      <c r="M170" s="90" t="str">
        <f>IF(_epmOfflineCondition_,"",IF(AND(I170="N",J170="N"),_xll.EVPRO($B$1,H170,"PSFTID"),""))</f>
        <v/>
      </c>
      <c r="N170" s="90" t="str">
        <f>IF(_epmOfflineCondition_,"Total Cost of Food &amp; Beverage Sales",IF(_xll.EVDES(H170,$B$1)="#NODATA","",_xll.EVDES(H170,$B$1)))</f>
        <v>Total Cost of Food &amp; Beverage Sales</v>
      </c>
      <c r="O170" s="138">
        <v>38174.480000000003</v>
      </c>
      <c r="P170" s="138">
        <v>72859.100000000006</v>
      </c>
      <c r="Q170" s="138">
        <v>65210.080000000002</v>
      </c>
      <c r="R170" s="138">
        <v>45162.74</v>
      </c>
      <c r="S170" s="138">
        <v>62690.6</v>
      </c>
      <c r="T170" s="138">
        <v>38832.35</v>
      </c>
      <c r="U170" s="138">
        <v>44910.52</v>
      </c>
      <c r="V170" s="138">
        <v>39795.4</v>
      </c>
      <c r="W170" s="138">
        <v>31563.09</v>
      </c>
      <c r="X170" s="138">
        <v>29776.79</v>
      </c>
      <c r="Y170" s="138">
        <v>33855.07</v>
      </c>
      <c r="Z170" s="138">
        <v>43880.85</v>
      </c>
      <c r="AA170" s="138">
        <f>SUM(O170:Z170)</f>
        <v>546711.07000000007</v>
      </c>
      <c r="AB170" s="458">
        <f>IF(_epmOfflineCondition_,0.280418533343722,IF(AA170=0,"",IFERROR(AA170/_xll.EVGTS($B$1,1,_xll.EVPRO($B$1,$H170,"COSBASIS"),$B$3,$B$5,$B$6,$B$7,$B$9,AA$16,AA$17,AA$11),"")))</f>
        <v>0.28041853334372202</v>
      </c>
      <c r="AC170" s="140"/>
      <c r="AD170" s="138">
        <v>673506.85811999999</v>
      </c>
      <c r="AE170" s="458">
        <f>IF(_epmOfflineCondition_,0.263075319125734,IF(AD170=0,"",IFERROR(AD170/_xll.EVGTS($B$1,1,_xll.EVPRO($B$1,$H170,"COSBASIS"),$B$3,$B$5,$B$6,$B$7,$B$9,AD$16,AD$17,AD$18),"")))</f>
        <v>0.26307531912573401</v>
      </c>
      <c r="AF170" s="141">
        <f>IF(AND($AA170="",AD170=""),"",$AA170-AD170)</f>
        <v>-126795.78811999992</v>
      </c>
      <c r="AG170" s="138">
        <v>380206.65</v>
      </c>
      <c r="AH170" s="458">
        <f>IF(_epmOfflineCondition_,0.286020474013546,IF(AG170=0,"",IFERROR(AG170/_xll.EVGTS($B$1,1,_xll.EVPRO($B$1,$H170,"COSBASIS"),$B$3,$B$5,$B$6,$B$7,$B$9,AG$16,AG$17,AG$18),"")))</f>
        <v>0.28602047401354602</v>
      </c>
      <c r="AI170" s="141">
        <f>IF(AND($AA170="",AG170=""),"",$AA170-AG170)</f>
        <v>166504.42000000004</v>
      </c>
    </row>
    <row r="171" spans="1:35" x14ac:dyDescent="0.25">
      <c r="A171" s="11"/>
      <c r="B171" s="11"/>
      <c r="C171" s="208"/>
      <c r="D171" s="11"/>
      <c r="E171" s="11"/>
      <c r="F171" s="11"/>
      <c r="G171" s="11"/>
      <c r="H171" s="185"/>
      <c r="I171" s="122"/>
      <c r="J171" s="122"/>
      <c r="K171" s="11"/>
      <c r="L171" s="90"/>
      <c r="M171" s="90"/>
      <c r="N171" s="493" t="s">
        <v>762</v>
      </c>
      <c r="O171" s="508">
        <f t="shared" ref="O171:AA171" si="73">IFERROR(O170/O102,"")</f>
        <v>0.25847562776917166</v>
      </c>
      <c r="P171" s="508">
        <f t="shared" si="73"/>
        <v>0.32880150866068275</v>
      </c>
      <c r="Q171" s="508">
        <f t="shared" si="73"/>
        <v>0.26994758486210646</v>
      </c>
      <c r="R171" s="508">
        <f t="shared" si="73"/>
        <v>0.20953331744143977</v>
      </c>
      <c r="S171" s="508">
        <f t="shared" si="73"/>
        <v>0.32189996077571759</v>
      </c>
      <c r="T171" s="508">
        <f t="shared" si="73"/>
        <v>0.27752119321031138</v>
      </c>
      <c r="U171" s="508">
        <f t="shared" si="73"/>
        <v>0.28364869174161123</v>
      </c>
      <c r="V171" s="508">
        <f t="shared" si="73"/>
        <v>0.34584272887202</v>
      </c>
      <c r="W171" s="508">
        <f t="shared" si="73"/>
        <v>0.32774701902459946</v>
      </c>
      <c r="X171" s="508">
        <f t="shared" si="73"/>
        <v>0.2634249752382139</v>
      </c>
      <c r="Y171" s="508">
        <f t="shared" si="73"/>
        <v>0.21788440122105113</v>
      </c>
      <c r="Z171" s="508">
        <f t="shared" si="73"/>
        <v>0.29168126263368188</v>
      </c>
      <c r="AA171" s="508">
        <f t="shared" si="73"/>
        <v>0.28041853334372235</v>
      </c>
      <c r="AB171" s="458"/>
      <c r="AC171" s="140"/>
      <c r="AD171" s="508">
        <f>IFERROR(AD170/AD102,"")</f>
        <v>0.2630753191257339</v>
      </c>
      <c r="AE171" s="458"/>
      <c r="AF171" s="521">
        <f>IF(AND($AA171="",AD171=""),"",$AA171-AD171)</f>
        <v>1.7343214217988456E-2</v>
      </c>
      <c r="AG171" s="508">
        <f>IFERROR(AG170/AG102,"")</f>
        <v>0.28602047401354608</v>
      </c>
      <c r="AH171" s="458"/>
      <c r="AI171" s="521">
        <f>IF(AND($AA171="",AG171=""),"",$AA171-AG171)</f>
        <v>-5.601940669823724E-3</v>
      </c>
    </row>
    <row r="172" spans="1:35" x14ac:dyDescent="0.25">
      <c r="A172" s="11"/>
      <c r="B172" s="11"/>
      <c r="C172" s="11"/>
      <c r="D172" s="11"/>
      <c r="E172" s="11"/>
      <c r="F172" s="11"/>
      <c r="G172" s="11"/>
      <c r="H172" s="11"/>
      <c r="I172" s="59"/>
      <c r="J172" s="59"/>
      <c r="K172" s="11"/>
      <c r="L172" s="11"/>
      <c r="M172" s="11"/>
      <c r="N172" s="11"/>
      <c r="O172" s="140"/>
      <c r="P172" s="140"/>
      <c r="Q172" s="140"/>
      <c r="R172" s="140"/>
      <c r="S172" s="140"/>
      <c r="T172" s="140"/>
      <c r="U172" s="140"/>
      <c r="V172" s="140"/>
      <c r="W172" s="140"/>
      <c r="X172" s="140"/>
      <c r="Y172" s="140"/>
      <c r="Z172" s="140"/>
      <c r="AA172" s="140"/>
      <c r="AB172" s="140"/>
      <c r="AC172" s="140"/>
      <c r="AD172" s="140"/>
      <c r="AE172" s="140"/>
      <c r="AF172" s="140"/>
      <c r="AG172" s="140"/>
      <c r="AH172" s="140"/>
      <c r="AI172" s="140"/>
    </row>
    <row r="173" spans="1:35" x14ac:dyDescent="0.25">
      <c r="A173" s="11"/>
      <c r="B173" s="11"/>
      <c r="C173" s="208"/>
      <c r="D173" s="11"/>
      <c r="E173" s="11"/>
      <c r="F173" s="11"/>
      <c r="G173" s="11"/>
      <c r="H173" s="185"/>
      <c r="I173" s="122"/>
      <c r="J173" s="122"/>
      <c r="K173" s="11"/>
      <c r="L173" s="11"/>
      <c r="M173" s="11"/>
      <c r="N173" s="104" t="str">
        <f>N102&amp;" - Check"</f>
        <v>Total Food &amp; Beverage Revenue - Check</v>
      </c>
      <c r="O173" s="511">
        <f t="shared" ref="O173:AA173" si="74">O39+O48+O57+O66+O75+O84+O90+O97+O99-O102</f>
        <v>0</v>
      </c>
      <c r="P173" s="511">
        <f t="shared" si="74"/>
        <v>0</v>
      </c>
      <c r="Q173" s="511">
        <f t="shared" si="74"/>
        <v>0</v>
      </c>
      <c r="R173" s="511">
        <f t="shared" si="74"/>
        <v>0</v>
      </c>
      <c r="S173" s="511">
        <f t="shared" si="74"/>
        <v>0</v>
      </c>
      <c r="T173" s="511">
        <f t="shared" si="74"/>
        <v>0</v>
      </c>
      <c r="U173" s="511">
        <f t="shared" si="74"/>
        <v>0</v>
      </c>
      <c r="V173" s="511">
        <f t="shared" si="74"/>
        <v>0</v>
      </c>
      <c r="W173" s="511">
        <f t="shared" si="74"/>
        <v>0</v>
      </c>
      <c r="X173" s="511">
        <f t="shared" si="74"/>
        <v>0</v>
      </c>
      <c r="Y173" s="511">
        <f t="shared" si="74"/>
        <v>0</v>
      </c>
      <c r="Z173" s="511">
        <f t="shared" si="74"/>
        <v>0</v>
      </c>
      <c r="AA173" s="511">
        <f t="shared" si="74"/>
        <v>0</v>
      </c>
      <c r="AB173" s="142"/>
      <c r="AC173" s="140"/>
      <c r="AD173" s="511">
        <f>AD39+AD48+AD57+AD66+AD75+AD97+AD99-AD102</f>
        <v>-3.7252902984619141E-9</v>
      </c>
      <c r="AE173" s="142"/>
      <c r="AF173" s="138"/>
      <c r="AG173" s="511">
        <f>AG39+AG48+AG57+AG66+AG75+AG97+AG99-AG102</f>
        <v>0</v>
      </c>
      <c r="AH173" s="142"/>
      <c r="AI173" s="138"/>
    </row>
    <row r="174" spans="1:35" x14ac:dyDescent="0.25">
      <c r="A174" s="11"/>
      <c r="B174" s="11"/>
      <c r="C174" s="208"/>
      <c r="D174" s="11"/>
      <c r="E174" s="11"/>
      <c r="F174" s="11"/>
      <c r="G174" s="11"/>
      <c r="H174" s="185"/>
      <c r="I174" s="122"/>
      <c r="J174" s="122"/>
      <c r="K174" s="11"/>
      <c r="L174" s="11"/>
      <c r="M174" s="11"/>
      <c r="N174" s="104" t="str">
        <f>N104&amp;" - Check"</f>
        <v>Total Customers (excl Mini Bar) - Check</v>
      </c>
      <c r="O174" s="511">
        <f t="shared" ref="O174:AA174" si="75">O40+O49+O58+O67+O76+O85+O91-O104</f>
        <v>0</v>
      </c>
      <c r="P174" s="511">
        <f t="shared" si="75"/>
        <v>0</v>
      </c>
      <c r="Q174" s="511">
        <f t="shared" si="75"/>
        <v>0</v>
      </c>
      <c r="R174" s="511">
        <f t="shared" si="75"/>
        <v>0</v>
      </c>
      <c r="S174" s="511">
        <f t="shared" si="75"/>
        <v>0</v>
      </c>
      <c r="T174" s="511">
        <f t="shared" si="75"/>
        <v>0</v>
      </c>
      <c r="U174" s="511">
        <f t="shared" si="75"/>
        <v>0</v>
      </c>
      <c r="V174" s="511">
        <f t="shared" si="75"/>
        <v>0</v>
      </c>
      <c r="W174" s="511">
        <f t="shared" si="75"/>
        <v>0</v>
      </c>
      <c r="X174" s="511">
        <f t="shared" si="75"/>
        <v>0</v>
      </c>
      <c r="Y174" s="511">
        <f t="shared" si="75"/>
        <v>0</v>
      </c>
      <c r="Z174" s="511">
        <f t="shared" si="75"/>
        <v>0</v>
      </c>
      <c r="AA174" s="511">
        <f t="shared" si="75"/>
        <v>0</v>
      </c>
      <c r="AB174" s="142"/>
      <c r="AC174" s="140"/>
      <c r="AD174" s="511">
        <f>AD40+AD49+AD58+AD67+AD76-AD104</f>
        <v>0</v>
      </c>
      <c r="AE174" s="142"/>
      <c r="AF174" s="138"/>
      <c r="AG174" s="511">
        <f>AG40+AG49+AG58+AG67+AG76-AG104</f>
        <v>-71</v>
      </c>
      <c r="AH174" s="142"/>
      <c r="AI174" s="138"/>
    </row>
    <row r="175" spans="1:35" x14ac:dyDescent="0.25">
      <c r="A175" s="11"/>
      <c r="B175" s="11"/>
      <c r="C175" s="11"/>
      <c r="D175" s="11"/>
      <c r="E175" s="11"/>
      <c r="F175" s="11"/>
      <c r="G175" s="11"/>
      <c r="H175" s="185"/>
      <c r="I175" s="122"/>
      <c r="J175" s="122"/>
      <c r="K175" s="11"/>
      <c r="L175" s="11"/>
      <c r="M175" s="11"/>
      <c r="N175" s="104" t="s">
        <v>768</v>
      </c>
      <c r="O175" s="511">
        <f t="shared" ref="O175:AA175" si="76">(O152+O159)-O170</f>
        <v>0</v>
      </c>
      <c r="P175" s="511">
        <f t="shared" si="76"/>
        <v>0</v>
      </c>
      <c r="Q175" s="511">
        <f t="shared" si="76"/>
        <v>0</v>
      </c>
      <c r="R175" s="511">
        <f t="shared" si="76"/>
        <v>0</v>
      </c>
      <c r="S175" s="511">
        <f t="shared" si="76"/>
        <v>0</v>
      </c>
      <c r="T175" s="511">
        <f t="shared" si="76"/>
        <v>0</v>
      </c>
      <c r="U175" s="511">
        <f t="shared" si="76"/>
        <v>0</v>
      </c>
      <c r="V175" s="511">
        <f t="shared" si="76"/>
        <v>0</v>
      </c>
      <c r="W175" s="511">
        <f t="shared" si="76"/>
        <v>0</v>
      </c>
      <c r="X175" s="511">
        <f t="shared" si="76"/>
        <v>0</v>
      </c>
      <c r="Y175" s="511">
        <f t="shared" si="76"/>
        <v>0</v>
      </c>
      <c r="Z175" s="511">
        <f t="shared" si="76"/>
        <v>0</v>
      </c>
      <c r="AA175" s="511">
        <f t="shared" si="76"/>
        <v>0</v>
      </c>
      <c r="AB175" s="142"/>
      <c r="AC175" s="140"/>
      <c r="AD175" s="511">
        <f>(AD152+AD159)-AD170</f>
        <v>0</v>
      </c>
      <c r="AE175" s="142"/>
      <c r="AF175" s="138"/>
      <c r="AG175" s="511">
        <f>(AG152+AG159)-AG170</f>
        <v>0</v>
      </c>
      <c r="AH175" s="142"/>
      <c r="AI175" s="138"/>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267"/>
      <c r="J185" s="11"/>
      <c r="K185" s="267"/>
      <c r="L185" s="267"/>
      <c r="M185" s="267"/>
      <c r="N185" s="11"/>
      <c r="O185" s="267"/>
      <c r="P185" s="267"/>
      <c r="Q185" s="267"/>
      <c r="R185" s="267"/>
      <c r="S185" s="267"/>
      <c r="T185" s="267"/>
      <c r="U185" s="267"/>
      <c r="V185" s="267"/>
      <c r="W185" s="267"/>
      <c r="X185" s="267"/>
      <c r="Y185" s="267"/>
      <c r="Z185" s="267"/>
      <c r="AA185" s="267"/>
      <c r="AB185" s="11"/>
      <c r="AC185" s="11"/>
      <c r="AD185" s="267"/>
      <c r="AE185" s="11"/>
      <c r="AF185" s="267"/>
      <c r="AG185" s="11"/>
      <c r="AH185" s="267"/>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267"/>
      <c r="J189" s="11"/>
      <c r="K189" s="267"/>
      <c r="L189" s="267"/>
      <c r="M189" s="267"/>
      <c r="N189" s="11"/>
      <c r="O189" s="267"/>
      <c r="P189" s="267"/>
      <c r="Q189" s="267"/>
      <c r="R189" s="267"/>
      <c r="S189" s="267"/>
      <c r="T189" s="267"/>
      <c r="U189" s="267"/>
      <c r="V189" s="267"/>
      <c r="W189" s="267"/>
      <c r="X189" s="267"/>
      <c r="Y189" s="267"/>
      <c r="Z189" s="267"/>
      <c r="AA189" s="267"/>
      <c r="AB189" s="11"/>
      <c r="AC189" s="11"/>
      <c r="AD189" s="267"/>
      <c r="AE189" s="11"/>
      <c r="AF189" s="267"/>
      <c r="AG189" s="11"/>
      <c r="AH189" s="267"/>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11"/>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2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2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2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25">
      <c r="A211" s="11"/>
      <c r="B211" s="11"/>
      <c r="C211" s="11"/>
      <c r="D211" s="11"/>
      <c r="E211" s="11"/>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row r="212" spans="1:35" x14ac:dyDescent="0.25">
      <c r="A212" s="11"/>
      <c r="B212" s="11"/>
      <c r="C212" s="11"/>
      <c r="D212" s="11"/>
      <c r="E212" s="11"/>
      <c r="F212" s="11"/>
      <c r="G212" s="11"/>
      <c r="H212" s="11"/>
      <c r="I212" s="59"/>
      <c r="J212" s="59"/>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row>
    <row r="213" spans="1:35" x14ac:dyDescent="0.25">
      <c r="A213" s="11"/>
      <c r="B213" s="11"/>
      <c r="C213" s="11"/>
      <c r="D213" s="11"/>
      <c r="E213" s="11"/>
      <c r="F213" s="11"/>
      <c r="G213" s="11"/>
      <c r="H213" s="11"/>
      <c r="I213" s="59"/>
      <c r="J213" s="59"/>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row>
    <row r="214" spans="1:35" x14ac:dyDescent="0.25">
      <c r="A214" s="11"/>
      <c r="B214" s="11"/>
      <c r="C214" s="11"/>
      <c r="D214" s="11"/>
      <c r="E214" s="11"/>
      <c r="F214" s="11"/>
      <c r="G214" s="11"/>
      <c r="H214" s="11"/>
      <c r="I214" s="59"/>
      <c r="J214" s="59"/>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row>
    <row r="215" spans="1:35" x14ac:dyDescent="0.25">
      <c r="A215" s="11"/>
      <c r="B215" s="11"/>
      <c r="C215" s="11"/>
      <c r="D215" s="11"/>
      <c r="E215" s="11"/>
      <c r="F215" s="11"/>
      <c r="G215" s="11"/>
      <c r="H215" s="11"/>
      <c r="I215" s="59"/>
      <c r="J215" s="59"/>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row>
    <row r="216" spans="1:35" x14ac:dyDescent="0.25">
      <c r="A216" s="11"/>
      <c r="B216" s="11"/>
      <c r="C216" s="11"/>
      <c r="D216" s="11"/>
      <c r="E216" s="11"/>
      <c r="F216" s="11"/>
      <c r="G216" s="11"/>
      <c r="H216" s="11"/>
      <c r="I216" s="59"/>
      <c r="J216" s="59"/>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row>
    <row r="217" spans="1:35" x14ac:dyDescent="0.25">
      <c r="A217" s="11"/>
      <c r="B217" s="11"/>
      <c r="C217" s="11"/>
      <c r="D217" s="11"/>
      <c r="E217" s="11"/>
      <c r="F217" s="11"/>
      <c r="G217" s="11"/>
      <c r="H217" s="11"/>
      <c r="I217" s="59"/>
      <c r="J217" s="59"/>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row>
    <row r="218" spans="1:35" x14ac:dyDescent="0.25">
      <c r="A218" s="11"/>
      <c r="B218" s="11"/>
      <c r="C218" s="11"/>
      <c r="D218" s="11"/>
      <c r="E218" s="11"/>
      <c r="F218" s="11"/>
      <c r="G218" s="11"/>
      <c r="H218" s="11"/>
      <c r="I218" s="59"/>
      <c r="J218" s="59"/>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row>
    <row r="219" spans="1:35" x14ac:dyDescent="0.25">
      <c r="A219" s="11"/>
      <c r="B219" s="11"/>
      <c r="C219" s="11"/>
      <c r="D219" s="11"/>
      <c r="E219" s="11"/>
      <c r="F219" s="11"/>
      <c r="G219" s="11"/>
      <c r="H219" s="11"/>
      <c r="I219" s="59"/>
      <c r="J219" s="59"/>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row>
    <row r="220" spans="1:35" x14ac:dyDescent="0.25">
      <c r="A220" s="11"/>
      <c r="B220" s="11"/>
      <c r="C220" s="11"/>
      <c r="D220" s="11"/>
      <c r="E220" s="11"/>
      <c r="F220" s="11"/>
      <c r="G220" s="11"/>
      <c r="H220" s="11"/>
      <c r="I220" s="59"/>
      <c r="J220" s="59"/>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row>
    <row r="221" spans="1:35" x14ac:dyDescent="0.25">
      <c r="A221" s="11"/>
      <c r="B221" s="11"/>
      <c r="C221" s="11"/>
      <c r="D221" s="11"/>
      <c r="E221" s="11"/>
      <c r="F221" s="11"/>
      <c r="G221" s="11"/>
      <c r="H221" s="11"/>
      <c r="I221" s="59"/>
      <c r="J221" s="59"/>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row>
    <row r="222" spans="1:35" x14ac:dyDescent="0.25">
      <c r="A222" s="11"/>
      <c r="B222" s="11"/>
      <c r="C222" s="11"/>
      <c r="D222" s="11"/>
      <c r="E222" s="11"/>
      <c r="F222" s="11"/>
      <c r="G222" s="11"/>
      <c r="H222" s="11"/>
      <c r="I222" s="59"/>
      <c r="J222" s="59"/>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row>
    <row r="223" spans="1:35" x14ac:dyDescent="0.25">
      <c r="A223" s="11"/>
      <c r="B223" s="11"/>
      <c r="C223" s="11"/>
      <c r="D223" s="11"/>
      <c r="E223" s="11"/>
      <c r="F223" s="11"/>
      <c r="G223" s="11"/>
      <c r="H223" s="11"/>
      <c r="I223" s="59"/>
      <c r="J223" s="59"/>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row>
    <row r="224" spans="1:35" x14ac:dyDescent="0.25">
      <c r="A224" s="11"/>
      <c r="B224" s="11"/>
      <c r="C224" s="11"/>
      <c r="D224" s="11"/>
      <c r="E224" s="11"/>
      <c r="F224" s="11"/>
      <c r="G224" s="11"/>
      <c r="H224" s="11"/>
      <c r="I224" s="59"/>
      <c r="J224" s="59"/>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row>
    <row r="225" spans="1:35" x14ac:dyDescent="0.25">
      <c r="A225" s="11"/>
      <c r="B225" s="11"/>
      <c r="C225" s="11"/>
      <c r="D225" s="11"/>
      <c r="E225" s="11"/>
      <c r="F225" s="11"/>
      <c r="G225" s="11"/>
      <c r="H225" s="11"/>
      <c r="I225" s="59"/>
      <c r="J225" s="59"/>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row>
    <row r="226" spans="1:35" x14ac:dyDescent="0.25">
      <c r="A226" s="11"/>
      <c r="B226" s="11"/>
      <c r="C226" s="11"/>
      <c r="D226" s="11"/>
      <c r="E226" s="267"/>
      <c r="F226" s="11"/>
      <c r="G226" s="11"/>
      <c r="H226" s="11"/>
      <c r="I226" s="59"/>
      <c r="J226" s="59"/>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row>
    <row r="227" spans="1:35" x14ac:dyDescent="0.25">
      <c r="A227" s="11"/>
      <c r="B227" s="11"/>
      <c r="C227" s="11"/>
      <c r="D227" s="11"/>
      <c r="E227" s="11"/>
      <c r="F227" s="11"/>
      <c r="G227" s="11"/>
      <c r="H227" s="11"/>
      <c r="I227" s="59"/>
      <c r="J227" s="59"/>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row>
    <row r="228" spans="1:35" x14ac:dyDescent="0.25">
      <c r="A228" s="11"/>
      <c r="B228" s="11"/>
      <c r="C228" s="11"/>
      <c r="D228" s="11"/>
      <c r="E228" s="11"/>
      <c r="F228" s="11"/>
      <c r="G228" s="11"/>
      <c r="H228" s="11"/>
      <c r="I228" s="59"/>
      <c r="J228" s="59"/>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row>
    <row r="229" spans="1:35" x14ac:dyDescent="0.25">
      <c r="A229" s="11"/>
      <c r="B229" s="11"/>
      <c r="C229" s="11"/>
      <c r="D229" s="11"/>
      <c r="E229" s="11"/>
      <c r="F229" s="11"/>
      <c r="G229" s="11"/>
      <c r="H229" s="11"/>
      <c r="I229" s="59"/>
      <c r="J229" s="59"/>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row>
    <row r="230" spans="1:35" x14ac:dyDescent="0.25">
      <c r="A230" s="11"/>
      <c r="B230" s="11"/>
      <c r="C230" s="11"/>
      <c r="D230" s="11"/>
      <c r="E230" s="267"/>
      <c r="F230" s="11"/>
      <c r="G230" s="11"/>
      <c r="H230" s="11"/>
      <c r="I230" s="59"/>
      <c r="J230" s="59"/>
      <c r="K230" s="11"/>
      <c r="L230" s="11"/>
      <c r="M230" s="11"/>
      <c r="N230" s="11"/>
      <c r="O230" s="11"/>
      <c r="P230" s="11"/>
      <c r="Q230" s="11"/>
      <c r="R230" s="11"/>
      <c r="S230" s="11"/>
      <c r="T230" s="11"/>
      <c r="U230" s="11"/>
      <c r="V230" s="11"/>
      <c r="W230" s="11"/>
      <c r="X230" s="11"/>
      <c r="Y230" s="11"/>
      <c r="Z230" s="11"/>
      <c r="AA230" s="11"/>
      <c r="AB230" s="11"/>
      <c r="AC230" s="11"/>
      <c r="AD230" s="11"/>
      <c r="AE230" s="11"/>
      <c r="AF230" s="11"/>
      <c r="AG230" s="11"/>
      <c r="AH230" s="11"/>
      <c r="AI230" s="11"/>
    </row>
  </sheetData>
  <sheetProtection algorithmName="SHA-512" hashValue="vwVVyeVI6snmJEqoFlbGTTwr8HxQhxlFWtv4dmBDm4isNBzJYmAEnPcyQ+e0d7LDkgbekIDloClym4te+qkFUA==" saltValue="+FcpGYIWVSYU9ziauPzkVQ==" spinCount="100000" sheet="1" scenarios="1"/>
  <mergeCells count="2">
    <mergeCell ref="AD31:AE31"/>
    <mergeCell ref="AG31:AH31"/>
  </mergeCells>
  <conditionalFormatting sqref="AD42 AF42:AG42 O42:AA42">
    <cfRule type="expression" dxfId="176" priority="19">
      <formula>ROUND(O41,2)&lt;&gt;ROUND(O42,2)</formula>
    </cfRule>
  </conditionalFormatting>
  <conditionalFormatting sqref="N42">
    <cfRule type="expression" dxfId="175" priority="17">
      <formula>$G42&lt;&gt;0</formula>
    </cfRule>
  </conditionalFormatting>
  <conditionalFormatting sqref="O51:AA51 AD51 AF51:AG51">
    <cfRule type="expression" dxfId="174" priority="24">
      <formula>ROUND(O50,2)&lt;&gt;ROUND(O51,2)</formula>
    </cfRule>
  </conditionalFormatting>
  <conditionalFormatting sqref="N51">
    <cfRule type="expression" dxfId="173" priority="21">
      <formula>$G51&lt;&gt;0</formula>
    </cfRule>
  </conditionalFormatting>
  <conditionalFormatting sqref="O60:AA60 AD60 AF60:AG60">
    <cfRule type="expression" dxfId="172" priority="26">
      <formula>ROUND(O59,2)&lt;&gt;ROUND(O60,2)</formula>
    </cfRule>
  </conditionalFormatting>
  <conditionalFormatting sqref="N60">
    <cfRule type="expression" dxfId="171" priority="25">
      <formula>$G60&lt;&gt;0</formula>
    </cfRule>
  </conditionalFormatting>
  <conditionalFormatting sqref="O69:AA69 AD69 AF69:AG69">
    <cfRule type="expression" dxfId="170" priority="29">
      <formula>ROUND(O68,2)&lt;&gt;ROUND(O69,2)</formula>
    </cfRule>
  </conditionalFormatting>
  <conditionalFormatting sqref="N69">
    <cfRule type="expression" dxfId="169" priority="28">
      <formula>$G69&lt;&gt;0</formula>
    </cfRule>
  </conditionalFormatting>
  <conditionalFormatting sqref="N93">
    <cfRule type="expression" dxfId="168" priority="30">
      <formula>$G93&lt;&gt;0</formula>
    </cfRule>
  </conditionalFormatting>
  <conditionalFormatting sqref="O93:AA93 AD93 AF93:AG93">
    <cfRule type="expression" dxfId="167" priority="31">
      <formula>ROUND(O77,2)&lt;&gt;ROUND(O93,2)</formula>
    </cfRule>
  </conditionalFormatting>
  <conditionalFormatting sqref="AI42">
    <cfRule type="expression" dxfId="166" priority="15">
      <formula>ROUND(AI41,2)&lt;&gt;ROUND(AI42,2)</formula>
    </cfRule>
  </conditionalFormatting>
  <conditionalFormatting sqref="AI51">
    <cfRule type="expression" dxfId="165" priority="14">
      <formula>ROUND(AI50,2)&lt;&gt;ROUND(AI51,2)</formula>
    </cfRule>
  </conditionalFormatting>
  <conditionalFormatting sqref="AI60">
    <cfRule type="expression" dxfId="164" priority="13">
      <formula>ROUND(AI59,2)&lt;&gt;ROUND(AI60,2)</formula>
    </cfRule>
  </conditionalFormatting>
  <conditionalFormatting sqref="AI69">
    <cfRule type="expression" dxfId="163" priority="12">
      <formula>ROUND(AI68,2)&lt;&gt;ROUND(AI69,2)</formula>
    </cfRule>
  </conditionalFormatting>
  <conditionalFormatting sqref="AI93">
    <cfRule type="expression" dxfId="162" priority="11">
      <formula>ROUND(AI77,2)&lt;&gt;ROUND(AI93,2)</formula>
    </cfRule>
  </conditionalFormatting>
  <conditionalFormatting sqref="O78:AA78 AD78 AF78:AG78">
    <cfRule type="expression" dxfId="161" priority="6">
      <formula>ROUND(O77,2)&lt;&gt;ROUND(O78,2)</formula>
    </cfRule>
  </conditionalFormatting>
  <conditionalFormatting sqref="AI87">
    <cfRule type="expression" dxfId="160" priority="1">
      <formula>ROUND(AI86,2)&lt;&gt;ROUND(AI87,2)</formula>
    </cfRule>
  </conditionalFormatting>
  <conditionalFormatting sqref="N78">
    <cfRule type="expression" dxfId="159" priority="5">
      <formula>$G78&lt;&gt;0</formula>
    </cfRule>
  </conditionalFormatting>
  <conditionalFormatting sqref="AI78">
    <cfRule type="expression" dxfId="158" priority="4">
      <formula>ROUND(AI77,2)&lt;&gt;ROUND(AI78,2)</formula>
    </cfRule>
  </conditionalFormatting>
  <conditionalFormatting sqref="O87:AA87 AD87 AF87:AG87">
    <cfRule type="expression" dxfId="157" priority="3">
      <formula>ROUND(O86,2)&lt;&gt;ROUND(O87,2)</formula>
    </cfRule>
  </conditionalFormatting>
  <conditionalFormatting sqref="N87">
    <cfRule type="expression" dxfId="156" priority="2">
      <formula>$G87&lt;&gt;0</formula>
    </cfRule>
  </conditionalFormatting>
  <dataValidations disablePrompts="1" count="2">
    <dataValidation type="list" allowBlank="1" sqref="B28" xr:uid="{00000000-0002-0000-0600-000000000000}">
      <formula1>"ACCOUNT,BUSINESSUNIT,CATEGORY,DATASRC,DEPARTMENT,INTCO,MEASURES,RPTCURRENCY,TIME"</formula1>
    </dataValidation>
    <dataValidation type="list" allowBlank="1" sqref="B29" xr:uid="{00000000-0002-0000-0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555"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3555" r:id="rId7" name="FPMExcelClientSheetOptionstb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6" tint="0.39997558519241921"/>
    <pageSetUpPr fitToPage="1"/>
  </sheetPr>
  <dimension ref="A1:AO198"/>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IF(_epmOfflineCondition_,"Seawell Restaurant",IF(OR(_xll.EVCGT($B$1,$B$6,$H$1,$H$2,$H$3,$H$4,$H$5,$H$6,$H$7,$H$8)="#RFR",_xll.EVCGT($B$1,$B$6,$H$1,$H$2,$H$3,$H$4,$H$5,$H$6,$H$7,$H$8)="#NODATA"),"",_xll.EVCGT($B$1,$B$6,$H$1,$H$2,$H$3,$H$4,$H$5,$H$6,$H$7,$H$8)))</f>
        <v>Seawell Restaurant</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725</v>
      </c>
      <c r="C6" s="11" t="str">
        <f>IF(_epmOfflineCondition_,"Venue 1",_xll.EVDES(B6,$B$1))</f>
        <v>Venue 1</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IF(_epmOfflineCondition_,"'Venue1'!$B$2:$B$10",_xll.EVRNG($B$2:$B$10))</f>
        <v>'Venue1'!$B$2:$B$10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IF(_epmOfflineCondition_,"'Venue1'!$O$16:$AN$18",_xll.EVRNG($O$16:$AN$18))</f>
        <v>'Venue1'!$O$16:$AN$18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IF(_epmOfflineCondition_,"'Venue1'!$H$35:$H$58",_xll.EVRNG(H35:H58))</f>
        <v>'Venue1'!$H$35:$H$58</v>
      </c>
      <c r="C19" s="11"/>
      <c r="D19" s="11"/>
      <c r="E19" s="11"/>
      <c r="F19" s="11"/>
      <c r="G19" s="67" t="str">
        <f>$B$6</f>
        <v>D2140</v>
      </c>
      <c r="H19" s="67">
        <v>400000</v>
      </c>
      <c r="I19" s="68"/>
      <c r="J19" s="68"/>
      <c r="K19" s="67"/>
      <c r="L19" s="67"/>
      <c r="M19" s="67"/>
      <c r="N19" s="67" t="str">
        <f>IF(_epmOfflineCondition_,"Total Revenue",_xll.EVDES(H19))</f>
        <v>Total Revenue</v>
      </c>
      <c r="O19" s="69">
        <f>IF(_epmOfflineCondition_,74858.31,_xll.EVGTS($B$1,1,$B$3,$B$5,$B$7,$B$9,O$16,O$17,O$18,$G$19,$H$19))</f>
        <v>74858.31</v>
      </c>
      <c r="P19" s="69">
        <f>IF(_epmOfflineCondition_,105069.3,_xll.EVGTS($B$1,1,$B$3,$B$5,$B$7,$B$9,P$16,P$17,P$18,$G$19,$H$19))</f>
        <v>105069.3</v>
      </c>
      <c r="Q19" s="69">
        <f>IF(_epmOfflineCondition_,110056.06,_xll.EVGTS($B$1,1,$B$3,$B$5,$B$7,$B$9,Q$16,Q$17,Q$18,$G$19,$H$19))</f>
        <v>110056.06</v>
      </c>
      <c r="R19" s="69">
        <f>IF(_epmOfflineCondition_,118655.01,_xll.EVGTS($B$1,1,$B$3,$B$5,$B$7,$B$9,R$16,R$17,R$18,$G$19,$H$19))</f>
        <v>118655.01</v>
      </c>
      <c r="S19" s="69">
        <f>IF(_epmOfflineCondition_,99741.27,_xll.EVGTS($B$1,1,$B$3,$B$5,$B$7,$B$9,S$16,S$17,S$18,$G$19,$H$19))</f>
        <v>99741.27</v>
      </c>
      <c r="T19" s="69">
        <f>IF(_epmOfflineCondition_,76187.73,_xll.EVGTS($B$1,1,$B$3,$B$5,$B$7,$B$9,T$16,T$17,T$18,$G$19,$H$19))</f>
        <v>76187.73</v>
      </c>
      <c r="U19" s="69">
        <f>IF(_epmOfflineCondition_,88142.67,_xll.EVGTS($B$1,1,$B$3,$B$5,$B$7,$B$9,U$16,U$17,U$18,$G$19,$H$19))</f>
        <v>88142.67</v>
      </c>
      <c r="V19" s="69">
        <f>IF(_epmOfflineCondition_,68693.87,_xll.EVGTS($B$1,1,$B$3,$B$5,$B$7,$B$9,V$16,V$17,V$18,$G$19,$H$19))</f>
        <v>68693.87</v>
      </c>
      <c r="W19" s="69">
        <f>IF(_epmOfflineCondition_,54964.98,_xll.EVGTS($B$1,1,$B$3,$B$5,$B$7,$B$9,W$16,W$17,W$18,$G$19,$H$19))</f>
        <v>54964.98</v>
      </c>
      <c r="X19" s="69">
        <f>IF(_epmOfflineCondition_,59870.41,_xll.EVGTS($B$1,1,$B$3,$B$5,$B$7,$B$9,X$16,X$17,X$18,$G$19,$H$19))</f>
        <v>59870.41</v>
      </c>
      <c r="Y19" s="69">
        <f>IF(_epmOfflineCondition_,66076.47,_xll.EVGTS($B$1,1,$B$3,$B$5,$B$7,$B$9,Y$16,Y$17,Y$18,$G$19,$H$19))</f>
        <v>66076.47</v>
      </c>
      <c r="Z19" s="69">
        <f>IF(_epmOfflineCondition_,100505.36,_xll.EVGTS($B$1,1,$B$3,$B$5,$B$7,$B$9,Z$16,Z$17,Z$18,$G$19,$H$19))</f>
        <v>100505.36</v>
      </c>
      <c r="AA19" s="69">
        <f>SUM(O19:Z19)</f>
        <v>1022821.4400000001</v>
      </c>
      <c r="AB19" s="67"/>
      <c r="AC19" s="67"/>
      <c r="AD19" s="69">
        <f>IF(_epmOfflineCondition_,1537600.77,_xll.EVGTS($B$1,1,$B$3,$B$5,$B$7,$B$9,AD$16,AD$17,AD$18,$G$19,$H$19))</f>
        <v>1537600.77</v>
      </c>
      <c r="AE19" s="67"/>
      <c r="AF19" s="67"/>
      <c r="AG19" s="69">
        <f>IF(_epmOfflineCondition_,747444.12,_xll.EVGTS($B$1,1,$B$3,$B$5,$B$7,$B$9,AG$16,AG$17,AG$18,$G$19,$H$19))</f>
        <v>747444.12</v>
      </c>
      <c r="AH19" s="67"/>
      <c r="AI19" s="67"/>
      <c r="AJ19" s="11"/>
      <c r="AK19" s="11"/>
      <c r="AL19" s="11"/>
      <c r="AM19" s="11"/>
      <c r="AN19" s="11"/>
      <c r="AO19" s="11"/>
    </row>
    <row r="20" spans="1:41" hidden="1" outlineLevel="1" x14ac:dyDescent="0.25">
      <c r="A20" s="65" t="s">
        <v>5</v>
      </c>
      <c r="B20" s="66"/>
      <c r="C20" s="11"/>
      <c r="D20" s="11"/>
      <c r="E20" s="11"/>
      <c r="F20" s="11"/>
      <c r="G20" s="67" t="str">
        <f>$B$6</f>
        <v>D2140</v>
      </c>
      <c r="H20" s="67">
        <v>946000</v>
      </c>
      <c r="I20" s="68"/>
      <c r="J20" s="68"/>
      <c r="K20" s="67"/>
      <c r="L20" s="68"/>
      <c r="M20" s="68"/>
      <c r="N20" s="67" t="str">
        <f>IF(_epmOfflineCondition_,"Total Customers",_xll.EVDES(H20))</f>
        <v>Total Customers</v>
      </c>
      <c r="O20" s="69">
        <f>IF(_epmOfflineCondition_,2209,_xll.EVGTS($B$1,1,$B$3,$B$5,$B$7,$B$9,O$16,O$17,O$18,$G$20,$H$20))</f>
        <v>2209</v>
      </c>
      <c r="P20" s="69">
        <f>IF(_epmOfflineCondition_,2626,_xll.EVGTS($B$1,1,$B$3,$B$5,$B$7,$B$9,P$16,P$17,P$18,$G$20,$H$20))</f>
        <v>2626</v>
      </c>
      <c r="Q20" s="69">
        <f>IF(_epmOfflineCondition_,2680,_xll.EVGTS($B$1,1,$B$3,$B$5,$B$7,$B$9,Q$16,Q$17,Q$18,$G$20,$H$20))</f>
        <v>2680</v>
      </c>
      <c r="R20" s="69">
        <f>IF(_epmOfflineCondition_,2835,_xll.EVGTS($B$1,1,$B$3,$B$5,$B$7,$B$9,R$16,R$17,R$18,$G$20,$H$20))</f>
        <v>2835</v>
      </c>
      <c r="S20" s="69">
        <f>IF(_epmOfflineCondition_,2378,_xll.EVGTS($B$1,1,$B$3,$B$5,$B$7,$B$9,S$16,S$17,S$18,$G$20,$H$20))</f>
        <v>2378</v>
      </c>
      <c r="T20" s="69">
        <f>IF(_epmOfflineCondition_,1941,_xll.EVGTS($B$1,1,$B$3,$B$5,$B$7,$B$9,T$16,T$17,T$18,$G$20,$H$20))</f>
        <v>1941</v>
      </c>
      <c r="U20" s="69">
        <f>IF(_epmOfflineCondition_,2313,_xll.EVGTS($B$1,1,$B$3,$B$5,$B$7,$B$9,U$16,U$17,U$18,$G$20,$H$20))</f>
        <v>2313</v>
      </c>
      <c r="V20" s="69">
        <f>IF(_epmOfflineCondition_,1854,_xll.EVGTS($B$1,1,$B$3,$B$5,$B$7,$B$9,V$16,V$17,V$18,$G$20,$H$20))</f>
        <v>1854</v>
      </c>
      <c r="W20" s="69">
        <f>IF(_epmOfflineCondition_,1413,_xll.EVGTS($B$1,1,$B$3,$B$5,$B$7,$B$9,W$16,W$17,W$18,$G$20,$H$20))</f>
        <v>1413</v>
      </c>
      <c r="X20" s="69">
        <f>IF(_epmOfflineCondition_,1583,_xll.EVGTS($B$1,1,$B$3,$B$5,$B$7,$B$9,X$16,X$17,X$18,$G$20,$H$20))</f>
        <v>1583</v>
      </c>
      <c r="Y20" s="69">
        <f>IF(_epmOfflineCondition_,1914,_xll.EVGTS($B$1,1,$B$3,$B$5,$B$7,$B$9,Y$16,Y$17,Y$18,$G$20,$H$20))</f>
        <v>1914</v>
      </c>
      <c r="Z20" s="69">
        <f>IF(_epmOfflineCondition_,2974,_xll.EVGTS($B$1,1,$B$3,$B$5,$B$7,$B$9,Z$16,Z$17,Z$18,$G$20,$H$20))</f>
        <v>2974</v>
      </c>
      <c r="AA20" s="69">
        <f>SUM(O20:Z20)</f>
        <v>26720</v>
      </c>
      <c r="AB20" s="67"/>
      <c r="AC20" s="67"/>
      <c r="AD20" s="69">
        <f>IF(_epmOfflineCondition_,34200,_xll.EVGTS($B$1,1,$B$3,$B$5,$B$7,$B$9,AD$16,AD$17,AD$18,$G$20,$H$20))</f>
        <v>34200</v>
      </c>
      <c r="AE20" s="67"/>
      <c r="AF20" s="67"/>
      <c r="AG20" s="69">
        <f>IF(_epmOfflineCondition_,17932,_xll.EVGTS($B$1,1,$B$3,$B$5,$B$7,$B$9,AG$16,AG$17,AG$18,$G$20,$H$20))</f>
        <v>17932</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IF(_epmOfflineCondition_,"'Venue1'!$A$36:$F$44",_xll.EVRNG(A36:F44))</f>
        <v>'Venue1'!$A$36:$F$44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IF(_epmOfflineCondition_,"'Venue1'!$A$125:$B$146",_xll.EVRNG($A$125:$B$146))</f>
        <v>'Venue1'!$A$125:$B$146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IF(_epmOfflineCondition_,"Seawell Restaurant",IF($N$1="",IF(_xll.EVDES(B6,$B$1)="#NODATA","",_xll.EVDES(B6,$B$1)&amp;" Department"),$N$1))</f>
        <v>Seawell Restaurant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57">
        <v>41865.14</v>
      </c>
      <c r="P35" s="210">
        <v>47751.75</v>
      </c>
      <c r="Q35" s="210">
        <v>50816.91</v>
      </c>
      <c r="R35" s="210">
        <v>54655.46</v>
      </c>
      <c r="S35" s="210">
        <v>49144.66</v>
      </c>
      <c r="T35" s="210">
        <v>35027.9</v>
      </c>
      <c r="U35" s="210">
        <v>40048.04</v>
      </c>
      <c r="V35" s="210">
        <v>30635.200000000001</v>
      </c>
      <c r="W35" s="210">
        <v>24787.040000000001</v>
      </c>
      <c r="X35" s="210">
        <v>25101.98</v>
      </c>
      <c r="Y35" s="210">
        <v>35932.47</v>
      </c>
      <c r="Z35" s="210">
        <v>45017.53</v>
      </c>
      <c r="AA35" s="210">
        <f t="shared" ref="AA35:AA58" si="1">IF($I35="B1","",SUM(O35:Z35))</f>
        <v>480784.07999999996</v>
      </c>
      <c r="AB35" s="458">
        <f t="shared" ref="AB35:AB58" si="2">IF(AA35=0,"",IFERROR(AA35/AA$19,""))</f>
        <v>0.47005670901853597</v>
      </c>
      <c r="AC35" s="528"/>
      <c r="AD35" s="210">
        <v>502931.05249999999</v>
      </c>
      <c r="AE35" s="458">
        <f t="shared" ref="AE35:AE58" si="3">IF(AD35=0,"",IFERROR(AD35/AD$19,""))</f>
        <v>0.32708818980365106</v>
      </c>
      <c r="AF35" s="460">
        <f t="shared" ref="AF35:AF58" si="4">IF(AND($AA35="",AD35=""),"",$AA35-AD35)</f>
        <v>-22146.972500000033</v>
      </c>
      <c r="AG35" s="210">
        <v>198017.17</v>
      </c>
      <c r="AH35" s="458">
        <f t="shared" ref="AH35:AH58" si="5">IF(AG35=0,"",IFERROR(AG35/AG$19,""))</f>
        <v>0.2649257177914518</v>
      </c>
      <c r="AI35" s="461">
        <f t="shared" ref="AI35:AI58" si="6">IF(AND($AA35="",AG35=""),"",$AA35-AG35)</f>
        <v>282766.90999999992</v>
      </c>
      <c r="AJ35" s="462">
        <f t="shared" ref="AJ35:AJ58" si="7">IFERROR(AA35/AA$20,0)</f>
        <v>17.99341616766467</v>
      </c>
      <c r="AK35" s="463">
        <f t="shared" ref="AK35:AK58" si="8">IFERROR(AD35/AD$20,0)</f>
        <v>14.705586330409357</v>
      </c>
      <c r="AL35" s="464">
        <f t="shared" ref="AL35:AL58" si="9">IFERROR(AG35/AG$20,0)</f>
        <v>11.042670644657596</v>
      </c>
      <c r="AM35" s="465" t="str">
        <f t="shared" ref="AM35:AM58" si="10">+IFERROR(ROUND(($AB35-AE35)*100,2)&amp;" pts.",0)</f>
        <v>14.3 pts.</v>
      </c>
      <c r="AN35" s="466" t="str">
        <f t="shared" ref="AN35:AN58" si="11">+IFERROR(ROUND(($AB35-AH35)*100,2)&amp;" pts.",0)</f>
        <v>20.51 pts.</v>
      </c>
      <c r="AO35" s="11"/>
    </row>
    <row r="36" spans="1:41" x14ac:dyDescent="0.2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57"/>
      <c r="P36" s="210"/>
      <c r="Q36" s="210"/>
      <c r="R36" s="210"/>
      <c r="S36" s="210"/>
      <c r="T36" s="210"/>
      <c r="U36" s="210"/>
      <c r="V36" s="210"/>
      <c r="W36" s="210"/>
      <c r="X36" s="210"/>
      <c r="Y36" s="210"/>
      <c r="Z36" s="210"/>
      <c r="AA36" s="210">
        <f t="shared" si="1"/>
        <v>0</v>
      </c>
      <c r="AB36" s="458" t="str">
        <f t="shared" si="2"/>
        <v/>
      </c>
      <c r="AC36" s="528"/>
      <c r="AD36" s="210"/>
      <c r="AE36" s="458" t="str">
        <f t="shared" si="3"/>
        <v/>
      </c>
      <c r="AF36" s="460">
        <f t="shared" si="4"/>
        <v>0</v>
      </c>
      <c r="AG36" s="210">
        <v>48444.58</v>
      </c>
      <c r="AH36" s="458">
        <f t="shared" si="5"/>
        <v>6.4813647875108044E-2</v>
      </c>
      <c r="AI36" s="461">
        <f t="shared" si="6"/>
        <v>-48444.58</v>
      </c>
      <c r="AJ36" s="462">
        <f t="shared" si="7"/>
        <v>0</v>
      </c>
      <c r="AK36" s="463">
        <f t="shared" si="8"/>
        <v>0</v>
      </c>
      <c r="AL36" s="464">
        <f t="shared" si="9"/>
        <v>2.7015714923042609</v>
      </c>
      <c r="AM36" s="465">
        <f t="shared" si="10"/>
        <v>0</v>
      </c>
      <c r="AN36" s="466">
        <f t="shared" si="11"/>
        <v>0</v>
      </c>
      <c r="AO36" s="11"/>
    </row>
    <row r="37" spans="1:41" x14ac:dyDescent="0.2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57">
        <v>10572.94</v>
      </c>
      <c r="P37" s="210">
        <v>22247</v>
      </c>
      <c r="Q37" s="210">
        <v>23887</v>
      </c>
      <c r="R37" s="210">
        <v>26509</v>
      </c>
      <c r="S37" s="210">
        <v>18582</v>
      </c>
      <c r="T37" s="210">
        <v>17564.79</v>
      </c>
      <c r="U37" s="210">
        <v>21280.3</v>
      </c>
      <c r="V37" s="210">
        <v>17056.599999999999</v>
      </c>
      <c r="W37" s="210">
        <v>12022.2</v>
      </c>
      <c r="X37" s="210">
        <v>15883.4</v>
      </c>
      <c r="Y37" s="210">
        <v>12161.69</v>
      </c>
      <c r="Z37" s="210">
        <v>26625.75</v>
      </c>
      <c r="AA37" s="210">
        <f t="shared" si="1"/>
        <v>224392.67</v>
      </c>
      <c r="AB37" s="458">
        <f t="shared" si="2"/>
        <v>0.21938596633250082</v>
      </c>
      <c r="AC37" s="528"/>
      <c r="AD37" s="210">
        <v>480404.03749999998</v>
      </c>
      <c r="AE37" s="458">
        <f t="shared" si="3"/>
        <v>0.3124374329625238</v>
      </c>
      <c r="AF37" s="460">
        <f t="shared" si="4"/>
        <v>-256011.36749999996</v>
      </c>
      <c r="AG37" s="210">
        <v>251702.81</v>
      </c>
      <c r="AH37" s="458">
        <f t="shared" si="5"/>
        <v>0.33675134135779944</v>
      </c>
      <c r="AI37" s="461">
        <f t="shared" si="6"/>
        <v>-27310.139999999985</v>
      </c>
      <c r="AJ37" s="462">
        <f t="shared" si="7"/>
        <v>8.3979292664670666</v>
      </c>
      <c r="AK37" s="463">
        <f t="shared" si="8"/>
        <v>14.046901681286549</v>
      </c>
      <c r="AL37" s="464">
        <f t="shared" si="9"/>
        <v>14.036516283738568</v>
      </c>
      <c r="AM37" s="465" t="str">
        <f t="shared" si="10"/>
        <v>-9.31 pts.</v>
      </c>
      <c r="AN37" s="466" t="str">
        <f t="shared" si="11"/>
        <v>-11.74 pts.</v>
      </c>
      <c r="AO37" s="11"/>
    </row>
    <row r="38" spans="1:41" x14ac:dyDescent="0.2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57"/>
      <c r="P38" s="210"/>
      <c r="Q38" s="210"/>
      <c r="R38" s="210"/>
      <c r="S38" s="210"/>
      <c r="T38" s="210"/>
      <c r="U38" s="210"/>
      <c r="V38" s="210"/>
      <c r="W38" s="210"/>
      <c r="X38" s="210"/>
      <c r="Y38" s="210"/>
      <c r="Z38" s="210"/>
      <c r="AA38" s="210">
        <f t="shared" si="1"/>
        <v>0</v>
      </c>
      <c r="AB38" s="458" t="str">
        <f t="shared" si="2"/>
        <v/>
      </c>
      <c r="AC38" s="528"/>
      <c r="AD38" s="210"/>
      <c r="AE38" s="458" t="str">
        <f t="shared" si="3"/>
        <v/>
      </c>
      <c r="AF38" s="460">
        <f t="shared" si="4"/>
        <v>0</v>
      </c>
      <c r="AG38" s="210">
        <v>77</v>
      </c>
      <c r="AH38" s="458">
        <f t="shared" si="5"/>
        <v>1.0301773462342576E-4</v>
      </c>
      <c r="AI38" s="461">
        <f t="shared" si="6"/>
        <v>-77</v>
      </c>
      <c r="AJ38" s="462">
        <f t="shared" si="7"/>
        <v>0</v>
      </c>
      <c r="AK38" s="463">
        <f t="shared" si="8"/>
        <v>0</v>
      </c>
      <c r="AL38" s="464">
        <f t="shared" si="9"/>
        <v>4.293999553870176E-3</v>
      </c>
      <c r="AM38" s="465">
        <f t="shared" si="10"/>
        <v>0</v>
      </c>
      <c r="AN38" s="466">
        <f t="shared" si="11"/>
        <v>0</v>
      </c>
      <c r="AO38" s="11"/>
    </row>
    <row r="39" spans="1:41" x14ac:dyDescent="0.2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67"/>
      <c r="P39" s="216"/>
      <c r="Q39" s="216"/>
      <c r="R39" s="216"/>
      <c r="S39" s="216"/>
      <c r="T39" s="216"/>
      <c r="U39" s="216"/>
      <c r="V39" s="216"/>
      <c r="W39" s="216"/>
      <c r="X39" s="216"/>
      <c r="Y39" s="216"/>
      <c r="Z39" s="216"/>
      <c r="AA39" s="216">
        <f t="shared" si="1"/>
        <v>0</v>
      </c>
      <c r="AB39" s="468" t="str">
        <f t="shared" si="2"/>
        <v/>
      </c>
      <c r="AC39" s="459"/>
      <c r="AD39" s="216"/>
      <c r="AE39" s="468" t="str">
        <f t="shared" si="3"/>
        <v/>
      </c>
      <c r="AF39" s="469">
        <f t="shared" si="4"/>
        <v>0</v>
      </c>
      <c r="AG39" s="216"/>
      <c r="AH39" s="468" t="str">
        <f t="shared" si="5"/>
        <v/>
      </c>
      <c r="AI39" s="470">
        <f t="shared" si="6"/>
        <v>0</v>
      </c>
      <c r="AJ39" s="471">
        <f t="shared" si="7"/>
        <v>0</v>
      </c>
      <c r="AK39" s="472">
        <f t="shared" si="8"/>
        <v>0</v>
      </c>
      <c r="AL39" s="473">
        <f t="shared" si="9"/>
        <v>0</v>
      </c>
      <c r="AM39" s="474">
        <f t="shared" si="10"/>
        <v>0</v>
      </c>
      <c r="AN39" s="475">
        <f t="shared" si="11"/>
        <v>0</v>
      </c>
      <c r="AO39" s="11"/>
    </row>
    <row r="40" spans="1:41" x14ac:dyDescent="0.2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76">
        <v>52438.080000000002</v>
      </c>
      <c r="P40" s="223">
        <v>69998.75</v>
      </c>
      <c r="Q40" s="223">
        <v>74703.91</v>
      </c>
      <c r="R40" s="223">
        <v>81164.460000000006</v>
      </c>
      <c r="S40" s="223">
        <v>67726.66</v>
      </c>
      <c r="T40" s="223">
        <v>52592.69</v>
      </c>
      <c r="U40" s="223">
        <v>61328.34</v>
      </c>
      <c r="V40" s="223">
        <v>47691.8</v>
      </c>
      <c r="W40" s="223">
        <v>36809.24</v>
      </c>
      <c r="X40" s="223">
        <v>40985.379999999997</v>
      </c>
      <c r="Y40" s="223">
        <v>48094.16</v>
      </c>
      <c r="Z40" s="223">
        <v>71643.28</v>
      </c>
      <c r="AA40" s="223">
        <f t="shared" si="1"/>
        <v>705176.75000000012</v>
      </c>
      <c r="AB40" s="224">
        <f t="shared" si="2"/>
        <v>0.68944267535103687</v>
      </c>
      <c r="AC40" s="225"/>
      <c r="AD40" s="223">
        <v>983335.09</v>
      </c>
      <c r="AE40" s="224">
        <f t="shared" si="3"/>
        <v>0.63952562276617486</v>
      </c>
      <c r="AF40" s="226">
        <f t="shared" si="4"/>
        <v>-278158.33999999985</v>
      </c>
      <c r="AG40" s="223">
        <v>498241.56</v>
      </c>
      <c r="AH40" s="224">
        <f t="shared" si="5"/>
        <v>0.6665937247589826</v>
      </c>
      <c r="AI40" s="477">
        <f t="shared" si="6"/>
        <v>206935.19000000012</v>
      </c>
      <c r="AJ40" s="227">
        <f t="shared" si="7"/>
        <v>26.39134543413174</v>
      </c>
      <c r="AK40" s="228">
        <f t="shared" si="8"/>
        <v>28.752488011695906</v>
      </c>
      <c r="AL40" s="230">
        <f t="shared" si="9"/>
        <v>27.785052420254292</v>
      </c>
      <c r="AM40" s="427" t="str">
        <f t="shared" si="10"/>
        <v>4.99 pts.</v>
      </c>
      <c r="AN40" s="478" t="str">
        <f t="shared" si="11"/>
        <v>2.28 pts.</v>
      </c>
      <c r="AO40" s="11"/>
    </row>
    <row r="41" spans="1:41" x14ac:dyDescent="0.2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79"/>
      <c r="P41" s="232"/>
      <c r="Q41" s="232"/>
      <c r="R41" s="232"/>
      <c r="S41" s="232"/>
      <c r="T41" s="232"/>
      <c r="U41" s="232"/>
      <c r="V41" s="232"/>
      <c r="W41" s="232"/>
      <c r="X41" s="232"/>
      <c r="Y41" s="232"/>
      <c r="Z41" s="232"/>
      <c r="AA41" s="232" t="str">
        <f t="shared" si="1"/>
        <v/>
      </c>
      <c r="AB41" s="480" t="str">
        <f t="shared" si="2"/>
        <v/>
      </c>
      <c r="AC41" s="529"/>
      <c r="AD41" s="232"/>
      <c r="AE41" s="480" t="str">
        <f t="shared" si="3"/>
        <v/>
      </c>
      <c r="AF41" s="482" t="str">
        <f t="shared" si="4"/>
        <v/>
      </c>
      <c r="AG41" s="232"/>
      <c r="AH41" s="480" t="str">
        <f t="shared" si="5"/>
        <v/>
      </c>
      <c r="AI41" s="483" t="str">
        <f t="shared" si="6"/>
        <v/>
      </c>
      <c r="AJ41" s="235">
        <f t="shared" si="7"/>
        <v>0</v>
      </c>
      <c r="AK41" s="236">
        <f t="shared" si="8"/>
        <v>0</v>
      </c>
      <c r="AL41" s="238">
        <f t="shared" si="9"/>
        <v>0</v>
      </c>
      <c r="AM41" s="429">
        <f t="shared" si="10"/>
        <v>0</v>
      </c>
      <c r="AN41" s="484">
        <f t="shared" si="11"/>
        <v>0</v>
      </c>
      <c r="AO41" s="11"/>
    </row>
    <row r="42" spans="1:41" x14ac:dyDescent="0.2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57">
        <v>5578</v>
      </c>
      <c r="P42" s="210">
        <v>8289.4</v>
      </c>
      <c r="Q42" s="210">
        <v>8522</v>
      </c>
      <c r="R42" s="210">
        <v>7602.67</v>
      </c>
      <c r="S42" s="210">
        <v>8565</v>
      </c>
      <c r="T42" s="210">
        <v>5337.51</v>
      </c>
      <c r="U42" s="210">
        <v>5971</v>
      </c>
      <c r="V42" s="210">
        <v>4567</v>
      </c>
      <c r="W42" s="210">
        <v>4864</v>
      </c>
      <c r="X42" s="210">
        <v>3094</v>
      </c>
      <c r="Y42" s="210">
        <v>3147.2</v>
      </c>
      <c r="Z42" s="210">
        <v>4446.1000000000004</v>
      </c>
      <c r="AA42" s="210">
        <f t="shared" si="1"/>
        <v>69983.88</v>
      </c>
      <c r="AB42" s="458">
        <f t="shared" si="2"/>
        <v>6.842238269858715E-2</v>
      </c>
      <c r="AC42" s="528"/>
      <c r="AD42" s="210">
        <v>137745.44750000001</v>
      </c>
      <c r="AE42" s="458">
        <f t="shared" si="3"/>
        <v>8.9584663449407617E-2</v>
      </c>
      <c r="AF42" s="460">
        <f t="shared" si="4"/>
        <v>-67761.567500000005</v>
      </c>
      <c r="AG42" s="210">
        <v>24438.17</v>
      </c>
      <c r="AH42" s="458">
        <f t="shared" si="5"/>
        <v>3.2695648204443699E-2</v>
      </c>
      <c r="AI42" s="461">
        <f t="shared" si="6"/>
        <v>45545.710000000006</v>
      </c>
      <c r="AJ42" s="462">
        <f t="shared" si="7"/>
        <v>2.6191571856287426</v>
      </c>
      <c r="AK42" s="463">
        <f t="shared" si="8"/>
        <v>4.0276446637426906</v>
      </c>
      <c r="AL42" s="464">
        <f t="shared" si="9"/>
        <v>1.3628245594467989</v>
      </c>
      <c r="AM42" s="465" t="str">
        <f t="shared" si="10"/>
        <v>-2.12 pts.</v>
      </c>
      <c r="AN42" s="466" t="str">
        <f t="shared" si="11"/>
        <v>3.57 pts.</v>
      </c>
      <c r="AO42" s="11"/>
    </row>
    <row r="43" spans="1:41" x14ac:dyDescent="0.2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57"/>
      <c r="P43" s="210"/>
      <c r="Q43" s="210"/>
      <c r="R43" s="210"/>
      <c r="S43" s="210"/>
      <c r="T43" s="210"/>
      <c r="U43" s="210"/>
      <c r="V43" s="210"/>
      <c r="W43" s="210"/>
      <c r="X43" s="210"/>
      <c r="Y43" s="210"/>
      <c r="Z43" s="210"/>
      <c r="AA43" s="210">
        <f t="shared" si="1"/>
        <v>0</v>
      </c>
      <c r="AB43" s="458" t="str">
        <f t="shared" si="2"/>
        <v/>
      </c>
      <c r="AC43" s="528"/>
      <c r="AD43" s="210"/>
      <c r="AE43" s="458" t="str">
        <f t="shared" si="3"/>
        <v/>
      </c>
      <c r="AF43" s="460">
        <f t="shared" si="4"/>
        <v>0</v>
      </c>
      <c r="AG43" s="210">
        <v>14566.32</v>
      </c>
      <c r="AH43" s="458">
        <f t="shared" si="5"/>
        <v>1.9488172574024663E-2</v>
      </c>
      <c r="AI43" s="461">
        <f t="shared" si="6"/>
        <v>-14566.32</v>
      </c>
      <c r="AJ43" s="462">
        <f t="shared" si="7"/>
        <v>0</v>
      </c>
      <c r="AK43" s="463">
        <f t="shared" si="8"/>
        <v>0</v>
      </c>
      <c r="AL43" s="464">
        <f t="shared" si="9"/>
        <v>0.8123087218380548</v>
      </c>
      <c r="AM43" s="465">
        <f t="shared" si="10"/>
        <v>0</v>
      </c>
      <c r="AN43" s="466">
        <f t="shared" si="11"/>
        <v>0</v>
      </c>
      <c r="AO43" s="11"/>
    </row>
    <row r="44" spans="1:41" x14ac:dyDescent="0.2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57">
        <v>5197.05</v>
      </c>
      <c r="P44" s="210">
        <v>10846.8</v>
      </c>
      <c r="Q44" s="210">
        <v>9820</v>
      </c>
      <c r="R44" s="210">
        <v>11428.51</v>
      </c>
      <c r="S44" s="210">
        <v>8076.09</v>
      </c>
      <c r="T44" s="210">
        <v>5935.21</v>
      </c>
      <c r="U44" s="210">
        <v>6554.1</v>
      </c>
      <c r="V44" s="210">
        <v>5277.7</v>
      </c>
      <c r="W44" s="210">
        <v>4252.5</v>
      </c>
      <c r="X44" s="210">
        <v>5881</v>
      </c>
      <c r="Y44" s="210">
        <v>3817.61</v>
      </c>
      <c r="Z44" s="210">
        <v>7926</v>
      </c>
      <c r="AA44" s="210">
        <f t="shared" si="1"/>
        <v>85012.569999999992</v>
      </c>
      <c r="AB44" s="458">
        <f t="shared" si="2"/>
        <v>8.3115748922900939E-2</v>
      </c>
      <c r="AC44" s="528"/>
      <c r="AD44" s="210">
        <v>181970.96249999999</v>
      </c>
      <c r="AE44" s="458">
        <f t="shared" si="3"/>
        <v>0.11834734090306159</v>
      </c>
      <c r="AF44" s="460">
        <f t="shared" si="4"/>
        <v>-96958.392500000002</v>
      </c>
      <c r="AG44" s="210">
        <v>97240.29</v>
      </c>
      <c r="AH44" s="458">
        <f t="shared" si="5"/>
        <v>0.13009706999902548</v>
      </c>
      <c r="AI44" s="461">
        <f t="shared" si="6"/>
        <v>-12227.720000000001</v>
      </c>
      <c r="AJ44" s="462">
        <f t="shared" si="7"/>
        <v>3.1816081586826344</v>
      </c>
      <c r="AK44" s="463">
        <f t="shared" si="8"/>
        <v>5.320788377192982</v>
      </c>
      <c r="AL44" s="464">
        <f t="shared" si="9"/>
        <v>5.4227241802364485</v>
      </c>
      <c r="AM44" s="465" t="str">
        <f t="shared" si="10"/>
        <v>-3.52 pts.</v>
      </c>
      <c r="AN44" s="466" t="str">
        <f t="shared" si="11"/>
        <v>-4.7 pts.</v>
      </c>
      <c r="AO44" s="11"/>
    </row>
    <row r="45" spans="1:41" x14ac:dyDescent="0.2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57"/>
      <c r="P45" s="210"/>
      <c r="Q45" s="210"/>
      <c r="R45" s="210"/>
      <c r="S45" s="210"/>
      <c r="T45" s="210"/>
      <c r="U45" s="210"/>
      <c r="V45" s="210"/>
      <c r="W45" s="210"/>
      <c r="X45" s="210"/>
      <c r="Y45" s="210"/>
      <c r="Z45" s="210"/>
      <c r="AA45" s="210">
        <f t="shared" si="1"/>
        <v>0</v>
      </c>
      <c r="AB45" s="458" t="str">
        <f t="shared" si="2"/>
        <v/>
      </c>
      <c r="AC45" s="528"/>
      <c r="AD45" s="210"/>
      <c r="AE45" s="458" t="str">
        <f t="shared" si="3"/>
        <v/>
      </c>
      <c r="AF45" s="460">
        <f t="shared" si="4"/>
        <v>0</v>
      </c>
      <c r="AG45" s="210">
        <v>11</v>
      </c>
      <c r="AH45" s="458">
        <f t="shared" si="5"/>
        <v>1.4716819231917966E-5</v>
      </c>
      <c r="AI45" s="461">
        <f t="shared" si="6"/>
        <v>-11</v>
      </c>
      <c r="AJ45" s="462">
        <f t="shared" si="7"/>
        <v>0</v>
      </c>
      <c r="AK45" s="463">
        <f t="shared" si="8"/>
        <v>0</v>
      </c>
      <c r="AL45" s="464">
        <f t="shared" si="9"/>
        <v>6.1342850769573946E-4</v>
      </c>
      <c r="AM45" s="465">
        <f t="shared" si="10"/>
        <v>0</v>
      </c>
      <c r="AN45" s="466">
        <f t="shared" si="11"/>
        <v>0</v>
      </c>
      <c r="AO45" s="11"/>
    </row>
    <row r="46" spans="1:41" x14ac:dyDescent="0.2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67"/>
      <c r="P46" s="216"/>
      <c r="Q46" s="216"/>
      <c r="R46" s="216"/>
      <c r="S46" s="216"/>
      <c r="T46" s="216"/>
      <c r="U46" s="216"/>
      <c r="V46" s="216"/>
      <c r="W46" s="216"/>
      <c r="X46" s="216"/>
      <c r="Y46" s="216"/>
      <c r="Z46" s="216"/>
      <c r="AA46" s="216">
        <f t="shared" si="1"/>
        <v>0</v>
      </c>
      <c r="AB46" s="468" t="str">
        <f t="shared" si="2"/>
        <v/>
      </c>
      <c r="AC46" s="459"/>
      <c r="AD46" s="216"/>
      <c r="AE46" s="468" t="str">
        <f t="shared" si="3"/>
        <v/>
      </c>
      <c r="AF46" s="469">
        <f t="shared" si="4"/>
        <v>0</v>
      </c>
      <c r="AG46" s="216"/>
      <c r="AH46" s="468" t="str">
        <f t="shared" si="5"/>
        <v/>
      </c>
      <c r="AI46" s="470">
        <f t="shared" si="6"/>
        <v>0</v>
      </c>
      <c r="AJ46" s="471">
        <f t="shared" si="7"/>
        <v>0</v>
      </c>
      <c r="AK46" s="472">
        <f t="shared" si="8"/>
        <v>0</v>
      </c>
      <c r="AL46" s="473">
        <f t="shared" si="9"/>
        <v>0</v>
      </c>
      <c r="AM46" s="474">
        <f t="shared" si="10"/>
        <v>0</v>
      </c>
      <c r="AN46" s="475">
        <f t="shared" si="11"/>
        <v>0</v>
      </c>
      <c r="AO46" s="11"/>
    </row>
    <row r="47" spans="1:41" x14ac:dyDescent="0.2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76">
        <v>10775.05</v>
      </c>
      <c r="P47" s="223">
        <v>19136.2</v>
      </c>
      <c r="Q47" s="223">
        <v>18342</v>
      </c>
      <c r="R47" s="223">
        <v>19031.18</v>
      </c>
      <c r="S47" s="223">
        <v>16641.09</v>
      </c>
      <c r="T47" s="223">
        <v>11272.72</v>
      </c>
      <c r="U47" s="223">
        <v>12525.1</v>
      </c>
      <c r="V47" s="223">
        <v>9844.7000000000007</v>
      </c>
      <c r="W47" s="223">
        <v>9116.5</v>
      </c>
      <c r="X47" s="223">
        <v>8975</v>
      </c>
      <c r="Y47" s="223">
        <v>6964.81</v>
      </c>
      <c r="Z47" s="223">
        <v>12372.1</v>
      </c>
      <c r="AA47" s="223">
        <f t="shared" si="1"/>
        <v>154996.44999999998</v>
      </c>
      <c r="AB47" s="224">
        <f t="shared" si="2"/>
        <v>0.15153813162148808</v>
      </c>
      <c r="AC47" s="225"/>
      <c r="AD47" s="223">
        <v>319716.40999999997</v>
      </c>
      <c r="AE47" s="224">
        <f t="shared" si="3"/>
        <v>0.2079320043524692</v>
      </c>
      <c r="AF47" s="226">
        <f t="shared" si="4"/>
        <v>-164719.96</v>
      </c>
      <c r="AG47" s="223">
        <v>136255.78</v>
      </c>
      <c r="AH47" s="224">
        <f t="shared" si="5"/>
        <v>0.18229560759672575</v>
      </c>
      <c r="AI47" s="477">
        <f t="shared" si="6"/>
        <v>18740.669999999984</v>
      </c>
      <c r="AJ47" s="227">
        <f t="shared" si="7"/>
        <v>5.8007653443113769</v>
      </c>
      <c r="AK47" s="228">
        <f t="shared" si="8"/>
        <v>9.3484330409356726</v>
      </c>
      <c r="AL47" s="230">
        <f t="shared" si="9"/>
        <v>7.5984708900289988</v>
      </c>
      <c r="AM47" s="427" t="str">
        <f t="shared" si="10"/>
        <v>-5.64 pts.</v>
      </c>
      <c r="AN47" s="478" t="str">
        <f t="shared" si="11"/>
        <v>-3.08 pts.</v>
      </c>
      <c r="AO47" s="11"/>
    </row>
    <row r="48" spans="1:41" x14ac:dyDescent="0.2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39">
        <v>-446.05</v>
      </c>
      <c r="Q48" s="239"/>
      <c r="R48" s="239">
        <v>-68.040000000000006</v>
      </c>
      <c r="S48" s="239">
        <v>-284.54000000000002</v>
      </c>
      <c r="T48" s="239"/>
      <c r="U48" s="239"/>
      <c r="V48" s="239"/>
      <c r="W48" s="239"/>
      <c r="X48" s="239"/>
      <c r="Y48" s="239"/>
      <c r="Z48" s="239">
        <v>-132.66999999999999</v>
      </c>
      <c r="AA48" s="239">
        <f t="shared" si="1"/>
        <v>-931.30000000000007</v>
      </c>
      <c r="AB48" s="240">
        <f t="shared" si="2"/>
        <v>-9.1052060856291789E-4</v>
      </c>
      <c r="AC48" s="481"/>
      <c r="AD48" s="239"/>
      <c r="AE48" s="240" t="str">
        <f t="shared" si="3"/>
        <v/>
      </c>
      <c r="AF48" s="241">
        <f t="shared" si="4"/>
        <v>-931.30000000000007</v>
      </c>
      <c r="AG48" s="239">
        <v>-1200.74</v>
      </c>
      <c r="AH48" s="240">
        <f t="shared" si="5"/>
        <v>-1.6064612295030162E-3</v>
      </c>
      <c r="AI48" s="531">
        <f t="shared" si="6"/>
        <v>269.43999999999994</v>
      </c>
      <c r="AJ48" s="532">
        <f t="shared" si="7"/>
        <v>-3.4854041916167665E-2</v>
      </c>
      <c r="AK48" s="533">
        <f t="shared" si="8"/>
        <v>0</v>
      </c>
      <c r="AL48" s="534">
        <f t="shared" si="9"/>
        <v>-6.696074057550748E-2</v>
      </c>
      <c r="AM48" s="535">
        <f t="shared" si="10"/>
        <v>0</v>
      </c>
      <c r="AN48" s="536" t="str">
        <f t="shared" si="11"/>
        <v>0.07 pts.</v>
      </c>
      <c r="AO48" s="11"/>
    </row>
    <row r="49" spans="1:41" x14ac:dyDescent="0.2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76">
        <v>63213.13</v>
      </c>
      <c r="P49" s="223">
        <v>88688.9</v>
      </c>
      <c r="Q49" s="223">
        <v>93045.91</v>
      </c>
      <c r="R49" s="223">
        <v>100127.6</v>
      </c>
      <c r="S49" s="223">
        <v>84083.21</v>
      </c>
      <c r="T49" s="223">
        <v>63865.41</v>
      </c>
      <c r="U49" s="223">
        <v>73853.440000000002</v>
      </c>
      <c r="V49" s="223">
        <v>57536.5</v>
      </c>
      <c r="W49" s="223">
        <v>45925.74</v>
      </c>
      <c r="X49" s="223">
        <v>49960.38</v>
      </c>
      <c r="Y49" s="223">
        <v>55058.97</v>
      </c>
      <c r="Z49" s="223">
        <v>83882.710000000006</v>
      </c>
      <c r="AA49" s="223">
        <f t="shared" si="1"/>
        <v>859241.9</v>
      </c>
      <c r="AB49" s="224">
        <f t="shared" si="2"/>
        <v>0.84007028636396197</v>
      </c>
      <c r="AC49" s="225"/>
      <c r="AD49" s="223">
        <v>1303051.5</v>
      </c>
      <c r="AE49" s="224">
        <f t="shared" si="3"/>
        <v>0.84745762711864403</v>
      </c>
      <c r="AF49" s="226">
        <f t="shared" si="4"/>
        <v>-443809.6</v>
      </c>
      <c r="AG49" s="223">
        <v>633296.6</v>
      </c>
      <c r="AH49" s="224">
        <f t="shared" si="5"/>
        <v>0.84728287112620537</v>
      </c>
      <c r="AI49" s="477">
        <f t="shared" si="6"/>
        <v>225945.30000000005</v>
      </c>
      <c r="AJ49" s="227">
        <f t="shared" si="7"/>
        <v>32.157256736526946</v>
      </c>
      <c r="AK49" s="228">
        <f t="shared" si="8"/>
        <v>38.100921052631577</v>
      </c>
      <c r="AL49" s="230">
        <f t="shared" si="9"/>
        <v>35.316562569707784</v>
      </c>
      <c r="AM49" s="427" t="str">
        <f t="shared" si="10"/>
        <v>-0.74 pts.</v>
      </c>
      <c r="AN49" s="478" t="str">
        <f t="shared" si="11"/>
        <v>-0.72 pts.</v>
      </c>
      <c r="AO49" s="11"/>
    </row>
    <row r="50" spans="1:41" x14ac:dyDescent="0.25">
      <c r="A50" s="65" t="s">
        <v>2</v>
      </c>
      <c r="B50" s="66" t="str">
        <f>IF(_epmOfflineCondition_,"'Venue1'!$B$2:$B$10",_xll.EVRNG($B$2:$B$10))</f>
        <v>'Venue1'!$B$2:$B$10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79"/>
      <c r="P50" s="232"/>
      <c r="Q50" s="232"/>
      <c r="R50" s="232"/>
      <c r="S50" s="232"/>
      <c r="T50" s="232"/>
      <c r="U50" s="232"/>
      <c r="V50" s="232"/>
      <c r="W50" s="232"/>
      <c r="X50" s="232"/>
      <c r="Y50" s="232"/>
      <c r="Z50" s="232"/>
      <c r="AA50" s="232" t="str">
        <f t="shared" si="1"/>
        <v/>
      </c>
      <c r="AB50" s="480" t="str">
        <f t="shared" si="2"/>
        <v/>
      </c>
      <c r="AC50" s="529"/>
      <c r="AD50" s="232"/>
      <c r="AE50" s="480" t="str">
        <f t="shared" si="3"/>
        <v/>
      </c>
      <c r="AF50" s="482" t="str">
        <f t="shared" si="4"/>
        <v/>
      </c>
      <c r="AG50" s="232"/>
      <c r="AH50" s="480" t="str">
        <f t="shared" si="5"/>
        <v/>
      </c>
      <c r="AI50" s="483" t="str">
        <f t="shared" si="6"/>
        <v/>
      </c>
      <c r="AJ50" s="235">
        <f t="shared" si="7"/>
        <v>0</v>
      </c>
      <c r="AK50" s="236">
        <f t="shared" si="8"/>
        <v>0</v>
      </c>
      <c r="AL50" s="238">
        <f t="shared" si="9"/>
        <v>0</v>
      </c>
      <c r="AM50" s="429">
        <f t="shared" si="10"/>
        <v>0</v>
      </c>
      <c r="AN50" s="484">
        <f t="shared" si="11"/>
        <v>0</v>
      </c>
      <c r="AO50" s="11"/>
    </row>
    <row r="51" spans="1:41" x14ac:dyDescent="0.25">
      <c r="A51" s="65" t="s">
        <v>3</v>
      </c>
      <c r="B51" s="66" t="str">
        <f>IF(_epmOfflineCondition_,"'Venue1'!$O$16:$AN$18",_xll.EVRNG($O$16:$AN$18))</f>
        <v>'Venue1'!$O$16:$AN$18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57"/>
      <c r="P51" s="210"/>
      <c r="Q51" s="210"/>
      <c r="R51" s="210"/>
      <c r="S51" s="210"/>
      <c r="T51" s="210"/>
      <c r="U51" s="210"/>
      <c r="V51" s="210"/>
      <c r="W51" s="210"/>
      <c r="X51" s="210"/>
      <c r="Y51" s="210"/>
      <c r="Z51" s="210"/>
      <c r="AA51" s="210">
        <f t="shared" si="1"/>
        <v>0</v>
      </c>
      <c r="AB51" s="458" t="str">
        <f t="shared" si="2"/>
        <v/>
      </c>
      <c r="AC51" s="528"/>
      <c r="AD51" s="210"/>
      <c r="AE51" s="458" t="str">
        <f t="shared" si="3"/>
        <v/>
      </c>
      <c r="AF51" s="460">
        <f t="shared" si="4"/>
        <v>0</v>
      </c>
      <c r="AG51" s="210"/>
      <c r="AH51" s="458" t="str">
        <f t="shared" si="5"/>
        <v/>
      </c>
      <c r="AI51" s="461">
        <f t="shared" si="6"/>
        <v>0</v>
      </c>
      <c r="AJ51" s="462">
        <f t="shared" si="7"/>
        <v>0</v>
      </c>
      <c r="AK51" s="463">
        <f t="shared" si="8"/>
        <v>0</v>
      </c>
      <c r="AL51" s="464">
        <f t="shared" si="9"/>
        <v>0</v>
      </c>
      <c r="AM51" s="465">
        <f t="shared" si="10"/>
        <v>0</v>
      </c>
      <c r="AN51" s="466">
        <f t="shared" si="11"/>
        <v>0</v>
      </c>
      <c r="AO51" s="11"/>
    </row>
    <row r="52" spans="1:41" x14ac:dyDescent="0.25">
      <c r="A52" s="65" t="s">
        <v>4</v>
      </c>
      <c r="B52" s="66" t="str">
        <f>IF(_epmOfflineCondition_,"'Venue1'!$H$62:$H$70",_xll.EVRNG(H62:H70))</f>
        <v>'Venue1'!$H$62:$H$70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57"/>
      <c r="P52" s="210"/>
      <c r="Q52" s="210"/>
      <c r="R52" s="210"/>
      <c r="S52" s="210"/>
      <c r="T52" s="210"/>
      <c r="U52" s="210"/>
      <c r="V52" s="210"/>
      <c r="W52" s="210"/>
      <c r="X52" s="210"/>
      <c r="Y52" s="210"/>
      <c r="Z52" s="210"/>
      <c r="AA52" s="210">
        <f t="shared" si="1"/>
        <v>0</v>
      </c>
      <c r="AB52" s="458" t="str">
        <f t="shared" si="2"/>
        <v/>
      </c>
      <c r="AC52" s="528"/>
      <c r="AD52" s="210"/>
      <c r="AE52" s="458" t="str">
        <f t="shared" si="3"/>
        <v/>
      </c>
      <c r="AF52" s="460">
        <f t="shared" si="4"/>
        <v>0</v>
      </c>
      <c r="AG52" s="210"/>
      <c r="AH52" s="458" t="str">
        <f t="shared" si="5"/>
        <v/>
      </c>
      <c r="AI52" s="461">
        <f t="shared" si="6"/>
        <v>0</v>
      </c>
      <c r="AJ52" s="462">
        <f t="shared" si="7"/>
        <v>0</v>
      </c>
      <c r="AK52" s="463">
        <f t="shared" si="8"/>
        <v>0</v>
      </c>
      <c r="AL52" s="464">
        <f t="shared" si="9"/>
        <v>0</v>
      </c>
      <c r="AM52" s="465">
        <f t="shared" si="10"/>
        <v>0</v>
      </c>
      <c r="AN52" s="466">
        <f t="shared" si="11"/>
        <v>0</v>
      </c>
      <c r="AO52" s="11"/>
    </row>
    <row r="53" spans="1:41" x14ac:dyDescent="0.2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57"/>
      <c r="P53" s="210"/>
      <c r="Q53" s="210"/>
      <c r="R53" s="210"/>
      <c r="S53" s="210"/>
      <c r="T53" s="210"/>
      <c r="U53" s="210"/>
      <c r="V53" s="210"/>
      <c r="W53" s="210"/>
      <c r="X53" s="210"/>
      <c r="Y53" s="210"/>
      <c r="Z53" s="210"/>
      <c r="AA53" s="210">
        <f t="shared" si="1"/>
        <v>0</v>
      </c>
      <c r="AB53" s="458" t="str">
        <f t="shared" si="2"/>
        <v/>
      </c>
      <c r="AC53" s="528"/>
      <c r="AD53" s="210"/>
      <c r="AE53" s="458" t="str">
        <f t="shared" si="3"/>
        <v/>
      </c>
      <c r="AF53" s="460">
        <f t="shared" si="4"/>
        <v>0</v>
      </c>
      <c r="AG53" s="210"/>
      <c r="AH53" s="458" t="str">
        <f t="shared" si="5"/>
        <v/>
      </c>
      <c r="AI53" s="461">
        <f t="shared" si="6"/>
        <v>0</v>
      </c>
      <c r="AJ53" s="462">
        <f t="shared" si="7"/>
        <v>0</v>
      </c>
      <c r="AK53" s="463">
        <f t="shared" si="8"/>
        <v>0</v>
      </c>
      <c r="AL53" s="464">
        <f t="shared" si="9"/>
        <v>0</v>
      </c>
      <c r="AM53" s="465">
        <f t="shared" si="10"/>
        <v>0</v>
      </c>
      <c r="AN53" s="466">
        <f t="shared" si="11"/>
        <v>0</v>
      </c>
      <c r="AO53" s="11"/>
    </row>
    <row r="54" spans="1:41" x14ac:dyDescent="0.2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57">
        <v>11567.18</v>
      </c>
      <c r="P54" s="210">
        <v>16215.4</v>
      </c>
      <c r="Q54" s="210">
        <v>16775.150000000001</v>
      </c>
      <c r="R54" s="210">
        <v>18263.41</v>
      </c>
      <c r="S54" s="210">
        <v>15145.06</v>
      </c>
      <c r="T54" s="210">
        <v>11919.32</v>
      </c>
      <c r="U54" s="210">
        <v>13903.23</v>
      </c>
      <c r="V54" s="210">
        <v>10846.37</v>
      </c>
      <c r="W54" s="210">
        <v>8878.24</v>
      </c>
      <c r="X54" s="210">
        <v>9627.0300000000007</v>
      </c>
      <c r="Y54" s="210">
        <v>10645.5</v>
      </c>
      <c r="Z54" s="210">
        <v>16086.65</v>
      </c>
      <c r="AA54" s="210">
        <f t="shared" si="1"/>
        <v>159872.53999999998</v>
      </c>
      <c r="AB54" s="458">
        <f t="shared" si="2"/>
        <v>0.15630542511897283</v>
      </c>
      <c r="AC54" s="528"/>
      <c r="AD54" s="210">
        <v>234549.27</v>
      </c>
      <c r="AE54" s="458">
        <f t="shared" si="3"/>
        <v>0.15254237288135591</v>
      </c>
      <c r="AF54" s="460">
        <f t="shared" si="4"/>
        <v>-74676.73000000001</v>
      </c>
      <c r="AG54" s="210">
        <v>114070.52</v>
      </c>
      <c r="AH54" s="458">
        <f t="shared" si="5"/>
        <v>0.1526141111391712</v>
      </c>
      <c r="AI54" s="461">
        <f t="shared" si="6"/>
        <v>45802.019999999975</v>
      </c>
      <c r="AJ54" s="462">
        <f t="shared" si="7"/>
        <v>5.983253742514969</v>
      </c>
      <c r="AK54" s="463">
        <f t="shared" si="8"/>
        <v>6.8581657894736843</v>
      </c>
      <c r="AL54" s="464">
        <f t="shared" si="9"/>
        <v>6.3612826232433637</v>
      </c>
      <c r="AM54" s="465" t="str">
        <f t="shared" si="10"/>
        <v>0.38 pts.</v>
      </c>
      <c r="AN54" s="466" t="str">
        <f t="shared" si="11"/>
        <v>0.37 pts.</v>
      </c>
      <c r="AO54" s="11"/>
    </row>
    <row r="55" spans="1:41" x14ac:dyDescent="0.25">
      <c r="A55" s="65" t="s">
        <v>7</v>
      </c>
      <c r="B55" s="66" t="str">
        <f>IF(_epmOfflineCondition_,"'Venue1'!$A$69:$F$77",_xll.EVRNG(A69:F77))</f>
        <v>'Venue1'!$A$69:$F$77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57">
        <v>78</v>
      </c>
      <c r="P55" s="210">
        <v>165</v>
      </c>
      <c r="Q55" s="210">
        <v>235</v>
      </c>
      <c r="R55" s="210">
        <v>264</v>
      </c>
      <c r="S55" s="210">
        <v>513</v>
      </c>
      <c r="T55" s="210">
        <v>403</v>
      </c>
      <c r="U55" s="210">
        <v>386</v>
      </c>
      <c r="V55" s="210">
        <v>311</v>
      </c>
      <c r="W55" s="210">
        <v>161</v>
      </c>
      <c r="X55" s="210">
        <v>283</v>
      </c>
      <c r="Y55" s="210">
        <v>372</v>
      </c>
      <c r="Z55" s="210">
        <v>536</v>
      </c>
      <c r="AA55" s="210">
        <f t="shared" si="1"/>
        <v>3707</v>
      </c>
      <c r="AB55" s="458">
        <f t="shared" si="2"/>
        <v>3.6242885170651093E-3</v>
      </c>
      <c r="AC55" s="528"/>
      <c r="AD55" s="210"/>
      <c r="AE55" s="458" t="str">
        <f t="shared" si="3"/>
        <v/>
      </c>
      <c r="AF55" s="460">
        <f t="shared" si="4"/>
        <v>3707</v>
      </c>
      <c r="AG55" s="210">
        <v>77</v>
      </c>
      <c r="AH55" s="458">
        <f t="shared" si="5"/>
        <v>1.0301773462342576E-4</v>
      </c>
      <c r="AI55" s="461">
        <f t="shared" si="6"/>
        <v>3630</v>
      </c>
      <c r="AJ55" s="462">
        <f t="shared" si="7"/>
        <v>0.13873502994011977</v>
      </c>
      <c r="AK55" s="463">
        <f t="shared" si="8"/>
        <v>0</v>
      </c>
      <c r="AL55" s="464">
        <f t="shared" si="9"/>
        <v>4.293999553870176E-3</v>
      </c>
      <c r="AM55" s="465">
        <f t="shared" si="10"/>
        <v>0</v>
      </c>
      <c r="AN55" s="466" t="str">
        <f t="shared" si="11"/>
        <v>0.35 pts.</v>
      </c>
      <c r="AO55" s="11"/>
    </row>
    <row r="56" spans="1:41" x14ac:dyDescent="0.25">
      <c r="A56" s="65" t="s">
        <v>47</v>
      </c>
      <c r="B56" s="66" t="str">
        <f>IF(_epmOfflineCondition_,"'Venue1'!$A$125:$B$146",_xll.EVRNG($A$125:$B$146))</f>
        <v>'Venue1'!$A$125:$B$146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67"/>
      <c r="P56" s="216"/>
      <c r="Q56" s="216"/>
      <c r="R56" s="216"/>
      <c r="S56" s="216"/>
      <c r="T56" s="216"/>
      <c r="U56" s="216"/>
      <c r="V56" s="216"/>
      <c r="W56" s="216"/>
      <c r="X56" s="216"/>
      <c r="Y56" s="216"/>
      <c r="Z56" s="216"/>
      <c r="AA56" s="216">
        <f t="shared" si="1"/>
        <v>0</v>
      </c>
      <c r="AB56" s="468" t="str">
        <f t="shared" si="2"/>
        <v/>
      </c>
      <c r="AC56" s="459"/>
      <c r="AD56" s="216"/>
      <c r="AE56" s="468" t="str">
        <f t="shared" si="3"/>
        <v/>
      </c>
      <c r="AF56" s="469">
        <f t="shared" si="4"/>
        <v>0</v>
      </c>
      <c r="AG56" s="216"/>
      <c r="AH56" s="468" t="str">
        <f t="shared" si="5"/>
        <v/>
      </c>
      <c r="AI56" s="470">
        <f t="shared" si="6"/>
        <v>0</v>
      </c>
      <c r="AJ56" s="471">
        <f t="shared" si="7"/>
        <v>0</v>
      </c>
      <c r="AK56" s="472">
        <f t="shared" si="8"/>
        <v>0</v>
      </c>
      <c r="AL56" s="473">
        <f t="shared" si="9"/>
        <v>0</v>
      </c>
      <c r="AM56" s="474">
        <f t="shared" si="10"/>
        <v>0</v>
      </c>
      <c r="AN56" s="475">
        <f t="shared" si="11"/>
        <v>0</v>
      </c>
      <c r="AO56" s="11"/>
    </row>
    <row r="57" spans="1:41" x14ac:dyDescent="0.2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85">
        <v>11645.18</v>
      </c>
      <c r="P57" s="242">
        <v>16380.4</v>
      </c>
      <c r="Q57" s="242">
        <v>17010.150000000001</v>
      </c>
      <c r="R57" s="242">
        <v>18527.41</v>
      </c>
      <c r="S57" s="242">
        <v>15658.06</v>
      </c>
      <c r="T57" s="242">
        <v>12322.32</v>
      </c>
      <c r="U57" s="242">
        <v>14289.23</v>
      </c>
      <c r="V57" s="242">
        <v>11157.37</v>
      </c>
      <c r="W57" s="242">
        <v>9039.24</v>
      </c>
      <c r="X57" s="242">
        <v>9910.0300000000007</v>
      </c>
      <c r="Y57" s="242">
        <v>11017.5</v>
      </c>
      <c r="Z57" s="242">
        <v>16622.650000000001</v>
      </c>
      <c r="AA57" s="242">
        <f t="shared" si="1"/>
        <v>163579.53999999998</v>
      </c>
      <c r="AB57" s="243">
        <f t="shared" si="2"/>
        <v>0.15992971363603795</v>
      </c>
      <c r="AC57" s="244"/>
      <c r="AD57" s="242">
        <v>234549.27</v>
      </c>
      <c r="AE57" s="243">
        <f t="shared" si="3"/>
        <v>0.15254237288135591</v>
      </c>
      <c r="AF57" s="245">
        <f t="shared" si="4"/>
        <v>-70969.73000000001</v>
      </c>
      <c r="AG57" s="242">
        <v>114147.52</v>
      </c>
      <c r="AH57" s="243">
        <f t="shared" si="5"/>
        <v>0.1527171288737946</v>
      </c>
      <c r="AI57" s="486">
        <f t="shared" si="6"/>
        <v>49432.019999999975</v>
      </c>
      <c r="AJ57" s="246">
        <f t="shared" si="7"/>
        <v>6.1219887724550892</v>
      </c>
      <c r="AK57" s="247">
        <f t="shared" si="8"/>
        <v>6.8581657894736843</v>
      </c>
      <c r="AL57" s="249">
        <f t="shared" si="9"/>
        <v>6.3655766227972341</v>
      </c>
      <c r="AM57" s="431" t="str">
        <f t="shared" si="10"/>
        <v>0.74 pts.</v>
      </c>
      <c r="AN57" s="487" t="str">
        <f t="shared" si="11"/>
        <v>0.72 pts.</v>
      </c>
      <c r="AO57" s="11"/>
    </row>
    <row r="58" spans="1:41" x14ac:dyDescent="0.2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76">
        <v>74858.31</v>
      </c>
      <c r="P58" s="223">
        <v>105069.3</v>
      </c>
      <c r="Q58" s="223">
        <v>110056.06</v>
      </c>
      <c r="R58" s="223">
        <v>118655.01</v>
      </c>
      <c r="S58" s="223">
        <v>99741.27</v>
      </c>
      <c r="T58" s="223">
        <v>76187.73</v>
      </c>
      <c r="U58" s="223">
        <v>88142.67</v>
      </c>
      <c r="V58" s="223">
        <v>68693.87</v>
      </c>
      <c r="W58" s="223">
        <v>54964.98</v>
      </c>
      <c r="X58" s="223">
        <v>59870.41</v>
      </c>
      <c r="Y58" s="223">
        <v>66076.47</v>
      </c>
      <c r="Z58" s="223">
        <v>100505.36</v>
      </c>
      <c r="AA58" s="223">
        <f t="shared" si="1"/>
        <v>1022821.4400000001</v>
      </c>
      <c r="AB58" s="224">
        <f t="shared" si="2"/>
        <v>1</v>
      </c>
      <c r="AC58" s="225"/>
      <c r="AD58" s="223">
        <v>1537600.77</v>
      </c>
      <c r="AE58" s="224">
        <f t="shared" si="3"/>
        <v>1</v>
      </c>
      <c r="AF58" s="226">
        <f t="shared" si="4"/>
        <v>-514779.32999999996</v>
      </c>
      <c r="AG58" s="223">
        <v>747444.12</v>
      </c>
      <c r="AH58" s="224">
        <f t="shared" si="5"/>
        <v>1</v>
      </c>
      <c r="AI58" s="477">
        <f t="shared" si="6"/>
        <v>275377.32000000007</v>
      </c>
      <c r="AJ58" s="227">
        <f t="shared" si="7"/>
        <v>38.279245508982036</v>
      </c>
      <c r="AK58" s="228">
        <f t="shared" si="8"/>
        <v>44.959086842105265</v>
      </c>
      <c r="AL58" s="230">
        <f t="shared" si="9"/>
        <v>41.682139192505019</v>
      </c>
      <c r="AM58" s="427" t="str">
        <f t="shared" si="10"/>
        <v>0 pts.</v>
      </c>
      <c r="AN58" s="478" t="str">
        <f t="shared" si="11"/>
        <v>0 pts.</v>
      </c>
      <c r="AO58" s="11"/>
    </row>
    <row r="59" spans="1:41" x14ac:dyDescent="0.2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2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2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2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57">
        <v>16166.52</v>
      </c>
      <c r="P62" s="210">
        <v>37265.919999999998</v>
      </c>
      <c r="Q62" s="210">
        <v>46765.63</v>
      </c>
      <c r="R62" s="210">
        <v>-2563.63</v>
      </c>
      <c r="S62" s="210">
        <v>32134.95</v>
      </c>
      <c r="T62" s="210">
        <v>19271.599999999999</v>
      </c>
      <c r="U62" s="210">
        <v>22037.72</v>
      </c>
      <c r="V62" s="210">
        <v>21192.03</v>
      </c>
      <c r="W62" s="210">
        <v>18122.23</v>
      </c>
      <c r="X62" s="210">
        <v>14136.05</v>
      </c>
      <c r="Y62" s="210">
        <v>9133.67</v>
      </c>
      <c r="Z62" s="210">
        <v>25293.73</v>
      </c>
      <c r="AA62" s="210">
        <f t="shared" ref="AA62:AA70" si="13">IF($I62="B1","",SUM(O62:Z62))</f>
        <v>258956.42</v>
      </c>
      <c r="AB62" s="458">
        <f>IF(_epmOfflineCondition_,0.367222004979603,IF(AA62=0,"",IFERROR(AA62/_xll.EVGTS($B$1,1,_xll.EVPRO($B$1,$H62,"COSBASIS"),$B$3,$B$5,$B$6,$B$7,$B$9,AA$16,AA$17,AA$11),"")))</f>
        <v>0.367222004979603</v>
      </c>
      <c r="AC62" s="528"/>
      <c r="AD62" s="210">
        <v>304833.87</v>
      </c>
      <c r="AE62" s="458">
        <f>IF(_epmOfflineCondition_,0.309999991966116,IF(AD62=0,"",IFERROR(AD62/_xll.EVGTS($B$1,1,_xll.EVPRO($B$1,$H62,"COSBASIS"),$B$3,$B$5,$B$6,$B$7,$B$9,AD$16,AD$17,AD$18),"")))</f>
        <v>0.309999991966116</v>
      </c>
      <c r="AF62" s="460">
        <f t="shared" ref="AF62:AF72" si="14">IF(AND($AA62="",AD62=""),"",$AA62-AD62)</f>
        <v>-45877.449999999983</v>
      </c>
      <c r="AG62" s="210">
        <v>180205.06</v>
      </c>
      <c r="AH62" s="458">
        <f>IF(_epmOfflineCondition_,0.361682112588119,IF(AG62=0,"",IFERROR(AG62/_xll.EVGTS($B$1,1,_xll.EVPRO($B$1,$H62,"COSBASIS"),$B$3,$B$5,$B$6,$B$7,$B$9,AG$16,AG$17,AG$18),"")))</f>
        <v>0.361682112588119</v>
      </c>
      <c r="AI62" s="461">
        <f t="shared" ref="AI62:AI72" si="15">IF(AND($AA62="",AG62=""),"",$AA62-AG62)</f>
        <v>78751.360000000015</v>
      </c>
      <c r="AJ62" s="462">
        <f t="shared" ref="AJ62:AJ70" si="16">IFERROR(AA62/AA$20,0)</f>
        <v>9.6914827844311375</v>
      </c>
      <c r="AK62" s="463">
        <f t="shared" ref="AK62:AK70" si="17">IFERROR(AD62/AD$20,0)</f>
        <v>8.913271052631579</v>
      </c>
      <c r="AL62" s="464">
        <f t="shared" ref="AL62:AL70" si="18">IFERROR(AG62/AG$20,0)</f>
        <v>10.0493564577292</v>
      </c>
      <c r="AM62" s="465" t="str">
        <f t="shared" ref="AM62:AM70" si="19">+IFERROR(ROUND(($AB62-AE62)*100,2)&amp;" pts.",0)</f>
        <v>5.72 pts.</v>
      </c>
      <c r="AN62" s="466" t="str">
        <f t="shared" ref="AN62:AN70" si="20">+IFERROR(ROUND(($AB62-AH62)*100,2)&amp;" pts.",0)</f>
        <v>0.55 pts.</v>
      </c>
      <c r="AO62" s="11"/>
    </row>
    <row r="63" spans="1:41" x14ac:dyDescent="0.2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67">
        <v>1628.23</v>
      </c>
      <c r="P63" s="216">
        <v>4375.8</v>
      </c>
      <c r="Q63" s="216">
        <v>16737.7</v>
      </c>
      <c r="R63" s="216">
        <v>-14005.17</v>
      </c>
      <c r="S63" s="216">
        <v>4090.48</v>
      </c>
      <c r="T63" s="216">
        <v>1761.74</v>
      </c>
      <c r="U63" s="216">
        <v>2586.1999999999998</v>
      </c>
      <c r="V63" s="216">
        <v>5442.18</v>
      </c>
      <c r="W63" s="216">
        <v>2308.69</v>
      </c>
      <c r="X63" s="216">
        <v>1141.44</v>
      </c>
      <c r="Y63" s="216">
        <v>1770.13</v>
      </c>
      <c r="Z63" s="216">
        <v>2480.81</v>
      </c>
      <c r="AA63" s="216">
        <f t="shared" si="13"/>
        <v>30318.230000000003</v>
      </c>
      <c r="AB63" s="468">
        <f>IF(_epmOfflineCondition_,0.195605963878528,IF(AA63=0,"",IFERROR(AA63/_xll.EVGTS($B$1,1,_xll.EVPRO($B$1,$H63,"COSBASIS"),$B$3,$B$5,$B$6,$B$7,$B$9,AA$16,AA$17,AA$11),"")))</f>
        <v>0.19560596387852799</v>
      </c>
      <c r="AC63" s="459"/>
      <c r="AD63" s="216">
        <v>76437.350000000006</v>
      </c>
      <c r="AE63" s="468">
        <f>IF(_epmOfflineCondition_,0.239078594683332,IF(AD63=0,"",IFERROR(AD63/_xll.EVGTS($B$1,1,_xll.EVPRO($B$1,$H63,"COSBASIS"),$B$3,$B$5,$B$6,$B$7,$B$9,AD$16,AD$17,AD$18),"")))</f>
        <v>0.23907859468333201</v>
      </c>
      <c r="AF63" s="469">
        <f t="shared" si="14"/>
        <v>-46119.12</v>
      </c>
      <c r="AG63" s="216">
        <v>20158.57</v>
      </c>
      <c r="AH63" s="468">
        <f>IF(_epmOfflineCondition_,0.147946531148991,IF(AG63=0,"",IFERROR(AG63/_xll.EVGTS($B$1,1,_xll.EVPRO($B$1,$H63,"COSBASIS"),$B$3,$B$5,$B$6,$B$7,$B$9,AG$16,AG$17,AG$18),"")))</f>
        <v>0.14794653114899101</v>
      </c>
      <c r="AI63" s="470">
        <f t="shared" si="15"/>
        <v>10159.660000000003</v>
      </c>
      <c r="AJ63" s="471">
        <f t="shared" si="16"/>
        <v>1.1346642964071858</v>
      </c>
      <c r="AK63" s="472">
        <f t="shared" si="17"/>
        <v>2.2350102339181288</v>
      </c>
      <c r="AL63" s="473">
        <f t="shared" si="18"/>
        <v>1.124167410216373</v>
      </c>
      <c r="AM63" s="474" t="str">
        <f t="shared" si="19"/>
        <v>-4.35 pts.</v>
      </c>
      <c r="AN63" s="475" t="str">
        <f t="shared" si="20"/>
        <v>4.77 pts.</v>
      </c>
      <c r="AO63" s="11"/>
    </row>
    <row r="64" spans="1:41" x14ac:dyDescent="0.2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76">
        <v>17794.75</v>
      </c>
      <c r="P64" s="223">
        <v>41641.72</v>
      </c>
      <c r="Q64" s="223">
        <v>63503.33</v>
      </c>
      <c r="R64" s="223">
        <v>-16568.8</v>
      </c>
      <c r="S64" s="223">
        <v>36225.43</v>
      </c>
      <c r="T64" s="223">
        <v>21033.34</v>
      </c>
      <c r="U64" s="223">
        <v>24623.919999999998</v>
      </c>
      <c r="V64" s="223">
        <v>26634.21</v>
      </c>
      <c r="W64" s="223">
        <v>20430.919999999998</v>
      </c>
      <c r="X64" s="223">
        <v>15277.49</v>
      </c>
      <c r="Y64" s="223">
        <v>10903.8</v>
      </c>
      <c r="Z64" s="223">
        <v>27774.54</v>
      </c>
      <c r="AA64" s="223">
        <f t="shared" si="13"/>
        <v>289274.64999999997</v>
      </c>
      <c r="AB64" s="224">
        <f>IF(_epmOfflineCondition_,0.336662644128504,IF(AA64=0,"",IFERROR(AA64/_xll.EVGTS($B$1,1,_xll.EVPRO($B$1,$H64,"COSBASIS"),$B$3,$B$5,$B$6,$B$7,$B$9,AA$16,AA$17,AA$11),"")))</f>
        <v>0.336662644128504</v>
      </c>
      <c r="AC64" s="225"/>
      <c r="AD64" s="223">
        <v>381271.22</v>
      </c>
      <c r="AE64" s="224">
        <f>IF(_epmOfflineCondition_,0.292598734585701,IF(AD64=0,"",IFERROR(AD64/_xll.EVGTS($B$1,1,_xll.EVPRO($B$1,$H64,"COSBASIS"),$B$3,$B$5,$B$6,$B$7,$B$9,AD$16,AD$17,AD$18),"")))</f>
        <v>0.29259873458570101</v>
      </c>
      <c r="AF64" s="226">
        <f t="shared" si="14"/>
        <v>-91996.57</v>
      </c>
      <c r="AG64" s="223">
        <v>200363.63</v>
      </c>
      <c r="AH64" s="224">
        <f>IF(_epmOfflineCondition_,0.316381976470425,IF(AG64=0,"",IFERROR(AG64/_xll.EVGTS($B$1,1,_xll.EVPRO($B$1,$H64,"COSBASIS"),$B$3,$B$5,$B$6,$B$7,$B$9,AG$16,AG$17,AG$18),"")))</f>
        <v>0.31638197647042499</v>
      </c>
      <c r="AI64" s="477">
        <f t="shared" si="15"/>
        <v>88911.01999999996</v>
      </c>
      <c r="AJ64" s="227">
        <f t="shared" si="16"/>
        <v>10.826147080838322</v>
      </c>
      <c r="AK64" s="228">
        <f t="shared" si="17"/>
        <v>11.148281286549707</v>
      </c>
      <c r="AL64" s="230">
        <f t="shared" si="18"/>
        <v>11.173523867945573</v>
      </c>
      <c r="AM64" s="427" t="str">
        <f t="shared" si="19"/>
        <v>4.41 pts.</v>
      </c>
      <c r="AN64" s="478" t="str">
        <f t="shared" si="20"/>
        <v>2.03 pts.</v>
      </c>
      <c r="AO64" s="11"/>
    </row>
    <row r="65" spans="1:41" x14ac:dyDescent="0.2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79"/>
      <c r="P65" s="232"/>
      <c r="Q65" s="232"/>
      <c r="R65" s="232"/>
      <c r="S65" s="232"/>
      <c r="T65" s="232"/>
      <c r="U65" s="232"/>
      <c r="V65" s="232"/>
      <c r="W65" s="232"/>
      <c r="X65" s="232"/>
      <c r="Y65" s="232"/>
      <c r="Z65" s="232"/>
      <c r="AA65" s="232" t="str">
        <f t="shared" si="13"/>
        <v/>
      </c>
      <c r="AB65" s="480" t="str">
        <f>IF(_epmOfflineCondition_,"",IF(AA65=0,"",IFERROR(AA65/_xll.EVGTS($B$1,1,_xll.EVPRO($B$1,$H65,"COSBASIS"),$B$3,$B$5,$B$6,$B$7,$B$9,AA$16,AA$17,AA$11),"")))</f>
        <v/>
      </c>
      <c r="AC65" s="529"/>
      <c r="AD65" s="232"/>
      <c r="AE65" s="480" t="str">
        <f>IF(_epmOfflineCondition_,"",IF(AD65=0,"",IFERROR(AD65/_xll.EVGTS($B$1,1,_xll.EVPRO($B$1,$H65,"COSBASIS"),$B$3,$B$5,$B$6,$B$7,$B$9,AD$16,AD$17,AD$18),"")))</f>
        <v/>
      </c>
      <c r="AF65" s="482" t="str">
        <f t="shared" si="14"/>
        <v/>
      </c>
      <c r="AG65" s="232"/>
      <c r="AH65" s="480" t="str">
        <f>IF(_epmOfflineCondition_,"",IF(AG65=0,"",IFERROR(AG65/_xll.EVGTS($B$1,1,_xll.EVPRO($B$1,$H65,"COSBASIS"),$B$3,$B$5,$B$6,$B$7,$B$9,AG$16,AG$17,AG$18),"")))</f>
        <v/>
      </c>
      <c r="AI65" s="483" t="str">
        <f t="shared" si="15"/>
        <v/>
      </c>
      <c r="AJ65" s="235">
        <f t="shared" si="16"/>
        <v>0</v>
      </c>
      <c r="AK65" s="236">
        <f t="shared" si="17"/>
        <v>0</v>
      </c>
      <c r="AL65" s="238">
        <f t="shared" si="18"/>
        <v>0</v>
      </c>
      <c r="AM65" s="429">
        <f t="shared" si="19"/>
        <v>0</v>
      </c>
      <c r="AN65" s="484">
        <f t="shared" si="20"/>
        <v>0</v>
      </c>
      <c r="AO65" s="11"/>
    </row>
    <row r="66" spans="1:41" x14ac:dyDescent="0.2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57"/>
      <c r="P66" s="210"/>
      <c r="Q66" s="210"/>
      <c r="R66" s="210"/>
      <c r="S66" s="210"/>
      <c r="T66" s="210"/>
      <c r="U66" s="210"/>
      <c r="V66" s="210"/>
      <c r="W66" s="210"/>
      <c r="X66" s="210"/>
      <c r="Y66" s="210"/>
      <c r="Z66" s="210"/>
      <c r="AA66" s="210">
        <f t="shared" si="13"/>
        <v>0</v>
      </c>
      <c r="AB66" s="458" t="str">
        <f>IF(_epmOfflineCondition_,"",IF(AA66=0,"",IFERROR(AA66/_xll.EVGTS($B$1,1,_xll.EVPRO($B$1,$H66,"COSBASIS"),$B$3,$B$5,$B$6,$B$7,$B$9,AA$16,AA$17,AA$11),"")))</f>
        <v/>
      </c>
      <c r="AC66" s="528"/>
      <c r="AD66" s="210"/>
      <c r="AE66" s="458" t="str">
        <f>IF(_epmOfflineCondition_,"",IF(AD66=0,"",IFERROR(AD66/_xll.EVGTS($B$1,1,_xll.EVPRO($B$1,$H66,"COSBASIS"),$B$3,$B$5,$B$6,$B$7,$B$9,AD$16,AD$17,AD$18),"")))</f>
        <v/>
      </c>
      <c r="AF66" s="460">
        <f t="shared" si="14"/>
        <v>0</v>
      </c>
      <c r="AG66" s="210"/>
      <c r="AH66" s="458" t="str">
        <f>IF(_epmOfflineCondition_,"",IF(AG66=0,"",IFERROR(AG66/_xll.EVGTS($B$1,1,_xll.EVPRO($B$1,$H66,"COSBASIS"),$B$3,$B$5,$B$6,$B$7,$B$9,AG$16,AG$17,AG$18),"")))</f>
        <v/>
      </c>
      <c r="AI66" s="461">
        <f t="shared" si="15"/>
        <v>0</v>
      </c>
      <c r="AJ66" s="462">
        <f t="shared" si="16"/>
        <v>0</v>
      </c>
      <c r="AK66" s="463">
        <f t="shared" si="17"/>
        <v>0</v>
      </c>
      <c r="AL66" s="464">
        <f t="shared" si="18"/>
        <v>0</v>
      </c>
      <c r="AM66" s="465">
        <f t="shared" si="19"/>
        <v>0</v>
      </c>
      <c r="AN66" s="466">
        <f t="shared" si="20"/>
        <v>0</v>
      </c>
      <c r="AO66" s="11"/>
    </row>
    <row r="67" spans="1:41" x14ac:dyDescent="0.2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57"/>
      <c r="P67" s="210"/>
      <c r="Q67" s="210"/>
      <c r="R67" s="210"/>
      <c r="S67" s="210"/>
      <c r="T67" s="210"/>
      <c r="U67" s="210"/>
      <c r="V67" s="210"/>
      <c r="W67" s="210"/>
      <c r="X67" s="210"/>
      <c r="Y67" s="210"/>
      <c r="Z67" s="210"/>
      <c r="AA67" s="210">
        <f t="shared" si="13"/>
        <v>0</v>
      </c>
      <c r="AB67" s="458" t="str">
        <f>IF(_epmOfflineCondition_,"",IF(AA67=0,"",IFERROR(AA67/_xll.EVGTS($B$1,1,_xll.EVPRO($B$1,$H67,"COSBASIS"),$B$3,$B$5,$B$6,$B$7,$B$9,AA$16,AA$17,AA$11),"")))</f>
        <v/>
      </c>
      <c r="AC67" s="528"/>
      <c r="AD67" s="210"/>
      <c r="AE67" s="458" t="str">
        <f>IF(_epmOfflineCondition_,"",IF(AD67=0,"",IFERROR(AD67/_xll.EVGTS($B$1,1,_xll.EVPRO($B$1,$H67,"COSBASIS"),$B$3,$B$5,$B$6,$B$7,$B$9,AD$16,AD$17,AD$18),"")))</f>
        <v/>
      </c>
      <c r="AF67" s="460">
        <f t="shared" si="14"/>
        <v>0</v>
      </c>
      <c r="AG67" s="210"/>
      <c r="AH67" s="458" t="str">
        <f>IF(_epmOfflineCondition_,"",IF(AG67=0,"",IFERROR(AG67/_xll.EVGTS($B$1,1,_xll.EVPRO($B$1,$H67,"COSBASIS"),$B$3,$B$5,$B$6,$B$7,$B$9,AG$16,AG$17,AG$18),"")))</f>
        <v/>
      </c>
      <c r="AI67" s="461">
        <f t="shared" si="15"/>
        <v>0</v>
      </c>
      <c r="AJ67" s="462">
        <f t="shared" si="16"/>
        <v>0</v>
      </c>
      <c r="AK67" s="463">
        <f t="shared" si="17"/>
        <v>0</v>
      </c>
      <c r="AL67" s="464">
        <f t="shared" si="18"/>
        <v>0</v>
      </c>
      <c r="AM67" s="465">
        <f t="shared" si="19"/>
        <v>0</v>
      </c>
      <c r="AN67" s="466">
        <f t="shared" si="20"/>
        <v>0</v>
      </c>
      <c r="AO67" s="11"/>
    </row>
    <row r="68" spans="1:41" x14ac:dyDescent="0.2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67"/>
      <c r="P68" s="216"/>
      <c r="Q68" s="216"/>
      <c r="R68" s="216"/>
      <c r="S68" s="216"/>
      <c r="T68" s="216"/>
      <c r="U68" s="216"/>
      <c r="V68" s="216"/>
      <c r="W68" s="216"/>
      <c r="X68" s="216"/>
      <c r="Y68" s="216"/>
      <c r="Z68" s="216"/>
      <c r="AA68" s="216">
        <f t="shared" si="13"/>
        <v>0</v>
      </c>
      <c r="AB68" s="468" t="str">
        <f>IF(_epmOfflineCondition_,"",IF(AA68=0,"",IFERROR(AA68/_xll.EVGTS($B$1,1,_xll.EVPRO($B$1,$H68,"COSBASIS"),$B$3,$B$5,$B$6,$B$7,$B$9,AA$16,AA$17,AA$11),"")))</f>
        <v/>
      </c>
      <c r="AC68" s="459"/>
      <c r="AD68" s="216"/>
      <c r="AE68" s="468" t="str">
        <f>IF(_epmOfflineCondition_,"",IF(AD68=0,"",IFERROR(AD68/_xll.EVGTS($B$1,1,_xll.EVPRO($B$1,$H68,"COSBASIS"),$B$3,$B$5,$B$6,$B$7,$B$9,AD$16,AD$17,AD$18),"")))</f>
        <v/>
      </c>
      <c r="AF68" s="469">
        <f t="shared" si="14"/>
        <v>0</v>
      </c>
      <c r="AG68" s="216"/>
      <c r="AH68" s="468" t="str">
        <f>IF(_epmOfflineCondition_,"",IF(AG68=0,"",IFERROR(AG68/_xll.EVGTS($B$1,1,_xll.EVPRO($B$1,$H68,"COSBASIS"),$B$3,$B$5,$B$6,$B$7,$B$9,AG$16,AG$17,AG$18),"")))</f>
        <v/>
      </c>
      <c r="AI68" s="470">
        <f t="shared" si="15"/>
        <v>0</v>
      </c>
      <c r="AJ68" s="471">
        <f t="shared" si="16"/>
        <v>0</v>
      </c>
      <c r="AK68" s="472">
        <f t="shared" si="17"/>
        <v>0</v>
      </c>
      <c r="AL68" s="473">
        <f t="shared" si="18"/>
        <v>0</v>
      </c>
      <c r="AM68" s="474">
        <f t="shared" si="19"/>
        <v>0</v>
      </c>
      <c r="AN68" s="475">
        <f t="shared" si="20"/>
        <v>0</v>
      </c>
      <c r="AO68" s="11"/>
    </row>
    <row r="69" spans="1:41" x14ac:dyDescent="0.2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85"/>
      <c r="P69" s="242"/>
      <c r="Q69" s="242"/>
      <c r="R69" s="242"/>
      <c r="S69" s="242"/>
      <c r="T69" s="242"/>
      <c r="U69" s="242"/>
      <c r="V69" s="242"/>
      <c r="W69" s="242"/>
      <c r="X69" s="242"/>
      <c r="Y69" s="242"/>
      <c r="Z69" s="242"/>
      <c r="AA69" s="242">
        <f t="shared" si="13"/>
        <v>0</v>
      </c>
      <c r="AB69" s="243" t="str">
        <f>IF(_epmOfflineCondition_,"",IF(AA69=0,"",IFERROR(AA69/_xll.EVGTS($B$1,1,_xll.EVPRO($B$1,$H69,"COSBASIS"),$B$3,$B$5,$B$6,$B$7,$B$9,AA$16,AA$17,AA$11),"")))</f>
        <v/>
      </c>
      <c r="AC69" s="244"/>
      <c r="AD69" s="242"/>
      <c r="AE69" s="243" t="str">
        <f>IF(_epmOfflineCondition_,"",IF(AD69=0,"",IFERROR(AD69/_xll.EVGTS($B$1,1,_xll.EVPRO($B$1,$H69,"COSBASIS"),$B$3,$B$5,$B$6,$B$7,$B$9,AD$16,AD$17,AD$18),"")))</f>
        <v/>
      </c>
      <c r="AF69" s="245">
        <f t="shared" si="14"/>
        <v>0</v>
      </c>
      <c r="AG69" s="242"/>
      <c r="AH69" s="243" t="str">
        <f>IF(_epmOfflineCondition_,"",IF(AG69=0,"",IFERROR(AG69/_xll.EVGTS($B$1,1,_xll.EVPRO($B$1,$H69,"COSBASIS"),$B$3,$B$5,$B$6,$B$7,$B$9,AG$16,AG$17,AG$18),"")))</f>
        <v/>
      </c>
      <c r="AI69" s="486">
        <f t="shared" si="15"/>
        <v>0</v>
      </c>
      <c r="AJ69" s="246">
        <f t="shared" si="16"/>
        <v>0</v>
      </c>
      <c r="AK69" s="247">
        <f t="shared" si="17"/>
        <v>0</v>
      </c>
      <c r="AL69" s="249">
        <f t="shared" si="18"/>
        <v>0</v>
      </c>
      <c r="AM69" s="431">
        <f t="shared" si="19"/>
        <v>0</v>
      </c>
      <c r="AN69" s="487">
        <f t="shared" si="20"/>
        <v>0</v>
      </c>
      <c r="AO69" s="11"/>
    </row>
    <row r="70" spans="1:41" x14ac:dyDescent="0.2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76">
        <v>17794.75</v>
      </c>
      <c r="P70" s="223">
        <v>41641.72</v>
      </c>
      <c r="Q70" s="223">
        <v>63503.33</v>
      </c>
      <c r="R70" s="223">
        <v>-16568.8</v>
      </c>
      <c r="S70" s="223">
        <v>36225.43</v>
      </c>
      <c r="T70" s="223">
        <v>21033.34</v>
      </c>
      <c r="U70" s="223">
        <v>24623.919999999998</v>
      </c>
      <c r="V70" s="223">
        <v>26634.21</v>
      </c>
      <c r="W70" s="223">
        <v>20430.919999999998</v>
      </c>
      <c r="X70" s="223">
        <v>15277.49</v>
      </c>
      <c r="Y70" s="223">
        <v>10903.8</v>
      </c>
      <c r="Z70" s="223">
        <v>27774.54</v>
      </c>
      <c r="AA70" s="223">
        <f t="shared" si="13"/>
        <v>289274.64999999997</v>
      </c>
      <c r="AB70" s="224">
        <f>IF(_epmOfflineCondition_,0.282820283861081,IF(AA70=0,"",IFERROR(AA70/_xll.EVGTS($B$1,1,_xll.EVPRO($B$1,$H70,"COSBASIS"),$B$3,$B$5,$B$6,$B$7,$B$9,AA$16,AA$17,AA$11),"")))</f>
        <v>0.28282028386108099</v>
      </c>
      <c r="AC70" s="225"/>
      <c r="AD70" s="223">
        <v>381271.22</v>
      </c>
      <c r="AE70" s="224">
        <f>IF(_epmOfflineCondition_,0.247965029309916,IF(AD70=0,"",IFERROR(AD70/_xll.EVGTS($B$1,1,_xll.EVPRO($B$1,$H70,"COSBASIS"),$B$3,$B$5,$B$6,$B$7,$B$9,AD$16,AD$17,AD$18),"")))</f>
        <v>0.24796502930991601</v>
      </c>
      <c r="AF70" s="226">
        <f t="shared" si="14"/>
        <v>-91996.57</v>
      </c>
      <c r="AG70" s="223">
        <v>200363.63</v>
      </c>
      <c r="AH70" s="224">
        <f>IF(_epmOfflineCondition_,0.268065029396445,IF(AG70=0,"",IFERROR(AG70/_xll.EVGTS($B$1,1,_xll.EVPRO($B$1,$H70,"COSBASIS"),$B$3,$B$5,$B$6,$B$7,$B$9,AG$16,AG$17,AG$18),"")))</f>
        <v>0.268065029396445</v>
      </c>
      <c r="AI70" s="477">
        <f t="shared" si="15"/>
        <v>88911.01999999996</v>
      </c>
      <c r="AJ70" s="227">
        <f t="shared" si="16"/>
        <v>10.826147080838322</v>
      </c>
      <c r="AK70" s="228">
        <f t="shared" si="17"/>
        <v>11.148281286549707</v>
      </c>
      <c r="AL70" s="230">
        <f t="shared" si="18"/>
        <v>11.173523867945573</v>
      </c>
      <c r="AM70" s="427" t="str">
        <f t="shared" si="19"/>
        <v>3.49 pts.</v>
      </c>
      <c r="AN70" s="478" t="str">
        <f t="shared" si="20"/>
        <v>1.48 pts.</v>
      </c>
      <c r="AO70" s="11"/>
    </row>
    <row r="71" spans="1:41" x14ac:dyDescent="0.2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2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57063.56</v>
      </c>
      <c r="P72" s="123">
        <f t="shared" si="21"/>
        <v>63427.58</v>
      </c>
      <c r="Q72" s="123">
        <f t="shared" si="21"/>
        <v>46552.729999999996</v>
      </c>
      <c r="R72" s="123">
        <f t="shared" si="21"/>
        <v>135223.81</v>
      </c>
      <c r="S72" s="123">
        <f t="shared" si="21"/>
        <v>63515.840000000004</v>
      </c>
      <c r="T72" s="123">
        <f t="shared" si="21"/>
        <v>55154.39</v>
      </c>
      <c r="U72" s="123">
        <f t="shared" si="21"/>
        <v>63518.75</v>
      </c>
      <c r="V72" s="123">
        <f t="shared" si="21"/>
        <v>42059.659999999996</v>
      </c>
      <c r="W72" s="123">
        <f t="shared" si="21"/>
        <v>34534.060000000005</v>
      </c>
      <c r="X72" s="123">
        <f t="shared" si="21"/>
        <v>44592.920000000006</v>
      </c>
      <c r="Y72" s="123">
        <f t="shared" si="21"/>
        <v>55172.67</v>
      </c>
      <c r="Z72" s="123">
        <f t="shared" si="21"/>
        <v>72730.820000000007</v>
      </c>
      <c r="AA72" s="191">
        <f>IF($I72="B1","",SUM(O72:Z72))</f>
        <v>733546.79000000027</v>
      </c>
      <c r="AB72" s="192">
        <f>IF(AA72=0,"",IFERROR(AA72/AA$19,""))</f>
        <v>0.71717971613891884</v>
      </c>
      <c r="AC72" s="11"/>
      <c r="AD72" s="123">
        <f>SUMIF($H$35:$H$70,"400000",AD35:AD70)-SUMIF($H$35:$H$70,"500001",AD35:AD70)</f>
        <v>1156329.55</v>
      </c>
      <c r="AE72" s="192">
        <f>IF(AD72=0,"",IFERROR(AD72/AD$19,""))</f>
        <v>0.75203497069008363</v>
      </c>
      <c r="AF72" s="125">
        <f t="shared" si="14"/>
        <v>-422782.75999999978</v>
      </c>
      <c r="AG72" s="123">
        <f>SUMIF($H$35:$H$70,"400000",AG35:AG70)-SUMIF($H$35:$H$70,"500001",AG35:AG70)</f>
        <v>547080.49</v>
      </c>
      <c r="AH72" s="192">
        <f>IF(AG72=0,"",IFERROR(AG72/AG$19,""))</f>
        <v>0.73193497060355495</v>
      </c>
      <c r="AI72" s="125">
        <f t="shared" si="15"/>
        <v>186466.30000000028</v>
      </c>
      <c r="AJ72" s="193">
        <f>IFERROR(AA72/AA$20,0)</f>
        <v>27.453098428143722</v>
      </c>
      <c r="AK72" s="194">
        <f>IFERROR(AD72/AD$20,0)</f>
        <v>33.810805555555554</v>
      </c>
      <c r="AL72" s="195">
        <f>IFERROR(AG72/AG$20,0)</f>
        <v>30.508615324559447</v>
      </c>
      <c r="AM72" s="407" t="str">
        <f>+IFERROR(ROUND(($AB72-AE72)*100,2)&amp;" pts.",0)</f>
        <v>-3.49 pts.</v>
      </c>
      <c r="AN72" s="408" t="str">
        <f>+IFERROR(ROUND(($AB72-AH72)*100,2)&amp;" pts.",0)</f>
        <v>-1.48 pts.</v>
      </c>
      <c r="AO72" s="11"/>
    </row>
    <row r="73" spans="1:41" x14ac:dyDescent="0.2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2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2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x14ac:dyDescent="0.25">
      <c r="A76" s="11" t="s">
        <v>108</v>
      </c>
      <c r="B76" s="11"/>
      <c r="C76" s="106" t="s">
        <v>101</v>
      </c>
      <c r="D76" s="11" t="s">
        <v>106</v>
      </c>
      <c r="E76" s="11"/>
      <c r="F76" s="11" t="s">
        <v>98</v>
      </c>
      <c r="G76" s="11"/>
      <c r="H76" s="88" t="s">
        <v>881</v>
      </c>
      <c r="I76" s="122" t="str">
        <f>IF(_epmOfflineCondition_,"T3",_xll.EVPRO($B$1,$H76,"STYLE"))</f>
        <v>T3</v>
      </c>
      <c r="J76" s="122" t="str">
        <f>IF(_epmOfflineCondition_,"Y",_xll.EVPRO($B$1,$H76,"CALC"))</f>
        <v>Y</v>
      </c>
      <c r="K76" s="179" t="str">
        <f t="shared" ref="K76:K90" si="22">IF(AND(I76&gt;="T3"),"&gt;","")</f>
        <v>&gt;</v>
      </c>
      <c r="L76" s="90" t="str">
        <f>IF(_epmOfflineCondition_,"",_xll.EVPRO($B$1,H76,"JDEID"))</f>
        <v/>
      </c>
      <c r="M76" s="90" t="str">
        <f>IF(_epmOfflineCondition_,"",IF(AND(I76="N",J76="N"),_xll.EVPRO($B$1,H76,"PSFTID"),""))</f>
        <v/>
      </c>
      <c r="N76" s="90" t="str">
        <f>IF(_epmOfflineCondition_,"Management - F&amp;B Service",IF(_xll.EVDES(H76,$B$1)="#NODATA","",_xll.EVDES(H76,$B$1)))</f>
        <v>Management - F&amp;B Service</v>
      </c>
      <c r="O76" s="231">
        <v>10969.45</v>
      </c>
      <c r="P76" s="231">
        <v>11500</v>
      </c>
      <c r="Q76" s="231">
        <v>11500</v>
      </c>
      <c r="R76" s="231">
        <v>13329.34</v>
      </c>
      <c r="S76" s="231">
        <v>14375.11</v>
      </c>
      <c r="T76" s="231">
        <v>5333.34</v>
      </c>
      <c r="U76" s="231">
        <v>8779.2800000000007</v>
      </c>
      <c r="V76" s="231">
        <v>24918.36</v>
      </c>
      <c r="W76" s="231">
        <v>12895.35</v>
      </c>
      <c r="X76" s="231">
        <v>10141.41</v>
      </c>
      <c r="Y76" s="231">
        <v>13241.32</v>
      </c>
      <c r="Z76" s="231">
        <v>14872.18</v>
      </c>
      <c r="AA76" s="210">
        <f t="shared" ref="AA76:AA90" si="23">IF($I76="B1","",SUM(O76:Z76))</f>
        <v>151855.13999999998</v>
      </c>
      <c r="AB76" s="233">
        <f t="shared" ref="AB76:AB90" si="24">IF(AA76=0,"",IFERROR(AA76/AA$19,""))</f>
        <v>0.14846691129196507</v>
      </c>
      <c r="AC76" s="140"/>
      <c r="AD76" s="231">
        <v>160471.60048058099</v>
      </c>
      <c r="AE76" s="233">
        <f t="shared" ref="AE76:AE90" si="25">IF(AD76=0,"",IFERROR(AD76/AD$19,""))</f>
        <v>0.10436493243989529</v>
      </c>
      <c r="AF76" s="234">
        <f t="shared" ref="AF76:AF90" si="26">IF(AND($AA76="",AD76=""),"",$AA76-AD76)</f>
        <v>-8616.4604805810086</v>
      </c>
      <c r="AG76" s="231">
        <v>94114.61</v>
      </c>
      <c r="AH76" s="233">
        <f t="shared" ref="AH76:AH90" si="27">IF(AG76=0,"",IFERROR(AG76/AG$19,""))</f>
        <v>0.12591524567749626</v>
      </c>
      <c r="AI76" s="234">
        <f t="shared" ref="AI76:AI90" si="28">IF(AND($AA76="",AG76=""),"",$AA76-AG76)</f>
        <v>57740.529999999984</v>
      </c>
      <c r="AJ76" s="211">
        <f t="shared" ref="AJ76:AJ90" si="29">IFERROR(AA76/AA$20,0)</f>
        <v>5.6832013473053884</v>
      </c>
      <c r="AK76" s="212">
        <f t="shared" ref="AK76:AK90" si="30">IFERROR(AD76/AD$20,0)</f>
        <v>4.6921520608357019</v>
      </c>
      <c r="AL76" s="214">
        <f t="shared" ref="AL76:AL90" si="31">IFERROR(AG76/AG$20,0)</f>
        <v>5.2484167967878657</v>
      </c>
      <c r="AM76" s="423" t="str">
        <f t="shared" ref="AM76:AM90" si="32">+IFERROR(ROUND(($AB76-AE76)*100,2)&amp;" pts.",0)</f>
        <v>4.41 pts.</v>
      </c>
      <c r="AN76" s="424" t="str">
        <f t="shared" ref="AN76:AN90" si="33">+IFERROR(ROUND(($AB76-AH76)*100,2)&amp;" pts.",0)</f>
        <v>2.26 pts.</v>
      </c>
      <c r="AO76" s="11"/>
    </row>
    <row r="77" spans="1:41" x14ac:dyDescent="0.25">
      <c r="A77" s="11" t="s">
        <v>108</v>
      </c>
      <c r="B77" s="11"/>
      <c r="C77" s="196" t="s">
        <v>101</v>
      </c>
      <c r="D77" s="11" t="s">
        <v>107</v>
      </c>
      <c r="E77" s="11"/>
      <c r="F77" s="11" t="s">
        <v>99</v>
      </c>
      <c r="G77" s="11"/>
      <c r="H77" s="88" t="s">
        <v>882</v>
      </c>
      <c r="I77" s="122" t="str">
        <f>IF(_epmOfflineCondition_,"T3",_xll.EVPRO($B$1,$H77,"STYLE"))</f>
        <v>T3</v>
      </c>
      <c r="J77" s="122" t="str">
        <f>IF(_epmOfflineCondition_,"Y",_xll.EVPRO($B$1,$H77,"CALC"))</f>
        <v>Y</v>
      </c>
      <c r="K77" s="179" t="str">
        <f t="shared" si="22"/>
        <v>&gt;</v>
      </c>
      <c r="L77" s="90" t="str">
        <f>IF(_epmOfflineCondition_,"",_xll.EVPRO($B$1,H77,"JDEID"))</f>
        <v/>
      </c>
      <c r="M77" s="90" t="str">
        <f>IF(_epmOfflineCondition_,"",IF(AND(I77="N",J77="N"),_xll.EVPRO($B$1,H77,"PSFTID"),""))</f>
        <v/>
      </c>
      <c r="N77" s="90" t="str">
        <f>IF(_epmOfflineCondition_,"Management - F&amp;B Kitchen",IF(_xll.EVDES(H77,$B$1)="#NODATA","",_xll.EVDES(H77,$B$1)))</f>
        <v>Management - F&amp;B Kitchen</v>
      </c>
      <c r="O77" s="231">
        <v>5166.7700000000004</v>
      </c>
      <c r="P77" s="231">
        <v>11704.16</v>
      </c>
      <c r="Q77" s="231">
        <v>15537.66</v>
      </c>
      <c r="R77" s="231">
        <v>13575</v>
      </c>
      <c r="S77" s="231">
        <v>5557.8</v>
      </c>
      <c r="T77" s="231">
        <v>12583.24</v>
      </c>
      <c r="U77" s="231">
        <v>7551.43</v>
      </c>
      <c r="V77" s="231">
        <v>7916.66</v>
      </c>
      <c r="W77" s="231">
        <v>12967.96</v>
      </c>
      <c r="X77" s="231">
        <v>13333.32</v>
      </c>
      <c r="Y77" s="231">
        <v>12968.09</v>
      </c>
      <c r="Z77" s="231">
        <v>12103.09</v>
      </c>
      <c r="AA77" s="210">
        <f t="shared" si="23"/>
        <v>130965.18</v>
      </c>
      <c r="AB77" s="233">
        <f t="shared" si="24"/>
        <v>0.12804305314522932</v>
      </c>
      <c r="AC77" s="140"/>
      <c r="AD77" s="231">
        <v>148813.52524032301</v>
      </c>
      <c r="AE77" s="233">
        <f t="shared" si="25"/>
        <v>9.6782941413539367E-2</v>
      </c>
      <c r="AF77" s="234">
        <f t="shared" si="26"/>
        <v>-17848.345240323019</v>
      </c>
      <c r="AG77" s="231">
        <v>133031.14000000001</v>
      </c>
      <c r="AH77" s="233">
        <f t="shared" si="27"/>
        <v>0.17798138541781561</v>
      </c>
      <c r="AI77" s="234">
        <f t="shared" si="28"/>
        <v>-2065.960000000021</v>
      </c>
      <c r="AJ77" s="211">
        <f t="shared" si="29"/>
        <v>4.901391467065868</v>
      </c>
      <c r="AK77" s="212">
        <f t="shared" si="30"/>
        <v>4.3512726678457021</v>
      </c>
      <c r="AL77" s="214">
        <f t="shared" si="31"/>
        <v>7.4186448806602732</v>
      </c>
      <c r="AM77" s="423" t="str">
        <f t="shared" si="32"/>
        <v>3.13 pts.</v>
      </c>
      <c r="AN77" s="424" t="str">
        <f t="shared" si="33"/>
        <v>-4.99 pts.</v>
      </c>
      <c r="AO77" s="11"/>
    </row>
    <row r="78" spans="1:41" x14ac:dyDescent="0.25">
      <c r="A78" s="11"/>
      <c r="B78" s="11"/>
      <c r="C78" s="11"/>
      <c r="D78" s="11"/>
      <c r="E78" s="11"/>
      <c r="F78" s="11"/>
      <c r="G78" s="11"/>
      <c r="H78" s="88" t="s">
        <v>75</v>
      </c>
      <c r="I78" s="89" t="str">
        <f>IF(_epmOfflineCondition_,"B1",_xll.EVPRO($B$1,$H78,"STYLE"))</f>
        <v>B1</v>
      </c>
      <c r="J78" s="89" t="str">
        <f>IF(_epmOfflineCondition_,"Y",_xll.EVPRO($B$1,$H78,"CALC"))</f>
        <v>Y</v>
      </c>
      <c r="K78" s="265" t="str">
        <f t="shared" si="22"/>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 t="shared" si="23"/>
        <v/>
      </c>
      <c r="AB78" s="198" t="str">
        <f t="shared" si="24"/>
        <v/>
      </c>
      <c r="AC78" s="11"/>
      <c r="AD78" s="197"/>
      <c r="AE78" s="198" t="str">
        <f t="shared" si="25"/>
        <v/>
      </c>
      <c r="AF78" s="199" t="str">
        <f t="shared" si="26"/>
        <v/>
      </c>
      <c r="AG78" s="197"/>
      <c r="AH78" s="198" t="str">
        <f t="shared" si="27"/>
        <v/>
      </c>
      <c r="AI78" s="199" t="str">
        <f t="shared" si="28"/>
        <v/>
      </c>
      <c r="AJ78" s="181">
        <f t="shared" si="29"/>
        <v>0</v>
      </c>
      <c r="AK78" s="182">
        <f t="shared" si="30"/>
        <v>0</v>
      </c>
      <c r="AL78" s="184">
        <f t="shared" si="31"/>
        <v>0</v>
      </c>
      <c r="AM78" s="385">
        <f t="shared" si="32"/>
        <v>0</v>
      </c>
      <c r="AN78" s="386">
        <f t="shared" si="33"/>
        <v>0</v>
      </c>
      <c r="AO78" s="11"/>
    </row>
    <row r="79" spans="1:41" x14ac:dyDescent="0.25">
      <c r="A79" s="11"/>
      <c r="B79" s="11"/>
      <c r="C79" s="208"/>
      <c r="D79" s="11"/>
      <c r="E79" s="11"/>
      <c r="F79" s="11"/>
      <c r="G79" s="11"/>
      <c r="H79" s="88" t="s">
        <v>880</v>
      </c>
      <c r="I79" s="122" t="str">
        <f>IF(_epmOfflineCondition_,"T3",_xll.EVPRO($B$1,$H79,"STYLE"))</f>
        <v>T3</v>
      </c>
      <c r="J79" s="122" t="str">
        <f>IF(_epmOfflineCondition_,"Y",_xll.EVPRO($B$1,$H79,"CALC"))</f>
        <v>Y</v>
      </c>
      <c r="K79" s="179" t="str">
        <f t="shared" si="22"/>
        <v>&gt;</v>
      </c>
      <c r="L79" s="90" t="str">
        <f>IF(_epmOfflineCondition_,"",_xll.EVPRO($B$1,H79,"JDEID"))</f>
        <v/>
      </c>
      <c r="M79" s="90" t="str">
        <f>IF(_epmOfflineCondition_,"",IF(AND(I79="N",J79="N"),_xll.EVPRO($B$1,H79,"PSFTID"),""))</f>
        <v/>
      </c>
      <c r="N79" s="90" t="str">
        <f>IF(_epmOfflineCondition_,"F&amp;B Kitchen",IF(_xll.EVDES(H79,$B$1)="#NODATA","",_xll.EVDES(H79,$B$1)))</f>
        <v>F&amp;B Kitchen</v>
      </c>
      <c r="O79" s="239">
        <v>6044.54</v>
      </c>
      <c r="P79" s="239">
        <v>7705.42</v>
      </c>
      <c r="Q79" s="239">
        <v>4326.41</v>
      </c>
      <c r="R79" s="239">
        <v>4337.28</v>
      </c>
      <c r="S79" s="239">
        <v>3713</v>
      </c>
      <c r="T79" s="239">
        <v>4278.5600000000004</v>
      </c>
      <c r="U79" s="239">
        <v>4710.16</v>
      </c>
      <c r="V79" s="239">
        <v>4053.87</v>
      </c>
      <c r="W79" s="239">
        <v>3997.68</v>
      </c>
      <c r="X79" s="239">
        <v>2557.14</v>
      </c>
      <c r="Y79" s="239">
        <v>2522.0700000000002</v>
      </c>
      <c r="Z79" s="239">
        <v>2439.29</v>
      </c>
      <c r="AA79" s="216">
        <f t="shared" si="23"/>
        <v>50685.42</v>
      </c>
      <c r="AB79" s="240">
        <f t="shared" si="24"/>
        <v>4.9554514617918058E-2</v>
      </c>
      <c r="AC79" s="140"/>
      <c r="AD79" s="239">
        <v>242779.46428571499</v>
      </c>
      <c r="AE79" s="240">
        <f t="shared" si="25"/>
        <v>0.15789499395588555</v>
      </c>
      <c r="AF79" s="241">
        <f t="shared" si="26"/>
        <v>-192094.04428571498</v>
      </c>
      <c r="AG79" s="239">
        <v>61486.400000000001</v>
      </c>
      <c r="AH79" s="240">
        <f t="shared" si="27"/>
        <v>8.2262203092854619E-2</v>
      </c>
      <c r="AI79" s="241">
        <f t="shared" si="28"/>
        <v>-10800.980000000003</v>
      </c>
      <c r="AJ79" s="211">
        <f t="shared" si="29"/>
        <v>1.8969094311377246</v>
      </c>
      <c r="AK79" s="212">
        <f t="shared" si="30"/>
        <v>7.0988147451963446</v>
      </c>
      <c r="AL79" s="214">
        <f t="shared" si="31"/>
        <v>3.4288645995984832</v>
      </c>
      <c r="AM79" s="423" t="str">
        <f t="shared" si="32"/>
        <v>-10.83 pts.</v>
      </c>
      <c r="AN79" s="424" t="str">
        <f t="shared" si="33"/>
        <v>-3.27 pts.</v>
      </c>
      <c r="AO79" s="11"/>
    </row>
    <row r="80" spans="1:41" x14ac:dyDescent="0.25">
      <c r="A80" s="61" t="str">
        <f>IF(_epmOfflineCondition_,"Evdre:Ok",_xll.EVDRE($B$1,A83:B90,A93:B99))</f>
        <v>Evdre:Ok</v>
      </c>
      <c r="B80" s="11"/>
      <c r="C80" s="11"/>
      <c r="D80" s="11"/>
      <c r="E80" s="11"/>
      <c r="F80" s="11"/>
      <c r="G80" s="11"/>
      <c r="H80" s="88" t="s">
        <v>861</v>
      </c>
      <c r="I80" s="122" t="str">
        <f>IF(_epmOfflineCondition_,"T3",_xll.EVPRO($B$1,$H80,"STYLE"))</f>
        <v>T3</v>
      </c>
      <c r="J80" s="122" t="str">
        <f>IF(_epmOfflineCondition_,"Y",_xll.EVPRO($B$1,$H80,"CALC"))</f>
        <v>Y</v>
      </c>
      <c r="K80" s="179" t="str">
        <f t="shared" si="22"/>
        <v>&gt;</v>
      </c>
      <c r="L80" s="90" t="str">
        <f>IF(_epmOfflineCondition_,"",_xll.EVPRO($B$1,H80,"JDEID"))</f>
        <v/>
      </c>
      <c r="M80" s="90" t="str">
        <f>IF(_epmOfflineCondition_,"",IF(AND(I80="N",J80="N"),_xll.EVPRO($B$1,H80,"PSFTID"),""))</f>
        <v/>
      </c>
      <c r="N80" s="90" t="str">
        <f>IF(_epmOfflineCondition_,"F&amp;B Venues",IF(_xll.EVDES(H80,$B$1)="#NODATA","",_xll.EVDES(H80,$B$1)))</f>
        <v>F&amp;B Venues</v>
      </c>
      <c r="O80" s="239">
        <v>13317.5</v>
      </c>
      <c r="P80" s="239">
        <v>2773.36</v>
      </c>
      <c r="Q80" s="239">
        <v>8812.0499999999993</v>
      </c>
      <c r="R80" s="239">
        <v>-12519.32</v>
      </c>
      <c r="S80" s="239">
        <v>786.77</v>
      </c>
      <c r="T80" s="239">
        <v>6576.34</v>
      </c>
      <c r="U80" s="239">
        <v>5815.2</v>
      </c>
      <c r="V80" s="239">
        <v>4135.3599999999997</v>
      </c>
      <c r="W80" s="239">
        <v>2721.22</v>
      </c>
      <c r="X80" s="239">
        <v>2925.55</v>
      </c>
      <c r="Y80" s="239">
        <v>11442.63</v>
      </c>
      <c r="Z80" s="239">
        <v>10928.32</v>
      </c>
      <c r="AA80" s="216">
        <f t="shared" si="23"/>
        <v>57714.98</v>
      </c>
      <c r="AB80" s="240">
        <f t="shared" si="24"/>
        <v>5.6427229370553673E-2</v>
      </c>
      <c r="AC80" s="140"/>
      <c r="AD80" s="239">
        <v>115877.16</v>
      </c>
      <c r="AE80" s="240">
        <f t="shared" si="25"/>
        <v>7.5362319179899995E-2</v>
      </c>
      <c r="AF80" s="241">
        <f t="shared" si="26"/>
        <v>-58162.18</v>
      </c>
      <c r="AG80" s="239">
        <v>98496.960000000006</v>
      </c>
      <c r="AH80" s="240">
        <f t="shared" si="27"/>
        <v>0.13177835956485953</v>
      </c>
      <c r="AI80" s="241">
        <f t="shared" si="28"/>
        <v>-40781.980000000003</v>
      </c>
      <c r="AJ80" s="219">
        <f t="shared" si="29"/>
        <v>2.159991766467066</v>
      </c>
      <c r="AK80" s="220">
        <f t="shared" si="30"/>
        <v>3.3882210526315792</v>
      </c>
      <c r="AL80" s="222">
        <f t="shared" si="31"/>
        <v>5.4928039259424493</v>
      </c>
      <c r="AM80" s="425" t="str">
        <f t="shared" si="32"/>
        <v>-1.89 pts.</v>
      </c>
      <c r="AN80" s="426" t="str">
        <f t="shared" si="33"/>
        <v>-7.54 pts.</v>
      </c>
      <c r="AO80" s="11"/>
    </row>
    <row r="81" spans="1:41" x14ac:dyDescent="0.25">
      <c r="A81" s="11"/>
      <c r="B81" s="11"/>
      <c r="C81" s="11"/>
      <c r="D81" s="11"/>
      <c r="E81" s="11"/>
      <c r="F81" s="11"/>
      <c r="G81" s="11"/>
      <c r="H81" s="88" t="s">
        <v>847</v>
      </c>
      <c r="I81" s="188" t="str">
        <f>IF(_epmOfflineCondition_,"T2",_xll.EVPRO($B$1,$H81,"STYLE"))</f>
        <v>T2</v>
      </c>
      <c r="J81" s="188" t="str">
        <f>IF(_epmOfflineCondition_,"Y",_xll.EVPRO($B$1,$H81,"CALC"))</f>
        <v>Y</v>
      </c>
      <c r="K81" s="189" t="str">
        <f t="shared" si="22"/>
        <v/>
      </c>
      <c r="L81" s="190" t="str">
        <f>IF(_epmOfflineCondition_,"",_xll.EVPRO($B$1,H81,"JDEID"))</f>
        <v/>
      </c>
      <c r="M81" s="190" t="str">
        <f>IF(_epmOfflineCondition_,"",IF(AND(I81="N",J81="N"),_xll.EVPRO($B$1,H81,"PSFTID"),""))</f>
        <v/>
      </c>
      <c r="N81" s="190" t="str">
        <f>IF(_epmOfflineCondition_,"Total Salaries and Wages",IF(_xll.EVDES(H81,$B$1)="#NODATA","",_xll.EVDES(H81,$B$1)))</f>
        <v>Total Salaries and Wages</v>
      </c>
      <c r="O81" s="223">
        <v>35498.26</v>
      </c>
      <c r="P81" s="223">
        <v>33682.94</v>
      </c>
      <c r="Q81" s="223">
        <v>40176.120000000003</v>
      </c>
      <c r="R81" s="223">
        <v>18722.3</v>
      </c>
      <c r="S81" s="223">
        <v>24432.68</v>
      </c>
      <c r="T81" s="223">
        <v>28771.48</v>
      </c>
      <c r="U81" s="223">
        <v>26856.07</v>
      </c>
      <c r="V81" s="223">
        <v>41024.25</v>
      </c>
      <c r="W81" s="223">
        <v>32582.21</v>
      </c>
      <c r="X81" s="223">
        <v>28957.42</v>
      </c>
      <c r="Y81" s="223">
        <v>40174.11</v>
      </c>
      <c r="Z81" s="223">
        <v>40342.879999999997</v>
      </c>
      <c r="AA81" s="223">
        <f t="shared" si="23"/>
        <v>391220.72000000003</v>
      </c>
      <c r="AB81" s="224">
        <f t="shared" si="24"/>
        <v>0.38249170842566615</v>
      </c>
      <c r="AC81" s="225"/>
      <c r="AD81" s="223">
        <v>667941.75000661903</v>
      </c>
      <c r="AE81" s="224">
        <f t="shared" si="25"/>
        <v>0.43440518698922026</v>
      </c>
      <c r="AF81" s="226">
        <f t="shared" si="26"/>
        <v>-276721.030006619</v>
      </c>
      <c r="AG81" s="223">
        <v>387129.11</v>
      </c>
      <c r="AH81" s="224">
        <f t="shared" si="27"/>
        <v>0.51793719375302594</v>
      </c>
      <c r="AI81" s="226">
        <f t="shared" si="28"/>
        <v>4091.6100000000442</v>
      </c>
      <c r="AJ81" s="227">
        <f t="shared" si="29"/>
        <v>14.641494011976048</v>
      </c>
      <c r="AK81" s="228">
        <f t="shared" si="30"/>
        <v>19.530460526509327</v>
      </c>
      <c r="AL81" s="230">
        <f t="shared" si="31"/>
        <v>21.588730202989069</v>
      </c>
      <c r="AM81" s="427" t="str">
        <f t="shared" si="32"/>
        <v>-5.19 pts.</v>
      </c>
      <c r="AN81" s="428" t="str">
        <f t="shared" si="33"/>
        <v>-13.54 pts.</v>
      </c>
      <c r="AO81" s="11"/>
    </row>
    <row r="82" spans="1:41" x14ac:dyDescent="0.25">
      <c r="A82" s="62" t="s">
        <v>0</v>
      </c>
      <c r="B82" s="63" t="s">
        <v>1</v>
      </c>
      <c r="C82" s="11"/>
      <c r="D82" s="11"/>
      <c r="E82" s="11"/>
      <c r="F82" s="11"/>
      <c r="G82" s="11"/>
      <c r="H82" s="88" t="s">
        <v>862</v>
      </c>
      <c r="I82" s="122" t="str">
        <f>IF(_epmOfflineCondition_,"T3",_xll.EVPRO($B$1,$H82,"STYLE"))</f>
        <v>T3</v>
      </c>
      <c r="J82" s="122" t="str">
        <f>IF(_epmOfflineCondition_,"Y",_xll.EVPRO($B$1,$H82,"CALC"))</f>
        <v>Y</v>
      </c>
      <c r="K82" s="179" t="str">
        <f t="shared" si="22"/>
        <v>&gt;</v>
      </c>
      <c r="L82" s="90" t="str">
        <f>IF(_epmOfflineCondition_,"",_xll.EVPRO($B$1,H82,"JDEID"))</f>
        <v/>
      </c>
      <c r="M82" s="90" t="str">
        <f>IF(_epmOfflineCondition_,"",IF(AND(I82="N",J82="N"),_xll.EVPRO($B$1,H82,"PSFTID"),""))</f>
        <v/>
      </c>
      <c r="N82" s="90" t="str">
        <f>IF(_epmOfflineCondition_,"Service Charge Distribution",IF(_xll.EVDES(H82,$B$1)="#NODATA","",_xll.EVDES(H82,$B$1)))</f>
        <v>Service Charge Distribution</v>
      </c>
      <c r="O82" s="239">
        <v>11567.18</v>
      </c>
      <c r="P82" s="239">
        <v>16215.4</v>
      </c>
      <c r="Q82" s="239">
        <v>16775.150000000001</v>
      </c>
      <c r="R82" s="239">
        <v>18263.41</v>
      </c>
      <c r="S82" s="239">
        <v>15145.06</v>
      </c>
      <c r="T82" s="239">
        <v>11919.32</v>
      </c>
      <c r="U82" s="239">
        <v>13903.23</v>
      </c>
      <c r="V82" s="239">
        <v>10846.37</v>
      </c>
      <c r="W82" s="239">
        <v>8878.24</v>
      </c>
      <c r="X82" s="239">
        <v>9627.0300000000007</v>
      </c>
      <c r="Y82" s="239">
        <v>10645.5</v>
      </c>
      <c r="Z82" s="239">
        <v>16086.65</v>
      </c>
      <c r="AA82" s="239">
        <f t="shared" si="23"/>
        <v>159872.53999999998</v>
      </c>
      <c r="AB82" s="240">
        <f t="shared" si="24"/>
        <v>0.15630542511897283</v>
      </c>
      <c r="AC82" s="140"/>
      <c r="AD82" s="239">
        <v>234549.27</v>
      </c>
      <c r="AE82" s="240">
        <f t="shared" si="25"/>
        <v>0.15254237288135591</v>
      </c>
      <c r="AF82" s="241">
        <f t="shared" si="26"/>
        <v>-74676.73000000001</v>
      </c>
      <c r="AG82" s="239">
        <v>113644.73</v>
      </c>
      <c r="AH82" s="240">
        <f t="shared" si="27"/>
        <v>0.15204444982455678</v>
      </c>
      <c r="AI82" s="241">
        <f t="shared" si="28"/>
        <v>46227.809999999983</v>
      </c>
      <c r="AJ82" s="235">
        <f t="shared" si="29"/>
        <v>5.983253742514969</v>
      </c>
      <c r="AK82" s="236">
        <f t="shared" si="30"/>
        <v>6.8581657894736843</v>
      </c>
      <c r="AL82" s="238">
        <f t="shared" si="31"/>
        <v>6.3375379210350209</v>
      </c>
      <c r="AM82" s="429" t="str">
        <f t="shared" si="32"/>
        <v>0.38 pts.</v>
      </c>
      <c r="AN82" s="430" t="str">
        <f t="shared" si="33"/>
        <v>0.43 pts.</v>
      </c>
      <c r="AO82" s="11"/>
    </row>
    <row r="83" spans="1:41" x14ac:dyDescent="0.25">
      <c r="A83" s="65" t="s">
        <v>2</v>
      </c>
      <c r="B83" s="66" t="str">
        <f>IF(_epmOfflineCondition_,"'Venue1'!$B$2:$B$10",_xll.EVRNG($B$2:$B$10))</f>
        <v>'Venue1'!$B$2:$B$10</v>
      </c>
      <c r="C83" s="11"/>
      <c r="D83" s="11"/>
      <c r="E83" s="11"/>
      <c r="F83" s="11"/>
      <c r="G83" s="11"/>
      <c r="H83" s="88" t="s">
        <v>863</v>
      </c>
      <c r="I83" s="122" t="str">
        <f>IF(_epmOfflineCondition_,"T3",_xll.EVPRO($B$1,$H83,"STYLE"))</f>
        <v>T3</v>
      </c>
      <c r="J83" s="122" t="str">
        <f>IF(_epmOfflineCondition_,"Y",_xll.EVPRO($B$1,$H83,"CALC"))</f>
        <v>Y</v>
      </c>
      <c r="K83" s="179" t="str">
        <f t="shared" si="22"/>
        <v>&gt;</v>
      </c>
      <c r="L83" s="90" t="str">
        <f>IF(_epmOfflineCondition_,"",_xll.EVPRO($B$1,H83,"JDEID"))</f>
        <v/>
      </c>
      <c r="M83" s="90" t="str">
        <f>IF(_epmOfflineCondition_,"",IF(AND(I83="N",J83="N"),_xll.EVPRO($B$1,H83,"PSFTID"),""))</f>
        <v/>
      </c>
      <c r="N83" s="90" t="str">
        <f>IF(_epmOfflineCondition_,"Contracted &amp; Leased Labor",IF(_xll.EVDES(H83,$B$1)="#NODATA","",_xll.EVDES(H83,$B$1)))</f>
        <v>Contracted &amp; Leased Labor</v>
      </c>
      <c r="O83" s="239">
        <v>36948.94</v>
      </c>
      <c r="P83" s="239">
        <v>46525.21</v>
      </c>
      <c r="Q83" s="239">
        <v>65352.15</v>
      </c>
      <c r="R83" s="239">
        <v>86558.35</v>
      </c>
      <c r="S83" s="239">
        <v>74862.460000000006</v>
      </c>
      <c r="T83" s="239">
        <v>59545.26</v>
      </c>
      <c r="U83" s="239">
        <v>60893.41</v>
      </c>
      <c r="V83" s="239">
        <v>32329.8</v>
      </c>
      <c r="W83" s="239">
        <v>52796.26</v>
      </c>
      <c r="X83" s="239">
        <v>31469.65</v>
      </c>
      <c r="Y83" s="239">
        <v>51825.56</v>
      </c>
      <c r="Z83" s="239">
        <v>45034.45</v>
      </c>
      <c r="AA83" s="216">
        <f t="shared" si="23"/>
        <v>644141.5</v>
      </c>
      <c r="AB83" s="240">
        <f t="shared" si="24"/>
        <v>0.62976925864987732</v>
      </c>
      <c r="AC83" s="140"/>
      <c r="AD83" s="239"/>
      <c r="AE83" s="240" t="str">
        <f t="shared" si="25"/>
        <v/>
      </c>
      <c r="AF83" s="241">
        <f t="shared" si="26"/>
        <v>644141.5</v>
      </c>
      <c r="AG83" s="239">
        <v>314606.7</v>
      </c>
      <c r="AH83" s="240">
        <f t="shared" si="27"/>
        <v>0.42090999391365874</v>
      </c>
      <c r="AI83" s="241">
        <f t="shared" si="28"/>
        <v>329534.8</v>
      </c>
      <c r="AJ83" s="211">
        <f t="shared" si="29"/>
        <v>24.107092065868262</v>
      </c>
      <c r="AK83" s="212">
        <f t="shared" si="30"/>
        <v>0</v>
      </c>
      <c r="AL83" s="214">
        <f t="shared" si="31"/>
        <v>17.544428953825562</v>
      </c>
      <c r="AM83" s="423">
        <f t="shared" si="32"/>
        <v>0</v>
      </c>
      <c r="AN83" s="424" t="str">
        <f t="shared" si="33"/>
        <v>20.89 pts.</v>
      </c>
      <c r="AO83" s="11"/>
    </row>
    <row r="84" spans="1:41" x14ac:dyDescent="0.25">
      <c r="A84" s="65" t="s">
        <v>3</v>
      </c>
      <c r="B84" s="66" t="str">
        <f>IF(_epmOfflineCondition_,"'Venue1'!$O$16:$AN$18",_xll.EVRNG($O$16:$AN$18))</f>
        <v>'Venue1'!$O$16:$AN$18</v>
      </c>
      <c r="C84" s="11"/>
      <c r="D84" s="11"/>
      <c r="E84" s="11"/>
      <c r="F84" s="11"/>
      <c r="G84" s="11"/>
      <c r="H84" s="88" t="s">
        <v>848</v>
      </c>
      <c r="I84" s="122" t="str">
        <f>IF(_epmOfflineCondition_,"T3",_xll.EVPRO($B$1,$H84,"STYLE"))</f>
        <v>T3</v>
      </c>
      <c r="J84" s="122" t="str">
        <f>IF(_epmOfflineCondition_,"Y",_xll.EVPRO($B$1,$H84,"CALC"))</f>
        <v>Y</v>
      </c>
      <c r="K84" s="179" t="str">
        <f t="shared" si="22"/>
        <v>&gt;</v>
      </c>
      <c r="L84" s="90" t="str">
        <f>IF(_epmOfflineCondition_,"",_xll.EVPRO($B$1,H84,"JDEID"))</f>
        <v/>
      </c>
      <c r="M84" s="90" t="str">
        <f>IF(_epmOfflineCondition_,"",IF(AND(I84="N",J84="N"),_xll.EVPRO($B$1,H84,"PSFTID"),""))</f>
        <v/>
      </c>
      <c r="N84" s="90" t="str">
        <f>IF(_epmOfflineCondition_,"Bonuses &amp; Incentives",IF(_xll.EVDES(H84,$B$1)="#NODATA","",_xll.EVDES(H84,$B$1)))</f>
        <v>Bonuses &amp; Incentives</v>
      </c>
      <c r="O84" s="239">
        <v>3428.27</v>
      </c>
      <c r="P84" s="239">
        <v>4426.18</v>
      </c>
      <c r="Q84" s="239">
        <v>-3611.53</v>
      </c>
      <c r="R84" s="239">
        <v>4755.09</v>
      </c>
      <c r="S84" s="239">
        <v>8098.3</v>
      </c>
      <c r="T84" s="239">
        <v>5472.68</v>
      </c>
      <c r="U84" s="239">
        <v>4731.26</v>
      </c>
      <c r="V84" s="239">
        <v>-6105.58</v>
      </c>
      <c r="W84" s="239">
        <v>2178.27</v>
      </c>
      <c r="X84" s="239">
        <v>7622.45</v>
      </c>
      <c r="Y84" s="239">
        <v>4240.5600000000004</v>
      </c>
      <c r="Z84" s="239">
        <v>11886.82</v>
      </c>
      <c r="AA84" s="216">
        <f t="shared" si="23"/>
        <v>47122.77</v>
      </c>
      <c r="AB84" s="240">
        <f t="shared" si="24"/>
        <v>4.6071355328648561E-2</v>
      </c>
      <c r="AC84" s="140"/>
      <c r="AD84" s="239">
        <v>64000.336456680598</v>
      </c>
      <c r="AE84" s="240">
        <f t="shared" si="25"/>
        <v>4.1623507028212922E-2</v>
      </c>
      <c r="AF84" s="241">
        <f t="shared" si="26"/>
        <v>-16877.566456680601</v>
      </c>
      <c r="AG84" s="239">
        <v>22971.89</v>
      </c>
      <c r="AH84" s="240">
        <f t="shared" si="27"/>
        <v>3.0733922958682183E-2</v>
      </c>
      <c r="AI84" s="241">
        <f t="shared" si="28"/>
        <v>24150.879999999997</v>
      </c>
      <c r="AJ84" s="219">
        <f t="shared" si="29"/>
        <v>1.7635767215568861</v>
      </c>
      <c r="AK84" s="220">
        <f t="shared" si="30"/>
        <v>1.8713548671544034</v>
      </c>
      <c r="AL84" s="222">
        <f t="shared" si="31"/>
        <v>1.2810556546955163</v>
      </c>
      <c r="AM84" s="425" t="str">
        <f t="shared" si="32"/>
        <v>0.44 pts.</v>
      </c>
      <c r="AN84" s="426" t="str">
        <f t="shared" si="33"/>
        <v>1.53 pts.</v>
      </c>
      <c r="AO84" s="11"/>
    </row>
    <row r="85" spans="1:41" x14ac:dyDescent="0.25">
      <c r="A85" s="65" t="s">
        <v>4</v>
      </c>
      <c r="B85" s="66" t="str">
        <f>IF(_epmOfflineCondition_,"'Venue1'!$H$76:$H$77,'Venue1'!$H$79:$H$90,'Venue1'!$H$93:$H$117",_xll.EVRNG(H76:H77,H79:H90,H93:H117))</f>
        <v>'Venue1'!$H$76:$H$77,'Venue1'!$H$79:$H$90,'Venue1'!$H$93:$H$117</v>
      </c>
      <c r="C85" s="11"/>
      <c r="D85" s="11"/>
      <c r="E85" s="11"/>
      <c r="F85" s="11"/>
      <c r="G85" s="11"/>
      <c r="H85" s="88" t="s">
        <v>849</v>
      </c>
      <c r="I85" s="188" t="str">
        <f>IF(_epmOfflineCondition_,"T2",_xll.EVPRO($B$1,$H85,"STYLE"))</f>
        <v>T2</v>
      </c>
      <c r="J85" s="188" t="str">
        <f>IF(_epmOfflineCondition_,"Y",_xll.EVPRO($B$1,$H85,"CALC"))</f>
        <v>Y</v>
      </c>
      <c r="K85" s="189" t="str">
        <f t="shared" si="22"/>
        <v/>
      </c>
      <c r="L85" s="190" t="str">
        <f>IF(_epmOfflineCondition_,"",_xll.EVPRO($B$1,H85,"JDEID"))</f>
        <v/>
      </c>
      <c r="M85" s="190" t="str">
        <f>IF(_epmOfflineCondition_,"",IF(AND(I85="N",J85="N"),_xll.EVPRO($B$1,H85,"PSFTID"),""))</f>
        <v/>
      </c>
      <c r="N85" s="190" t="str">
        <f>IF(_epmOfflineCondition_,"Total Labor Expense",IF(_xll.EVDES(H85,$B$1)="#NODATA","",_xll.EVDES(H85,$B$1)))</f>
        <v>Total Labor Expense</v>
      </c>
      <c r="O85" s="223">
        <v>87442.65</v>
      </c>
      <c r="P85" s="223">
        <v>100849.73</v>
      </c>
      <c r="Q85" s="223">
        <v>118691.89</v>
      </c>
      <c r="R85" s="223">
        <v>128299.15</v>
      </c>
      <c r="S85" s="223">
        <v>122538.5</v>
      </c>
      <c r="T85" s="223">
        <v>105708.74</v>
      </c>
      <c r="U85" s="223">
        <v>106383.97</v>
      </c>
      <c r="V85" s="223">
        <v>78094.84</v>
      </c>
      <c r="W85" s="223">
        <v>96434.98</v>
      </c>
      <c r="X85" s="223">
        <v>77676.55</v>
      </c>
      <c r="Y85" s="223">
        <v>106885.73</v>
      </c>
      <c r="Z85" s="223">
        <v>113350.8</v>
      </c>
      <c r="AA85" s="223">
        <f t="shared" si="23"/>
        <v>1242357.53</v>
      </c>
      <c r="AB85" s="224">
        <f t="shared" si="24"/>
        <v>1.2146377475231649</v>
      </c>
      <c r="AC85" s="225"/>
      <c r="AD85" s="223">
        <v>966491.35646329995</v>
      </c>
      <c r="AE85" s="224">
        <f t="shared" si="25"/>
        <v>0.62857106689878928</v>
      </c>
      <c r="AF85" s="226">
        <f t="shared" si="26"/>
        <v>275866.17353670008</v>
      </c>
      <c r="AG85" s="223">
        <v>838352.43</v>
      </c>
      <c r="AH85" s="224">
        <f t="shared" si="27"/>
        <v>1.1216255604499237</v>
      </c>
      <c r="AI85" s="226">
        <f t="shared" si="28"/>
        <v>404005.1</v>
      </c>
      <c r="AJ85" s="227">
        <f t="shared" si="29"/>
        <v>46.495416541916171</v>
      </c>
      <c r="AK85" s="228">
        <f t="shared" si="30"/>
        <v>28.259981183137427</v>
      </c>
      <c r="AL85" s="230">
        <f t="shared" si="31"/>
        <v>46.751752732545171</v>
      </c>
      <c r="AM85" s="427" t="str">
        <f t="shared" si="32"/>
        <v>58.61 pts.</v>
      </c>
      <c r="AN85" s="428" t="str">
        <f t="shared" si="33"/>
        <v>9.3 pts.</v>
      </c>
      <c r="AO85" s="11"/>
    </row>
    <row r="86" spans="1:41" x14ac:dyDescent="0.25">
      <c r="A86" s="65" t="s">
        <v>5</v>
      </c>
      <c r="B86" s="66"/>
      <c r="C86" s="11"/>
      <c r="D86" s="11"/>
      <c r="E86" s="11"/>
      <c r="F86" s="11"/>
      <c r="G86" s="11"/>
      <c r="H86" s="88" t="s">
        <v>850</v>
      </c>
      <c r="I86" s="122" t="str">
        <f>IF(_epmOfflineCondition_,"T3",_xll.EVPRO($B$1,$H86,"STYLE"))</f>
        <v>T3</v>
      </c>
      <c r="J86" s="122" t="str">
        <f>IF(_epmOfflineCondition_,"Y",_xll.EVPRO($B$1,$H86,"CALC"))</f>
        <v>Y</v>
      </c>
      <c r="K86" s="179" t="str">
        <f t="shared" si="22"/>
        <v>&gt;</v>
      </c>
      <c r="L86" s="90" t="str">
        <f>IF(_epmOfflineCondition_,"",_xll.EVPRO($B$1,H86,"JDEID"))</f>
        <v/>
      </c>
      <c r="M86" s="90" t="str">
        <f>IF(_epmOfflineCondition_,"",IF(AND(I86="N",J86="N"),_xll.EVPRO($B$1,H86,"PSFTID"),""))</f>
        <v/>
      </c>
      <c r="N86" s="90" t="str">
        <f>IF(_epmOfflineCondition_,"Payroll Taxes",IF(_xll.EVDES(H86,$B$1)="#NODATA","",_xll.EVDES(H86,$B$1)))</f>
        <v>Payroll Taxes</v>
      </c>
      <c r="O86" s="239">
        <v>4221.62</v>
      </c>
      <c r="P86" s="239">
        <v>4132.63</v>
      </c>
      <c r="Q86" s="239">
        <v>3111.44</v>
      </c>
      <c r="R86" s="239">
        <v>2654.87</v>
      </c>
      <c r="S86" s="239">
        <v>4735.57</v>
      </c>
      <c r="T86" s="239">
        <v>5088.58</v>
      </c>
      <c r="U86" s="239">
        <v>4615.49</v>
      </c>
      <c r="V86" s="239">
        <v>6021.4</v>
      </c>
      <c r="W86" s="239">
        <v>4500.28</v>
      </c>
      <c r="X86" s="239">
        <v>6708.14</v>
      </c>
      <c r="Y86" s="239">
        <v>8800.98</v>
      </c>
      <c r="Z86" s="239">
        <v>5742.97</v>
      </c>
      <c r="AA86" s="239">
        <f t="shared" si="23"/>
        <v>60333.97</v>
      </c>
      <c r="AB86" s="240">
        <f t="shared" si="24"/>
        <v>5.8987783830577505E-2</v>
      </c>
      <c r="AC86" s="140"/>
      <c r="AD86" s="239">
        <v>89206.829146959804</v>
      </c>
      <c r="AE86" s="240">
        <f t="shared" si="25"/>
        <v>5.8016899371713899E-2</v>
      </c>
      <c r="AF86" s="241">
        <f t="shared" si="26"/>
        <v>-28872.859146959803</v>
      </c>
      <c r="AG86" s="239">
        <v>53361.26</v>
      </c>
      <c r="AH86" s="240">
        <f t="shared" si="27"/>
        <v>7.1391637946124992E-2</v>
      </c>
      <c r="AI86" s="241">
        <f t="shared" si="28"/>
        <v>6972.7099999999991</v>
      </c>
      <c r="AJ86" s="235">
        <f t="shared" si="29"/>
        <v>2.2580078592814372</v>
      </c>
      <c r="AK86" s="236">
        <f t="shared" si="30"/>
        <v>2.6083868171625673</v>
      </c>
      <c r="AL86" s="238">
        <f t="shared" si="31"/>
        <v>2.975756190051305</v>
      </c>
      <c r="AM86" s="429" t="str">
        <f t="shared" si="32"/>
        <v>0.1 pts.</v>
      </c>
      <c r="AN86" s="430" t="str">
        <f t="shared" si="33"/>
        <v>-1.24 pts.</v>
      </c>
      <c r="AO86" s="11"/>
    </row>
    <row r="87" spans="1:41" x14ac:dyDescent="0.25">
      <c r="A87" s="65" t="s">
        <v>6</v>
      </c>
      <c r="B87" s="66"/>
      <c r="C87" s="11"/>
      <c r="D87" s="11"/>
      <c r="E87" s="11"/>
      <c r="F87" s="11"/>
      <c r="G87" s="11"/>
      <c r="H87" s="88" t="s">
        <v>851</v>
      </c>
      <c r="I87" s="122" t="str">
        <f>IF(_epmOfflineCondition_,"T3",_xll.EVPRO($B$1,$H87,"STYLE"))</f>
        <v>T3</v>
      </c>
      <c r="J87" s="122" t="str">
        <f>IF(_epmOfflineCondition_,"Y",_xll.EVPRO($B$1,$H87,"CALC"))</f>
        <v>Y</v>
      </c>
      <c r="K87" s="179" t="str">
        <f t="shared" si="22"/>
        <v>&gt;</v>
      </c>
      <c r="L87" s="90" t="str">
        <f>IF(_epmOfflineCondition_,"",_xll.EVPRO($B$1,H87,"JDEID"))</f>
        <v/>
      </c>
      <c r="M87" s="90" t="str">
        <f>IF(_epmOfflineCondition_,"",IF(AND(I87="N",J87="N"),_xll.EVPRO($B$1,H87,"PSFTID"),""))</f>
        <v/>
      </c>
      <c r="N87" s="90" t="str">
        <f>IF(_epmOfflineCondition_,"Supplemental Pay",IF(_xll.EVDES(H87,$B$1)="#NODATA","",_xll.EVDES(H87,$B$1)))</f>
        <v>Supplemental Pay</v>
      </c>
      <c r="O87" s="239">
        <v>4728.6499999999996</v>
      </c>
      <c r="P87" s="239">
        <v>854.47</v>
      </c>
      <c r="Q87" s="239">
        <v>-842.15</v>
      </c>
      <c r="R87" s="239">
        <v>1583.78</v>
      </c>
      <c r="S87" s="239">
        <v>2324.31</v>
      </c>
      <c r="T87" s="239">
        <v>1102.6199999999999</v>
      </c>
      <c r="U87" s="239">
        <v>3597.79</v>
      </c>
      <c r="V87" s="239">
        <v>5628.25</v>
      </c>
      <c r="W87" s="239">
        <v>3064.01</v>
      </c>
      <c r="X87" s="239">
        <v>10.440000000000101</v>
      </c>
      <c r="Y87" s="239">
        <v>3457.93</v>
      </c>
      <c r="Z87" s="239">
        <v>3404.25</v>
      </c>
      <c r="AA87" s="216">
        <f t="shared" si="23"/>
        <v>28914.350000000002</v>
      </c>
      <c r="AB87" s="240">
        <f t="shared" si="24"/>
        <v>2.8269206011168481E-2</v>
      </c>
      <c r="AC87" s="140"/>
      <c r="AD87" s="239">
        <v>34677.524118606299</v>
      </c>
      <c r="AE87" s="240">
        <f t="shared" si="25"/>
        <v>2.2553009074394715E-2</v>
      </c>
      <c r="AF87" s="241">
        <f t="shared" si="26"/>
        <v>-5763.1741186062973</v>
      </c>
      <c r="AG87" s="239">
        <v>16553.03</v>
      </c>
      <c r="AH87" s="240">
        <f t="shared" si="27"/>
        <v>2.2146177295501366E-2</v>
      </c>
      <c r="AI87" s="241">
        <f t="shared" si="28"/>
        <v>12361.320000000003</v>
      </c>
      <c r="AJ87" s="211">
        <f t="shared" si="29"/>
        <v>1.0821238772455091</v>
      </c>
      <c r="AK87" s="212">
        <f t="shared" si="30"/>
        <v>1.0139626935265</v>
      </c>
      <c r="AL87" s="214">
        <f t="shared" si="31"/>
        <v>0.92310004461298234</v>
      </c>
      <c r="AM87" s="423" t="str">
        <f t="shared" si="32"/>
        <v>0.57 pts.</v>
      </c>
      <c r="AN87" s="424" t="str">
        <f t="shared" si="33"/>
        <v>0.61 pts.</v>
      </c>
      <c r="AO87" s="11"/>
    </row>
    <row r="88" spans="1:41" x14ac:dyDescent="0.25">
      <c r="A88" s="65" t="s">
        <v>7</v>
      </c>
      <c r="B88" s="66" t="str">
        <f>IF(_epmOfflineCondition_,"'Venue1'!$A$102:$F$108",_xll.EVRNG(A102:F108))</f>
        <v>'Venue1'!$A$102:$F$108</v>
      </c>
      <c r="C88" s="11"/>
      <c r="D88" s="11"/>
      <c r="E88" s="11"/>
      <c r="F88" s="11"/>
      <c r="G88" s="11"/>
      <c r="H88" s="88" t="s">
        <v>852</v>
      </c>
      <c r="I88" s="122" t="str">
        <f>IF(_epmOfflineCondition_,"T3",_xll.EVPRO($B$1,$H88,"STYLE"))</f>
        <v>T3</v>
      </c>
      <c r="J88" s="122" t="str">
        <f>IF(_epmOfflineCondition_,"Y",_xll.EVPRO($B$1,$H88,"CALC"))</f>
        <v>Y</v>
      </c>
      <c r="K88" s="179" t="str">
        <f t="shared" si="22"/>
        <v>&gt;</v>
      </c>
      <c r="L88" s="90" t="str">
        <f>IF(_epmOfflineCondition_,"",_xll.EVPRO($B$1,H88,"JDEID"))</f>
        <v/>
      </c>
      <c r="M88" s="90" t="str">
        <f>IF(_epmOfflineCondition_,"",IF(AND(I88="N",J88="N"),_xll.EVPRO($B$1,H88,"PSFTID"),""))</f>
        <v/>
      </c>
      <c r="N88" s="90" t="str">
        <f>IF(_epmOfflineCondition_,"Employee Benefits",IF(_xll.EVDES(H88,$B$1)="#NODATA","",_xll.EVDES(H88,$B$1)))</f>
        <v>Employee Benefits</v>
      </c>
      <c r="O88" s="239">
        <v>3905.35</v>
      </c>
      <c r="P88" s="239">
        <v>4125.7</v>
      </c>
      <c r="Q88" s="239">
        <v>4109.83</v>
      </c>
      <c r="R88" s="239">
        <v>3417.21</v>
      </c>
      <c r="S88" s="239">
        <v>4017.52</v>
      </c>
      <c r="T88" s="239">
        <v>2990.65</v>
      </c>
      <c r="U88" s="239">
        <v>2404.08</v>
      </c>
      <c r="V88" s="239">
        <v>5713.02</v>
      </c>
      <c r="W88" s="239">
        <v>-154.91999999999999</v>
      </c>
      <c r="X88" s="239">
        <v>7498.65</v>
      </c>
      <c r="Y88" s="239">
        <v>5883.99</v>
      </c>
      <c r="Z88" s="239">
        <v>5590</v>
      </c>
      <c r="AA88" s="216">
        <f t="shared" si="23"/>
        <v>49501.08</v>
      </c>
      <c r="AB88" s="240">
        <f t="shared" si="24"/>
        <v>4.839659989919648E-2</v>
      </c>
      <c r="AC88" s="140"/>
      <c r="AD88" s="239">
        <v>43388.604601669198</v>
      </c>
      <c r="AE88" s="240">
        <f t="shared" si="25"/>
        <v>2.8218381161235498E-2</v>
      </c>
      <c r="AF88" s="241">
        <f t="shared" si="26"/>
        <v>6112.4753983308037</v>
      </c>
      <c r="AG88" s="239">
        <v>30683.35</v>
      </c>
      <c r="AH88" s="240">
        <f t="shared" si="27"/>
        <v>4.1051028670879099E-2</v>
      </c>
      <c r="AI88" s="241">
        <f t="shared" si="28"/>
        <v>18817.730000000003</v>
      </c>
      <c r="AJ88" s="219">
        <f t="shared" si="29"/>
        <v>1.8525853293413175</v>
      </c>
      <c r="AK88" s="220">
        <f t="shared" si="30"/>
        <v>1.268672649171614</v>
      </c>
      <c r="AL88" s="222">
        <f t="shared" si="31"/>
        <v>1.711094691055097</v>
      </c>
      <c r="AM88" s="425" t="str">
        <f t="shared" si="32"/>
        <v>2.02 pts.</v>
      </c>
      <c r="AN88" s="426" t="str">
        <f t="shared" si="33"/>
        <v>0.73 pts.</v>
      </c>
      <c r="AO88" s="11"/>
    </row>
    <row r="89" spans="1:41" x14ac:dyDescent="0.25">
      <c r="A89" s="65" t="s">
        <v>47</v>
      </c>
      <c r="B89" s="66" t="str">
        <f>IF(_epmOfflineCondition_,"'Venue1'!$A$125:$B$146",_xll.EVRNG($A$125:$B$146))</f>
        <v>'Venue1'!$A$125:$B$146</v>
      </c>
      <c r="C89" s="11"/>
      <c r="D89" s="11"/>
      <c r="E89" s="11"/>
      <c r="F89" s="11"/>
      <c r="G89" s="11"/>
      <c r="H89" s="88" t="s">
        <v>853</v>
      </c>
      <c r="I89" s="188" t="str">
        <f>IF(_epmOfflineCondition_,"T2",_xll.EVPRO($B$1,$H89,"STYLE"))</f>
        <v>T2</v>
      </c>
      <c r="J89" s="188" t="str">
        <f>IF(_epmOfflineCondition_,"Y",_xll.EVPRO($B$1,$H89,"CALC"))</f>
        <v>Y</v>
      </c>
      <c r="K89" s="189" t="str">
        <f t="shared" si="22"/>
        <v/>
      </c>
      <c r="L89" s="190" t="str">
        <f>IF(_epmOfflineCondition_,"",_xll.EVPRO($B$1,H89,"JDEID"))</f>
        <v/>
      </c>
      <c r="M89" s="190" t="str">
        <f>IF(_epmOfflineCondition_,"",IF(AND(I89="N",J89="N"),_xll.EVPRO($B$1,H89,"PSFTID"),""))</f>
        <v/>
      </c>
      <c r="N89" s="190" t="str">
        <f>IF(_epmOfflineCondition_,"Total Payroll Related",IF(_xll.EVDES(H89,$B$1)="#NODATA","",_xll.EVDES(H89,$B$1)))</f>
        <v>Total Payroll Related</v>
      </c>
      <c r="O89" s="242">
        <v>12855.62</v>
      </c>
      <c r="P89" s="242">
        <v>9112.7999999999993</v>
      </c>
      <c r="Q89" s="242">
        <v>6379.12</v>
      </c>
      <c r="R89" s="242">
        <v>7655.86</v>
      </c>
      <c r="S89" s="242">
        <v>11077.4</v>
      </c>
      <c r="T89" s="242">
        <v>9181.85</v>
      </c>
      <c r="U89" s="242">
        <v>10617.36</v>
      </c>
      <c r="V89" s="242">
        <v>17362.669999999998</v>
      </c>
      <c r="W89" s="242">
        <v>7409.37</v>
      </c>
      <c r="X89" s="242">
        <v>14217.23</v>
      </c>
      <c r="Y89" s="242">
        <v>18142.900000000001</v>
      </c>
      <c r="Z89" s="242">
        <v>14737.22</v>
      </c>
      <c r="AA89" s="242">
        <f t="shared" si="23"/>
        <v>138749.4</v>
      </c>
      <c r="AB89" s="243">
        <f t="shared" si="24"/>
        <v>0.13565358974094247</v>
      </c>
      <c r="AC89" s="244"/>
      <c r="AD89" s="242">
        <v>167272.957867235</v>
      </c>
      <c r="AE89" s="243">
        <f t="shared" si="25"/>
        <v>0.10878828960734392</v>
      </c>
      <c r="AF89" s="245">
        <f t="shared" si="26"/>
        <v>-28523.557867235009</v>
      </c>
      <c r="AG89" s="242">
        <v>100597.64</v>
      </c>
      <c r="AH89" s="243">
        <f t="shared" si="27"/>
        <v>0.13458884391250545</v>
      </c>
      <c r="AI89" s="245">
        <f t="shared" si="28"/>
        <v>38151.759999999995</v>
      </c>
      <c r="AJ89" s="246">
        <f t="shared" si="29"/>
        <v>5.1927170658682629</v>
      </c>
      <c r="AK89" s="247">
        <f t="shared" si="30"/>
        <v>4.8910221598606727</v>
      </c>
      <c r="AL89" s="249">
        <f t="shared" si="31"/>
        <v>5.6099509257193843</v>
      </c>
      <c r="AM89" s="431" t="str">
        <f t="shared" si="32"/>
        <v>2.69 pts.</v>
      </c>
      <c r="AN89" s="432" t="str">
        <f t="shared" si="33"/>
        <v>0.11 pts.</v>
      </c>
      <c r="AO89" s="11"/>
    </row>
    <row r="90" spans="1:41" x14ac:dyDescent="0.25">
      <c r="A90" s="65" t="s">
        <v>8</v>
      </c>
      <c r="B90" s="66"/>
      <c r="C90" s="11"/>
      <c r="D90" s="11"/>
      <c r="E90" s="11"/>
      <c r="F90" s="11"/>
      <c r="G90" s="11"/>
      <c r="H90" s="88" t="s">
        <v>76</v>
      </c>
      <c r="I90" s="188" t="str">
        <f>IF(_epmOfflineCondition_,"T1",_xll.EVPRO($B$1,$H90,"STYLE"))</f>
        <v>T1</v>
      </c>
      <c r="J90" s="188" t="str">
        <f>IF(_epmOfflineCondition_,"Y",_xll.EVPRO($B$1,$H90,"CALC"))</f>
        <v>Y</v>
      </c>
      <c r="K90" s="189" t="str">
        <f t="shared" si="22"/>
        <v/>
      </c>
      <c r="L90" s="190" t="str">
        <f>IF(_epmOfflineCondition_,"600000",_xll.EVPRO($B$1,H90,"JDEID"))</f>
        <v>600000</v>
      </c>
      <c r="M90" s="190" t="str">
        <f>IF(_epmOfflineCondition_,"",IF(AND(I90="N",J90="N"),_xll.EVPRO($B$1,H90,"PSFTID"),""))</f>
        <v/>
      </c>
      <c r="N90" s="190" t="str">
        <f>IF(_epmOfflineCondition_,"Total Labor &amp; Related Exp",IF(_xll.EVDES(H90,$B$1)="#NODATA","",_xll.EVDES(H90,$B$1)))</f>
        <v>Total Labor &amp; Related Exp</v>
      </c>
      <c r="O90" s="242">
        <v>100298.27</v>
      </c>
      <c r="P90" s="242">
        <v>109962.53</v>
      </c>
      <c r="Q90" s="242">
        <v>125071.01</v>
      </c>
      <c r="R90" s="242">
        <v>135955.01</v>
      </c>
      <c r="S90" s="242">
        <v>133615.9</v>
      </c>
      <c r="T90" s="242">
        <v>114890.59</v>
      </c>
      <c r="U90" s="242">
        <v>117001.33</v>
      </c>
      <c r="V90" s="242">
        <v>95457.51</v>
      </c>
      <c r="W90" s="242">
        <v>103844.35</v>
      </c>
      <c r="X90" s="242">
        <v>91893.78</v>
      </c>
      <c r="Y90" s="242">
        <v>125028.63</v>
      </c>
      <c r="Z90" s="242">
        <v>128088.02</v>
      </c>
      <c r="AA90" s="242">
        <f t="shared" si="23"/>
        <v>1381106.9299999997</v>
      </c>
      <c r="AB90" s="243">
        <f t="shared" si="24"/>
        <v>1.350291337264107</v>
      </c>
      <c r="AC90" s="244"/>
      <c r="AD90" s="242">
        <v>1133764.3143305399</v>
      </c>
      <c r="AE90" s="243">
        <f t="shared" si="25"/>
        <v>0.73735935650613638</v>
      </c>
      <c r="AF90" s="245">
        <f t="shared" si="26"/>
        <v>247342.6156694598</v>
      </c>
      <c r="AG90" s="242">
        <v>938950.07</v>
      </c>
      <c r="AH90" s="243">
        <f t="shared" si="27"/>
        <v>1.256214404362429</v>
      </c>
      <c r="AI90" s="245">
        <f t="shared" si="28"/>
        <v>442156.85999999975</v>
      </c>
      <c r="AJ90" s="250">
        <f t="shared" si="29"/>
        <v>51.688133607784422</v>
      </c>
      <c r="AK90" s="251">
        <f t="shared" si="30"/>
        <v>33.151003342998244</v>
      </c>
      <c r="AL90" s="253">
        <f t="shared" si="31"/>
        <v>52.361703658264553</v>
      </c>
      <c r="AM90" s="433" t="str">
        <f t="shared" si="32"/>
        <v>61.29 pts.</v>
      </c>
      <c r="AN90" s="434" t="str">
        <f t="shared" si="33"/>
        <v>9.41 pts.</v>
      </c>
      <c r="AO90" s="11"/>
    </row>
    <row r="91" spans="1:41" x14ac:dyDescent="0.25">
      <c r="A91" s="11"/>
      <c r="B91" s="11"/>
      <c r="C91" s="11"/>
      <c r="D91" s="11"/>
      <c r="E91" s="11"/>
      <c r="F91" s="11"/>
      <c r="G91" s="76"/>
      <c r="H91" s="11"/>
      <c r="I91" s="59"/>
      <c r="J91" s="59"/>
      <c r="K91" s="11"/>
      <c r="L91" s="11"/>
      <c r="M91" s="11"/>
      <c r="N91" s="11"/>
      <c r="O91" s="129"/>
      <c r="P91" s="130"/>
      <c r="Q91" s="130"/>
      <c r="R91" s="130"/>
      <c r="S91" s="130"/>
      <c r="T91" s="130"/>
      <c r="U91" s="130"/>
      <c r="V91" s="130"/>
      <c r="W91" s="130"/>
      <c r="X91" s="130"/>
      <c r="Y91" s="130"/>
      <c r="Z91" s="130"/>
      <c r="AA91" s="130"/>
      <c r="AB91" s="131"/>
      <c r="AC91" s="11"/>
      <c r="AD91" s="129"/>
      <c r="AE91" s="130"/>
      <c r="AF91" s="131"/>
      <c r="AG91" s="129"/>
      <c r="AH91" s="130"/>
      <c r="AI91" s="131"/>
      <c r="AJ91" s="11"/>
      <c r="AK91" s="11"/>
      <c r="AL91" s="11"/>
      <c r="AM91" s="11"/>
      <c r="AN91" s="11"/>
      <c r="AO91" s="11"/>
    </row>
    <row r="92" spans="1:41" x14ac:dyDescent="0.25">
      <c r="A92" s="62" t="s">
        <v>9</v>
      </c>
      <c r="B92" s="63" t="s">
        <v>10</v>
      </c>
      <c r="C92" s="11"/>
      <c r="D92" s="11"/>
      <c r="E92" s="11"/>
      <c r="F92" s="11"/>
      <c r="G92" s="11"/>
      <c r="H92" s="11" t="s">
        <v>82</v>
      </c>
      <c r="I92" s="59" t="str">
        <f>IF(_epmOfflineCondition_,"B1",_xll.EVPRO($B$1,$H92,"STYLE"))</f>
        <v>B1</v>
      </c>
      <c r="J92" s="59" t="str">
        <f>IF(_epmOfflineCondition_,"Y",_xll.EVPRO($B$1,$H92,"CALC"))</f>
        <v>Y</v>
      </c>
      <c r="K92" s="11"/>
      <c r="L92" s="11"/>
      <c r="M92" s="11"/>
      <c r="N92" s="105" t="str">
        <f>IF(_epmOfflineCondition_,"Other Expenses",IF(_xll.EVDES(H92,$B$1)="#NODATA","",_xll.EVDES(H92,$B$1)))</f>
        <v>Other Expenses</v>
      </c>
      <c r="O92" s="119"/>
      <c r="P92" s="120"/>
      <c r="Q92" s="120"/>
      <c r="R92" s="120"/>
      <c r="S92" s="120"/>
      <c r="T92" s="120"/>
      <c r="U92" s="120"/>
      <c r="V92" s="120"/>
      <c r="W92" s="120"/>
      <c r="X92" s="120"/>
      <c r="Y92" s="120"/>
      <c r="Z92" s="120"/>
      <c r="AA92" s="120"/>
      <c r="AB92" s="121"/>
      <c r="AC92" s="11"/>
      <c r="AD92" s="119"/>
      <c r="AE92" s="120"/>
      <c r="AF92" s="121"/>
      <c r="AG92" s="119"/>
      <c r="AH92" s="120"/>
      <c r="AI92" s="121"/>
      <c r="AJ92" s="11"/>
      <c r="AK92" s="11"/>
      <c r="AL92" s="11"/>
      <c r="AM92" s="11"/>
      <c r="AN92" s="11"/>
      <c r="AO92" s="11"/>
    </row>
    <row r="93" spans="1:41" x14ac:dyDescent="0.25">
      <c r="A93" s="65" t="s">
        <v>11</v>
      </c>
      <c r="B93" s="66" t="s">
        <v>21</v>
      </c>
      <c r="C93" s="11"/>
      <c r="D93" s="11"/>
      <c r="E93" s="11"/>
      <c r="F93" s="11"/>
      <c r="G93" s="11"/>
      <c r="H93" s="88" t="s">
        <v>828</v>
      </c>
      <c r="I93" s="122" t="str">
        <f>IF(_epmOfflineCondition_,"N",_xll.EVPRO($B$1,$H93,"STYLE"))</f>
        <v>N</v>
      </c>
      <c r="J93" s="122" t="str">
        <f>IF(_epmOfflineCondition_,"N",_xll.EVPRO($B$1,$H93,"CALC"))</f>
        <v>N</v>
      </c>
      <c r="K93" s="179" t="str">
        <f t="shared" ref="K93:K117" si="34">IF(AND(I93&lt;&gt;"B1",J93="Y"),"&gt;","")</f>
        <v/>
      </c>
      <c r="L93" s="90" t="str">
        <f>IF(_epmOfflineCondition_,"701100",_xll.EVPRO($B$1,H93,"JDEID"))</f>
        <v>701100</v>
      </c>
      <c r="M93" s="90" t="str">
        <f>IF(_epmOfflineCondition_,"690015",IF(AND(I93="N",J93="N"),_xll.EVPRO($B$1,H93,"PSFTID"),""))</f>
        <v>690015</v>
      </c>
      <c r="N93" s="90" t="str">
        <f>IF(_epmOfflineCondition_,"Dues and Subscriptions",IF(_xll.EVDES(H93,$B$1)="#NODATA","",_xll.EVDES(H93,$B$1)))</f>
        <v>Dues and Subscriptions</v>
      </c>
      <c r="O93" s="138">
        <v>431.66</v>
      </c>
      <c r="P93" s="138">
        <v>431.66</v>
      </c>
      <c r="Q93" s="138">
        <v>431.66</v>
      </c>
      <c r="R93" s="138">
        <v>431.66</v>
      </c>
      <c r="S93" s="138">
        <v>836.3</v>
      </c>
      <c r="T93" s="138">
        <v>418.13</v>
      </c>
      <c r="U93" s="138">
        <v>431.66</v>
      </c>
      <c r="V93" s="138">
        <v>431.66</v>
      </c>
      <c r="W93" s="138">
        <v>431.66</v>
      </c>
      <c r="X93" s="138">
        <v>375</v>
      </c>
      <c r="Y93" s="138">
        <v>375</v>
      </c>
      <c r="Z93" s="138">
        <v>359.25</v>
      </c>
      <c r="AA93" s="210">
        <f t="shared" ref="AA93:AA118" si="35">IF($I93="B1","",SUM(O93:Z93))</f>
        <v>5385.3</v>
      </c>
      <c r="AB93" s="142">
        <f t="shared" ref="AB93:AB118" si="36">IF(AA93=0,"",IFERROR(AA93/AA$19,""))</f>
        <v>5.2651418804830685E-3</v>
      </c>
      <c r="AC93" s="140"/>
      <c r="AD93" s="138">
        <v>5472</v>
      </c>
      <c r="AE93" s="142">
        <f t="shared" ref="AE93:AE118" si="37">IF(AD93=0,"",IFERROR(AD93/AD$19,""))</f>
        <v>3.5587911418644776E-3</v>
      </c>
      <c r="AF93" s="141">
        <f t="shared" ref="AF93:AF118" si="38">IF(AND($AA93="",AD93=""),"",$AA93-AD93)</f>
        <v>-86.699999999999818</v>
      </c>
      <c r="AG93" s="138">
        <v>2161.65</v>
      </c>
      <c r="AH93" s="142">
        <f t="shared" ref="AH93:AH118" si="39">IF(AG93=0,"",IFERROR(AG93/AG$19,""))</f>
        <v>2.8920556629704977E-3</v>
      </c>
      <c r="AI93" s="141">
        <f t="shared" ref="AI93:AI118" si="40">IF(AND($AA93="",AG93=""),"",$AA93-AG93)</f>
        <v>3223.65</v>
      </c>
      <c r="AJ93" s="211">
        <f t="shared" ref="AJ93:AJ118" si="41">IFERROR(AA93/AA$20,0)</f>
        <v>0.20154565868263474</v>
      </c>
      <c r="AK93" s="212">
        <f t="shared" ref="AK93:AK118" si="42">IFERROR(AD93/AD$20,0)</f>
        <v>0.16</v>
      </c>
      <c r="AL93" s="214">
        <f t="shared" ref="AL93:AL118" si="43">IFERROR(AG93/AG$20,0)</f>
        <v>0.12054706669640866</v>
      </c>
      <c r="AM93" s="423" t="str">
        <f t="shared" ref="AM93:AM118" si="44">+IFERROR(ROUND(($AB93-AE93)*100,2)&amp;" pts.",0)</f>
        <v>0.17 pts.</v>
      </c>
      <c r="AN93" s="424" t="str">
        <f t="shared" ref="AN93:AN118" si="45">+IFERROR(ROUND(($AB93-AH93)*100,2)&amp;" pts.",0)</f>
        <v>0.24 pts.</v>
      </c>
      <c r="AO93" s="11"/>
    </row>
    <row r="94" spans="1:41" x14ac:dyDescent="0.25">
      <c r="A94" s="65" t="s">
        <v>12</v>
      </c>
      <c r="B94" s="66" t="s">
        <v>22</v>
      </c>
      <c r="C94" s="11"/>
      <c r="D94" s="11"/>
      <c r="E94" s="11"/>
      <c r="F94" s="11"/>
      <c r="G94" s="11"/>
      <c r="H94" s="88" t="s">
        <v>855</v>
      </c>
      <c r="I94" s="122" t="str">
        <f>IF(_epmOfflineCondition_,"N",_xll.EVPRO($B$1,$H94,"STYLE"))</f>
        <v>N</v>
      </c>
      <c r="J94" s="122" t="str">
        <f>IF(_epmOfflineCondition_,"N",_xll.EVPRO($B$1,$H94,"CALC"))</f>
        <v>N</v>
      </c>
      <c r="K94" s="179" t="str">
        <f t="shared" si="34"/>
        <v/>
      </c>
      <c r="L94" s="90" t="str">
        <f>IF(_epmOfflineCondition_,"701300",_xll.EVPRO($B$1,H94,"JDEID"))</f>
        <v>701300</v>
      </c>
      <c r="M94" s="90" t="str">
        <f>IF(_epmOfflineCondition_,"690205",IF(AND(I94="N",J94="N"),_xll.EVPRO($B$1,H94,"PSFTID"),""))</f>
        <v>690205</v>
      </c>
      <c r="N94" s="90" t="str">
        <f>IF(_epmOfflineCondition_,"Printing &amp; Stationery",IF(_xll.EVDES(H94,$B$1)="#NODATA","",_xll.EVDES(H94,$B$1)))</f>
        <v>Printing &amp; Stationery</v>
      </c>
      <c r="O94" s="138">
        <v>296.89999999999998</v>
      </c>
      <c r="P94" s="138">
        <v>644.26</v>
      </c>
      <c r="Q94" s="138">
        <v>294.69</v>
      </c>
      <c r="R94" s="138">
        <v>1253.5999999999999</v>
      </c>
      <c r="S94" s="138">
        <v>856.75</v>
      </c>
      <c r="T94" s="138"/>
      <c r="U94" s="138">
        <v>207.05</v>
      </c>
      <c r="V94" s="138">
        <v>362.41</v>
      </c>
      <c r="W94" s="138">
        <v>252.81</v>
      </c>
      <c r="X94" s="138">
        <v>168.94</v>
      </c>
      <c r="Y94" s="138">
        <v>279.41000000000003</v>
      </c>
      <c r="Z94" s="138">
        <v>100.84</v>
      </c>
      <c r="AA94" s="210">
        <f t="shared" si="35"/>
        <v>4717.66</v>
      </c>
      <c r="AB94" s="142">
        <f t="shared" si="36"/>
        <v>4.6123984260634972E-3</v>
      </c>
      <c r="AC94" s="140"/>
      <c r="AD94" s="138">
        <v>2736</v>
      </c>
      <c r="AE94" s="142">
        <f t="shared" si="37"/>
        <v>1.7793955709322388E-3</v>
      </c>
      <c r="AF94" s="141">
        <f t="shared" si="38"/>
        <v>1981.6599999999999</v>
      </c>
      <c r="AG94" s="138">
        <v>1499.49</v>
      </c>
      <c r="AH94" s="142">
        <f t="shared" si="39"/>
        <v>2.0061566609153336E-3</v>
      </c>
      <c r="AI94" s="141">
        <f t="shared" si="40"/>
        <v>3218.17</v>
      </c>
      <c r="AJ94" s="211">
        <f t="shared" si="41"/>
        <v>0.17655913173652693</v>
      </c>
      <c r="AK94" s="212">
        <f t="shared" si="42"/>
        <v>0.08</v>
      </c>
      <c r="AL94" s="214">
        <f t="shared" si="43"/>
        <v>8.3620901182244037E-2</v>
      </c>
      <c r="AM94" s="423" t="str">
        <f t="shared" si="44"/>
        <v>0.28 pts.</v>
      </c>
      <c r="AN94" s="424" t="str">
        <f t="shared" si="45"/>
        <v>0.26 pts.</v>
      </c>
      <c r="AO94" s="11"/>
    </row>
    <row r="95" spans="1:41" x14ac:dyDescent="0.25">
      <c r="A95" s="65" t="s">
        <v>13</v>
      </c>
      <c r="B95" s="66" t="s">
        <v>737</v>
      </c>
      <c r="C95" s="11"/>
      <c r="D95" s="11"/>
      <c r="E95" s="11"/>
      <c r="F95" s="11"/>
      <c r="G95" s="11"/>
      <c r="H95" s="88" t="s">
        <v>831</v>
      </c>
      <c r="I95" s="122" t="str">
        <f>IF(_epmOfflineCondition_,"T4",_xll.EVPRO($B$1,$H95,"STYLE"))</f>
        <v>T4</v>
      </c>
      <c r="J95" s="122" t="str">
        <f>IF(_epmOfflineCondition_,"Y",_xll.EVPRO($B$1,$H95,"CALC"))</f>
        <v>Y</v>
      </c>
      <c r="K95" s="179" t="str">
        <f t="shared" si="34"/>
        <v>&gt;</v>
      </c>
      <c r="L95" s="90" t="str">
        <f>IF(_epmOfflineCondition_,"701500",_xll.EVPRO($B$1,H95,"JDEID"))</f>
        <v>701500</v>
      </c>
      <c r="M95" s="90" t="str">
        <f>IF(_epmOfflineCondition_,"",IF(AND(I95="N",J95="N"),_xll.EVPRO($B$1,H95,"PSFTID"),""))</f>
        <v/>
      </c>
      <c r="N95" s="90" t="str">
        <f>IF(_epmOfflineCondition_,"Operating Supplies",IF(_xll.EVDES(H95,$B$1)="#NODATA","",_xll.EVDES(H95,$B$1)))</f>
        <v>Operating Supplies</v>
      </c>
      <c r="O95" s="138">
        <v>690.92</v>
      </c>
      <c r="P95" s="138">
        <v>3282.68</v>
      </c>
      <c r="Q95" s="138">
        <v>3594.69</v>
      </c>
      <c r="R95" s="138">
        <v>2431.58</v>
      </c>
      <c r="S95" s="138">
        <v>1637.32</v>
      </c>
      <c r="T95" s="138">
        <v>1335.06</v>
      </c>
      <c r="U95" s="138">
        <v>2147.79</v>
      </c>
      <c r="V95" s="138">
        <v>5562.54</v>
      </c>
      <c r="W95" s="138">
        <v>2287.63</v>
      </c>
      <c r="X95" s="138">
        <v>2030.99</v>
      </c>
      <c r="Y95" s="138">
        <v>3011.96</v>
      </c>
      <c r="Z95" s="138">
        <v>3878.76</v>
      </c>
      <c r="AA95" s="210">
        <f t="shared" si="35"/>
        <v>31891.919999999998</v>
      </c>
      <c r="AB95" s="142">
        <f t="shared" si="36"/>
        <v>3.118033974727788E-2</v>
      </c>
      <c r="AC95" s="140"/>
      <c r="AD95" s="138">
        <v>29070</v>
      </c>
      <c r="AE95" s="142">
        <f t="shared" si="37"/>
        <v>1.8906077941155036E-2</v>
      </c>
      <c r="AF95" s="141">
        <f t="shared" si="38"/>
        <v>2821.9199999999983</v>
      </c>
      <c r="AG95" s="138">
        <v>18503.34</v>
      </c>
      <c r="AH95" s="142">
        <f t="shared" si="39"/>
        <v>2.4755482724246998E-2</v>
      </c>
      <c r="AI95" s="141">
        <f t="shared" si="40"/>
        <v>13388.579999999998</v>
      </c>
      <c r="AJ95" s="211">
        <f t="shared" si="41"/>
        <v>1.1935598802395209</v>
      </c>
      <c r="AK95" s="212">
        <f t="shared" si="42"/>
        <v>0.85</v>
      </c>
      <c r="AL95" s="214">
        <f t="shared" si="43"/>
        <v>1.0318614766897167</v>
      </c>
      <c r="AM95" s="423" t="str">
        <f t="shared" si="44"/>
        <v>1.23 pts.</v>
      </c>
      <c r="AN95" s="424" t="str">
        <f t="shared" si="45"/>
        <v>0.64 pts.</v>
      </c>
      <c r="AO95" s="11"/>
    </row>
    <row r="96" spans="1:41" x14ac:dyDescent="0.25">
      <c r="A96" s="65" t="s">
        <v>14</v>
      </c>
      <c r="B96" s="66"/>
      <c r="C96" s="11"/>
      <c r="D96" s="11"/>
      <c r="E96" s="11"/>
      <c r="F96" s="11"/>
      <c r="G96" s="11"/>
      <c r="H96" s="88" t="s">
        <v>867</v>
      </c>
      <c r="I96" s="122" t="str">
        <f>IF(_epmOfflineCondition_,"N",_xll.EVPRO($B$1,$H96,"STYLE"))</f>
        <v>N</v>
      </c>
      <c r="J96" s="122" t="str">
        <f>IF(_epmOfflineCondition_,"N",_xll.EVPRO($B$1,$H96,"CALC"))</f>
        <v>N</v>
      </c>
      <c r="K96" s="179" t="str">
        <f t="shared" si="34"/>
        <v/>
      </c>
      <c r="L96" s="90" t="str">
        <f>IF(_epmOfflineCondition_,"701600",_xll.EVPRO($B$1,H96,"JDEID"))</f>
        <v>701600</v>
      </c>
      <c r="M96" s="90" t="str">
        <f>IF(_epmOfflineCondition_,"590015",IF(AND(I96="N",J96="N"),_xll.EVPRO($B$1,H96,"PSFTID"),""))</f>
        <v>590015</v>
      </c>
      <c r="N96" s="90" t="str">
        <f>IF(_epmOfflineCondition_,"Cleaning Supplies",IF(_xll.EVDES(H96,$B$1)="#NODATA","",_xll.EVDES(H96,$B$1)))</f>
        <v>Cleaning Supplies</v>
      </c>
      <c r="O96" s="138">
        <v>66.099999999999994</v>
      </c>
      <c r="P96" s="138">
        <v>2053.1799999999998</v>
      </c>
      <c r="Q96" s="138">
        <v>2077.42</v>
      </c>
      <c r="R96" s="138">
        <v>984.14</v>
      </c>
      <c r="S96" s="138">
        <v>1321.66</v>
      </c>
      <c r="T96" s="138">
        <v>345.2</v>
      </c>
      <c r="U96" s="138">
        <v>316.52999999999997</v>
      </c>
      <c r="V96" s="138">
        <v>445.37</v>
      </c>
      <c r="W96" s="138">
        <v>853.97</v>
      </c>
      <c r="X96" s="138">
        <v>507.56</v>
      </c>
      <c r="Y96" s="138">
        <v>407.68</v>
      </c>
      <c r="Z96" s="138">
        <v>1406.97</v>
      </c>
      <c r="AA96" s="210">
        <f t="shared" si="35"/>
        <v>10785.779999999999</v>
      </c>
      <c r="AB96" s="142">
        <f t="shared" si="36"/>
        <v>1.0545125061125036E-2</v>
      </c>
      <c r="AC96" s="140"/>
      <c r="AD96" s="138">
        <v>15390</v>
      </c>
      <c r="AE96" s="142">
        <f t="shared" si="37"/>
        <v>1.0009100086493843E-2</v>
      </c>
      <c r="AF96" s="141">
        <f t="shared" si="38"/>
        <v>-4604.2200000000012</v>
      </c>
      <c r="AG96" s="138">
        <v>8648.76</v>
      </c>
      <c r="AH96" s="142">
        <f t="shared" si="39"/>
        <v>1.1571112500022076E-2</v>
      </c>
      <c r="AI96" s="141">
        <f t="shared" si="40"/>
        <v>2137.0199999999986</v>
      </c>
      <c r="AJ96" s="211">
        <f t="shared" si="41"/>
        <v>0.40365943113772451</v>
      </c>
      <c r="AK96" s="212">
        <f t="shared" si="42"/>
        <v>0.45</v>
      </c>
      <c r="AL96" s="214">
        <f t="shared" si="43"/>
        <v>0.4823087218380549</v>
      </c>
      <c r="AM96" s="423" t="str">
        <f t="shared" si="44"/>
        <v>0.05 pts.</v>
      </c>
      <c r="AN96" s="424" t="str">
        <f t="shared" si="45"/>
        <v>-0.1 pts.</v>
      </c>
      <c r="AO96" s="11"/>
    </row>
    <row r="97" spans="1:41" x14ac:dyDescent="0.25">
      <c r="A97" s="65" t="s">
        <v>15</v>
      </c>
      <c r="B97" s="66"/>
      <c r="C97" s="11"/>
      <c r="D97" s="11"/>
      <c r="E97" s="11"/>
      <c r="F97" s="11"/>
      <c r="G97" s="11"/>
      <c r="H97" s="88" t="s">
        <v>868</v>
      </c>
      <c r="I97" s="122" t="str">
        <f>IF(_epmOfflineCondition_,"N",_xll.EVPRO($B$1,$H97,"STYLE"))</f>
        <v>N</v>
      </c>
      <c r="J97" s="122" t="str">
        <f>IF(_epmOfflineCondition_,"N",_xll.EVPRO($B$1,$H97,"CALC"))</f>
        <v>N</v>
      </c>
      <c r="K97" s="179" t="str">
        <f t="shared" si="34"/>
        <v/>
      </c>
      <c r="L97" s="90" t="str">
        <f>IF(_epmOfflineCondition_,"701700",_xll.EVPRO($B$1,H97,"JDEID"))</f>
        <v>701700</v>
      </c>
      <c r="M97" s="90" t="str">
        <f>IF(_epmOfflineCondition_,"590026",IF(AND(I97="N",J97="N"),_xll.EVPRO($B$1,H97,"PSFTID"),""))</f>
        <v>590026</v>
      </c>
      <c r="N97" s="90" t="str">
        <f>IF(_epmOfflineCondition_,"Dishwashing Supplies",IF(_xll.EVDES(H97,$B$1)="#NODATA","",_xll.EVDES(H97,$B$1)))</f>
        <v>Dishwashing Supplies</v>
      </c>
      <c r="O97" s="138">
        <v>335.01</v>
      </c>
      <c r="P97" s="138">
        <v>1035</v>
      </c>
      <c r="Q97" s="138">
        <v>1057.79</v>
      </c>
      <c r="R97" s="138">
        <v>777.33</v>
      </c>
      <c r="S97" s="138">
        <v>1042.0999999999999</v>
      </c>
      <c r="T97" s="138">
        <v>224.64</v>
      </c>
      <c r="U97" s="138">
        <v>1002.87</v>
      </c>
      <c r="V97" s="138">
        <v>1195.5999999999999</v>
      </c>
      <c r="W97" s="138">
        <v>1009.71</v>
      </c>
      <c r="X97" s="138">
        <v>413.52</v>
      </c>
      <c r="Y97" s="138">
        <v>431.46</v>
      </c>
      <c r="Z97" s="138">
        <v>775.44</v>
      </c>
      <c r="AA97" s="210">
        <f t="shared" si="35"/>
        <v>9300.4699999999993</v>
      </c>
      <c r="AB97" s="142">
        <f t="shared" si="36"/>
        <v>9.0929556580276599E-3</v>
      </c>
      <c r="AC97" s="140"/>
      <c r="AD97" s="138">
        <v>10944</v>
      </c>
      <c r="AE97" s="142">
        <f t="shared" si="37"/>
        <v>7.1175822837289552E-3</v>
      </c>
      <c r="AF97" s="141">
        <f t="shared" si="38"/>
        <v>-1643.5300000000007</v>
      </c>
      <c r="AG97" s="138">
        <v>6484.33</v>
      </c>
      <c r="AH97" s="142">
        <f t="shared" si="39"/>
        <v>8.6753374954638748E-3</v>
      </c>
      <c r="AI97" s="141">
        <f t="shared" si="40"/>
        <v>2816.1399999999994</v>
      </c>
      <c r="AJ97" s="211">
        <f t="shared" si="41"/>
        <v>0.34807148203592814</v>
      </c>
      <c r="AK97" s="212">
        <f t="shared" si="42"/>
        <v>0.32</v>
      </c>
      <c r="AL97" s="214">
        <f t="shared" si="43"/>
        <v>0.3616066250278831</v>
      </c>
      <c r="AM97" s="423" t="str">
        <f t="shared" si="44"/>
        <v>0.2 pts.</v>
      </c>
      <c r="AN97" s="424" t="str">
        <f t="shared" si="45"/>
        <v>0.04 pts.</v>
      </c>
      <c r="AO97" s="11"/>
    </row>
    <row r="98" spans="1:41" x14ac:dyDescent="0.25">
      <c r="A98" s="65" t="s">
        <v>16</v>
      </c>
      <c r="B98" s="66" t="s">
        <v>78</v>
      </c>
      <c r="C98" s="11"/>
      <c r="D98" s="11"/>
      <c r="E98" s="11"/>
      <c r="F98" s="11"/>
      <c r="G98" s="11"/>
      <c r="H98" s="88" t="s">
        <v>869</v>
      </c>
      <c r="I98" s="122" t="str">
        <f>IF(_epmOfflineCondition_,"N",_xll.EVPRO($B$1,$H98,"STYLE"))</f>
        <v>N</v>
      </c>
      <c r="J98" s="122" t="str">
        <f>IF(_epmOfflineCondition_,"N",_xll.EVPRO($B$1,$H98,"CALC"))</f>
        <v>N</v>
      </c>
      <c r="K98" s="179" t="str">
        <f t="shared" si="34"/>
        <v/>
      </c>
      <c r="L98" s="90" t="str">
        <f>IF(_epmOfflineCondition_,"701780",_xll.EVPRO($B$1,H98,"JDEID"))</f>
        <v>701780</v>
      </c>
      <c r="M98" s="90" t="str">
        <f>IF(_epmOfflineCondition_,"691070",IF(AND(I98="N",J98="N"),_xll.EVPRO($B$1,H98,"PSFTID"),""))</f>
        <v>691070</v>
      </c>
      <c r="N98" s="90" t="str">
        <f>IF(_epmOfflineCondition_,"Kitchen Smallwares",IF(_xll.EVDES(H98,$B$1)="#NODATA","",_xll.EVDES(H98,$B$1)))</f>
        <v>Kitchen Smallwares</v>
      </c>
      <c r="O98" s="138"/>
      <c r="P98" s="138"/>
      <c r="Q98" s="138"/>
      <c r="R98" s="138"/>
      <c r="S98" s="138"/>
      <c r="T98" s="138"/>
      <c r="U98" s="138"/>
      <c r="V98" s="138">
        <v>73.790000000000006</v>
      </c>
      <c r="W98" s="138"/>
      <c r="X98" s="138"/>
      <c r="Y98" s="138"/>
      <c r="Z98" s="138"/>
      <c r="AA98" s="210">
        <f t="shared" si="35"/>
        <v>73.790000000000006</v>
      </c>
      <c r="AB98" s="142">
        <f t="shared" si="36"/>
        <v>7.2143579626175999E-5</v>
      </c>
      <c r="AC98" s="140"/>
      <c r="AD98" s="138"/>
      <c r="AE98" s="142" t="str">
        <f t="shared" si="37"/>
        <v/>
      </c>
      <c r="AF98" s="141">
        <f t="shared" si="38"/>
        <v>73.790000000000006</v>
      </c>
      <c r="AG98" s="138"/>
      <c r="AH98" s="142" t="str">
        <f t="shared" si="39"/>
        <v/>
      </c>
      <c r="AI98" s="141">
        <f t="shared" si="40"/>
        <v>73.790000000000006</v>
      </c>
      <c r="AJ98" s="211">
        <f t="shared" si="41"/>
        <v>2.7616017964071857E-3</v>
      </c>
      <c r="AK98" s="212">
        <f t="shared" si="42"/>
        <v>0</v>
      </c>
      <c r="AL98" s="214">
        <f t="shared" si="43"/>
        <v>0</v>
      </c>
      <c r="AM98" s="423">
        <f t="shared" si="44"/>
        <v>0</v>
      </c>
      <c r="AN98" s="424">
        <f t="shared" si="45"/>
        <v>0</v>
      </c>
      <c r="AO98" s="11"/>
    </row>
    <row r="99" spans="1:41" x14ac:dyDescent="0.25">
      <c r="A99" s="65" t="s">
        <v>17</v>
      </c>
      <c r="B99" s="66"/>
      <c r="C99" s="11"/>
      <c r="D99" s="11"/>
      <c r="E99" s="11"/>
      <c r="F99" s="11"/>
      <c r="G99" s="11"/>
      <c r="H99" s="88" t="s">
        <v>870</v>
      </c>
      <c r="I99" s="122" t="str">
        <f>IF(_epmOfflineCondition_,"N",_xll.EVPRO($B$1,$H99,"STYLE"))</f>
        <v>N</v>
      </c>
      <c r="J99" s="122" t="str">
        <f>IF(_epmOfflineCondition_,"N",_xll.EVPRO($B$1,$H99,"CALC"))</f>
        <v>N</v>
      </c>
      <c r="K99" s="179" t="str">
        <f t="shared" si="34"/>
        <v/>
      </c>
      <c r="L99" s="90" t="str">
        <f>IF(_epmOfflineCondition_,"702000",_xll.EVPRO($B$1,H99,"JDEID"))</f>
        <v>702000</v>
      </c>
      <c r="M99" s="90" t="str">
        <f>IF(_epmOfflineCondition_,"590031",IF(AND(I99="N",J99="N"),_xll.EVPRO($B$1,H99,"PSFTID"),""))</f>
        <v>590031</v>
      </c>
      <c r="N99" s="90" t="str">
        <f>IF(_epmOfflineCondition_,"Paper and Plastics",IF(_xll.EVDES(H99,$B$1)="#NODATA","",_xll.EVDES(H99,$B$1)))</f>
        <v>Paper and Plastics</v>
      </c>
      <c r="O99" s="138">
        <v>1236.0899999999999</v>
      </c>
      <c r="P99" s="138">
        <v>3098.33</v>
      </c>
      <c r="Q99" s="138">
        <v>3572.8</v>
      </c>
      <c r="R99" s="138">
        <v>2486.85</v>
      </c>
      <c r="S99" s="138">
        <v>2596.87</v>
      </c>
      <c r="T99" s="138">
        <v>1145.28</v>
      </c>
      <c r="U99" s="138">
        <v>3590.26</v>
      </c>
      <c r="V99" s="138">
        <v>1938.95</v>
      </c>
      <c r="W99" s="138">
        <v>2251.0100000000002</v>
      </c>
      <c r="X99" s="138">
        <v>1723.93</v>
      </c>
      <c r="Y99" s="138">
        <v>3174.03</v>
      </c>
      <c r="Z99" s="138">
        <v>2175.09</v>
      </c>
      <c r="AA99" s="210">
        <f t="shared" si="35"/>
        <v>28989.49</v>
      </c>
      <c r="AB99" s="142">
        <f t="shared" si="36"/>
        <v>2.8342669469267286E-2</v>
      </c>
      <c r="AC99" s="140"/>
      <c r="AD99" s="138">
        <v>28386</v>
      </c>
      <c r="AE99" s="142">
        <f t="shared" si="37"/>
        <v>1.8461229048421977E-2</v>
      </c>
      <c r="AF99" s="141">
        <f t="shared" si="38"/>
        <v>603.4900000000016</v>
      </c>
      <c r="AG99" s="138">
        <v>21234.01</v>
      </c>
      <c r="AH99" s="142">
        <f t="shared" si="39"/>
        <v>2.8408826067158034E-2</v>
      </c>
      <c r="AI99" s="141">
        <f t="shared" si="40"/>
        <v>7755.4800000000032</v>
      </c>
      <c r="AJ99" s="211">
        <f t="shared" si="41"/>
        <v>1.084936002994012</v>
      </c>
      <c r="AK99" s="212">
        <f t="shared" si="42"/>
        <v>0.83</v>
      </c>
      <c r="AL99" s="214">
        <f t="shared" si="43"/>
        <v>1.1841406424269461</v>
      </c>
      <c r="AM99" s="423" t="str">
        <f t="shared" si="44"/>
        <v>0.99 pts.</v>
      </c>
      <c r="AN99" s="424" t="str">
        <f t="shared" si="45"/>
        <v>-0.01 pts.</v>
      </c>
      <c r="AO99" s="11"/>
    </row>
    <row r="100" spans="1:41" x14ac:dyDescent="0.25">
      <c r="A100" s="11"/>
      <c r="B100" s="11"/>
      <c r="C100" s="11"/>
      <c r="D100" s="11"/>
      <c r="E100" s="11"/>
      <c r="F100" s="11"/>
      <c r="G100" s="11"/>
      <c r="H100" s="88" t="s">
        <v>871</v>
      </c>
      <c r="I100" s="122" t="str">
        <f>IF(_epmOfflineCondition_,"N",_xll.EVPRO($B$1,$H100,"STYLE"))</f>
        <v>N</v>
      </c>
      <c r="J100" s="122" t="str">
        <f>IF(_epmOfflineCondition_,"N",_xll.EVPRO($B$1,$H100,"CALC"))</f>
        <v>N</v>
      </c>
      <c r="K100" s="179" t="str">
        <f t="shared" si="34"/>
        <v/>
      </c>
      <c r="L100" s="90" t="str">
        <f>IF(_epmOfflineCondition_,"702300",_xll.EVPRO($B$1,H100,"JDEID"))</f>
        <v>702300</v>
      </c>
      <c r="M100" s="90" t="str">
        <f>IF(_epmOfflineCondition_,"590040",IF(AND(I100="N",J100="N"),_xll.EVPRO($B$1,H100,"PSFTID"),""))</f>
        <v>590040</v>
      </c>
      <c r="N100" s="90" t="str">
        <f>IF(_epmOfflineCondition_,"Decorations",IF(_xll.EVDES(H100,$B$1)="#NODATA","",_xll.EVDES(H100,$B$1)))</f>
        <v>Decorations</v>
      </c>
      <c r="O100" s="138">
        <v>-189.43</v>
      </c>
      <c r="P100" s="138">
        <v>116.18</v>
      </c>
      <c r="Q100" s="138">
        <v>222.94</v>
      </c>
      <c r="R100" s="138">
        <v>379.95</v>
      </c>
      <c r="S100" s="138"/>
      <c r="T100" s="138"/>
      <c r="U100" s="138">
        <v>96.9</v>
      </c>
      <c r="V100" s="138"/>
      <c r="W100" s="138">
        <v>380.89</v>
      </c>
      <c r="X100" s="138">
        <v>250.74</v>
      </c>
      <c r="Y100" s="138">
        <v>67.97</v>
      </c>
      <c r="Z100" s="138">
        <v>495.99</v>
      </c>
      <c r="AA100" s="210">
        <f t="shared" si="35"/>
        <v>1822.13</v>
      </c>
      <c r="AB100" s="142">
        <f t="shared" si="36"/>
        <v>1.781474193579673E-3</v>
      </c>
      <c r="AC100" s="140"/>
      <c r="AD100" s="138">
        <v>2035</v>
      </c>
      <c r="AE100" s="142">
        <f t="shared" si="37"/>
        <v>1.323490492268679E-3</v>
      </c>
      <c r="AF100" s="141">
        <f t="shared" si="38"/>
        <v>-212.86999999999989</v>
      </c>
      <c r="AG100" s="138">
        <v>1974.15</v>
      </c>
      <c r="AH100" s="142">
        <f t="shared" si="39"/>
        <v>2.6412007896991687E-3</v>
      </c>
      <c r="AI100" s="141">
        <f t="shared" si="40"/>
        <v>-152.01999999999998</v>
      </c>
      <c r="AJ100" s="211">
        <f t="shared" si="41"/>
        <v>6.8193488023952101E-2</v>
      </c>
      <c r="AK100" s="212">
        <f t="shared" si="42"/>
        <v>5.9502923976608189E-2</v>
      </c>
      <c r="AL100" s="214">
        <f t="shared" si="43"/>
        <v>0.11009089895159492</v>
      </c>
      <c r="AM100" s="423" t="str">
        <f t="shared" si="44"/>
        <v>0.05 pts.</v>
      </c>
      <c r="AN100" s="424" t="str">
        <f t="shared" si="45"/>
        <v>-0.09 pts.</v>
      </c>
      <c r="AO100" s="11"/>
    </row>
    <row r="101" spans="1:41" x14ac:dyDescent="0.25">
      <c r="A101" s="97" t="s">
        <v>92</v>
      </c>
      <c r="B101" s="98" t="s">
        <v>93</v>
      </c>
      <c r="C101" s="98" t="s">
        <v>94</v>
      </c>
      <c r="D101" s="98" t="s">
        <v>95</v>
      </c>
      <c r="E101" s="98" t="s">
        <v>96</v>
      </c>
      <c r="F101" s="99" t="s">
        <v>97</v>
      </c>
      <c r="G101" s="11"/>
      <c r="H101" s="88" t="s">
        <v>872</v>
      </c>
      <c r="I101" s="122" t="str">
        <f>IF(_epmOfflineCondition_,"N",_xll.EVPRO($B$1,$H101,"STYLE"))</f>
        <v>N</v>
      </c>
      <c r="J101" s="122" t="str">
        <f>IF(_epmOfflineCondition_,"N",_xll.EVPRO($B$1,$H101,"CALC"))</f>
        <v>N</v>
      </c>
      <c r="K101" s="179" t="str">
        <f t="shared" si="34"/>
        <v/>
      </c>
      <c r="L101" s="90" t="str">
        <f>IF(_epmOfflineCondition_,"702580",_xll.EVPRO($B$1,H101,"JDEID"))</f>
        <v>702580</v>
      </c>
      <c r="M101" s="90" t="str">
        <f>IF(_epmOfflineCondition_,"590166",IF(AND(I101="N",J101="N"),_xll.EVPRO($B$1,H101,"PSFTID"),""))</f>
        <v>590166</v>
      </c>
      <c r="N101" s="90" t="str">
        <f>IF(_epmOfflineCondition_,"Reservations",IF(_xll.EVDES(H101,$B$1)="#NODATA","",_xll.EVDES(H101,$B$1)))</f>
        <v>Reservations</v>
      </c>
      <c r="O101" s="138">
        <v>553</v>
      </c>
      <c r="P101" s="138">
        <v>379.6</v>
      </c>
      <c r="Q101" s="138">
        <v>554.4</v>
      </c>
      <c r="R101" s="138">
        <v>568.6</v>
      </c>
      <c r="S101" s="138">
        <v>641.20000000000005</v>
      </c>
      <c r="T101" s="138">
        <v>335</v>
      </c>
      <c r="U101" s="138">
        <v>564</v>
      </c>
      <c r="V101" s="138">
        <v>638</v>
      </c>
      <c r="W101" s="138">
        <v>126</v>
      </c>
      <c r="X101" s="138">
        <v>184.6</v>
      </c>
      <c r="Y101" s="138">
        <v>-9.6</v>
      </c>
      <c r="Z101" s="138">
        <v>327</v>
      </c>
      <c r="AA101" s="210">
        <f t="shared" si="35"/>
        <v>4861.8</v>
      </c>
      <c r="AB101" s="142">
        <f t="shared" si="36"/>
        <v>4.7533223394300378E-3</v>
      </c>
      <c r="AC101" s="140"/>
      <c r="AD101" s="138">
        <v>4800</v>
      </c>
      <c r="AE101" s="142">
        <f t="shared" si="37"/>
        <v>3.1217466156705943E-3</v>
      </c>
      <c r="AF101" s="141">
        <f t="shared" si="38"/>
        <v>61.800000000000182</v>
      </c>
      <c r="AG101" s="138">
        <v>3734.95</v>
      </c>
      <c r="AH101" s="142">
        <f t="shared" si="39"/>
        <v>4.996962180932E-3</v>
      </c>
      <c r="AI101" s="141">
        <f t="shared" si="40"/>
        <v>1126.8500000000004</v>
      </c>
      <c r="AJ101" s="211">
        <f t="shared" si="41"/>
        <v>0.18195359281437126</v>
      </c>
      <c r="AK101" s="212">
        <f t="shared" si="42"/>
        <v>0.14035087719298245</v>
      </c>
      <c r="AL101" s="214">
        <f t="shared" si="43"/>
        <v>0.2082840731652911</v>
      </c>
      <c r="AM101" s="423" t="str">
        <f t="shared" si="44"/>
        <v>0.16 pts.</v>
      </c>
      <c r="AN101" s="424" t="str">
        <f t="shared" si="45"/>
        <v>-0.02 pts.</v>
      </c>
      <c r="AO101" s="11"/>
    </row>
    <row r="102" spans="1:41" x14ac:dyDescent="0.25">
      <c r="A102" s="11"/>
      <c r="B102" s="11"/>
      <c r="C102" s="11"/>
      <c r="D102" s="11"/>
      <c r="E102" s="11"/>
      <c r="F102" s="11"/>
      <c r="G102" s="11"/>
      <c r="H102" s="88" t="s">
        <v>832</v>
      </c>
      <c r="I102" s="122" t="str">
        <f>IF(_epmOfflineCondition_,"T4",_xll.EVPRO($B$1,$H102,"STYLE"))</f>
        <v>T4</v>
      </c>
      <c r="J102" s="122" t="str">
        <f>IF(_epmOfflineCondition_,"Y",_xll.EVPRO($B$1,$H102,"CALC"))</f>
        <v>Y</v>
      </c>
      <c r="K102" s="179" t="str">
        <f t="shared" si="34"/>
        <v>&gt;</v>
      </c>
      <c r="L102" s="90" t="str">
        <f>IF(_epmOfflineCondition_,"",_xll.EVPRO($B$1,H102,"JDEID"))</f>
        <v/>
      </c>
      <c r="M102" s="90" t="str">
        <f>IF(_epmOfflineCondition_,"",IF(AND(I102="N",J102="N"),_xll.EVPRO($B$1,H102,"PSFTID"),""))</f>
        <v/>
      </c>
      <c r="N102" s="90" t="str">
        <f>IF(_epmOfflineCondition_,"Contract Services",IF(_xll.EVDES(H102,$B$1)="#NODATA","",_xll.EVDES(H102,$B$1)))</f>
        <v>Contract Services</v>
      </c>
      <c r="O102" s="138">
        <v>6320.37</v>
      </c>
      <c r="P102" s="138">
        <v>7514.46</v>
      </c>
      <c r="Q102" s="138">
        <v>5725.38</v>
      </c>
      <c r="R102" s="138">
        <v>6802.07</v>
      </c>
      <c r="S102" s="138">
        <v>5347.89</v>
      </c>
      <c r="T102" s="138">
        <v>5425.38</v>
      </c>
      <c r="U102" s="138">
        <v>6581.38</v>
      </c>
      <c r="V102" s="138">
        <v>6196.38</v>
      </c>
      <c r="W102" s="138">
        <v>5300</v>
      </c>
      <c r="X102" s="138">
        <v>5522.16</v>
      </c>
      <c r="Y102" s="138">
        <v>5725.38</v>
      </c>
      <c r="Z102" s="138">
        <v>5438.15</v>
      </c>
      <c r="AA102" s="210">
        <f t="shared" si="35"/>
        <v>71898.999999999985</v>
      </c>
      <c r="AB102" s="142">
        <f t="shared" si="36"/>
        <v>7.0294772076737053E-2</v>
      </c>
      <c r="AC102" s="140"/>
      <c r="AD102" s="138">
        <v>73264.56</v>
      </c>
      <c r="AE102" s="142">
        <f t="shared" si="37"/>
        <v>4.7648623380957329E-2</v>
      </c>
      <c r="AF102" s="141">
        <f t="shared" si="38"/>
        <v>-1365.5600000000122</v>
      </c>
      <c r="AG102" s="138">
        <v>51374.92</v>
      </c>
      <c r="AH102" s="142">
        <f t="shared" si="39"/>
        <v>6.8734128244931539E-2</v>
      </c>
      <c r="AI102" s="141">
        <f t="shared" si="40"/>
        <v>20524.079999999987</v>
      </c>
      <c r="AJ102" s="211">
        <f t="shared" si="41"/>
        <v>2.6908308383233526</v>
      </c>
      <c r="AK102" s="212">
        <f t="shared" si="42"/>
        <v>2.1422385964912278</v>
      </c>
      <c r="AL102" s="214">
        <f t="shared" si="43"/>
        <v>2.864985500780727</v>
      </c>
      <c r="AM102" s="423" t="str">
        <f t="shared" si="44"/>
        <v>2.26 pts.</v>
      </c>
      <c r="AN102" s="424" t="str">
        <f t="shared" si="45"/>
        <v>0.16 pts.</v>
      </c>
      <c r="AO102" s="11"/>
    </row>
    <row r="103" spans="1:41" x14ac:dyDescent="0.25">
      <c r="A103" s="11" t="s">
        <v>108</v>
      </c>
      <c r="B103" s="11"/>
      <c r="C103" s="104" t="s">
        <v>101</v>
      </c>
      <c r="D103" s="11" t="s">
        <v>106</v>
      </c>
      <c r="E103" s="11"/>
      <c r="F103" s="11" t="s">
        <v>98</v>
      </c>
      <c r="G103" s="11"/>
      <c r="H103" s="88" t="s">
        <v>833</v>
      </c>
      <c r="I103" s="122" t="str">
        <f>IF(_epmOfflineCondition_,"T4",_xll.EVPRO($B$1,$H103,"STYLE"))</f>
        <v>T4</v>
      </c>
      <c r="J103" s="122" t="str">
        <f>IF(_epmOfflineCondition_,"Y",_xll.EVPRO($B$1,$H103,"CALC"))</f>
        <v>Y</v>
      </c>
      <c r="K103" s="179" t="str">
        <f t="shared" si="34"/>
        <v>&gt;</v>
      </c>
      <c r="L103" s="90" t="str">
        <f>IF(_epmOfflineCondition_,"",_xll.EVPRO($B$1,H103,"JDEID"))</f>
        <v/>
      </c>
      <c r="M103" s="90" t="str">
        <f>IF(_epmOfflineCondition_,"",IF(AND(I103="N",J103="N"),_xll.EVPRO($B$1,H103,"PSFTID"),""))</f>
        <v/>
      </c>
      <c r="N103" s="90" t="str">
        <f>IF(_epmOfflineCondition_,"Travel - Other",IF(_xll.EVDES(H103,$B$1)="#NODATA","",_xll.EVDES(H103,$B$1)))</f>
        <v>Travel - Other</v>
      </c>
      <c r="O103" s="138">
        <v>1117.24</v>
      </c>
      <c r="P103" s="138"/>
      <c r="Q103" s="138">
        <v>2501.33</v>
      </c>
      <c r="R103" s="138">
        <v>438.6</v>
      </c>
      <c r="S103" s="138">
        <v>4239.41</v>
      </c>
      <c r="T103" s="138">
        <v>1645.5</v>
      </c>
      <c r="U103" s="138">
        <v>40.25</v>
      </c>
      <c r="V103" s="138">
        <v>17.22</v>
      </c>
      <c r="W103" s="138"/>
      <c r="X103" s="138">
        <v>15.67</v>
      </c>
      <c r="Y103" s="138">
        <v>2514.48</v>
      </c>
      <c r="Z103" s="138">
        <v>768.45</v>
      </c>
      <c r="AA103" s="210">
        <f t="shared" si="35"/>
        <v>13298.15</v>
      </c>
      <c r="AB103" s="142">
        <f t="shared" si="36"/>
        <v>1.3001438452443859E-2</v>
      </c>
      <c r="AC103" s="140"/>
      <c r="AD103" s="138">
        <v>2374</v>
      </c>
      <c r="AE103" s="142">
        <f t="shared" si="37"/>
        <v>1.5439638470004149E-3</v>
      </c>
      <c r="AF103" s="141">
        <f t="shared" si="38"/>
        <v>10924.15</v>
      </c>
      <c r="AG103" s="138">
        <v>1593.29</v>
      </c>
      <c r="AH103" s="142">
        <f t="shared" si="39"/>
        <v>2.1316509921838703E-3</v>
      </c>
      <c r="AI103" s="141">
        <f t="shared" si="40"/>
        <v>11704.86</v>
      </c>
      <c r="AJ103" s="211">
        <f t="shared" si="41"/>
        <v>0.49768525449101797</v>
      </c>
      <c r="AK103" s="212">
        <f t="shared" si="42"/>
        <v>6.9415204678362569E-2</v>
      </c>
      <c r="AL103" s="214">
        <f t="shared" si="43"/>
        <v>8.8851773366049519E-2</v>
      </c>
      <c r="AM103" s="423" t="str">
        <f t="shared" si="44"/>
        <v>1.15 pts.</v>
      </c>
      <c r="AN103" s="424" t="str">
        <f t="shared" si="45"/>
        <v>1.09 pts.</v>
      </c>
      <c r="AO103" s="11"/>
    </row>
    <row r="104" spans="1:41" x14ac:dyDescent="0.25">
      <c r="A104" s="11" t="s">
        <v>100</v>
      </c>
      <c r="B104" s="11"/>
      <c r="C104" s="53" t="s">
        <v>101</v>
      </c>
      <c r="D104" s="11" t="s">
        <v>106</v>
      </c>
      <c r="E104" s="11"/>
      <c r="F104" s="11" t="s">
        <v>98</v>
      </c>
      <c r="G104" s="11"/>
      <c r="H104" s="88" t="s">
        <v>834</v>
      </c>
      <c r="I104" s="122" t="str">
        <f>IF(_epmOfflineCondition_,"T4",_xll.EVPRO($B$1,$H104,"STYLE"))</f>
        <v>T4</v>
      </c>
      <c r="J104" s="122" t="str">
        <f>IF(_epmOfflineCondition_,"Y",_xll.EVPRO($B$1,$H104,"CALC"))</f>
        <v>Y</v>
      </c>
      <c r="K104" s="179" t="str">
        <f t="shared" si="34"/>
        <v>&gt;</v>
      </c>
      <c r="L104" s="90" t="str">
        <f>IF(_epmOfflineCondition_,"702900",_xll.EVPRO($B$1,H104,"JDEID"))</f>
        <v>702900</v>
      </c>
      <c r="M104" s="90" t="str">
        <f>IF(_epmOfflineCondition_,"",IF(AND(I104="N",J104="N"),_xll.EVPRO($B$1,H104,"PSFTID"),""))</f>
        <v/>
      </c>
      <c r="N104" s="90" t="str">
        <f>IF(_epmOfflineCondition_,"Travel - Meals &amp; Entertainment",IF(_xll.EVDES(H104,$B$1)="#NODATA","",_xll.EVDES(H104,$B$1)))</f>
        <v>Travel - Meals &amp; Entertainment</v>
      </c>
      <c r="O104" s="138">
        <v>233.25</v>
      </c>
      <c r="P104" s="138"/>
      <c r="Q104" s="138">
        <v>1623.88</v>
      </c>
      <c r="R104" s="138">
        <v>507.29</v>
      </c>
      <c r="S104" s="138">
        <v>711.96</v>
      </c>
      <c r="T104" s="138">
        <v>735.14</v>
      </c>
      <c r="U104" s="138">
        <v>-27.79</v>
      </c>
      <c r="V104" s="138"/>
      <c r="W104" s="138"/>
      <c r="X104" s="138"/>
      <c r="Y104" s="138">
        <v>350.78</v>
      </c>
      <c r="Z104" s="138">
        <v>169.2</v>
      </c>
      <c r="AA104" s="210">
        <f t="shared" si="35"/>
        <v>4303.71</v>
      </c>
      <c r="AB104" s="142">
        <f t="shared" si="36"/>
        <v>4.2076845788449639E-3</v>
      </c>
      <c r="AC104" s="140"/>
      <c r="AD104" s="138">
        <v>300</v>
      </c>
      <c r="AE104" s="142">
        <f t="shared" si="37"/>
        <v>1.9510916347941214E-4</v>
      </c>
      <c r="AF104" s="141">
        <f t="shared" si="38"/>
        <v>4003.71</v>
      </c>
      <c r="AG104" s="138">
        <v>1517.64</v>
      </c>
      <c r="AH104" s="142">
        <f t="shared" si="39"/>
        <v>2.0304394126479984E-3</v>
      </c>
      <c r="AI104" s="141">
        <f t="shared" si="40"/>
        <v>2786.0699999999997</v>
      </c>
      <c r="AJ104" s="211">
        <f t="shared" si="41"/>
        <v>0.16106699101796407</v>
      </c>
      <c r="AK104" s="212">
        <f t="shared" si="42"/>
        <v>8.771929824561403E-3</v>
      </c>
      <c r="AL104" s="214">
        <f t="shared" si="43"/>
        <v>8.4633058219942006E-2</v>
      </c>
      <c r="AM104" s="423" t="str">
        <f t="shared" si="44"/>
        <v>0.4 pts.</v>
      </c>
      <c r="AN104" s="424" t="str">
        <f t="shared" si="45"/>
        <v>0.22 pts.</v>
      </c>
      <c r="AO104" s="11"/>
    </row>
    <row r="105" spans="1:41" x14ac:dyDescent="0.25">
      <c r="A105" s="11" t="s">
        <v>109</v>
      </c>
      <c r="B105" s="11"/>
      <c r="C105" s="106" t="s">
        <v>101</v>
      </c>
      <c r="D105" s="11" t="s">
        <v>106</v>
      </c>
      <c r="E105" s="11"/>
      <c r="F105" s="11" t="s">
        <v>98</v>
      </c>
      <c r="G105" s="76"/>
      <c r="H105" s="88" t="s">
        <v>873</v>
      </c>
      <c r="I105" s="122" t="str">
        <f>IF(_epmOfflineCondition_,"T4",_xll.EVPRO($B$1,$H105,"STYLE"))</f>
        <v>T4</v>
      </c>
      <c r="J105" s="122" t="str">
        <f>IF(_epmOfflineCondition_,"Y",_xll.EVPRO($B$1,$H105,"CALC"))</f>
        <v>Y</v>
      </c>
      <c r="K105" s="179" t="str">
        <f t="shared" si="34"/>
        <v>&gt;</v>
      </c>
      <c r="L105" s="90" t="str">
        <f>IF(_epmOfflineCondition_,"703000",_xll.EVPRO($B$1,H105,"JDEID"))</f>
        <v>703000</v>
      </c>
      <c r="M105" s="90" t="str">
        <f>IF(_epmOfflineCondition_,"",IF(AND(I105="N",J105="N"),_xll.EVPRO($B$1,H105,"PSFTID"),""))</f>
        <v/>
      </c>
      <c r="N105" s="90" t="str">
        <f>IF(_epmOfflineCondition_,"Complimentary Services &amp; Gifts",IF(_xll.EVDES(H105,$B$1)="#NODATA","",_xll.EVDES(H105,$B$1)))</f>
        <v>Complimentary Services &amp; Gifts</v>
      </c>
      <c r="O105" s="138"/>
      <c r="P105" s="138">
        <v>29.95</v>
      </c>
      <c r="Q105" s="138"/>
      <c r="R105" s="138"/>
      <c r="S105" s="138"/>
      <c r="T105" s="138">
        <v>9.08</v>
      </c>
      <c r="U105" s="138">
        <v>394.47</v>
      </c>
      <c r="V105" s="138">
        <v>15</v>
      </c>
      <c r="W105" s="138">
        <v>108.93</v>
      </c>
      <c r="X105" s="138">
        <v>485.8</v>
      </c>
      <c r="Y105" s="138"/>
      <c r="Z105" s="138">
        <v>445.88</v>
      </c>
      <c r="AA105" s="210">
        <f t="shared" si="35"/>
        <v>1489.1100000000001</v>
      </c>
      <c r="AB105" s="142">
        <f t="shared" si="36"/>
        <v>1.4558846165758903E-3</v>
      </c>
      <c r="AC105" s="140"/>
      <c r="AD105" s="138">
        <v>1773.2</v>
      </c>
      <c r="AE105" s="142">
        <f t="shared" si="37"/>
        <v>1.1532252289389788E-3</v>
      </c>
      <c r="AF105" s="141">
        <f t="shared" si="38"/>
        <v>-284.08999999999992</v>
      </c>
      <c r="AG105" s="138">
        <v>617</v>
      </c>
      <c r="AH105" s="142">
        <f t="shared" si="39"/>
        <v>8.2547976964485322E-4</v>
      </c>
      <c r="AI105" s="141">
        <f t="shared" si="40"/>
        <v>872.11000000000013</v>
      </c>
      <c r="AJ105" s="211">
        <f t="shared" si="41"/>
        <v>5.5730164670658687E-2</v>
      </c>
      <c r="AK105" s="212">
        <f t="shared" si="42"/>
        <v>5.1847953216374268E-2</v>
      </c>
      <c r="AL105" s="214">
        <f t="shared" si="43"/>
        <v>3.4407762658933749E-2</v>
      </c>
      <c r="AM105" s="423" t="str">
        <f t="shared" si="44"/>
        <v>0.03 pts.</v>
      </c>
      <c r="AN105" s="424" t="str">
        <f t="shared" si="45"/>
        <v>0.06 pts.</v>
      </c>
      <c r="AO105" s="11"/>
    </row>
    <row r="106" spans="1:41" x14ac:dyDescent="0.25">
      <c r="A106" s="11" t="s">
        <v>109</v>
      </c>
      <c r="B106" s="11"/>
      <c r="C106" s="196" t="s">
        <v>101</v>
      </c>
      <c r="D106" s="11" t="s">
        <v>107</v>
      </c>
      <c r="E106" s="11"/>
      <c r="F106" s="11" t="s">
        <v>99</v>
      </c>
      <c r="G106" s="11"/>
      <c r="H106" s="88" t="s">
        <v>874</v>
      </c>
      <c r="I106" s="122" t="str">
        <f>IF(_epmOfflineCondition_,"N",_xll.EVPRO($B$1,$H106,"STYLE"))</f>
        <v>N</v>
      </c>
      <c r="J106" s="122" t="str">
        <f>IF(_epmOfflineCondition_,"N",_xll.EVPRO($B$1,$H106,"CALC"))</f>
        <v>N</v>
      </c>
      <c r="K106" s="179" t="str">
        <f t="shared" si="34"/>
        <v/>
      </c>
      <c r="L106" s="90" t="str">
        <f>IF(_epmOfflineCondition_,"703100",_xll.EVPRO($B$1,H106,"JDEID"))</f>
        <v>703100</v>
      </c>
      <c r="M106" s="90" t="str">
        <f>IF(_epmOfflineCondition_,"690035",IF(AND(I106="N",J106="N"),_xll.EVPRO($B$1,H106,"PSFTID"),""))</f>
        <v>690035</v>
      </c>
      <c r="N106" s="90" t="str">
        <f>IF(_epmOfflineCondition_,"Training",IF(_xll.EVDES(H106,$B$1)="#NODATA","",_xll.EVDES(H106,$B$1)))</f>
        <v>Training</v>
      </c>
      <c r="O106" s="138"/>
      <c r="P106" s="138"/>
      <c r="Q106" s="138"/>
      <c r="R106" s="138"/>
      <c r="S106" s="138"/>
      <c r="T106" s="138"/>
      <c r="U106" s="138"/>
      <c r="V106" s="138"/>
      <c r="W106" s="138"/>
      <c r="X106" s="138"/>
      <c r="Y106" s="138"/>
      <c r="Z106" s="138"/>
      <c r="AA106" s="210">
        <f t="shared" si="35"/>
        <v>0</v>
      </c>
      <c r="AB106" s="142" t="str">
        <f t="shared" si="36"/>
        <v/>
      </c>
      <c r="AC106" s="140"/>
      <c r="AD106" s="138">
        <v>704</v>
      </c>
      <c r="AE106" s="142">
        <f t="shared" si="37"/>
        <v>4.5785617029835384E-4</v>
      </c>
      <c r="AF106" s="141">
        <f t="shared" si="38"/>
        <v>-704</v>
      </c>
      <c r="AG106" s="138"/>
      <c r="AH106" s="142" t="str">
        <f t="shared" si="39"/>
        <v/>
      </c>
      <c r="AI106" s="141">
        <f t="shared" si="40"/>
        <v>0</v>
      </c>
      <c r="AJ106" s="211">
        <f t="shared" si="41"/>
        <v>0</v>
      </c>
      <c r="AK106" s="212">
        <f t="shared" si="42"/>
        <v>2.0584795321637428E-2</v>
      </c>
      <c r="AL106" s="214">
        <f t="shared" si="43"/>
        <v>0</v>
      </c>
      <c r="AM106" s="423">
        <f t="shared" si="44"/>
        <v>0</v>
      </c>
      <c r="AN106" s="424">
        <f t="shared" si="45"/>
        <v>0</v>
      </c>
      <c r="AO106" s="11"/>
    </row>
    <row r="107" spans="1:41" x14ac:dyDescent="0.25">
      <c r="A107" s="11" t="s">
        <v>110</v>
      </c>
      <c r="B107" s="11"/>
      <c r="C107" s="106" t="s">
        <v>101</v>
      </c>
      <c r="D107" s="11" t="s">
        <v>106</v>
      </c>
      <c r="E107" s="11"/>
      <c r="F107" s="11" t="s">
        <v>98</v>
      </c>
      <c r="G107" s="11"/>
      <c r="H107" s="88" t="s">
        <v>856</v>
      </c>
      <c r="I107" s="122" t="str">
        <f>IF(_epmOfflineCondition_,"N",_xll.EVPRO($B$1,$H107,"STYLE"))</f>
        <v>N</v>
      </c>
      <c r="J107" s="122" t="str">
        <f>IF(_epmOfflineCondition_,"N",_xll.EVPRO($B$1,$H107,"CALC"))</f>
        <v>N</v>
      </c>
      <c r="K107" s="179" t="str">
        <f t="shared" si="34"/>
        <v/>
      </c>
      <c r="L107" s="90" t="str">
        <f>IF(_epmOfflineCondition_,"703200",_xll.EVPRO($B$1,H107,"JDEID"))</f>
        <v>703200</v>
      </c>
      <c r="M107" s="90" t="str">
        <f>IF(_epmOfflineCondition_,"590035",IF(AND(I107="N",J107="N"),_xll.EVPRO($B$1,H107,"PSFTID"),""))</f>
        <v>590035</v>
      </c>
      <c r="N107" s="90" t="str">
        <f>IF(_epmOfflineCondition_,"Uniform Costs",IF(_xll.EVDES(H107,$B$1)="#NODATA","",_xll.EVDES(H107,$B$1)))</f>
        <v>Uniform Costs</v>
      </c>
      <c r="O107" s="138"/>
      <c r="P107" s="138">
        <v>418.23</v>
      </c>
      <c r="Q107" s="138">
        <v>707.28</v>
      </c>
      <c r="R107" s="138">
        <v>21.39</v>
      </c>
      <c r="S107" s="138"/>
      <c r="T107" s="138"/>
      <c r="U107" s="138">
        <v>66.599999999999994</v>
      </c>
      <c r="V107" s="138"/>
      <c r="W107" s="138"/>
      <c r="X107" s="138"/>
      <c r="Y107" s="138">
        <v>231.12</v>
      </c>
      <c r="Z107" s="138">
        <v>201.5</v>
      </c>
      <c r="AA107" s="210">
        <f t="shared" si="35"/>
        <v>1646.12</v>
      </c>
      <c r="AB107" s="142">
        <f t="shared" si="36"/>
        <v>1.6093913713814993E-3</v>
      </c>
      <c r="AC107" s="140"/>
      <c r="AD107" s="138">
        <v>4400</v>
      </c>
      <c r="AE107" s="142">
        <f t="shared" si="37"/>
        <v>2.8616010643647116E-3</v>
      </c>
      <c r="AF107" s="141">
        <f t="shared" si="38"/>
        <v>-2753.88</v>
      </c>
      <c r="AG107" s="138">
        <v>1545.01</v>
      </c>
      <c r="AH107" s="142">
        <f t="shared" si="39"/>
        <v>2.0670575346823251E-3</v>
      </c>
      <c r="AI107" s="141">
        <f t="shared" si="40"/>
        <v>101.1099999999999</v>
      </c>
      <c r="AJ107" s="211">
        <f t="shared" si="41"/>
        <v>6.1606287425149696E-2</v>
      </c>
      <c r="AK107" s="212">
        <f t="shared" si="42"/>
        <v>0.12865497076023391</v>
      </c>
      <c r="AL107" s="214">
        <f t="shared" si="43"/>
        <v>8.6159379879544945E-2</v>
      </c>
      <c r="AM107" s="423" t="str">
        <f t="shared" si="44"/>
        <v>-0.13 pts.</v>
      </c>
      <c r="AN107" s="424" t="str">
        <f t="shared" si="45"/>
        <v>-0.05 pts.</v>
      </c>
      <c r="AO107" s="11"/>
    </row>
    <row r="108" spans="1:41" x14ac:dyDescent="0.25">
      <c r="A108" s="11" t="s">
        <v>110</v>
      </c>
      <c r="B108" s="11"/>
      <c r="C108" s="109" t="s">
        <v>101</v>
      </c>
      <c r="D108" s="11" t="s">
        <v>107</v>
      </c>
      <c r="E108" s="11"/>
      <c r="F108" s="11" t="s">
        <v>99</v>
      </c>
      <c r="G108" s="11"/>
      <c r="H108" s="88" t="s">
        <v>875</v>
      </c>
      <c r="I108" s="122" t="str">
        <f>IF(_epmOfflineCondition_,"N",_xll.EVPRO($B$1,$H108,"STYLE"))</f>
        <v>N</v>
      </c>
      <c r="J108" s="122" t="str">
        <f>IF(_epmOfflineCondition_,"N",_xll.EVPRO($B$1,$H108,"CALC"))</f>
        <v>N</v>
      </c>
      <c r="K108" s="179" t="str">
        <f t="shared" si="34"/>
        <v/>
      </c>
      <c r="L108" s="90" t="str">
        <f>IF(_epmOfflineCondition_,"703300",_xll.EVPRO($B$1,H108,"JDEID"))</f>
        <v>703300</v>
      </c>
      <c r="M108" s="90" t="str">
        <f>IF(_epmOfflineCondition_,"590115",IF(AND(I108="N",J108="N"),_xll.EVPRO($B$1,H108,"PSFTID"),""))</f>
        <v>590115</v>
      </c>
      <c r="N108" s="90" t="str">
        <f>IF(_epmOfflineCondition_,"Uniforms Laundry",IF(_xll.EVDES(H108,$B$1)="#NODATA","",_xll.EVDES(H108,$B$1)))</f>
        <v>Uniforms Laundry</v>
      </c>
      <c r="O108" s="138">
        <v>191.5</v>
      </c>
      <c r="P108" s="138">
        <v>273.60000000000002</v>
      </c>
      <c r="Q108" s="138">
        <v>91.2</v>
      </c>
      <c r="R108" s="138">
        <v>243.36</v>
      </c>
      <c r="S108" s="138">
        <v>87.52</v>
      </c>
      <c r="T108" s="138">
        <v>70.8</v>
      </c>
      <c r="U108" s="138">
        <v>221.96</v>
      </c>
      <c r="V108" s="138">
        <v>212.22</v>
      </c>
      <c r="W108" s="138">
        <v>250.96</v>
      </c>
      <c r="X108" s="138">
        <v>382.97</v>
      </c>
      <c r="Y108" s="138">
        <v>260.43</v>
      </c>
      <c r="Z108" s="138">
        <v>246</v>
      </c>
      <c r="AA108" s="210">
        <f t="shared" si="35"/>
        <v>2532.52</v>
      </c>
      <c r="AB108" s="142">
        <f t="shared" si="36"/>
        <v>2.4760137996325143E-3</v>
      </c>
      <c r="AC108" s="140"/>
      <c r="AD108" s="138">
        <v>4446</v>
      </c>
      <c r="AE108" s="142">
        <f t="shared" si="37"/>
        <v>2.8915178027648881E-3</v>
      </c>
      <c r="AF108" s="141">
        <f t="shared" si="38"/>
        <v>-1913.48</v>
      </c>
      <c r="AG108" s="138">
        <v>2752.08</v>
      </c>
      <c r="AH108" s="142">
        <f t="shared" si="39"/>
        <v>3.6819876247069813E-3</v>
      </c>
      <c r="AI108" s="141">
        <f t="shared" si="40"/>
        <v>-219.55999999999995</v>
      </c>
      <c r="AJ108" s="211">
        <f t="shared" si="41"/>
        <v>9.4779940119760472E-2</v>
      </c>
      <c r="AK108" s="212">
        <f t="shared" si="42"/>
        <v>0.13</v>
      </c>
      <c r="AL108" s="214">
        <f t="shared" si="43"/>
        <v>0.15347312067811733</v>
      </c>
      <c r="AM108" s="423" t="str">
        <f t="shared" si="44"/>
        <v>-0.04 pts.</v>
      </c>
      <c r="AN108" s="424" t="str">
        <f t="shared" si="45"/>
        <v>-0.12 pts.</v>
      </c>
      <c r="AO108" s="11"/>
    </row>
    <row r="109" spans="1:41" x14ac:dyDescent="0.25">
      <c r="A109" s="11"/>
      <c r="B109" s="11"/>
      <c r="C109" s="208"/>
      <c r="D109" s="11"/>
      <c r="E109" s="11"/>
      <c r="F109" s="11"/>
      <c r="G109" s="11"/>
      <c r="H109" s="88" t="s">
        <v>857</v>
      </c>
      <c r="I109" s="122" t="str">
        <f>IF(_epmOfflineCondition_,"N",_xll.EVPRO($B$1,$H109,"STYLE"))</f>
        <v>N</v>
      </c>
      <c r="J109" s="122" t="str">
        <f>IF(_epmOfflineCondition_,"N",_xll.EVPRO($B$1,$H109,"CALC"))</f>
        <v>N</v>
      </c>
      <c r="K109" s="179" t="str">
        <f t="shared" si="34"/>
        <v/>
      </c>
      <c r="L109" s="90" t="str">
        <f>IF(_epmOfflineCondition_,"703400",_xll.EVPRO($B$1,H109,"JDEID"))</f>
        <v>703400</v>
      </c>
      <c r="M109" s="90" t="str">
        <f>IF(_epmOfflineCondition_,"590010",IF(AND(I109="N",J109="N"),_xll.EVPRO($B$1,H109,"PSFTID"),""))</f>
        <v>590010</v>
      </c>
      <c r="N109" s="90" t="str">
        <f>IF(_epmOfflineCondition_,"Linen",IF(_xll.EVDES(H109,$B$1)="#NODATA","",_xll.EVDES(H109,$B$1)))</f>
        <v>Linen</v>
      </c>
      <c r="O109" s="138">
        <v>1250.78</v>
      </c>
      <c r="P109" s="138">
        <v>1404.56</v>
      </c>
      <c r="Q109" s="138">
        <v>2807.04</v>
      </c>
      <c r="R109" s="138">
        <v>1329.53</v>
      </c>
      <c r="S109" s="138">
        <v>1247.8800000000001</v>
      </c>
      <c r="T109" s="138">
        <v>2246.1999999999998</v>
      </c>
      <c r="U109" s="138">
        <v>2181.98</v>
      </c>
      <c r="V109" s="138">
        <v>1172.1600000000001</v>
      </c>
      <c r="W109" s="138">
        <v>1247.19</v>
      </c>
      <c r="X109" s="138">
        <v>1228.6099999999999</v>
      </c>
      <c r="Y109" s="138">
        <v>1313.9</v>
      </c>
      <c r="Z109" s="138">
        <v>1764.38</v>
      </c>
      <c r="AA109" s="210">
        <f t="shared" si="35"/>
        <v>19194.210000000003</v>
      </c>
      <c r="AB109" s="142">
        <f t="shared" si="36"/>
        <v>1.8765944131949368E-2</v>
      </c>
      <c r="AC109" s="140"/>
      <c r="AD109" s="138">
        <v>14098.916666666701</v>
      </c>
      <c r="AE109" s="142">
        <f t="shared" si="37"/>
        <v>9.1694261226642725E-3</v>
      </c>
      <c r="AF109" s="141">
        <f t="shared" si="38"/>
        <v>5095.2933333333021</v>
      </c>
      <c r="AG109" s="138">
        <v>15276.03</v>
      </c>
      <c r="AH109" s="142">
        <f t="shared" si="39"/>
        <v>2.0437688371941438E-2</v>
      </c>
      <c r="AI109" s="141">
        <f t="shared" si="40"/>
        <v>3918.1800000000021</v>
      </c>
      <c r="AJ109" s="211">
        <f t="shared" si="41"/>
        <v>0.7183461826347306</v>
      </c>
      <c r="AK109" s="212">
        <f t="shared" si="42"/>
        <v>0.41224902534113161</v>
      </c>
      <c r="AL109" s="214">
        <f t="shared" si="43"/>
        <v>0.85188657149230429</v>
      </c>
      <c r="AM109" s="423" t="str">
        <f t="shared" si="44"/>
        <v>0.96 pts.</v>
      </c>
      <c r="AN109" s="424" t="str">
        <f t="shared" si="45"/>
        <v>-0.17 pts.</v>
      </c>
      <c r="AO109" s="11"/>
    </row>
    <row r="110" spans="1:41" x14ac:dyDescent="0.25">
      <c r="A110" s="11"/>
      <c r="B110" s="11"/>
      <c r="C110" s="11"/>
      <c r="D110" s="11"/>
      <c r="E110" s="11"/>
      <c r="F110" s="11"/>
      <c r="G110" s="11"/>
      <c r="H110" s="88" t="s">
        <v>858</v>
      </c>
      <c r="I110" s="122" t="str">
        <f>IF(_epmOfflineCondition_,"N",_xll.EVPRO($B$1,$H110,"STYLE"))</f>
        <v>N</v>
      </c>
      <c r="J110" s="122" t="str">
        <f>IF(_epmOfflineCondition_,"N",_xll.EVPRO($B$1,$H110,"CALC"))</f>
        <v>N</v>
      </c>
      <c r="K110" s="179" t="str">
        <f t="shared" si="34"/>
        <v/>
      </c>
      <c r="L110" s="90" t="str">
        <f>IF(_epmOfflineCondition_,"703500",_xll.EVPRO($B$1,H110,"JDEID"))</f>
        <v>703500</v>
      </c>
      <c r="M110" s="90" t="str">
        <f>IF(_epmOfflineCondition_,"590004",IF(AND(I110="N",J110="N"),_xll.EVPRO($B$1,H110,"PSFTID"),""))</f>
        <v>590004</v>
      </c>
      <c r="N110" s="90" t="str">
        <f>IF(_epmOfflineCondition_,"China",IF(_xll.EVDES(H110,$B$1)="#NODATA","",_xll.EVDES(H110,$B$1)))</f>
        <v>China</v>
      </c>
      <c r="O110" s="138"/>
      <c r="P110" s="138">
        <v>122.8</v>
      </c>
      <c r="Q110" s="138">
        <v>-122.8</v>
      </c>
      <c r="R110" s="138"/>
      <c r="S110" s="138">
        <v>328.02</v>
      </c>
      <c r="T110" s="138"/>
      <c r="U110" s="138">
        <v>317.98</v>
      </c>
      <c r="V110" s="138">
        <v>244.72</v>
      </c>
      <c r="W110" s="138"/>
      <c r="X110" s="138"/>
      <c r="Y110" s="138"/>
      <c r="Z110" s="138"/>
      <c r="AA110" s="210">
        <f t="shared" si="35"/>
        <v>890.72</v>
      </c>
      <c r="AB110" s="142">
        <f t="shared" si="36"/>
        <v>8.7084603936342982E-4</v>
      </c>
      <c r="AC110" s="140"/>
      <c r="AD110" s="138">
        <v>297.06</v>
      </c>
      <c r="AE110" s="142">
        <f t="shared" si="37"/>
        <v>1.9319709367731391E-4</v>
      </c>
      <c r="AF110" s="141">
        <f t="shared" si="38"/>
        <v>593.66000000000008</v>
      </c>
      <c r="AG110" s="138">
        <v>93.21</v>
      </c>
      <c r="AH110" s="142">
        <f t="shared" si="39"/>
        <v>1.2470497460064306E-4</v>
      </c>
      <c r="AI110" s="141">
        <f t="shared" si="40"/>
        <v>797.51</v>
      </c>
      <c r="AJ110" s="211">
        <f t="shared" si="41"/>
        <v>3.3335329341317367E-2</v>
      </c>
      <c r="AK110" s="212">
        <f t="shared" si="42"/>
        <v>8.6859649122807015E-3</v>
      </c>
      <c r="AL110" s="214">
        <f t="shared" si="43"/>
        <v>5.1979701093018069E-3</v>
      </c>
      <c r="AM110" s="423" t="str">
        <f t="shared" si="44"/>
        <v>0.07 pts.</v>
      </c>
      <c r="AN110" s="424" t="str">
        <f t="shared" si="45"/>
        <v>0.07 pts.</v>
      </c>
      <c r="AO110" s="11"/>
    </row>
    <row r="111" spans="1:41" x14ac:dyDescent="0.25">
      <c r="A111" s="61" t="str">
        <f>IF(_epmOfflineCondition_,"Evdre:Ok",_xll.EVDRE($B$1,A114:B121))</f>
        <v>Evdre:Ok</v>
      </c>
      <c r="B111" s="11" t="s">
        <v>736</v>
      </c>
      <c r="C111" s="11"/>
      <c r="D111" s="11"/>
      <c r="E111" s="11"/>
      <c r="F111" s="11"/>
      <c r="G111" s="76"/>
      <c r="H111" s="88" t="s">
        <v>876</v>
      </c>
      <c r="I111" s="122" t="str">
        <f>IF(_epmOfflineCondition_,"N",_xll.EVPRO($B$1,$H111,"STYLE"))</f>
        <v>N</v>
      </c>
      <c r="J111" s="122" t="str">
        <f>IF(_epmOfflineCondition_,"N",_xll.EVPRO($B$1,$H111,"CALC"))</f>
        <v>N</v>
      </c>
      <c r="K111" s="179" t="str">
        <f t="shared" si="34"/>
        <v/>
      </c>
      <c r="L111" s="90" t="str">
        <f>IF(_epmOfflineCondition_,"703510",_xll.EVPRO($B$1,H111,"JDEID"))</f>
        <v>703510</v>
      </c>
      <c r="M111" s="90" t="str">
        <f>IF(_epmOfflineCondition_,"590003",IF(AND(I111="N",J111="N"),_xll.EVPRO($B$1,H111,"PSFTID"),""))</f>
        <v>590003</v>
      </c>
      <c r="N111" s="90" t="str">
        <f>IF(_epmOfflineCondition_,"Glassware",IF(_xll.EVDES(H111,$B$1)="#NODATA","",_xll.EVDES(H111,$B$1)))</f>
        <v>Glassware</v>
      </c>
      <c r="O111" s="138"/>
      <c r="P111" s="138"/>
      <c r="Q111" s="138">
        <v>122.8</v>
      </c>
      <c r="R111" s="138">
        <v>645.92999999999995</v>
      </c>
      <c r="S111" s="138"/>
      <c r="T111" s="138">
        <v>162.55000000000001</v>
      </c>
      <c r="U111" s="138">
        <v>450.11</v>
      </c>
      <c r="V111" s="138">
        <v>1958.96</v>
      </c>
      <c r="W111" s="138">
        <v>801.72</v>
      </c>
      <c r="X111" s="138">
        <v>429.94</v>
      </c>
      <c r="Y111" s="138">
        <v>284.27</v>
      </c>
      <c r="Z111" s="138"/>
      <c r="AA111" s="210">
        <f t="shared" si="35"/>
        <v>4856.2799999999988</v>
      </c>
      <c r="AB111" s="142">
        <f t="shared" si="36"/>
        <v>4.7479255030086175E-3</v>
      </c>
      <c r="AC111" s="140"/>
      <c r="AD111" s="138">
        <v>803.86</v>
      </c>
      <c r="AE111" s="142">
        <f t="shared" si="37"/>
        <v>5.2280150718186751E-4</v>
      </c>
      <c r="AF111" s="141">
        <f t="shared" si="38"/>
        <v>4052.4199999999987</v>
      </c>
      <c r="AG111" s="138">
        <v>803.86</v>
      </c>
      <c r="AH111" s="142">
        <f t="shared" si="39"/>
        <v>1.075478391615416E-3</v>
      </c>
      <c r="AI111" s="141">
        <f t="shared" si="40"/>
        <v>4052.4199999999987</v>
      </c>
      <c r="AJ111" s="211">
        <f t="shared" si="41"/>
        <v>0.1817470059880239</v>
      </c>
      <c r="AK111" s="212">
        <f t="shared" si="42"/>
        <v>2.3504678362573101E-2</v>
      </c>
      <c r="AL111" s="214">
        <f t="shared" si="43"/>
        <v>4.4828240017845196E-2</v>
      </c>
      <c r="AM111" s="423" t="str">
        <f t="shared" si="44"/>
        <v>0.42 pts.</v>
      </c>
      <c r="AN111" s="424" t="str">
        <f t="shared" si="45"/>
        <v>0.37 pts.</v>
      </c>
      <c r="AO111" s="11"/>
    </row>
    <row r="112" spans="1:41" x14ac:dyDescent="0.25">
      <c r="A112" s="11"/>
      <c r="B112" s="11"/>
      <c r="C112" s="11"/>
      <c r="D112" s="11"/>
      <c r="E112" s="11"/>
      <c r="F112" s="11"/>
      <c r="G112" s="11"/>
      <c r="H112" s="88" t="s">
        <v>877</v>
      </c>
      <c r="I112" s="122" t="str">
        <f>IF(_epmOfflineCondition_,"N",_xll.EVPRO($B$1,$H112,"STYLE"))</f>
        <v>N</v>
      </c>
      <c r="J112" s="122" t="str">
        <f>IF(_epmOfflineCondition_,"N",_xll.EVPRO($B$1,$H112,"CALC"))</f>
        <v>N</v>
      </c>
      <c r="K112" s="179" t="str">
        <f t="shared" si="34"/>
        <v/>
      </c>
      <c r="L112" s="90" t="str">
        <f>IF(_epmOfflineCondition_,"703600",_xll.EVPRO($B$1,H112,"JDEID"))</f>
        <v>703600</v>
      </c>
      <c r="M112" s="90" t="str">
        <f>IF(_epmOfflineCondition_,"590045",IF(AND(I112="N",J112="N"),_xll.EVPRO($B$1,H112,"PSFTID"),""))</f>
        <v>590045</v>
      </c>
      <c r="N112" s="90" t="str">
        <f>IF(_epmOfflineCondition_,"Utensils",IF(_xll.EVDES(H112,$B$1)="#NODATA","",_xll.EVDES(H112,$B$1)))</f>
        <v>Utensils</v>
      </c>
      <c r="O112" s="138"/>
      <c r="P112" s="138"/>
      <c r="Q112" s="138"/>
      <c r="R112" s="138">
        <v>143.29</v>
      </c>
      <c r="S112" s="138">
        <v>302.39</v>
      </c>
      <c r="T112" s="138"/>
      <c r="U112" s="138">
        <v>264.36</v>
      </c>
      <c r="V112" s="138">
        <v>873.82</v>
      </c>
      <c r="W112" s="138"/>
      <c r="X112" s="138"/>
      <c r="Y112" s="138"/>
      <c r="Z112" s="138"/>
      <c r="AA112" s="210">
        <f t="shared" si="35"/>
        <v>1583.8600000000001</v>
      </c>
      <c r="AB112" s="142">
        <f t="shared" si="36"/>
        <v>1.5485205315993377E-3</v>
      </c>
      <c r="AC112" s="140"/>
      <c r="AD112" s="138">
        <v>129.30000000000001</v>
      </c>
      <c r="AE112" s="142">
        <f t="shared" si="37"/>
        <v>8.4092049459626641E-5</v>
      </c>
      <c r="AF112" s="141">
        <f t="shared" si="38"/>
        <v>1454.5600000000002</v>
      </c>
      <c r="AG112" s="138">
        <v>129.30000000000001</v>
      </c>
      <c r="AH112" s="142">
        <f t="shared" si="39"/>
        <v>1.7298952060790847E-4</v>
      </c>
      <c r="AI112" s="141">
        <f t="shared" si="40"/>
        <v>1454.5600000000002</v>
      </c>
      <c r="AJ112" s="211">
        <f t="shared" si="41"/>
        <v>5.9276197604790422E-2</v>
      </c>
      <c r="AK112" s="212">
        <f t="shared" si="42"/>
        <v>3.7807017543859652E-3</v>
      </c>
      <c r="AL112" s="214">
        <f t="shared" si="43"/>
        <v>7.2105732768235559E-3</v>
      </c>
      <c r="AM112" s="423" t="str">
        <f t="shared" si="44"/>
        <v>0.15 pts.</v>
      </c>
      <c r="AN112" s="424" t="str">
        <f t="shared" si="45"/>
        <v>0.14 pts.</v>
      </c>
      <c r="AO112" s="11"/>
    </row>
    <row r="113" spans="1:41" x14ac:dyDescent="0.25">
      <c r="A113" s="62" t="s">
        <v>0</v>
      </c>
      <c r="B113" s="63" t="s">
        <v>1</v>
      </c>
      <c r="C113" s="11"/>
      <c r="D113" s="11"/>
      <c r="E113" s="11"/>
      <c r="F113" s="11"/>
      <c r="G113" s="11"/>
      <c r="H113" s="88" t="s">
        <v>878</v>
      </c>
      <c r="I113" s="122" t="str">
        <f>IF(_epmOfflineCondition_,"N",_xll.EVPRO($B$1,$H113,"STYLE"))</f>
        <v>N</v>
      </c>
      <c r="J113" s="122" t="str">
        <f>IF(_epmOfflineCondition_,"N",_xll.EVPRO($B$1,$H113,"CALC"))</f>
        <v>N</v>
      </c>
      <c r="K113" s="179" t="str">
        <f t="shared" si="34"/>
        <v/>
      </c>
      <c r="L113" s="90" t="str">
        <f>IF(_epmOfflineCondition_,"703700",_xll.EVPRO($B$1,H113,"JDEID"))</f>
        <v>703700</v>
      </c>
      <c r="M113" s="90" t="str">
        <f>IF(_epmOfflineCondition_,"590046",IF(AND(I113="N",J113="N"),_xll.EVPRO($B$1,H113,"PSFTID"),""))</f>
        <v>590046</v>
      </c>
      <c r="N113" s="90" t="str">
        <f>IF(_epmOfflineCondition_,"Menus and Beverage Lists",IF(_xll.EVDES(H113,$B$1)="#NODATA","",_xll.EVDES(H113,$B$1)))</f>
        <v>Menus and Beverage Lists</v>
      </c>
      <c r="O113" s="138"/>
      <c r="P113" s="138"/>
      <c r="Q113" s="138"/>
      <c r="R113" s="138"/>
      <c r="S113" s="138">
        <v>302.8</v>
      </c>
      <c r="T113" s="138"/>
      <c r="U113" s="138"/>
      <c r="V113" s="138"/>
      <c r="W113" s="138"/>
      <c r="X113" s="138"/>
      <c r="Y113" s="138"/>
      <c r="Z113" s="138"/>
      <c r="AA113" s="210">
        <f t="shared" si="35"/>
        <v>302.8</v>
      </c>
      <c r="AB113" s="142">
        <f t="shared" si="36"/>
        <v>2.9604385297202999E-4</v>
      </c>
      <c r="AC113" s="140"/>
      <c r="AD113" s="138">
        <v>75.36</v>
      </c>
      <c r="AE113" s="142">
        <f t="shared" si="37"/>
        <v>4.9011421866028332E-5</v>
      </c>
      <c r="AF113" s="141">
        <f t="shared" si="38"/>
        <v>227.44</v>
      </c>
      <c r="AG113" s="138"/>
      <c r="AH113" s="142" t="str">
        <f t="shared" si="39"/>
        <v/>
      </c>
      <c r="AI113" s="141">
        <f t="shared" si="40"/>
        <v>302.8</v>
      </c>
      <c r="AJ113" s="211">
        <f t="shared" si="41"/>
        <v>1.1332335329341317E-2</v>
      </c>
      <c r="AK113" s="212">
        <f t="shared" si="42"/>
        <v>2.2035087719298246E-3</v>
      </c>
      <c r="AL113" s="214">
        <f t="shared" si="43"/>
        <v>0</v>
      </c>
      <c r="AM113" s="423" t="str">
        <f t="shared" si="44"/>
        <v>0.02 pts.</v>
      </c>
      <c r="AN113" s="424">
        <f t="shared" si="45"/>
        <v>0</v>
      </c>
      <c r="AO113" s="11"/>
    </row>
    <row r="114" spans="1:41" x14ac:dyDescent="0.25">
      <c r="A114" s="65" t="s">
        <v>2</v>
      </c>
      <c r="B114" s="66" t="str">
        <f>IF(_epmOfflineCondition_,"'Venue1'!$B$2:$B$10",_xll.EVRNG($B$2:$B$10))</f>
        <v>'Venue1'!$B$2:$B$10</v>
      </c>
      <c r="C114" s="11"/>
      <c r="D114" s="11"/>
      <c r="E114" s="11"/>
      <c r="F114" s="11"/>
      <c r="G114" s="11"/>
      <c r="H114" s="88" t="s">
        <v>859</v>
      </c>
      <c r="I114" s="122" t="str">
        <f>IF(_epmOfflineCondition_,"N",_xll.EVPRO($B$1,$H114,"STYLE"))</f>
        <v>N</v>
      </c>
      <c r="J114" s="122" t="str">
        <f>IF(_epmOfflineCondition_,"N",_xll.EVPRO($B$1,$H114,"CALC"))</f>
        <v>N</v>
      </c>
      <c r="K114" s="179" t="str">
        <f t="shared" si="34"/>
        <v/>
      </c>
      <c r="L114" s="90" t="str">
        <f>IF(_epmOfflineCondition_,"703800",_xll.EVPRO($B$1,H114,"JDEID"))</f>
        <v>703800</v>
      </c>
      <c r="M114" s="90" t="str">
        <f>IF(_epmOfflineCondition_,"690065",IF(AND(I114="N",J114="N"),_xll.EVPRO($B$1,H114,"PSFTID"),""))</f>
        <v>690065</v>
      </c>
      <c r="N114" s="90" t="str">
        <f>IF(_epmOfflineCondition_,"Equipment Rental",IF(_xll.EVDES(H114,$B$1)="#NODATA","",_xll.EVDES(H114,$B$1)))</f>
        <v>Equipment Rental</v>
      </c>
      <c r="O114" s="138">
        <v>310.52</v>
      </c>
      <c r="P114" s="138"/>
      <c r="Q114" s="138">
        <v>708</v>
      </c>
      <c r="R114" s="138"/>
      <c r="S114" s="138"/>
      <c r="T114" s="138"/>
      <c r="U114" s="138"/>
      <c r="V114" s="138">
        <v>222.8</v>
      </c>
      <c r="W114" s="138">
        <v>136.25</v>
      </c>
      <c r="X114" s="138"/>
      <c r="Y114" s="138"/>
      <c r="Z114" s="138"/>
      <c r="AA114" s="210">
        <f t="shared" si="35"/>
        <v>1377.57</v>
      </c>
      <c r="AB114" s="142">
        <f t="shared" si="36"/>
        <v>1.3468333241039607E-3</v>
      </c>
      <c r="AC114" s="140"/>
      <c r="AD114" s="138"/>
      <c r="AE114" s="142" t="str">
        <f t="shared" si="37"/>
        <v/>
      </c>
      <c r="AF114" s="141">
        <f t="shared" si="38"/>
        <v>1377.57</v>
      </c>
      <c r="AG114" s="138"/>
      <c r="AH114" s="142" t="str">
        <f t="shared" si="39"/>
        <v/>
      </c>
      <c r="AI114" s="141">
        <f t="shared" si="40"/>
        <v>1377.57</v>
      </c>
      <c r="AJ114" s="211">
        <f t="shared" si="41"/>
        <v>5.1555763473053892E-2</v>
      </c>
      <c r="AK114" s="212">
        <f t="shared" si="42"/>
        <v>0</v>
      </c>
      <c r="AL114" s="214">
        <f t="shared" si="43"/>
        <v>0</v>
      </c>
      <c r="AM114" s="423">
        <f t="shared" si="44"/>
        <v>0</v>
      </c>
      <c r="AN114" s="424">
        <f t="shared" si="45"/>
        <v>0</v>
      </c>
      <c r="AO114" s="11"/>
    </row>
    <row r="115" spans="1:41" x14ac:dyDescent="0.25">
      <c r="A115" s="65" t="s">
        <v>3</v>
      </c>
      <c r="B115" s="66" t="str">
        <f>IF(_epmOfflineCondition_,"'Venue1'!$O$16:$AN$18",_xll.EVRNG($O$16:$AN$18))</f>
        <v>'Venue1'!$O$16:$AN$18</v>
      </c>
      <c r="C115" s="11"/>
      <c r="D115" s="11"/>
      <c r="E115" s="11"/>
      <c r="F115" s="11"/>
      <c r="G115" s="11"/>
      <c r="H115" s="88" t="s">
        <v>879</v>
      </c>
      <c r="I115" s="122" t="str">
        <f>IF(_epmOfflineCondition_,"N",_xll.EVPRO($B$1,$H115,"STYLE"))</f>
        <v>N</v>
      </c>
      <c r="J115" s="122" t="str">
        <f>IF(_epmOfflineCondition_,"N",_xll.EVPRO($B$1,$H115,"CALC"))</f>
        <v>N</v>
      </c>
      <c r="K115" s="179" t="str">
        <f t="shared" si="34"/>
        <v/>
      </c>
      <c r="L115" s="90" t="str">
        <f>IF(_epmOfflineCondition_,"704100",_xll.EVPRO($B$1,H115,"JDEID"))</f>
        <v>704100</v>
      </c>
      <c r="M115" s="90" t="str">
        <f>IF(_epmOfflineCondition_,"690241",IF(AND(I115="N",J115="N"),_xll.EVPRO($B$1,H115,"PSFTID"),""))</f>
        <v>690241</v>
      </c>
      <c r="N115" s="90" t="str">
        <f>IF(_epmOfflineCondition_,"Music and Entertainment",IF(_xll.EVDES(H115,$B$1)="#NODATA","",_xll.EVDES(H115,$B$1)))</f>
        <v>Music and Entertainment</v>
      </c>
      <c r="O115" s="138"/>
      <c r="P115" s="138">
        <v>1300</v>
      </c>
      <c r="Q115" s="138">
        <v>2550</v>
      </c>
      <c r="R115" s="138">
        <v>1400</v>
      </c>
      <c r="S115" s="138">
        <v>1000</v>
      </c>
      <c r="T115" s="138">
        <v>625</v>
      </c>
      <c r="U115" s="138">
        <v>900</v>
      </c>
      <c r="V115" s="138">
        <v>385.18</v>
      </c>
      <c r="W115" s="138">
        <v>996.27</v>
      </c>
      <c r="X115" s="138"/>
      <c r="Y115" s="138"/>
      <c r="Z115" s="138">
        <v>1592.18</v>
      </c>
      <c r="AA115" s="210">
        <f t="shared" si="35"/>
        <v>10748.630000000001</v>
      </c>
      <c r="AB115" s="142">
        <f t="shared" si="36"/>
        <v>1.0508803960933788E-2</v>
      </c>
      <c r="AC115" s="140"/>
      <c r="AD115" s="138">
        <v>3450</v>
      </c>
      <c r="AE115" s="142">
        <f t="shared" si="37"/>
        <v>2.2437553800132397E-3</v>
      </c>
      <c r="AF115" s="141">
        <f t="shared" si="38"/>
        <v>7298.630000000001</v>
      </c>
      <c r="AG115" s="138">
        <v>1900</v>
      </c>
      <c r="AH115" s="142">
        <f t="shared" si="39"/>
        <v>2.541996049149467E-3</v>
      </c>
      <c r="AI115" s="141">
        <f t="shared" si="40"/>
        <v>8848.630000000001</v>
      </c>
      <c r="AJ115" s="211">
        <f t="shared" si="41"/>
        <v>0.40226908682634732</v>
      </c>
      <c r="AK115" s="212">
        <f t="shared" si="42"/>
        <v>0.10087719298245613</v>
      </c>
      <c r="AL115" s="214">
        <f t="shared" si="43"/>
        <v>0.1059558331474459</v>
      </c>
      <c r="AM115" s="423" t="str">
        <f t="shared" si="44"/>
        <v>0.83 pts.</v>
      </c>
      <c r="AN115" s="424" t="str">
        <f t="shared" si="45"/>
        <v>0.8 pts.</v>
      </c>
      <c r="AO115" s="11"/>
    </row>
    <row r="116" spans="1:41" x14ac:dyDescent="0.25">
      <c r="A116" s="65" t="s">
        <v>4</v>
      </c>
      <c r="B116" s="66" t="str">
        <f>IF(_epmOfflineCondition_,"'Venue1'!$H$118:$H$121",_xll.EVRNG(H118:H121))</f>
        <v>'Venue1'!$H$118:$H$121</v>
      </c>
      <c r="C116" s="11"/>
      <c r="D116" s="11"/>
      <c r="E116" s="11"/>
      <c r="F116" s="11"/>
      <c r="G116" s="11"/>
      <c r="H116" s="88" t="s">
        <v>840</v>
      </c>
      <c r="I116" s="122" t="str">
        <f>IF(_epmOfflineCondition_,"N",_xll.EVPRO($B$1,$H116,"STYLE"))</f>
        <v>N</v>
      </c>
      <c r="J116" s="122" t="str">
        <f>IF(_epmOfflineCondition_,"N",_xll.EVPRO($B$1,$H116,"CALC"))</f>
        <v>N</v>
      </c>
      <c r="K116" s="179" t="str">
        <f t="shared" si="34"/>
        <v/>
      </c>
      <c r="L116" s="90" t="str">
        <f>IF(_epmOfflineCondition_,"705500",_xll.EVPRO($B$1,H116,"JDEID"))</f>
        <v>705500</v>
      </c>
      <c r="M116" s="90" t="str">
        <f>IF(_epmOfflineCondition_,"690105",IF(AND(I116="N",J116="N"),_xll.EVPRO($B$1,H116,"PSFTID"),""))</f>
        <v>690105</v>
      </c>
      <c r="N116" s="90" t="str">
        <f>IF(_epmOfflineCondition_,"Licenses &amp; Permits",IF(_xll.EVDES(H116,$B$1)="#NODATA","",_xll.EVDES(H116,$B$1)))</f>
        <v>Licenses &amp; Permits</v>
      </c>
      <c r="O116" s="138"/>
      <c r="P116" s="138"/>
      <c r="Q116" s="138">
        <v>1870</v>
      </c>
      <c r="R116" s="138"/>
      <c r="S116" s="138"/>
      <c r="T116" s="138"/>
      <c r="U116" s="138"/>
      <c r="V116" s="138"/>
      <c r="W116" s="138"/>
      <c r="X116" s="138"/>
      <c r="Y116" s="138"/>
      <c r="Z116" s="138"/>
      <c r="AA116" s="210">
        <f t="shared" si="35"/>
        <v>1870</v>
      </c>
      <c r="AB116" s="142">
        <f t="shared" si="36"/>
        <v>1.8282761065313608E-3</v>
      </c>
      <c r="AC116" s="140"/>
      <c r="AD116" s="138">
        <v>1870</v>
      </c>
      <c r="AE116" s="142">
        <f t="shared" si="37"/>
        <v>1.2161804523550023E-3</v>
      </c>
      <c r="AF116" s="141">
        <f t="shared" si="38"/>
        <v>0</v>
      </c>
      <c r="AG116" s="138">
        <v>1870</v>
      </c>
      <c r="AH116" s="142">
        <f t="shared" si="39"/>
        <v>2.5018592694260543E-3</v>
      </c>
      <c r="AI116" s="141">
        <f t="shared" si="40"/>
        <v>0</v>
      </c>
      <c r="AJ116" s="211">
        <f t="shared" si="41"/>
        <v>6.9985029940119764E-2</v>
      </c>
      <c r="AK116" s="212">
        <f t="shared" si="42"/>
        <v>5.4678362573099416E-2</v>
      </c>
      <c r="AL116" s="214">
        <f t="shared" si="43"/>
        <v>0.10428284630827571</v>
      </c>
      <c r="AM116" s="423" t="str">
        <f t="shared" si="44"/>
        <v>0.06 pts.</v>
      </c>
      <c r="AN116" s="424" t="str">
        <f t="shared" si="45"/>
        <v>-0.07 pts.</v>
      </c>
      <c r="AO116" s="11"/>
    </row>
    <row r="117" spans="1:41" x14ac:dyDescent="0.25">
      <c r="A117" s="65" t="s">
        <v>5</v>
      </c>
      <c r="B117" s="66"/>
      <c r="C117" s="11"/>
      <c r="D117" s="11"/>
      <c r="E117" s="11"/>
      <c r="F117" s="11"/>
      <c r="G117" s="11"/>
      <c r="H117" s="88" t="s">
        <v>843</v>
      </c>
      <c r="I117" s="122" t="str">
        <f>IF(_epmOfflineCondition_,"T4",_xll.EVPRO($B$1,$H117,"STYLE"))</f>
        <v>T4</v>
      </c>
      <c r="J117" s="122" t="str">
        <f>IF(_epmOfflineCondition_,"Y",_xll.EVPRO($B$1,$H117,"CALC"))</f>
        <v>Y</v>
      </c>
      <c r="K117" s="179" t="str">
        <f t="shared" si="34"/>
        <v>&gt;</v>
      </c>
      <c r="L117" s="90" t="str">
        <f>IF(_epmOfflineCondition_,"706100",_xll.EVPRO($B$1,H117,"JDEID"))</f>
        <v>706100</v>
      </c>
      <c r="M117" s="90" t="str">
        <f>IF(_epmOfflineCondition_,"",IF(AND(I117="N",J117="N"),_xll.EVPRO($B$1,H117,"PSFTID"),""))</f>
        <v/>
      </c>
      <c r="N117" s="90" t="str">
        <f>IF(_epmOfflineCondition_,"Miscellaneous",IF(_xll.EVDES(H117,$B$1)="#NODATA","",_xll.EVDES(H117,$B$1)))</f>
        <v>Miscellaneous</v>
      </c>
      <c r="O117" s="138">
        <v>120</v>
      </c>
      <c r="P117" s="138"/>
      <c r="Q117" s="138"/>
      <c r="R117" s="138"/>
      <c r="S117" s="138"/>
      <c r="T117" s="138"/>
      <c r="U117" s="138"/>
      <c r="V117" s="138">
        <v>32.39</v>
      </c>
      <c r="W117" s="138"/>
      <c r="X117" s="138"/>
      <c r="Y117" s="138"/>
      <c r="Z117" s="138"/>
      <c r="AA117" s="210">
        <f t="shared" si="35"/>
        <v>152.38999999999999</v>
      </c>
      <c r="AB117" s="142">
        <f t="shared" si="36"/>
        <v>1.4898983736594336E-4</v>
      </c>
      <c r="AC117" s="140"/>
      <c r="AD117" s="138"/>
      <c r="AE117" s="142" t="str">
        <f t="shared" si="37"/>
        <v/>
      </c>
      <c r="AF117" s="141">
        <f t="shared" si="38"/>
        <v>152.38999999999999</v>
      </c>
      <c r="AG117" s="138"/>
      <c r="AH117" s="142" t="str">
        <f t="shared" si="39"/>
        <v/>
      </c>
      <c r="AI117" s="141">
        <f t="shared" si="40"/>
        <v>152.38999999999999</v>
      </c>
      <c r="AJ117" s="211">
        <f t="shared" si="41"/>
        <v>5.703218562874251E-3</v>
      </c>
      <c r="AK117" s="212">
        <f t="shared" si="42"/>
        <v>0</v>
      </c>
      <c r="AL117" s="214">
        <f t="shared" si="43"/>
        <v>0</v>
      </c>
      <c r="AM117" s="423">
        <f t="shared" si="44"/>
        <v>0</v>
      </c>
      <c r="AN117" s="424">
        <f t="shared" si="45"/>
        <v>0</v>
      </c>
      <c r="AO117" s="11"/>
    </row>
    <row r="118" spans="1:41" x14ac:dyDescent="0.25">
      <c r="A118" s="65" t="s">
        <v>6</v>
      </c>
      <c r="B118" s="66"/>
      <c r="C118" s="11"/>
      <c r="D118" s="11"/>
      <c r="E118" s="11"/>
      <c r="F118" s="11"/>
      <c r="G118" s="11"/>
      <c r="H118" s="88" t="s">
        <v>79</v>
      </c>
      <c r="I118" s="136" t="str">
        <f>IF(_epmOfflineCondition_,"T3",_xll.EVPRO($B$1,$H118,"STYLE"))</f>
        <v>T3</v>
      </c>
      <c r="J118" s="136" t="str">
        <f>IF(_epmOfflineCondition_,"Y",_xll.EVPRO($B$1,$H118,"CALC"))</f>
        <v>Y</v>
      </c>
      <c r="K118" s="104"/>
      <c r="L118" s="104"/>
      <c r="M118" s="104"/>
      <c r="N118" s="106" t="str">
        <f>IF(_epmOfflineCondition_,"Total Operations Expense",IF(_xll.EVDES(H118,$B$1)="#NODATA","",_xll.EVDES(H118,$B$1)))</f>
        <v>Total Operations Expense</v>
      </c>
      <c r="O118" s="150">
        <v>12963.91</v>
      </c>
      <c r="P118" s="150">
        <v>22104.49</v>
      </c>
      <c r="Q118" s="150">
        <v>30390.5</v>
      </c>
      <c r="R118" s="150">
        <v>20845.169999999998</v>
      </c>
      <c r="S118" s="150">
        <v>22500.07</v>
      </c>
      <c r="T118" s="150">
        <v>14722.96</v>
      </c>
      <c r="U118" s="150">
        <v>19748.36</v>
      </c>
      <c r="V118" s="150">
        <v>21979.17</v>
      </c>
      <c r="W118" s="150">
        <v>16435</v>
      </c>
      <c r="X118" s="150">
        <v>13720.43</v>
      </c>
      <c r="Y118" s="150">
        <v>18418.27</v>
      </c>
      <c r="Z118" s="150">
        <v>20145.080000000002</v>
      </c>
      <c r="AA118" s="150">
        <f t="shared" si="35"/>
        <v>233973.40999999997</v>
      </c>
      <c r="AB118" s="151">
        <f t="shared" si="36"/>
        <v>0.2287529385383239</v>
      </c>
      <c r="AC118" s="140"/>
      <c r="AD118" s="150">
        <v>206819.256666667</v>
      </c>
      <c r="AE118" s="151">
        <f t="shared" si="37"/>
        <v>0.13450777386555746</v>
      </c>
      <c r="AF118" s="152">
        <f t="shared" si="38"/>
        <v>27154.153333332972</v>
      </c>
      <c r="AG118" s="150">
        <v>143713.01999999999</v>
      </c>
      <c r="AH118" s="151">
        <f t="shared" si="39"/>
        <v>0.19227259423754647</v>
      </c>
      <c r="AI118" s="152">
        <f t="shared" si="40"/>
        <v>90260.389999999985</v>
      </c>
      <c r="AJ118" s="446">
        <f t="shared" si="41"/>
        <v>8.7564898952095795</v>
      </c>
      <c r="AK118" s="447">
        <f t="shared" si="42"/>
        <v>6.0473466861598535</v>
      </c>
      <c r="AL118" s="448">
        <f t="shared" si="43"/>
        <v>8.0143330359134506</v>
      </c>
      <c r="AM118" s="449" t="str">
        <f t="shared" si="44"/>
        <v>9.42 pts.</v>
      </c>
      <c r="AN118" s="450" t="str">
        <f t="shared" si="45"/>
        <v>3.65 pts.</v>
      </c>
      <c r="AO118" s="11"/>
    </row>
    <row r="119" spans="1:41" x14ac:dyDescent="0.25">
      <c r="A119" s="65" t="s">
        <v>7</v>
      </c>
      <c r="B119" s="66"/>
      <c r="C119" s="11"/>
      <c r="D119" s="11"/>
      <c r="E119" s="11"/>
      <c r="F119" s="11"/>
      <c r="G119" s="11"/>
      <c r="H119" s="11"/>
      <c r="I119" s="59"/>
      <c r="J119" s="59"/>
      <c r="K119" s="11"/>
      <c r="L119" s="11"/>
      <c r="M119" s="11"/>
      <c r="N119" s="11"/>
      <c r="O119" s="140"/>
      <c r="P119" s="140"/>
      <c r="Q119" s="140"/>
      <c r="R119" s="140"/>
      <c r="S119" s="140"/>
      <c r="T119" s="140"/>
      <c r="U119" s="140"/>
      <c r="V119" s="140"/>
      <c r="W119" s="140"/>
      <c r="X119" s="140"/>
      <c r="Y119" s="140"/>
      <c r="Z119" s="140"/>
      <c r="AA119" s="140"/>
      <c r="AB119" s="140"/>
      <c r="AC119" s="140"/>
      <c r="AD119" s="140"/>
      <c r="AE119" s="140"/>
      <c r="AF119" s="140"/>
      <c r="AG119" s="140"/>
      <c r="AH119" s="140"/>
      <c r="AI119" s="140"/>
      <c r="AJ119" s="140"/>
      <c r="AK119" s="140"/>
      <c r="AL119" s="140"/>
      <c r="AM119" s="140"/>
      <c r="AN119" s="140"/>
      <c r="AO119" s="11"/>
    </row>
    <row r="120" spans="1:41" x14ac:dyDescent="0.25">
      <c r="A120" s="65" t="s">
        <v>47</v>
      </c>
      <c r="B120" s="66" t="str">
        <f>IF(_epmOfflineCondition_,"'Venue1'!$A$125:$B$146",_xll.EVRNG($A$125:$B$146))</f>
        <v>'Venue1'!$A$125:$B$146</v>
      </c>
      <c r="C120" s="11"/>
      <c r="D120" s="11"/>
      <c r="E120" s="11"/>
      <c r="F120" s="11"/>
      <c r="G120" s="11"/>
      <c r="H120" s="88" t="s">
        <v>80</v>
      </c>
      <c r="I120" s="136" t="str">
        <f>IF(_epmOfflineCondition_,"T3",_xll.EVPRO($B$1,$H120,"STYLE"))</f>
        <v>T3</v>
      </c>
      <c r="J120" s="136" t="str">
        <f>IF(_epmOfflineCondition_,"Y",_xll.EVPRO($B$1,$H120,"CALC"))</f>
        <v>Y</v>
      </c>
      <c r="K120" s="106"/>
      <c r="L120" s="106"/>
      <c r="M120" s="106"/>
      <c r="N120" s="106" t="str">
        <f>IF(_epmOfflineCondition_,"Total Expenses",IF(_xll.EVDES(H120,$B$1)="#NODATA","",_xll.EVDES(H120,$B$1)))</f>
        <v>Total Expenses</v>
      </c>
      <c r="O120" s="242">
        <v>113262.18</v>
      </c>
      <c r="P120" s="242">
        <v>132067.01999999999</v>
      </c>
      <c r="Q120" s="242">
        <v>155461.51</v>
      </c>
      <c r="R120" s="242">
        <v>156800.18</v>
      </c>
      <c r="S120" s="242">
        <v>156115.97</v>
      </c>
      <c r="T120" s="242">
        <v>129613.55</v>
      </c>
      <c r="U120" s="242">
        <v>136749.69</v>
      </c>
      <c r="V120" s="242">
        <v>117436.68</v>
      </c>
      <c r="W120" s="242">
        <v>120279.35</v>
      </c>
      <c r="X120" s="242">
        <v>105614.21</v>
      </c>
      <c r="Y120" s="242">
        <v>143446.9</v>
      </c>
      <c r="Z120" s="242">
        <v>148233.1</v>
      </c>
      <c r="AA120" s="242">
        <f>IF($I120="B1","",SUM(O120:Z120))</f>
        <v>1615080.3399999999</v>
      </c>
      <c r="AB120" s="243">
        <f>IF(AA120=0,"",IFERROR(AA120/AA$19,""))</f>
        <v>1.5790442758024312</v>
      </c>
      <c r="AC120" s="140"/>
      <c r="AD120" s="242">
        <v>1340583.5709972</v>
      </c>
      <c r="AE120" s="243">
        <f>IF(AD120=0,"",IFERROR(AD120/AD$19,""))</f>
        <v>0.87186713037168939</v>
      </c>
      <c r="AF120" s="254">
        <f>IF(AND($AA120="",AD120=""),"",$AA120-AD120)</f>
        <v>274496.76900279988</v>
      </c>
      <c r="AG120" s="255">
        <v>1082663.0900000001</v>
      </c>
      <c r="AH120" s="256">
        <f>IF(AG120=0,"",IFERROR(AG120/AG$19,""))</f>
        <v>1.4484869985999758</v>
      </c>
      <c r="AI120" s="254">
        <f>IF(AND($AA120="",AG120=""),"",$AA120-AG120)</f>
        <v>532417.24999999977</v>
      </c>
      <c r="AJ120" s="537">
        <f>IFERROR(AA120/AA$20,0)</f>
        <v>60.444623502994006</v>
      </c>
      <c r="AK120" s="538">
        <f>IFERROR(AD120/AD$20,0)</f>
        <v>39.198350029157893</v>
      </c>
      <c r="AL120" s="539">
        <f>IFERROR(AG120/AG$20,0)</f>
        <v>60.376036694178012</v>
      </c>
      <c r="AM120" s="540" t="str">
        <f>+IFERROR(ROUND(($AB120-AE120)*100,2)&amp;" pts.",0)</f>
        <v>70.72 pts.</v>
      </c>
      <c r="AN120" s="541" t="str">
        <f>+IFERROR(ROUND(($AB120-AH120)*100,2)&amp;" pts.",0)</f>
        <v>13.06 pts.</v>
      </c>
      <c r="AO120" s="11"/>
    </row>
    <row r="121" spans="1:41" ht="15.75" thickBot="1" x14ac:dyDescent="0.3">
      <c r="A121" s="65" t="s">
        <v>8</v>
      </c>
      <c r="B121" s="66"/>
      <c r="C121" s="11"/>
      <c r="D121" s="11"/>
      <c r="E121" s="11"/>
      <c r="F121" s="11"/>
      <c r="G121" s="11"/>
      <c r="H121" s="88" t="s">
        <v>81</v>
      </c>
      <c r="I121" s="136" t="str">
        <f>IF(_epmOfflineCondition_,"T3",_xll.EVPRO($B$1,$H121,"STYLE"))</f>
        <v>T3</v>
      </c>
      <c r="J121" s="136" t="str">
        <f>IF(_epmOfflineCondition_,"Y",_xll.EVPRO($B$1,$H121,"CALC"))</f>
        <v>Y</v>
      </c>
      <c r="K121" s="106"/>
      <c r="L121" s="106"/>
      <c r="M121" s="106"/>
      <c r="N121" s="106" t="str">
        <f>IF(_epmOfflineCondition_,"Department Profit (Loss)",IF(_xll.EVDES(H121,$B$1)="#NODATA","",_xll.EVDES(H121,$B$1)))</f>
        <v>Department Profit (Loss)</v>
      </c>
      <c r="O121" s="165">
        <v>-56198.62</v>
      </c>
      <c r="P121" s="165">
        <v>-68639.44</v>
      </c>
      <c r="Q121" s="165">
        <v>-108908.78</v>
      </c>
      <c r="R121" s="165">
        <v>-21576.37</v>
      </c>
      <c r="S121" s="165">
        <v>-92600.13</v>
      </c>
      <c r="T121" s="165">
        <v>-74459.16</v>
      </c>
      <c r="U121" s="165">
        <v>-73230.94</v>
      </c>
      <c r="V121" s="165">
        <v>-75377.02</v>
      </c>
      <c r="W121" s="165">
        <v>-85745.29</v>
      </c>
      <c r="X121" s="165">
        <v>-61021.29</v>
      </c>
      <c r="Y121" s="165">
        <v>-88274.23</v>
      </c>
      <c r="Z121" s="165">
        <v>-75502.28</v>
      </c>
      <c r="AA121" s="165">
        <f>IF($I121="B1","",SUM(O121:Z121))</f>
        <v>-881533.55</v>
      </c>
      <c r="AB121" s="166">
        <f>IF(AA121=0,"",IFERROR(AA121/AA$19,""))</f>
        <v>-0.86186455966351272</v>
      </c>
      <c r="AC121" s="140"/>
      <c r="AD121" s="165">
        <v>-184254.02099720199</v>
      </c>
      <c r="AE121" s="166">
        <f>IF(AD121=0,"",IFERROR(AD121/AD$19,""))</f>
        <v>-0.11983215968160707</v>
      </c>
      <c r="AF121" s="167">
        <f>IF(AND($AA121="",AD121=""),"",$AA121-AD121)</f>
        <v>-697279.52900279802</v>
      </c>
      <c r="AG121" s="165">
        <v>-535582.6</v>
      </c>
      <c r="AH121" s="166">
        <f>IF(AG121=0,"",IFERROR(AG121/AG$19,""))</f>
        <v>-0.71655202799642059</v>
      </c>
      <c r="AI121" s="167">
        <f>IF(AND($AA121="",AG121=""),"",$AA121-AG121)</f>
        <v>-345950.95000000007</v>
      </c>
      <c r="AJ121" s="452">
        <f>IFERROR(AA121/AA$20,0)</f>
        <v>-32.991525074850301</v>
      </c>
      <c r="AK121" s="453">
        <f>IFERROR(AD121/AD$20,0)</f>
        <v>-5.3875444736023974</v>
      </c>
      <c r="AL121" s="454">
        <f>IFERROR(AG121/AG$20,0)</f>
        <v>-29.867421369618558</v>
      </c>
      <c r="AM121" s="455" t="str">
        <f>+IFERROR(ROUND(($AB121-AE121)*100,2)&amp;" pts.",0)</f>
        <v>-74.2 pts.</v>
      </c>
      <c r="AN121" s="456" t="str">
        <f>+IFERROR(ROUND(($AB121-AH121)*100,2)&amp;" pts.",0)</f>
        <v>-14.53 pts.</v>
      </c>
      <c r="AO121" s="11"/>
    </row>
    <row r="122" spans="1:41" ht="15.75" thickTop="1"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11"/>
      <c r="I123" s="59"/>
      <c r="J123" s="59"/>
      <c r="K123" s="11"/>
      <c r="L123" s="11"/>
      <c r="M123" s="11"/>
      <c r="N123" s="104" t="str">
        <f>N120&amp;" - Check"</f>
        <v>Total Expenses - Check</v>
      </c>
      <c r="O123" s="209">
        <f t="shared" ref="O123:AA123" si="46">SUMIF($H$35:$H$121,"600000",O$35:O$121)+SUMIF($H$35:$H$121,"700000",O$35:O$121)-SUMIF($H$35:$H$121,"TOTDEPTEXP",O$35:O$121)</f>
        <v>0</v>
      </c>
      <c r="P123" s="209">
        <f t="shared" si="46"/>
        <v>0</v>
      </c>
      <c r="Q123" s="209">
        <f t="shared" si="46"/>
        <v>0</v>
      </c>
      <c r="R123" s="209">
        <f t="shared" si="46"/>
        <v>0</v>
      </c>
      <c r="S123" s="209">
        <f t="shared" si="46"/>
        <v>0</v>
      </c>
      <c r="T123" s="209">
        <f t="shared" si="46"/>
        <v>0</v>
      </c>
      <c r="U123" s="209">
        <f t="shared" si="46"/>
        <v>0</v>
      </c>
      <c r="V123" s="209">
        <f t="shared" si="46"/>
        <v>0</v>
      </c>
      <c r="W123" s="209">
        <f t="shared" si="46"/>
        <v>0</v>
      </c>
      <c r="X123" s="209">
        <f t="shared" si="46"/>
        <v>0</v>
      </c>
      <c r="Y123" s="209">
        <f t="shared" si="46"/>
        <v>0</v>
      </c>
      <c r="Z123" s="209">
        <f t="shared" si="46"/>
        <v>0</v>
      </c>
      <c r="AA123" s="209">
        <f t="shared" si="46"/>
        <v>0</v>
      </c>
      <c r="AB123" s="100"/>
      <c r="AC123" s="11"/>
      <c r="AD123" s="209">
        <f>SUMIF($H$35:$H$121,"600000",AD$35:AD$121)+SUMIF($H$35:$H$121,"700000",AD$35:AD$121)-SUMIF($H$35:$H$121,"TOTDEPTEXP",AD$35:AD$121)</f>
        <v>6.9849193096160889E-9</v>
      </c>
      <c r="AE123" s="100"/>
      <c r="AF123" s="91"/>
      <c r="AG123" s="209">
        <f>SUMIF($H$35:$H$121,"600000",AG$35:AG$121)+SUMIF($H$35:$H$121,"700000",AG$35:AG$121)-SUMIF($H$35:$H$121,"TOTDEPTEXP",AG$35:AG$121)</f>
        <v>0</v>
      </c>
      <c r="AH123" s="100"/>
      <c r="AI123" s="91"/>
      <c r="AJ123" s="11"/>
      <c r="AK123" s="11"/>
      <c r="AL123" s="11"/>
      <c r="AM123" s="11"/>
      <c r="AN123" s="11"/>
      <c r="AO123" s="11"/>
    </row>
    <row r="124" spans="1:41" x14ac:dyDescent="0.25">
      <c r="A124" s="62" t="s">
        <v>23</v>
      </c>
      <c r="B124" s="63" t="s">
        <v>24</v>
      </c>
      <c r="C124" s="11"/>
      <c r="D124" s="11"/>
      <c r="E124" s="11"/>
      <c r="F124" s="11"/>
      <c r="G124" s="11"/>
      <c r="H124" s="11"/>
      <c r="I124" s="59"/>
      <c r="J124" s="59"/>
      <c r="K124" s="11"/>
      <c r="L124" s="11"/>
      <c r="M124" s="11"/>
      <c r="N124" s="104" t="str">
        <f>N121&amp;" - Check"</f>
        <v>Department Profit (Loss) - Check</v>
      </c>
      <c r="O124" s="209">
        <f t="shared" ref="O124:AA124" si="47">SUMIF($H$35:$H$121,"KPI_GP",O$35:O$121)-SUMIF($H$35:$H$121,"TOTDEPTEXP",O$35:O$121)-SUMIF($H$35:$H$121,"TOTDEPTPL",O$35:O$121)</f>
        <v>0</v>
      </c>
      <c r="P124" s="209">
        <f t="shared" si="47"/>
        <v>0</v>
      </c>
      <c r="Q124" s="209">
        <f t="shared" si="47"/>
        <v>0</v>
      </c>
      <c r="R124" s="209">
        <f t="shared" si="47"/>
        <v>0</v>
      </c>
      <c r="S124" s="209">
        <f t="shared" si="47"/>
        <v>0</v>
      </c>
      <c r="T124" s="209">
        <f t="shared" si="47"/>
        <v>0</v>
      </c>
      <c r="U124" s="209">
        <f t="shared" si="47"/>
        <v>0</v>
      </c>
      <c r="V124" s="209">
        <f t="shared" si="47"/>
        <v>0</v>
      </c>
      <c r="W124" s="209">
        <f t="shared" si="47"/>
        <v>0</v>
      </c>
      <c r="X124" s="209">
        <f t="shared" si="47"/>
        <v>0</v>
      </c>
      <c r="Y124" s="209">
        <f t="shared" si="47"/>
        <v>0</v>
      </c>
      <c r="Z124" s="209">
        <f t="shared" si="47"/>
        <v>0</v>
      </c>
      <c r="AA124" s="209">
        <f t="shared" si="47"/>
        <v>0</v>
      </c>
      <c r="AB124" s="100"/>
      <c r="AC124" s="11"/>
      <c r="AD124" s="209">
        <f>SUMIF($H$35:$H$121,"KPI_GP",AD$35:AD$121)-SUMIF($H$35:$H$121,"TOTDEPTEXP",AD$35:AD$121)-SUMIF($H$35:$H$121,"TOTDEPTPL",AD$35:AD$121)</f>
        <v>2.066371962428093E-9</v>
      </c>
      <c r="AE124" s="100"/>
      <c r="AF124" s="91"/>
      <c r="AG124" s="209">
        <f>SUMIF($H$35:$H$121,"KPI_GP",AG$35:AG$121)-SUMIF($H$35:$H$121,"TOTDEPTEXP",AG$35:AG$121)-SUMIF($H$35:$H$121,"TOTDEPTPL",AG$35:AG$121)</f>
        <v>0</v>
      </c>
      <c r="AH124" s="100"/>
      <c r="AI124" s="91"/>
      <c r="AJ124" s="11"/>
      <c r="AK124" s="11"/>
      <c r="AL124" s="11"/>
      <c r="AM124" s="11"/>
      <c r="AN124" s="11"/>
      <c r="AO124" s="11"/>
    </row>
    <row r="125" spans="1:41" x14ac:dyDescent="0.2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26</v>
      </c>
      <c r="B126" s="66"/>
      <c r="C126" s="11"/>
      <c r="D126" s="11"/>
      <c r="E126" s="11"/>
      <c r="F126" s="11"/>
      <c r="G126" s="11"/>
      <c r="H126" s="11"/>
      <c r="I126" s="59"/>
      <c r="J126" s="59"/>
      <c r="K126" s="11"/>
      <c r="L126" s="11"/>
      <c r="M126" s="11"/>
      <c r="N126" s="11"/>
      <c r="O126" s="137"/>
      <c r="P126" s="137"/>
      <c r="Q126" s="137"/>
      <c r="R126" s="137"/>
      <c r="S126" s="137"/>
      <c r="T126" s="137"/>
      <c r="U126" s="137"/>
      <c r="V126" s="137"/>
      <c r="W126" s="137"/>
      <c r="X126" s="137"/>
      <c r="Y126" s="137"/>
      <c r="Z126" s="137"/>
      <c r="AA126" s="137"/>
      <c r="AB126" s="11"/>
      <c r="AC126" s="11"/>
      <c r="AD126" s="137"/>
      <c r="AE126" s="11"/>
      <c r="AF126" s="11"/>
      <c r="AG126" s="137"/>
      <c r="AH126" s="11"/>
      <c r="AI126" s="11"/>
      <c r="AJ126" s="11"/>
      <c r="AK126" s="11"/>
      <c r="AL126" s="11"/>
      <c r="AM126" s="11"/>
      <c r="AN126" s="11"/>
      <c r="AO126" s="11"/>
    </row>
    <row r="127" spans="1:41" x14ac:dyDescent="0.2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28</v>
      </c>
      <c r="B128" s="66"/>
      <c r="C128" s="11"/>
      <c r="D128" s="11"/>
      <c r="E128" s="11"/>
      <c r="F128" s="11"/>
      <c r="G128" s="11"/>
      <c r="H128" s="11"/>
      <c r="I128" s="59"/>
      <c r="J128" s="59"/>
      <c r="K128" s="11"/>
      <c r="L128" s="11"/>
      <c r="M128" s="11"/>
      <c r="N128" s="11"/>
      <c r="O128" s="137"/>
      <c r="P128" s="137"/>
      <c r="Q128" s="137"/>
      <c r="R128" s="137"/>
      <c r="S128" s="137"/>
      <c r="T128" s="137"/>
      <c r="U128" s="137"/>
      <c r="V128" s="137"/>
      <c r="W128" s="137"/>
      <c r="X128" s="137"/>
      <c r="Y128" s="137"/>
      <c r="Z128" s="137"/>
      <c r="AA128" s="137"/>
      <c r="AB128" s="11"/>
      <c r="AC128" s="11"/>
      <c r="AD128" s="137"/>
      <c r="AE128" s="11"/>
      <c r="AF128" s="11"/>
      <c r="AG128" s="137"/>
      <c r="AH128" s="11"/>
      <c r="AI128" s="11"/>
      <c r="AJ128" s="11"/>
      <c r="AK128" s="11"/>
      <c r="AL128" s="11"/>
      <c r="AM128" s="11"/>
      <c r="AN128" s="11"/>
      <c r="AO128" s="11"/>
    </row>
    <row r="129" spans="1:41" x14ac:dyDescent="0.2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31</v>
      </c>
      <c r="B131" s="66" t="s">
        <v>78</v>
      </c>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32</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33</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34</v>
      </c>
      <c r="B134" s="66"/>
      <c r="C134" s="11"/>
      <c r="D134" s="11"/>
      <c r="E134" s="11"/>
      <c r="F134" s="11"/>
      <c r="G134" s="11"/>
      <c r="H134" s="59"/>
      <c r="I134" s="59"/>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35</v>
      </c>
      <c r="B135" s="66"/>
      <c r="C135" s="11"/>
      <c r="D135" s="11"/>
      <c r="E135" s="11"/>
      <c r="F135" s="11"/>
      <c r="G135" s="11"/>
      <c r="H135" s="59"/>
      <c r="I135" s="59"/>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36</v>
      </c>
      <c r="B136" s="66"/>
      <c r="C136" s="11"/>
      <c r="D136" s="11"/>
      <c r="E136" s="11"/>
      <c r="F136" s="11"/>
      <c r="G136" s="11"/>
      <c r="H136" s="59"/>
      <c r="I136" s="59"/>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37</v>
      </c>
      <c r="B137" s="66"/>
      <c r="C137" s="11"/>
      <c r="D137" s="11"/>
      <c r="E137" s="11"/>
      <c r="F137" s="11"/>
      <c r="G137" s="11"/>
      <c r="H137" s="59"/>
      <c r="I137" s="59"/>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38</v>
      </c>
      <c r="B138" s="66"/>
      <c r="C138" s="11"/>
      <c r="D138" s="11"/>
      <c r="E138" s="11"/>
      <c r="F138" s="11"/>
      <c r="G138" s="11"/>
      <c r="H138" s="59"/>
      <c r="I138" s="59"/>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39</v>
      </c>
      <c r="B139" s="66"/>
      <c r="C139" s="11"/>
      <c r="D139" s="11"/>
      <c r="E139" s="11"/>
      <c r="F139" s="11"/>
      <c r="G139" s="11"/>
      <c r="H139" s="59"/>
      <c r="I139" s="59"/>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40</v>
      </c>
      <c r="B140" s="66"/>
      <c r="C140" s="11"/>
      <c r="D140" s="11"/>
      <c r="E140" s="11"/>
      <c r="F140" s="11"/>
      <c r="G140" s="11"/>
      <c r="H140" s="59"/>
      <c r="I140" s="59"/>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41</v>
      </c>
      <c r="B141" s="66"/>
      <c r="C141" s="11"/>
      <c r="D141" s="11"/>
      <c r="E141" s="11"/>
      <c r="F141" s="11"/>
      <c r="G141" s="11"/>
      <c r="H141" s="59"/>
      <c r="I141" s="59"/>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42</v>
      </c>
      <c r="B142" s="66"/>
      <c r="C142" s="11"/>
      <c r="D142" s="11"/>
      <c r="E142" s="11"/>
      <c r="F142" s="11"/>
      <c r="G142" s="11"/>
      <c r="H142" s="59"/>
      <c r="I142" s="59"/>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43</v>
      </c>
      <c r="B143" s="66"/>
      <c r="C143" s="11"/>
      <c r="D143" s="11"/>
      <c r="E143" s="11"/>
      <c r="F143" s="11"/>
      <c r="G143" s="11"/>
      <c r="H143" s="59"/>
      <c r="I143" s="59"/>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44</v>
      </c>
      <c r="B144" s="66"/>
      <c r="C144" s="11"/>
      <c r="D144" s="11"/>
      <c r="E144" s="11"/>
      <c r="F144" s="11"/>
      <c r="G144" s="11"/>
      <c r="H144" s="59"/>
      <c r="I144" s="59"/>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65" t="s">
        <v>45</v>
      </c>
      <c r="B145" s="66"/>
      <c r="C145" s="11"/>
      <c r="D145" s="11"/>
      <c r="E145" s="11"/>
      <c r="F145" s="11"/>
      <c r="G145" s="11"/>
      <c r="H145" s="59"/>
      <c r="I145" s="59"/>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65" t="s">
        <v>46</v>
      </c>
      <c r="B146" s="66"/>
      <c r="C146" s="11"/>
      <c r="D146" s="11"/>
      <c r="E146" s="11"/>
      <c r="F146" s="11"/>
      <c r="G146" s="11"/>
      <c r="H146" s="59"/>
      <c r="I146" s="59"/>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59"/>
      <c r="I147" s="59"/>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59"/>
      <c r="I148" s="59"/>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59"/>
      <c r="I149" s="59"/>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59"/>
      <c r="I150" s="59"/>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59"/>
      <c r="I151" s="59"/>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59"/>
      <c r="I152" s="59"/>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59"/>
      <c r="I153" s="59"/>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25">
      <c r="A194" s="11"/>
      <c r="B194" s="11"/>
      <c r="C194" s="11"/>
      <c r="D194" s="11"/>
      <c r="E194" s="11"/>
      <c r="F194" s="11"/>
      <c r="G194" s="267"/>
      <c r="H194" s="11"/>
      <c r="I194" s="267"/>
      <c r="J194" s="11"/>
      <c r="K194" s="267"/>
      <c r="L194" s="267"/>
      <c r="M194" s="267"/>
      <c r="N194" s="11"/>
      <c r="O194" s="267"/>
      <c r="P194" s="267"/>
      <c r="Q194" s="267"/>
      <c r="R194" s="267"/>
      <c r="S194" s="267"/>
      <c r="T194" s="267"/>
      <c r="U194" s="267"/>
      <c r="V194" s="267"/>
      <c r="W194" s="267"/>
      <c r="X194" s="267"/>
      <c r="Y194" s="267"/>
      <c r="Z194" s="267"/>
      <c r="AA194" s="267"/>
      <c r="AB194" s="11"/>
      <c r="AC194" s="11"/>
      <c r="AD194" s="267"/>
      <c r="AE194" s="11"/>
      <c r="AF194" s="267"/>
      <c r="AG194" s="11"/>
      <c r="AH194" s="267"/>
      <c r="AI194" s="11"/>
      <c r="AJ194" s="11"/>
      <c r="AK194" s="11"/>
      <c r="AL194" s="11"/>
      <c r="AM194" s="11"/>
      <c r="AN194" s="11"/>
      <c r="AO194" s="11"/>
    </row>
    <row r="195" spans="1:41"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row>
    <row r="196" spans="1:41"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row>
    <row r="197" spans="1:41"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row>
    <row r="198" spans="1:41" x14ac:dyDescent="0.25">
      <c r="A198" s="11"/>
      <c r="B198" s="11"/>
      <c r="C198" s="11"/>
      <c r="D198" s="11"/>
      <c r="E198" s="11"/>
      <c r="F198" s="11"/>
      <c r="G198" s="11"/>
      <c r="H198" s="11"/>
      <c r="I198" s="267"/>
      <c r="J198" s="11"/>
      <c r="K198" s="267"/>
      <c r="L198" s="267"/>
      <c r="M198" s="267"/>
      <c r="N198" s="11"/>
      <c r="O198" s="267"/>
      <c r="P198" s="267"/>
      <c r="Q198" s="267"/>
      <c r="R198" s="267"/>
      <c r="S198" s="267"/>
      <c r="T198" s="267"/>
      <c r="U198" s="267"/>
      <c r="V198" s="267"/>
      <c r="W198" s="267"/>
      <c r="X198" s="267"/>
      <c r="Y198" s="267"/>
      <c r="Z198" s="267"/>
      <c r="AA198" s="267"/>
      <c r="AB198" s="11"/>
      <c r="AC198" s="11"/>
      <c r="AD198" s="267"/>
      <c r="AE198" s="11"/>
      <c r="AF198" s="267"/>
      <c r="AG198" s="11"/>
      <c r="AH198" s="267"/>
      <c r="AI198" s="11"/>
      <c r="AJ198" s="11"/>
      <c r="AK198" s="11"/>
      <c r="AL198" s="11"/>
      <c r="AM198" s="11"/>
      <c r="AN198" s="11"/>
      <c r="AO198" s="11"/>
    </row>
  </sheetData>
  <sheetProtection algorithmName="SHA-512" hashValue="UFs8RG6JfqoBirgDiUqztiInjXNV8Nx9xGb72PRt2QVCImn5vTwvxL6KT4LJv1Un5gBpTIgOc0BLJVxi8kYV6g==" saltValue="TNOcT+ueDrqp0/gcnKbjKg==" spinCount="100000" sheet="1" scenarios="1"/>
  <mergeCells count="2">
    <mergeCell ref="AD31:AE31"/>
    <mergeCell ref="AG31:AH31"/>
  </mergeCells>
  <dataValidations disablePrompts="1" count="2">
    <dataValidation type="list" allowBlank="1" sqref="B28 B61 B94" xr:uid="{00000000-0002-0000-0700-000000000000}">
      <formula1>"ACCOUNT,BUSINESSUNIT,CATEGORY,DATASRC,DEPARTMENT,INTCO,MEASURES,RPTCURRENCY,TIME"</formula1>
    </dataValidation>
    <dataValidation type="list" allowBlank="1" sqref="B29 B62 B95" xr:uid="{00000000-0002-0000-07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10248" r:id="rId7" name="FPMExcelClientSheetOptionstb1">
          <controlPr defaultSize="0" autoLine="0" r:id="rId8">
            <anchor moveWithCells="1" sizeWithCells="1">
              <from>
                <xdr:col>0</xdr:col>
                <xdr:colOff>0</xdr:colOff>
                <xdr:row>0</xdr:row>
                <xdr:rowOff>0</xdr:rowOff>
              </from>
              <to>
                <xdr:col>13</xdr:col>
                <xdr:colOff>885825</xdr:colOff>
                <xdr:row>0</xdr:row>
                <xdr:rowOff>0</xdr:rowOff>
              </to>
            </anchor>
          </controlPr>
        </control>
      </mc:Choice>
      <mc:Fallback>
        <control shapeId="10248" r:id="rId7" name="FPMExcelClientSheetOptionstb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5">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t="str">
        <f>Venue1!N1</f>
        <v>Seawell Restaurant</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725</v>
      </c>
      <c r="C6" s="11" t="str">
        <f>IF(_epmOfflineCondition_,"Venue 1",_xll.EVDES(B6,$B$1))</f>
        <v>Venue 1</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IF(_epmOfflineCondition_,"'Venue1_KPI'!$B$2:$B$10",_xll.EVRNG($B$2:$B$10))</f>
        <v>'Venue1_KPI'!$B$2:$B$10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IF(_epmOfflineCondition_,"'Venue1_KPI'!$O$16:$AI$18",_xll.EVRNG(O16:AI18))</f>
        <v>'Venue1_KPI'!$O$16:$AI$18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IF(_epmOfflineCondition_,"'Venue1_KPI'!$H$35:$H$146",_xll.EVRNG(H35:H146))</f>
        <v>'Venue1_KPI'!$H$35:$H$146</v>
      </c>
      <c r="C19" s="11"/>
      <c r="D19" s="11"/>
      <c r="E19" s="11"/>
      <c r="F19" s="11"/>
      <c r="G19" s="67" t="str">
        <f>$B$6</f>
        <v>D2140</v>
      </c>
      <c r="H19" s="67" t="s">
        <v>273</v>
      </c>
      <c r="I19" s="68"/>
      <c r="J19" s="68"/>
      <c r="K19" s="67"/>
      <c r="L19" s="67"/>
      <c r="M19" s="67"/>
      <c r="N19" s="67" t="str">
        <f>IF(_epmOfflineCondition_,"Total Food &amp; Beverage Revenue",_xll.EVDES(H19))</f>
        <v>Total Food &amp; Beverage Revenue</v>
      </c>
      <c r="O19" s="69">
        <f>IF(_epmOfflineCondition_,63213.13,_xll.EVGTS($B$1,1,$B$3,$B$5,$B$7,$B$9,O$16,O$17,O$18,$G$19,$H$19))</f>
        <v>63213.13</v>
      </c>
      <c r="P19" s="69">
        <f>IF(_epmOfflineCondition_,88688.9,_xll.EVGTS($B$1,1,$B$3,$B$5,$B$7,$B$9,P$16,P$17,P$18,$G$19,$H$19))</f>
        <v>88688.9</v>
      </c>
      <c r="Q19" s="69">
        <f>IF(_epmOfflineCondition_,93045.91,_xll.EVGTS($B$1,1,$B$3,$B$5,$B$7,$B$9,Q$16,Q$17,Q$18,$G$19,$H$19))</f>
        <v>93045.91</v>
      </c>
      <c r="R19" s="69">
        <f>IF(_epmOfflineCondition_,100127.6,_xll.EVGTS($B$1,1,$B$3,$B$5,$B$7,$B$9,R$16,R$17,R$18,$G$19,$H$19))</f>
        <v>100127.6</v>
      </c>
      <c r="S19" s="69">
        <f>IF(_epmOfflineCondition_,84083.21,_xll.EVGTS($B$1,1,$B$3,$B$5,$B$7,$B$9,S$16,S$17,S$18,$G$19,$H$19))</f>
        <v>84083.21</v>
      </c>
      <c r="T19" s="69">
        <f>IF(_epmOfflineCondition_,63865.41,_xll.EVGTS($B$1,1,$B$3,$B$5,$B$7,$B$9,T$16,T$17,T$18,$G$19,$H$19))</f>
        <v>63865.41</v>
      </c>
      <c r="U19" s="69">
        <f>IF(_epmOfflineCondition_,73853.44,_xll.EVGTS($B$1,1,$B$3,$B$5,$B$7,$B$9,U$16,U$17,U$18,$G$19,$H$19))</f>
        <v>73853.440000000002</v>
      </c>
      <c r="V19" s="69">
        <f>IF(_epmOfflineCondition_,57536.5,_xll.EVGTS($B$1,1,$B$3,$B$5,$B$7,$B$9,V$16,V$17,V$18,$G$19,$H$19))</f>
        <v>57536.5</v>
      </c>
      <c r="W19" s="69">
        <f>IF(_epmOfflineCondition_,45925.74,_xll.EVGTS($B$1,1,$B$3,$B$5,$B$7,$B$9,W$16,W$17,W$18,$G$19,$H$19))</f>
        <v>45925.74</v>
      </c>
      <c r="X19" s="69">
        <f>IF(_epmOfflineCondition_,49960.38,_xll.EVGTS($B$1,1,$B$3,$B$5,$B$7,$B$9,X$16,X$17,X$18,$G$19,$H$19))</f>
        <v>49960.38</v>
      </c>
      <c r="Y19" s="69">
        <f>IF(_epmOfflineCondition_,55058.97,_xll.EVGTS($B$1,1,$B$3,$B$5,$B$7,$B$9,Y$16,Y$17,Y$18,$G$19,$H$19))</f>
        <v>55058.97</v>
      </c>
      <c r="Z19" s="69">
        <f>IF(_epmOfflineCondition_,83882.71,_xll.EVGTS($B$1,1,$B$3,$B$5,$B$7,$B$9,Z$16,Z$17,Z$18,$G$19,$H$19))</f>
        <v>83882.710000000006</v>
      </c>
      <c r="AA19" s="69">
        <f>SUM(O19:Z19)</f>
        <v>859241.9</v>
      </c>
      <c r="AB19" s="67"/>
      <c r="AC19" s="67"/>
      <c r="AD19" s="69">
        <f>IF(_epmOfflineCondition_,1303051.5,_xll.EVGTS($B$1,1,$B$3,$B$5,$B$7,$B$9,AD$16,AD$17,AD$18,$G$19,$H$19))</f>
        <v>1303051.5</v>
      </c>
      <c r="AE19" s="67"/>
      <c r="AF19" s="67"/>
      <c r="AG19" s="69">
        <f>IF(_epmOfflineCondition_,633296.6,_xll.EVGTS($B$1,1,$B$3,$B$5,$B$7,$B$9,AG$16,AG$17,AG$18,$G$19,$H$19))</f>
        <v>633296.6</v>
      </c>
      <c r="AH19" s="67"/>
      <c r="AI19" s="67"/>
    </row>
    <row r="20" spans="1:35" hidden="1" outlineLevel="1" x14ac:dyDescent="0.25">
      <c r="A20" s="65" t="s">
        <v>5</v>
      </c>
      <c r="B20" s="66"/>
      <c r="C20" s="11"/>
      <c r="D20" s="11"/>
      <c r="E20" s="11"/>
      <c r="F20" s="11"/>
      <c r="G20" s="67" t="str">
        <f>$B$6</f>
        <v>D2140</v>
      </c>
      <c r="H20" s="67">
        <v>946000</v>
      </c>
      <c r="I20" s="68"/>
      <c r="J20" s="68"/>
      <c r="K20" s="67"/>
      <c r="L20" s="67"/>
      <c r="M20" s="67"/>
      <c r="N20" s="67" t="str">
        <f>IF(_epmOfflineCondition_,"Total Customers",_xll.EVDES(H20))</f>
        <v>Total Customers</v>
      </c>
      <c r="O20" s="69">
        <f>IF(_epmOfflineCondition_,2209,_xll.EVGTS($B$1,1,$B$3,$B$5,$B$7,$B$9,O$16,O$17,O$18,$G$20,$H$20))</f>
        <v>2209</v>
      </c>
      <c r="P20" s="69">
        <f>IF(_epmOfflineCondition_,2626,_xll.EVGTS($B$1,1,$B$3,$B$5,$B$7,$B$9,P$16,P$17,P$18,$G$20,$H$20))</f>
        <v>2626</v>
      </c>
      <c r="Q20" s="69">
        <f>IF(_epmOfflineCondition_,2680,_xll.EVGTS($B$1,1,$B$3,$B$5,$B$7,$B$9,Q$16,Q$17,Q$18,$G$20,$H$20))</f>
        <v>2680</v>
      </c>
      <c r="R20" s="69">
        <f>IF(_epmOfflineCondition_,2835,_xll.EVGTS($B$1,1,$B$3,$B$5,$B$7,$B$9,R$16,R$17,R$18,$G$20,$H$20))</f>
        <v>2835</v>
      </c>
      <c r="S20" s="69">
        <f>IF(_epmOfflineCondition_,2378,_xll.EVGTS($B$1,1,$B$3,$B$5,$B$7,$B$9,S$16,S$17,S$18,$G$20,$H$20))</f>
        <v>2378</v>
      </c>
      <c r="T20" s="69">
        <f>IF(_epmOfflineCondition_,1941,_xll.EVGTS($B$1,1,$B$3,$B$5,$B$7,$B$9,T$16,T$17,T$18,$G$20,$H$20))</f>
        <v>1941</v>
      </c>
      <c r="U20" s="69">
        <f>IF(_epmOfflineCondition_,2313,_xll.EVGTS($B$1,1,$B$3,$B$5,$B$7,$B$9,U$16,U$17,U$18,$G$20,$H$20))</f>
        <v>2313</v>
      </c>
      <c r="V20" s="69">
        <f>IF(_epmOfflineCondition_,1854,_xll.EVGTS($B$1,1,$B$3,$B$5,$B$7,$B$9,V$16,V$17,V$18,$G$20,$H$20))</f>
        <v>1854</v>
      </c>
      <c r="W20" s="69">
        <f>IF(_epmOfflineCondition_,1413,_xll.EVGTS($B$1,1,$B$3,$B$5,$B$7,$B$9,W$16,W$17,W$18,$G$20,$H$20))</f>
        <v>1413</v>
      </c>
      <c r="X20" s="69">
        <f>IF(_epmOfflineCondition_,1583,_xll.EVGTS($B$1,1,$B$3,$B$5,$B$7,$B$9,X$16,X$17,X$18,$G$20,$H$20))</f>
        <v>1583</v>
      </c>
      <c r="Y20" s="69">
        <f>IF(_epmOfflineCondition_,1914,_xll.EVGTS($B$1,1,$B$3,$B$5,$B$7,$B$9,Y$16,Y$17,Y$18,$G$20,$H$20))</f>
        <v>1914</v>
      </c>
      <c r="Z20" s="69">
        <f>IF(_epmOfflineCondition_,2974,_xll.EVGTS($B$1,1,$B$3,$B$5,$B$7,$B$9,Z$16,Z$17,Z$18,$G$20,$H$20))</f>
        <v>2974</v>
      </c>
      <c r="AA20" s="69">
        <f>SUM(O20:Z20)</f>
        <v>26720</v>
      </c>
      <c r="AB20" s="67"/>
      <c r="AC20" s="67"/>
      <c r="AD20" s="69">
        <f>IF(_epmOfflineCondition_,34200,_xll.EVGTS($B$1,1,$B$3,$B$5,$B$7,$B$9,AD$16,AD$17,AD$18,$G$20,$H$20))</f>
        <v>34200</v>
      </c>
      <c r="AE20" s="67"/>
      <c r="AF20" s="67"/>
      <c r="AG20" s="69">
        <f>IF(_epmOfflineCondition_,17932,_xll.EVGTS($B$1,1,$B$3,$B$5,$B$7,$B$9,AG$16,AG$17,AG$18,$G$20,$H$20))</f>
        <v>17932</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IF(_epmOfflineCondition_,"'Venue1_KPI'!$A$37:$B$58",_xll.EVRNG($A$37:$B$58))</f>
        <v>'Venue1_KPI'!$A$37:$B$58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IF(_epmOfflineCondition_,"Seawell Restaurant",IF($N$1="",IF(_xll.EVDES(B6,$B$1)="#NODATA","",_xll.EVDES(B6,$B$1)&amp;" Department"),$N$1))</f>
        <v>Seawell Restaurant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v>41865.14</v>
      </c>
      <c r="P35" s="138">
        <v>47751.75</v>
      </c>
      <c r="Q35" s="138">
        <v>50816.91</v>
      </c>
      <c r="R35" s="138">
        <v>54655.46</v>
      </c>
      <c r="S35" s="138">
        <v>49144.66</v>
      </c>
      <c r="T35" s="138">
        <v>35027.9</v>
      </c>
      <c r="U35" s="138">
        <v>40048.04</v>
      </c>
      <c r="V35" s="138">
        <v>30635.200000000001</v>
      </c>
      <c r="W35" s="138">
        <v>24787.040000000001</v>
      </c>
      <c r="X35" s="138">
        <v>25101.98</v>
      </c>
      <c r="Y35" s="138">
        <v>35932.47</v>
      </c>
      <c r="Z35" s="138">
        <v>45017.53</v>
      </c>
      <c r="AA35" s="138">
        <f t="shared" ref="AA35:AA41" si="0">SUM(O35:Z35)</f>
        <v>480784.07999999996</v>
      </c>
      <c r="AB35" s="142">
        <f>IF(AA35=0,"",IFERROR(AA35/AA$19,""))</f>
        <v>0.55954450079773799</v>
      </c>
      <c r="AC35" s="140"/>
      <c r="AD35" s="138">
        <v>502931.05249999999</v>
      </c>
      <c r="AE35" s="142">
        <f>IF(AD35=0,"",IFERROR(AD35/AD$19,""))</f>
        <v>0.38596406396830824</v>
      </c>
      <c r="AF35" s="141">
        <f t="shared" ref="AF35:AF42" si="1">IF(AND($AA35="",AD35=""),"",$AA35-AD35)</f>
        <v>-22146.972500000033</v>
      </c>
      <c r="AG35" s="138">
        <v>198017.17</v>
      </c>
      <c r="AH35" s="142">
        <f>IF(AG35=0,"",IFERROR(AG35/AG$19,""))</f>
        <v>0.31267682472951858</v>
      </c>
      <c r="AI35" s="141">
        <f t="shared" ref="AI35:AI42" si="2">IF(AND($AA35="",AG35=""),"",$AA35-AG35)</f>
        <v>282766.90999999992</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v>1727</v>
      </c>
      <c r="P36" s="138">
        <v>2601</v>
      </c>
      <c r="Q36" s="138">
        <v>2733</v>
      </c>
      <c r="R36" s="138">
        <v>2061.67</v>
      </c>
      <c r="S36" s="138">
        <v>2428</v>
      </c>
      <c r="T36" s="138">
        <v>1480.01</v>
      </c>
      <c r="U36" s="138">
        <v>2488</v>
      </c>
      <c r="V36" s="138">
        <v>1524</v>
      </c>
      <c r="W36" s="138">
        <v>1967</v>
      </c>
      <c r="X36" s="138">
        <v>1379</v>
      </c>
      <c r="Y36" s="138">
        <v>1338.1</v>
      </c>
      <c r="Z36" s="138">
        <v>1450.4</v>
      </c>
      <c r="AA36" s="138">
        <f t="shared" si="0"/>
        <v>23177.18</v>
      </c>
      <c r="AB36" s="142">
        <f>IF(AA36=0,"",IFERROR(AA36/AA$19,""))</f>
        <v>2.6973987185680771E-2</v>
      </c>
      <c r="AC36" s="140"/>
      <c r="AD36" s="138">
        <v>38440.589999999997</v>
      </c>
      <c r="AE36" s="142">
        <f>IF(AD36=0,"",IFERROR(AD36/AD$19,""))</f>
        <v>2.950043801031655E-2</v>
      </c>
      <c r="AF36" s="141">
        <f t="shared" si="1"/>
        <v>-15263.409999999996</v>
      </c>
      <c r="AG36" s="138">
        <v>6693.07</v>
      </c>
      <c r="AH36" s="142">
        <f>IF(AG36=0,"",IFERROR(AG36/AG$19,""))</f>
        <v>1.0568618243015989E-2</v>
      </c>
      <c r="AI36" s="141">
        <f t="shared" si="2"/>
        <v>16484.11</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v>368</v>
      </c>
      <c r="P37" s="138">
        <v>440</v>
      </c>
      <c r="Q37" s="138">
        <v>454</v>
      </c>
      <c r="R37" s="138">
        <v>397</v>
      </c>
      <c r="S37" s="138">
        <v>454</v>
      </c>
      <c r="T37" s="138">
        <v>231.5</v>
      </c>
      <c r="U37" s="138">
        <v>368</v>
      </c>
      <c r="V37" s="138">
        <v>123</v>
      </c>
      <c r="W37" s="138">
        <v>196</v>
      </c>
      <c r="X37" s="138">
        <v>239</v>
      </c>
      <c r="Y37" s="138">
        <v>150</v>
      </c>
      <c r="Z37" s="138">
        <v>148</v>
      </c>
      <c r="AA37" s="138">
        <f t="shared" si="0"/>
        <v>3568.5</v>
      </c>
      <c r="AB37" s="142">
        <f>IF(AA37=0,"",IFERROR(AA37/AA$19,""))</f>
        <v>4.1530795926036663E-3</v>
      </c>
      <c r="AC37" s="140"/>
      <c r="AD37" s="138">
        <v>3203.3825000000002</v>
      </c>
      <c r="AE37" s="142">
        <f>IF(AD37=0,"",IFERROR(AD37/AD$19,""))</f>
        <v>2.4583698341930464E-3</v>
      </c>
      <c r="AF37" s="141">
        <f t="shared" si="1"/>
        <v>365.11749999999984</v>
      </c>
      <c r="AG37" s="138">
        <v>740</v>
      </c>
      <c r="AH37" s="142">
        <f>IF(AG37=0,"",IFERROR(AG37/AG$19,""))</f>
        <v>1.168488824983428E-3</v>
      </c>
      <c r="AI37" s="141">
        <f t="shared" si="2"/>
        <v>2828.5</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v>3483</v>
      </c>
      <c r="P38" s="215">
        <v>5248.4</v>
      </c>
      <c r="Q38" s="215">
        <v>5335</v>
      </c>
      <c r="R38" s="215">
        <v>5144</v>
      </c>
      <c r="S38" s="215">
        <v>5683</v>
      </c>
      <c r="T38" s="215">
        <v>3626</v>
      </c>
      <c r="U38" s="215">
        <v>3115</v>
      </c>
      <c r="V38" s="215">
        <v>2920</v>
      </c>
      <c r="W38" s="215">
        <v>2701</v>
      </c>
      <c r="X38" s="215">
        <v>1476</v>
      </c>
      <c r="Y38" s="215">
        <v>1659.1</v>
      </c>
      <c r="Z38" s="215">
        <v>2847.7</v>
      </c>
      <c r="AA38" s="215">
        <f t="shared" si="0"/>
        <v>43238.2</v>
      </c>
      <c r="AB38" s="217">
        <f>IF(AA38=0,"",IFERROR(AA38/AA$19,""))</f>
        <v>5.032133558663747E-2</v>
      </c>
      <c r="AC38" s="140"/>
      <c r="AD38" s="215">
        <v>96101.475000000006</v>
      </c>
      <c r="AE38" s="217">
        <f>IF(AD38=0,"",IFERROR(AD38/AD$19,""))</f>
        <v>7.3751095025791386E-2</v>
      </c>
      <c r="AF38" s="218">
        <f t="shared" si="1"/>
        <v>-52863.275000000009</v>
      </c>
      <c r="AG38" s="215">
        <v>17005.099999999999</v>
      </c>
      <c r="AH38" s="217">
        <f>IF(AG38=0,"",IFERROR(AG38/AG$19,""))</f>
        <v>2.6851715294223907E-2</v>
      </c>
      <c r="AI38" s="218">
        <f t="shared" si="2"/>
        <v>26233.1</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v>47443.14</v>
      </c>
      <c r="P39" s="162">
        <v>56041.15</v>
      </c>
      <c r="Q39" s="162">
        <v>59338.91</v>
      </c>
      <c r="R39" s="162">
        <v>62258.13</v>
      </c>
      <c r="S39" s="162">
        <v>57709.66</v>
      </c>
      <c r="T39" s="162">
        <v>40365.410000000003</v>
      </c>
      <c r="U39" s="162">
        <v>46019.040000000001</v>
      </c>
      <c r="V39" s="162">
        <v>35202.199999999997</v>
      </c>
      <c r="W39" s="162">
        <v>29651.040000000001</v>
      </c>
      <c r="X39" s="162">
        <v>28195.98</v>
      </c>
      <c r="Y39" s="162">
        <v>39079.67</v>
      </c>
      <c r="Z39" s="162">
        <v>49463.63</v>
      </c>
      <c r="AA39" s="162">
        <f t="shared" si="0"/>
        <v>550767.96</v>
      </c>
      <c r="AB39" s="163">
        <f>IF(AA39=0,"",IFERROR(AA39/AA$19,""))</f>
        <v>0.64099290316266</v>
      </c>
      <c r="AC39" s="140"/>
      <c r="AD39" s="162">
        <v>640676.5</v>
      </c>
      <c r="AE39" s="163">
        <f>IF(AD39=0,"",IFERROR(AD39/AD$19,""))</f>
        <v>0.4916739668386092</v>
      </c>
      <c r="AF39" s="164">
        <f t="shared" si="1"/>
        <v>-89908.540000000037</v>
      </c>
      <c r="AG39" s="162">
        <v>222455.34</v>
      </c>
      <c r="AH39" s="163">
        <f>IF(AG39=0,"",IFERROR(AG39/AG$19,""))</f>
        <v>0.35126564709174185</v>
      </c>
      <c r="AI39" s="164">
        <f t="shared" si="2"/>
        <v>328312.62</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v>31</v>
      </c>
      <c r="P40" s="231">
        <v>28</v>
      </c>
      <c r="Q40" s="231">
        <v>31</v>
      </c>
      <c r="R40" s="231">
        <v>30</v>
      </c>
      <c r="S40" s="231">
        <v>31</v>
      </c>
      <c r="T40" s="231">
        <v>30</v>
      </c>
      <c r="U40" s="231">
        <v>31</v>
      </c>
      <c r="V40" s="231">
        <v>31</v>
      </c>
      <c r="W40" s="231">
        <v>30</v>
      </c>
      <c r="X40" s="231">
        <v>31</v>
      </c>
      <c r="Y40" s="231">
        <v>30</v>
      </c>
      <c r="Z40" s="231">
        <v>31</v>
      </c>
      <c r="AA40" s="231">
        <f t="shared" si="0"/>
        <v>365</v>
      </c>
      <c r="AB40" s="233"/>
      <c r="AC40" s="140"/>
      <c r="AD40" s="231">
        <v>365</v>
      </c>
      <c r="AE40" s="233"/>
      <c r="AF40" s="234">
        <f t="shared" si="1"/>
        <v>0</v>
      </c>
      <c r="AG40" s="231">
        <v>354</v>
      </c>
      <c r="AH40" s="233"/>
      <c r="AI40" s="234">
        <f t="shared" si="2"/>
        <v>11</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v>1897</v>
      </c>
      <c r="P41" s="231">
        <v>2004</v>
      </c>
      <c r="Q41" s="231">
        <v>2006</v>
      </c>
      <c r="R41" s="231">
        <v>2168</v>
      </c>
      <c r="S41" s="231">
        <v>1889</v>
      </c>
      <c r="T41" s="231">
        <v>1480</v>
      </c>
      <c r="U41" s="231">
        <v>1727</v>
      </c>
      <c r="V41" s="231">
        <v>1359</v>
      </c>
      <c r="W41" s="231">
        <v>1055</v>
      </c>
      <c r="X41" s="231">
        <v>1159</v>
      </c>
      <c r="Y41" s="231">
        <v>1587</v>
      </c>
      <c r="Z41" s="231">
        <v>1955</v>
      </c>
      <c r="AA41" s="231">
        <f t="shared" si="0"/>
        <v>20286</v>
      </c>
      <c r="AB41" s="233">
        <f>IF(AA41=0,"",IFERROR(AA41/AA$87,""))</f>
        <v>0.75920658682634734</v>
      </c>
      <c r="AC41" s="140"/>
      <c r="AD41" s="231">
        <v>21650</v>
      </c>
      <c r="AE41" s="233">
        <f>IF(AD41=0,"",IFERROR(AD41/AD$87,""))</f>
        <v>0.63304093567251463</v>
      </c>
      <c r="AF41" s="234">
        <f t="shared" si="1"/>
        <v>-1364</v>
      </c>
      <c r="AG41" s="231">
        <v>8923</v>
      </c>
      <c r="AH41" s="233">
        <f>IF(AG41=0,"",IFERROR(AG41/AG$87,""))</f>
        <v>0.49760205219718939</v>
      </c>
      <c r="AI41" s="234">
        <f t="shared" si="2"/>
        <v>11363</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v>25.0095624670532</v>
      </c>
      <c r="P42" s="495">
        <v>27.9646457085828</v>
      </c>
      <c r="Q42" s="495">
        <v>29.580712861415801</v>
      </c>
      <c r="R42" s="495">
        <v>28.7168496309963</v>
      </c>
      <c r="S42" s="495">
        <v>30.550375860243498</v>
      </c>
      <c r="T42" s="495">
        <v>27.273925675675699</v>
      </c>
      <c r="U42" s="495">
        <v>26.646809496236202</v>
      </c>
      <c r="V42" s="495">
        <v>25.903016924208998</v>
      </c>
      <c r="W42" s="495">
        <v>28.105251184834099</v>
      </c>
      <c r="X42" s="495">
        <v>24.327851596203601</v>
      </c>
      <c r="Y42" s="495">
        <v>24.624870825456799</v>
      </c>
      <c r="Z42" s="495">
        <v>25.301089514066501</v>
      </c>
      <c r="AA42" s="495">
        <f>IFERROR(AA39/AA41,"")</f>
        <v>27.150150842945873</v>
      </c>
      <c r="AB42" s="495"/>
      <c r="AC42" s="140"/>
      <c r="AD42" s="495">
        <v>29.592448036951499</v>
      </c>
      <c r="AE42" s="495"/>
      <c r="AF42" s="496">
        <f t="shared" si="1"/>
        <v>-2.4422971940056257</v>
      </c>
      <c r="AG42" s="495">
        <v>24.930554746161601</v>
      </c>
      <c r="AH42" s="495"/>
      <c r="AI42" s="496">
        <f t="shared" si="2"/>
        <v>2.2195960967842723</v>
      </c>
    </row>
    <row r="43" spans="1:35" x14ac:dyDescent="0.25">
      <c r="A43" s="65" t="s">
        <v>31</v>
      </c>
      <c r="B43" s="66" t="s">
        <v>78</v>
      </c>
      <c r="C43" s="11"/>
      <c r="D43" s="11"/>
      <c r="E43" s="11"/>
      <c r="F43" s="11"/>
      <c r="G43" s="490">
        <f>COUNTIF(O44:AI44,FALSE)</f>
        <v>0</v>
      </c>
      <c r="H43" s="88"/>
      <c r="I43" s="122"/>
      <c r="J43" s="122"/>
      <c r="K43" s="90"/>
      <c r="L43" s="90"/>
      <c r="M43" s="90"/>
      <c r="N43" s="491" t="s">
        <v>345</v>
      </c>
      <c r="O43" s="497">
        <f t="shared" ref="O43:AA43" si="3">ROUND(IFERROR(O39/O41,0),2)</f>
        <v>25.01</v>
      </c>
      <c r="P43" s="498">
        <f t="shared" si="3"/>
        <v>27.96</v>
      </c>
      <c r="Q43" s="498">
        <f t="shared" si="3"/>
        <v>29.58</v>
      </c>
      <c r="R43" s="498">
        <f t="shared" si="3"/>
        <v>28.72</v>
      </c>
      <c r="S43" s="498">
        <f t="shared" si="3"/>
        <v>30.55</v>
      </c>
      <c r="T43" s="498">
        <f t="shared" si="3"/>
        <v>27.27</v>
      </c>
      <c r="U43" s="498">
        <f t="shared" si="3"/>
        <v>26.65</v>
      </c>
      <c r="V43" s="498">
        <f t="shared" si="3"/>
        <v>25.9</v>
      </c>
      <c r="W43" s="498">
        <f t="shared" si="3"/>
        <v>28.11</v>
      </c>
      <c r="X43" s="498">
        <f t="shared" si="3"/>
        <v>24.33</v>
      </c>
      <c r="Y43" s="498">
        <f t="shared" si="3"/>
        <v>24.62</v>
      </c>
      <c r="Z43" s="498">
        <f t="shared" si="3"/>
        <v>25.3</v>
      </c>
      <c r="AA43" s="498">
        <f t="shared" si="3"/>
        <v>27.15</v>
      </c>
      <c r="AB43" s="499"/>
      <c r="AC43" s="140"/>
      <c r="AD43" s="497">
        <f>ROUND(IFERROR(AD39/AD41,0),2)</f>
        <v>29.59</v>
      </c>
      <c r="AE43" s="498"/>
      <c r="AF43" s="155"/>
      <c r="AG43" s="497">
        <f>ROUND(IFERROR(AG39/AG41,0),2)</f>
        <v>24.93</v>
      </c>
      <c r="AH43" s="498"/>
      <c r="AI43" s="155"/>
    </row>
    <row r="44" spans="1:35" x14ac:dyDescent="0.2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c r="P45" s="138"/>
      <c r="Q45" s="138"/>
      <c r="R45" s="138"/>
      <c r="S45" s="138"/>
      <c r="T45" s="138"/>
      <c r="U45" s="138"/>
      <c r="V45" s="138"/>
      <c r="W45" s="138"/>
      <c r="X45" s="138"/>
      <c r="Y45" s="138"/>
      <c r="Z45" s="138"/>
      <c r="AA45" s="138">
        <f t="shared" ref="AA45:AA51" si="5">SUM(O45:Z45)</f>
        <v>0</v>
      </c>
      <c r="AB45" s="142" t="str">
        <f>IF(AA45=0,"",IFERROR(AA45/AA$19,""))</f>
        <v/>
      </c>
      <c r="AC45" s="140"/>
      <c r="AD45" s="138"/>
      <c r="AE45" s="142" t="str">
        <f>IF(AD45=0,"",IFERROR(AD45/AD$19,""))</f>
        <v/>
      </c>
      <c r="AF45" s="141">
        <f t="shared" ref="AF45:AF52" si="6">IF(AND($AA45="",AD45=""),"",$AA45-AD45)</f>
        <v>0</v>
      </c>
      <c r="AG45" s="138">
        <v>48444.58</v>
      </c>
      <c r="AH45" s="142">
        <f>IF(AG45=0,"",IFERROR(AG45/AG$19,""))</f>
        <v>7.6495878866237405E-2</v>
      </c>
      <c r="AI45" s="141">
        <f t="shared" ref="AI45:AI52" si="7">IF(AND($AA45="",AG45=""),"",$AA45-AG45)</f>
        <v>-48444.58</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c r="P46" s="138"/>
      <c r="Q46" s="138"/>
      <c r="R46" s="138"/>
      <c r="S46" s="138"/>
      <c r="T46" s="138"/>
      <c r="U46" s="138"/>
      <c r="V46" s="138"/>
      <c r="W46" s="138"/>
      <c r="X46" s="138"/>
      <c r="Y46" s="138"/>
      <c r="Z46" s="138"/>
      <c r="AA46" s="138">
        <f t="shared" si="5"/>
        <v>0</v>
      </c>
      <c r="AB46" s="142" t="str">
        <f>IF(AA46=0,"",IFERROR(AA46/AA$19,""))</f>
        <v/>
      </c>
      <c r="AC46" s="140"/>
      <c r="AD46" s="138"/>
      <c r="AE46" s="142" t="str">
        <f>IF(AD46=0,"",IFERROR(AD46/AD$19,""))</f>
        <v/>
      </c>
      <c r="AF46" s="141">
        <f t="shared" si="6"/>
        <v>0</v>
      </c>
      <c r="AG46" s="138">
        <v>4828.5200000000004</v>
      </c>
      <c r="AH46" s="142">
        <f>IF(AG46=0,"",IFERROR(AG46/AG$19,""))</f>
        <v>7.6244211637959223E-3</v>
      </c>
      <c r="AI46" s="141">
        <f t="shared" si="7"/>
        <v>-4828.5200000000004</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c r="P47" s="138"/>
      <c r="Q47" s="138"/>
      <c r="R47" s="138"/>
      <c r="S47" s="138"/>
      <c r="T47" s="138"/>
      <c r="U47" s="138"/>
      <c r="V47" s="138"/>
      <c r="W47" s="138"/>
      <c r="X47" s="138"/>
      <c r="Y47" s="138"/>
      <c r="Z47" s="138"/>
      <c r="AA47" s="138">
        <f t="shared" si="5"/>
        <v>0</v>
      </c>
      <c r="AB47" s="142" t="str">
        <f>IF(AA47=0,"",IFERROR(AA47/AA$19,""))</f>
        <v/>
      </c>
      <c r="AC47" s="140"/>
      <c r="AD47" s="138"/>
      <c r="AE47" s="142" t="str">
        <f>IF(AD47=0,"",IFERROR(AD47/AD$19,""))</f>
        <v/>
      </c>
      <c r="AF47" s="141">
        <f t="shared" si="6"/>
        <v>0</v>
      </c>
      <c r="AG47" s="138">
        <v>880.2</v>
      </c>
      <c r="AH47" s="142">
        <f>IF(AG47=0,"",IFERROR(AG47/AG$19,""))</f>
        <v>1.3898700861492072E-3</v>
      </c>
      <c r="AI47" s="141">
        <f t="shared" si="7"/>
        <v>-880.2</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c r="P48" s="215"/>
      <c r="Q48" s="215"/>
      <c r="R48" s="215"/>
      <c r="S48" s="215"/>
      <c r="T48" s="215"/>
      <c r="U48" s="215"/>
      <c r="V48" s="215"/>
      <c r="W48" s="215"/>
      <c r="X48" s="215"/>
      <c r="Y48" s="215"/>
      <c r="Z48" s="215"/>
      <c r="AA48" s="215">
        <f t="shared" si="5"/>
        <v>0</v>
      </c>
      <c r="AB48" s="217" t="str">
        <f>IF(AA48=0,"",IFERROR(AA48/AA$19,""))</f>
        <v/>
      </c>
      <c r="AC48" s="140"/>
      <c r="AD48" s="215"/>
      <c r="AE48" s="217" t="str">
        <f>IF(AD48=0,"",IFERROR(AD48/AD$19,""))</f>
        <v/>
      </c>
      <c r="AF48" s="218">
        <f t="shared" si="6"/>
        <v>0</v>
      </c>
      <c r="AG48" s="215">
        <v>8857.6</v>
      </c>
      <c r="AH48" s="217">
        <f>IF(AG48=0,"",IFERROR(AG48/AG$19,""))</f>
        <v>1.3986495427261098E-2</v>
      </c>
      <c r="AI48" s="218">
        <f t="shared" si="7"/>
        <v>-8857.6</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c r="P49" s="162"/>
      <c r="Q49" s="162"/>
      <c r="R49" s="162"/>
      <c r="S49" s="162"/>
      <c r="T49" s="162"/>
      <c r="U49" s="162"/>
      <c r="V49" s="162"/>
      <c r="W49" s="162"/>
      <c r="X49" s="162"/>
      <c r="Y49" s="162"/>
      <c r="Z49" s="162"/>
      <c r="AA49" s="162">
        <f t="shared" si="5"/>
        <v>0</v>
      </c>
      <c r="AB49" s="163" t="str">
        <f>IF(AA49=0,"",IFERROR(AA49/AA$19,""))</f>
        <v/>
      </c>
      <c r="AC49" s="140"/>
      <c r="AD49" s="162"/>
      <c r="AE49" s="163" t="str">
        <f>IF(AD49=0,"",IFERROR(AD49/AD$19,""))</f>
        <v/>
      </c>
      <c r="AF49" s="164">
        <f t="shared" si="6"/>
        <v>0</v>
      </c>
      <c r="AG49" s="162">
        <v>63010.9</v>
      </c>
      <c r="AH49" s="163">
        <f>IF(AG49=0,"",IFERROR(AG49/AG$19,""))</f>
        <v>9.9496665543443635E-2</v>
      </c>
      <c r="AI49" s="164">
        <f t="shared" si="7"/>
        <v>-63010.9</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c r="P50" s="231"/>
      <c r="Q50" s="231"/>
      <c r="R50" s="231"/>
      <c r="S50" s="231"/>
      <c r="T50" s="231"/>
      <c r="U50" s="231"/>
      <c r="V50" s="231"/>
      <c r="W50" s="231"/>
      <c r="X50" s="231"/>
      <c r="Y50" s="231"/>
      <c r="Z50" s="231"/>
      <c r="AA50" s="231">
        <f t="shared" si="5"/>
        <v>0</v>
      </c>
      <c r="AB50" s="233"/>
      <c r="AC50" s="140"/>
      <c r="AD50" s="231"/>
      <c r="AE50" s="233"/>
      <c r="AF50" s="234">
        <f t="shared" si="6"/>
        <v>0</v>
      </c>
      <c r="AG50" s="231">
        <v>93</v>
      </c>
      <c r="AH50" s="233"/>
      <c r="AI50" s="234">
        <f t="shared" si="7"/>
        <v>-93</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c r="P51" s="231"/>
      <c r="Q51" s="231"/>
      <c r="R51" s="231"/>
      <c r="S51" s="231"/>
      <c r="T51" s="231"/>
      <c r="U51" s="231"/>
      <c r="V51" s="231"/>
      <c r="W51" s="231"/>
      <c r="X51" s="231"/>
      <c r="Y51" s="231"/>
      <c r="Z51" s="231"/>
      <c r="AA51" s="231">
        <f t="shared" si="5"/>
        <v>0</v>
      </c>
      <c r="AB51" s="233" t="str">
        <f>IF(AA51=0,"",IFERROR(AA51/AA$87,""))</f>
        <v/>
      </c>
      <c r="AC51" s="140"/>
      <c r="AD51" s="231"/>
      <c r="AE51" s="233" t="str">
        <f>IF(AD51=0,"",IFERROR(AD51/AD$87,""))</f>
        <v/>
      </c>
      <c r="AF51" s="234">
        <f t="shared" si="6"/>
        <v>0</v>
      </c>
      <c r="AG51" s="231">
        <v>1925</v>
      </c>
      <c r="AH51" s="233">
        <f>IF(AG51=0,"",IFERROR(AG51/AG$87,""))</f>
        <v>0.10734998884675441</v>
      </c>
      <c r="AI51" s="234">
        <f t="shared" si="7"/>
        <v>-1925</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v>32.732935064935099</v>
      </c>
      <c r="AH52" s="495"/>
      <c r="AI52" s="496" t="e">
        <f t="shared" si="7"/>
        <v>#VALUE!</v>
      </c>
    </row>
    <row r="53" spans="1:35" x14ac:dyDescent="0.2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5"/>
      <c r="AG53" s="497">
        <f>ROUND(IFERROR(AG49/AG51,0),2)</f>
        <v>32.729999999999997</v>
      </c>
      <c r="AH53" s="498"/>
      <c r="AI53" s="155"/>
    </row>
    <row r="54" spans="1:35" x14ac:dyDescent="0.2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v>10572.94</v>
      </c>
      <c r="P55" s="138">
        <v>22247</v>
      </c>
      <c r="Q55" s="138">
        <v>23887</v>
      </c>
      <c r="R55" s="138">
        <v>26509</v>
      </c>
      <c r="S55" s="138">
        <v>18582</v>
      </c>
      <c r="T55" s="138">
        <v>17564.79</v>
      </c>
      <c r="U55" s="138">
        <v>21280.3</v>
      </c>
      <c r="V55" s="138">
        <v>17056.599999999999</v>
      </c>
      <c r="W55" s="138">
        <v>12022.2</v>
      </c>
      <c r="X55" s="138">
        <v>15883.4</v>
      </c>
      <c r="Y55" s="138">
        <v>12161.69</v>
      </c>
      <c r="Z55" s="138">
        <v>26625.75</v>
      </c>
      <c r="AA55" s="138">
        <f t="shared" ref="AA55:AA61" si="10">SUM(O55:Z55)</f>
        <v>224392.67</v>
      </c>
      <c r="AB55" s="142">
        <f>IF(AA55=0,"",IFERROR(AA55/AA$19,""))</f>
        <v>0.26115191775447638</v>
      </c>
      <c r="AC55" s="140"/>
      <c r="AD55" s="138">
        <v>480404.03749999998</v>
      </c>
      <c r="AE55" s="142">
        <f>IF(AD55=0,"",IFERROR(AD55/AD$19,""))</f>
        <v>0.36867617089577809</v>
      </c>
      <c r="AF55" s="141">
        <f t="shared" ref="AF55:AF62" si="11">IF(AND($AA55="",AD55=""),"",$AA55-AD55)</f>
        <v>-256011.36749999996</v>
      </c>
      <c r="AG55" s="138">
        <v>251702.81</v>
      </c>
      <c r="AH55" s="142">
        <f>IF(AG55=0,"",IFERROR(AG55/AG$19,""))</f>
        <v>0.39744854148909059</v>
      </c>
      <c r="AI55" s="141">
        <f t="shared" ref="AI55:AI62" si="12">IF(AND($AA55="",AG55=""),"",$AA55-AG55)</f>
        <v>-27310.139999999985</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v>2210.9899999999998</v>
      </c>
      <c r="P56" s="138">
        <v>5321</v>
      </c>
      <c r="Q56" s="138">
        <v>5111</v>
      </c>
      <c r="R56" s="138">
        <v>6036.51</v>
      </c>
      <c r="S56" s="138">
        <v>4236.5</v>
      </c>
      <c r="T56" s="138">
        <v>3740.71</v>
      </c>
      <c r="U56" s="138">
        <v>3697.5</v>
      </c>
      <c r="V56" s="138">
        <v>2950.2</v>
      </c>
      <c r="W56" s="138">
        <v>2677</v>
      </c>
      <c r="X56" s="138">
        <v>3012</v>
      </c>
      <c r="Y56" s="138">
        <v>1559</v>
      </c>
      <c r="Z56" s="138">
        <v>3276</v>
      </c>
      <c r="AA56" s="138">
        <f t="shared" si="10"/>
        <v>43828.409999999996</v>
      </c>
      <c r="AB56" s="142">
        <f>IF(AA56=0,"",IFERROR(AA56/AA$19,""))</f>
        <v>5.1008231791303468E-2</v>
      </c>
      <c r="AC56" s="140"/>
      <c r="AD56" s="138">
        <v>101570.33</v>
      </c>
      <c r="AE56" s="142">
        <f>IF(AD56=0,"",IFERROR(AD56/AD$19,""))</f>
        <v>7.7948055007802844E-2</v>
      </c>
      <c r="AF56" s="141">
        <f t="shared" si="11"/>
        <v>-57741.920000000006</v>
      </c>
      <c r="AG56" s="138">
        <v>55552.25</v>
      </c>
      <c r="AH56" s="142">
        <f>IF(AG56=0,"",IFERROR(AG56/AG$19,""))</f>
        <v>8.7719166659034647E-2</v>
      </c>
      <c r="AI56" s="141">
        <f t="shared" si="12"/>
        <v>-11723.840000000004</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v>214</v>
      </c>
      <c r="P57" s="138">
        <v>752</v>
      </c>
      <c r="Q57" s="138">
        <v>615</v>
      </c>
      <c r="R57" s="138">
        <v>828</v>
      </c>
      <c r="S57" s="138">
        <v>628</v>
      </c>
      <c r="T57" s="138">
        <v>457</v>
      </c>
      <c r="U57" s="138">
        <v>726</v>
      </c>
      <c r="V57" s="138">
        <v>408.2</v>
      </c>
      <c r="W57" s="138">
        <v>322</v>
      </c>
      <c r="X57" s="138">
        <v>551.5</v>
      </c>
      <c r="Y57" s="138">
        <v>405.4</v>
      </c>
      <c r="Z57" s="138">
        <v>672</v>
      </c>
      <c r="AA57" s="138">
        <f t="shared" si="10"/>
        <v>6579.0999999999995</v>
      </c>
      <c r="AB57" s="142">
        <f>IF(AA57=0,"",IFERROR(AA57/AA$19,""))</f>
        <v>7.6568658953898774E-3</v>
      </c>
      <c r="AC57" s="140"/>
      <c r="AD57" s="138">
        <v>14085.002500000001</v>
      </c>
      <c r="AE57" s="142">
        <f>IF(AD57=0,"",IFERROR(AD57/AD$19,""))</f>
        <v>1.0809244684496355E-2</v>
      </c>
      <c r="AF57" s="141">
        <f t="shared" si="11"/>
        <v>-7505.9025000000011</v>
      </c>
      <c r="AG57" s="138">
        <v>6829.72</v>
      </c>
      <c r="AH57" s="142">
        <f>IF(AG57=0,"",IFERROR(AG57/AG$19,""))</f>
        <v>1.0784393915899755E-2</v>
      </c>
      <c r="AI57" s="141">
        <f t="shared" si="12"/>
        <v>-250.6200000000008</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v>2772.06</v>
      </c>
      <c r="P58" s="215">
        <v>4773.8</v>
      </c>
      <c r="Q58" s="215">
        <v>4094</v>
      </c>
      <c r="R58" s="215">
        <v>4564</v>
      </c>
      <c r="S58" s="215">
        <v>3211.59</v>
      </c>
      <c r="T58" s="215">
        <v>1737.5</v>
      </c>
      <c r="U58" s="215">
        <v>2130.6</v>
      </c>
      <c r="V58" s="215">
        <v>1919.3</v>
      </c>
      <c r="W58" s="215">
        <v>1253.5</v>
      </c>
      <c r="X58" s="215">
        <v>2317.5</v>
      </c>
      <c r="Y58" s="215">
        <v>1853.21</v>
      </c>
      <c r="Z58" s="215">
        <v>3978</v>
      </c>
      <c r="AA58" s="215">
        <f t="shared" si="10"/>
        <v>34605.06</v>
      </c>
      <c r="AB58" s="217">
        <f>IF(AA58=0,"",IFERROR(AA58/AA$19,""))</f>
        <v>4.027394381023551E-2</v>
      </c>
      <c r="AC58" s="140"/>
      <c r="AD58" s="215">
        <v>66315.63</v>
      </c>
      <c r="AE58" s="217">
        <f>IF(AD58=0,"",IFERROR(AD58/AD$19,""))</f>
        <v>5.0892562573313489E-2</v>
      </c>
      <c r="AF58" s="218">
        <f t="shared" si="11"/>
        <v>-31710.570000000007</v>
      </c>
      <c r="AG58" s="215">
        <v>34858.32</v>
      </c>
      <c r="AH58" s="217">
        <f>IF(AG58=0,"",IFERROR(AG58/AG$19,""))</f>
        <v>5.5042645104995042E-2</v>
      </c>
      <c r="AI58" s="218">
        <f t="shared" si="12"/>
        <v>-253.26000000000204</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v>15769.99</v>
      </c>
      <c r="P59" s="162">
        <v>33093.800000000003</v>
      </c>
      <c r="Q59" s="162">
        <v>33707</v>
      </c>
      <c r="R59" s="162">
        <v>37937.51</v>
      </c>
      <c r="S59" s="162">
        <v>26658.09</v>
      </c>
      <c r="T59" s="162">
        <v>23500</v>
      </c>
      <c r="U59" s="162">
        <v>27834.400000000001</v>
      </c>
      <c r="V59" s="162">
        <v>22334.3</v>
      </c>
      <c r="W59" s="162">
        <v>16274.7</v>
      </c>
      <c r="X59" s="162">
        <v>21764.400000000001</v>
      </c>
      <c r="Y59" s="162">
        <v>15979.3</v>
      </c>
      <c r="Z59" s="162">
        <v>34551.75</v>
      </c>
      <c r="AA59" s="162">
        <f t="shared" si="10"/>
        <v>309405.24</v>
      </c>
      <c r="AB59" s="163">
        <f>IF(AA59=0,"",IFERROR(AA59/AA$19,""))</f>
        <v>0.36009095925140522</v>
      </c>
      <c r="AC59" s="140"/>
      <c r="AD59" s="162">
        <v>662375</v>
      </c>
      <c r="AE59" s="163">
        <f>IF(AD59=0,"",IFERROR(AD59/AD$19,""))</f>
        <v>0.5083260331613908</v>
      </c>
      <c r="AF59" s="164">
        <f t="shared" si="11"/>
        <v>-352969.76</v>
      </c>
      <c r="AG59" s="162">
        <v>348943.1</v>
      </c>
      <c r="AH59" s="163">
        <f>IF(AG59=0,"",IFERROR(AG59/AG$19,""))</f>
        <v>0.55099474716901997</v>
      </c>
      <c r="AI59" s="164">
        <f t="shared" si="12"/>
        <v>-39537.859999999986</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v>13</v>
      </c>
      <c r="P60" s="231">
        <v>12</v>
      </c>
      <c r="Q60" s="231">
        <v>15</v>
      </c>
      <c r="R60" s="231">
        <v>19</v>
      </c>
      <c r="S60" s="231">
        <v>19</v>
      </c>
      <c r="T60" s="231">
        <v>22</v>
      </c>
      <c r="U60" s="231">
        <v>22</v>
      </c>
      <c r="V60" s="231">
        <v>22</v>
      </c>
      <c r="W60" s="231">
        <v>21</v>
      </c>
      <c r="X60" s="231">
        <v>23</v>
      </c>
      <c r="Y60" s="231">
        <v>21</v>
      </c>
      <c r="Z60" s="231">
        <v>26</v>
      </c>
      <c r="AA60" s="231">
        <f t="shared" si="10"/>
        <v>235</v>
      </c>
      <c r="AB60" s="233"/>
      <c r="AC60" s="140"/>
      <c r="AD60" s="231">
        <v>365</v>
      </c>
      <c r="AE60" s="233"/>
      <c r="AF60" s="234">
        <f t="shared" si="11"/>
        <v>-130</v>
      </c>
      <c r="AG60" s="231">
        <v>245</v>
      </c>
      <c r="AH60" s="233"/>
      <c r="AI60" s="234">
        <f t="shared" si="12"/>
        <v>-10</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v>312</v>
      </c>
      <c r="P61" s="231">
        <v>622</v>
      </c>
      <c r="Q61" s="231">
        <v>674</v>
      </c>
      <c r="R61" s="231">
        <v>667</v>
      </c>
      <c r="S61" s="231">
        <v>489</v>
      </c>
      <c r="T61" s="231">
        <v>461</v>
      </c>
      <c r="U61" s="231">
        <v>586</v>
      </c>
      <c r="V61" s="231">
        <v>495</v>
      </c>
      <c r="W61" s="231">
        <v>358</v>
      </c>
      <c r="X61" s="231">
        <v>424</v>
      </c>
      <c r="Y61" s="231">
        <v>327</v>
      </c>
      <c r="Z61" s="231">
        <v>1019</v>
      </c>
      <c r="AA61" s="231">
        <f t="shared" si="10"/>
        <v>6434</v>
      </c>
      <c r="AB61" s="233">
        <f>IF(AA61=0,"",IFERROR(AA61/AA$87,""))</f>
        <v>0.24079341317365269</v>
      </c>
      <c r="AC61" s="140"/>
      <c r="AD61" s="231">
        <v>12550</v>
      </c>
      <c r="AE61" s="233">
        <f>IF(AD61=0,"",IFERROR(AD61/AD$87,""))</f>
        <v>0.36695906432748537</v>
      </c>
      <c r="AF61" s="234">
        <f t="shared" si="11"/>
        <v>-6116</v>
      </c>
      <c r="AG61" s="231">
        <v>7079</v>
      </c>
      <c r="AH61" s="233">
        <f>IF(AG61=0,"",IFERROR(AG61/AG$87,""))</f>
        <v>0.3947691278161945</v>
      </c>
      <c r="AI61" s="234">
        <f t="shared" si="12"/>
        <v>-645</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v>50.544839743589698</v>
      </c>
      <c r="P62" s="495">
        <v>53.205466237942098</v>
      </c>
      <c r="Q62" s="495">
        <v>50.010385756676598</v>
      </c>
      <c r="R62" s="495">
        <v>56.877826086956503</v>
      </c>
      <c r="S62" s="495">
        <v>54.515521472392599</v>
      </c>
      <c r="T62" s="495">
        <v>50.976138828633403</v>
      </c>
      <c r="U62" s="495">
        <v>47.498976109215</v>
      </c>
      <c r="V62" s="495">
        <v>45.119797979798001</v>
      </c>
      <c r="W62" s="495">
        <v>45.460055865921802</v>
      </c>
      <c r="X62" s="495">
        <v>51.3311320754717</v>
      </c>
      <c r="Y62" s="495">
        <v>48.866360856269097</v>
      </c>
      <c r="Z62" s="495">
        <v>33.907507360156998</v>
      </c>
      <c r="AA62" s="495">
        <f>IFERROR(AA59/AA61,"")</f>
        <v>48.089095430525333</v>
      </c>
      <c r="AB62" s="495"/>
      <c r="AC62" s="140"/>
      <c r="AD62" s="495">
        <v>52.778884462151403</v>
      </c>
      <c r="AE62" s="495"/>
      <c r="AF62" s="496">
        <f t="shared" si="11"/>
        <v>-4.68978903162607</v>
      </c>
      <c r="AG62" s="495">
        <v>49.292710834863698</v>
      </c>
      <c r="AH62" s="495"/>
      <c r="AI62" s="496">
        <f t="shared" si="12"/>
        <v>-1.2036154043383647</v>
      </c>
    </row>
    <row r="63" spans="1:35" x14ac:dyDescent="0.25">
      <c r="A63" s="11"/>
      <c r="B63" s="11"/>
      <c r="C63" s="11"/>
      <c r="D63" s="11"/>
      <c r="E63" s="11"/>
      <c r="F63" s="11"/>
      <c r="G63" s="490">
        <f>COUNTIF(O64:AI64,FALSE)</f>
        <v>0</v>
      </c>
      <c r="H63" s="88"/>
      <c r="I63" s="122"/>
      <c r="J63" s="122"/>
      <c r="K63" s="90"/>
      <c r="L63" s="90"/>
      <c r="M63" s="90"/>
      <c r="N63" s="491" t="s">
        <v>345</v>
      </c>
      <c r="O63" s="497">
        <f t="shared" ref="O63:AA63" si="13">ROUND(IFERROR(O59/O61,0),2)</f>
        <v>50.54</v>
      </c>
      <c r="P63" s="498">
        <f t="shared" si="13"/>
        <v>53.21</v>
      </c>
      <c r="Q63" s="498">
        <f t="shared" si="13"/>
        <v>50.01</v>
      </c>
      <c r="R63" s="498">
        <f t="shared" si="13"/>
        <v>56.88</v>
      </c>
      <c r="S63" s="498">
        <f t="shared" si="13"/>
        <v>54.52</v>
      </c>
      <c r="T63" s="498">
        <f t="shared" si="13"/>
        <v>50.98</v>
      </c>
      <c r="U63" s="498">
        <f t="shared" si="13"/>
        <v>47.5</v>
      </c>
      <c r="V63" s="498">
        <f t="shared" si="13"/>
        <v>45.12</v>
      </c>
      <c r="W63" s="498">
        <f t="shared" si="13"/>
        <v>45.46</v>
      </c>
      <c r="X63" s="498">
        <f t="shared" si="13"/>
        <v>51.33</v>
      </c>
      <c r="Y63" s="498">
        <f t="shared" si="13"/>
        <v>48.87</v>
      </c>
      <c r="Z63" s="498">
        <f t="shared" si="13"/>
        <v>33.909999999999997</v>
      </c>
      <c r="AA63" s="498">
        <f t="shared" si="13"/>
        <v>48.09</v>
      </c>
      <c r="AB63" s="499"/>
      <c r="AC63" s="140"/>
      <c r="AD63" s="497">
        <f>ROUND(IFERROR(AD59/AD61,0),2)</f>
        <v>52.78</v>
      </c>
      <c r="AE63" s="498"/>
      <c r="AF63" s="155"/>
      <c r="AG63" s="497">
        <f>ROUND(IFERROR(AG59/AG61,0),2)</f>
        <v>49.29</v>
      </c>
      <c r="AH63" s="498"/>
      <c r="AI63" s="155"/>
    </row>
    <row r="64" spans="1:35" x14ac:dyDescent="0.2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38"/>
      <c r="P65" s="138"/>
      <c r="Q65" s="138"/>
      <c r="R65" s="138"/>
      <c r="S65" s="138"/>
      <c r="T65" s="138"/>
      <c r="U65" s="138"/>
      <c r="V65" s="138"/>
      <c r="W65" s="138"/>
      <c r="X65" s="138"/>
      <c r="Y65" s="138"/>
      <c r="Z65" s="138"/>
      <c r="AA65" s="138">
        <f t="shared" ref="AA65:AA71" si="15">SUM(O65:Z65)</f>
        <v>0</v>
      </c>
      <c r="AB65" s="142" t="str">
        <f>IF(AA65=0,"",IFERROR(AA65/AA$19,""))</f>
        <v/>
      </c>
      <c r="AC65" s="140"/>
      <c r="AD65" s="138"/>
      <c r="AE65" s="142" t="str">
        <f>IF(AD65=0,"",IFERROR(AD65/AD$19,""))</f>
        <v/>
      </c>
      <c r="AF65" s="141">
        <f t="shared" ref="AF65:AF72" si="16">IF(AND($AA65="",AD65=""),"",$AA65-AD65)</f>
        <v>0</v>
      </c>
      <c r="AG65" s="138">
        <v>77</v>
      </c>
      <c r="AH65" s="142">
        <f>IF(AG65=0,"",IFERROR(AG65/AG$19,""))</f>
        <v>1.2158599935638373E-4</v>
      </c>
      <c r="AI65" s="141">
        <f t="shared" ref="AI65:AI72" si="17">IF(AND($AA65="",AG65=""),"",$AA65-AG65)</f>
        <v>-77</v>
      </c>
    </row>
    <row r="66" spans="1:35" x14ac:dyDescent="0.2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38"/>
      <c r="P66" s="138"/>
      <c r="Q66" s="138"/>
      <c r="R66" s="138"/>
      <c r="S66" s="138"/>
      <c r="T66" s="138"/>
      <c r="U66" s="138"/>
      <c r="V66" s="138"/>
      <c r="W66" s="138"/>
      <c r="X66" s="138"/>
      <c r="Y66" s="138"/>
      <c r="Z66" s="138"/>
      <c r="AA66" s="138">
        <f t="shared" si="15"/>
        <v>0</v>
      </c>
      <c r="AB66" s="142" t="str">
        <f>IF(AA66=0,"",IFERROR(AA66/AA$19,""))</f>
        <v/>
      </c>
      <c r="AC66" s="140"/>
      <c r="AD66" s="138"/>
      <c r="AE66" s="142" t="str">
        <f>IF(AD66=0,"",IFERROR(AD66/AD$19,""))</f>
        <v/>
      </c>
      <c r="AF66" s="141">
        <f t="shared" si="16"/>
        <v>0</v>
      </c>
      <c r="AG66" s="138"/>
      <c r="AH66" s="142" t="str">
        <f>IF(AG66=0,"",IFERROR(AG66/AG$19,""))</f>
        <v/>
      </c>
      <c r="AI66" s="141">
        <f t="shared" si="17"/>
        <v>0</v>
      </c>
    </row>
    <row r="67" spans="1:35" x14ac:dyDescent="0.2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38"/>
      <c r="P67" s="138"/>
      <c r="Q67" s="138"/>
      <c r="R67" s="138"/>
      <c r="S67" s="138"/>
      <c r="T67" s="138"/>
      <c r="U67" s="138"/>
      <c r="V67" s="138"/>
      <c r="W67" s="138"/>
      <c r="X67" s="138"/>
      <c r="Y67" s="138"/>
      <c r="Z67" s="138"/>
      <c r="AA67" s="138">
        <f t="shared" si="15"/>
        <v>0</v>
      </c>
      <c r="AB67" s="142" t="str">
        <f>IF(AA67=0,"",IFERROR(AA67/AA$19,""))</f>
        <v/>
      </c>
      <c r="AC67" s="140"/>
      <c r="AD67" s="138"/>
      <c r="AE67" s="142" t="str">
        <f>IF(AD67=0,"",IFERROR(AD67/AD$19,""))</f>
        <v/>
      </c>
      <c r="AF67" s="141">
        <f t="shared" si="16"/>
        <v>0</v>
      </c>
      <c r="AG67" s="138"/>
      <c r="AH67" s="142" t="str">
        <f>IF(AG67=0,"",IFERROR(AG67/AG$19,""))</f>
        <v/>
      </c>
      <c r="AI67" s="141">
        <f t="shared" si="17"/>
        <v>0</v>
      </c>
    </row>
    <row r="68" spans="1:35" x14ac:dyDescent="0.2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5"/>
      <c r="P68" s="215"/>
      <c r="Q68" s="215"/>
      <c r="R68" s="215"/>
      <c r="S68" s="215"/>
      <c r="T68" s="215"/>
      <c r="U68" s="215"/>
      <c r="V68" s="215"/>
      <c r="W68" s="215"/>
      <c r="X68" s="215"/>
      <c r="Y68" s="215"/>
      <c r="Z68" s="215"/>
      <c r="AA68" s="215">
        <f t="shared" si="15"/>
        <v>0</v>
      </c>
      <c r="AB68" s="217" t="str">
        <f>IF(AA68=0,"",IFERROR(AA68/AA$19,""))</f>
        <v/>
      </c>
      <c r="AC68" s="140"/>
      <c r="AD68" s="215"/>
      <c r="AE68" s="217" t="str">
        <f>IF(AD68=0,"",IFERROR(AD68/AD$19,""))</f>
        <v/>
      </c>
      <c r="AF68" s="218">
        <f t="shared" si="16"/>
        <v>0</v>
      </c>
      <c r="AG68" s="215">
        <v>11</v>
      </c>
      <c r="AH68" s="217">
        <f>IF(AG68=0,"",IFERROR(AG68/AG$19,""))</f>
        <v>1.736942847948339E-5</v>
      </c>
      <c r="AI68" s="218">
        <f t="shared" si="17"/>
        <v>-11</v>
      </c>
    </row>
    <row r="69" spans="1:35" x14ac:dyDescent="0.2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2"/>
      <c r="P69" s="162"/>
      <c r="Q69" s="162"/>
      <c r="R69" s="162"/>
      <c r="S69" s="162"/>
      <c r="T69" s="162"/>
      <c r="U69" s="162"/>
      <c r="V69" s="162"/>
      <c r="W69" s="162"/>
      <c r="X69" s="162"/>
      <c r="Y69" s="162"/>
      <c r="Z69" s="162"/>
      <c r="AA69" s="162">
        <f t="shared" si="15"/>
        <v>0</v>
      </c>
      <c r="AB69" s="163" t="str">
        <f>IF(AA69=0,"",IFERROR(AA69/AA$19,""))</f>
        <v/>
      </c>
      <c r="AC69" s="140"/>
      <c r="AD69" s="162"/>
      <c r="AE69" s="163" t="str">
        <f>IF(AD69=0,"",IFERROR(AD69/AD$19,""))</f>
        <v/>
      </c>
      <c r="AF69" s="164">
        <f t="shared" si="16"/>
        <v>0</v>
      </c>
      <c r="AG69" s="162">
        <v>88</v>
      </c>
      <c r="AH69" s="163">
        <f>IF(AG69=0,"",IFERROR(AG69/AG$19,""))</f>
        <v>1.3895542783586712E-4</v>
      </c>
      <c r="AI69" s="164">
        <f t="shared" si="17"/>
        <v>-88</v>
      </c>
    </row>
    <row r="70" spans="1:35" x14ac:dyDescent="0.2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31"/>
      <c r="P70" s="231"/>
      <c r="Q70" s="231"/>
      <c r="R70" s="231"/>
      <c r="S70" s="231"/>
      <c r="T70" s="231"/>
      <c r="U70" s="231"/>
      <c r="V70" s="231"/>
      <c r="W70" s="231"/>
      <c r="X70" s="231"/>
      <c r="Y70" s="231"/>
      <c r="Z70" s="231"/>
      <c r="AA70" s="231">
        <f t="shared" si="15"/>
        <v>0</v>
      </c>
      <c r="AB70" s="233"/>
      <c r="AC70" s="140"/>
      <c r="AD70" s="231"/>
      <c r="AE70" s="233"/>
      <c r="AF70" s="234">
        <f t="shared" si="16"/>
        <v>0</v>
      </c>
      <c r="AG70" s="231">
        <v>1</v>
      </c>
      <c r="AH70" s="233"/>
      <c r="AI70" s="234">
        <f t="shared" si="17"/>
        <v>-1</v>
      </c>
    </row>
    <row r="71" spans="1:35" x14ac:dyDescent="0.2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31"/>
      <c r="P71" s="231"/>
      <c r="Q71" s="231"/>
      <c r="R71" s="231"/>
      <c r="S71" s="231"/>
      <c r="T71" s="231"/>
      <c r="U71" s="231"/>
      <c r="V71" s="231"/>
      <c r="W71" s="231"/>
      <c r="X71" s="231"/>
      <c r="Y71" s="231"/>
      <c r="Z71" s="231"/>
      <c r="AA71" s="231">
        <f t="shared" si="15"/>
        <v>0</v>
      </c>
      <c r="AB71" s="233" t="str">
        <f>IF(AA71=0,"",IFERROR(AA71/AA$87,""))</f>
        <v/>
      </c>
      <c r="AC71" s="140"/>
      <c r="AD71" s="231"/>
      <c r="AE71" s="233" t="str">
        <f>IF(AD71=0,"",IFERROR(AD71/AD$87,""))</f>
        <v/>
      </c>
      <c r="AF71" s="234">
        <f t="shared" si="16"/>
        <v>0</v>
      </c>
      <c r="AG71" s="231">
        <v>5</v>
      </c>
      <c r="AH71" s="233">
        <f>IF(AG71=0,"",IFERROR(AG71/AG$87,""))</f>
        <v>2.7883113986169975E-4</v>
      </c>
      <c r="AI71" s="234">
        <f t="shared" si="17"/>
        <v>-5</v>
      </c>
    </row>
    <row r="72" spans="1:35" x14ac:dyDescent="0.2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v>17.600000000000001</v>
      </c>
      <c r="AH72" s="495"/>
      <c r="AI72" s="496" t="e">
        <f t="shared" si="17"/>
        <v>#VALUE!</v>
      </c>
    </row>
    <row r="73" spans="1:35" x14ac:dyDescent="0.2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5"/>
      <c r="AG73" s="497">
        <f>ROUND(IFERROR(AG69/AG71,0),2)</f>
        <v>17.600000000000001</v>
      </c>
      <c r="AH73" s="498"/>
      <c r="AI73" s="155"/>
    </row>
    <row r="74" spans="1:35" x14ac:dyDescent="0.2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2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38"/>
      <c r="P75" s="138"/>
      <c r="Q75" s="138"/>
      <c r="R75" s="138"/>
      <c r="S75" s="138"/>
      <c r="T75" s="138"/>
      <c r="U75" s="138"/>
      <c r="V75" s="138"/>
      <c r="W75" s="138"/>
      <c r="X75" s="138"/>
      <c r="Y75" s="138"/>
      <c r="Z75" s="138"/>
      <c r="AA75" s="138">
        <f t="shared" ref="AA75:AA80" si="20">SUM(O75:Z75)</f>
        <v>0</v>
      </c>
      <c r="AB75" s="142" t="str">
        <f>IF(AA75=0,"",IFERROR(AA75/AA$19,""))</f>
        <v/>
      </c>
      <c r="AC75" s="140"/>
      <c r="AD75" s="138"/>
      <c r="AE75" s="142" t="str">
        <f>IF(AD75=0,"",IFERROR(AD75/AD$19,""))</f>
        <v/>
      </c>
      <c r="AF75" s="141">
        <f t="shared" ref="AF75:AF81" si="21">IF(AND($AA75="",AD75=""),"",$AA75-AD75)</f>
        <v>0</v>
      </c>
      <c r="AG75" s="138"/>
      <c r="AH75" s="142" t="str">
        <f>IF(AG75=0,"",IFERROR(AG75/AG$19,""))</f>
        <v/>
      </c>
      <c r="AI75" s="141">
        <f t="shared" ref="AI75:AI81" si="22">IF(AND($AA75="",AG75=""),"",$AA75-AG75)</f>
        <v>0</v>
      </c>
    </row>
    <row r="76" spans="1:35" x14ac:dyDescent="0.2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38"/>
      <c r="P76" s="138"/>
      <c r="Q76" s="138"/>
      <c r="R76" s="138"/>
      <c r="S76" s="138"/>
      <c r="T76" s="138"/>
      <c r="U76" s="138"/>
      <c r="V76" s="138"/>
      <c r="W76" s="138"/>
      <c r="X76" s="138"/>
      <c r="Y76" s="138"/>
      <c r="Z76" s="138"/>
      <c r="AA76" s="138">
        <f t="shared" si="20"/>
        <v>0</v>
      </c>
      <c r="AB76" s="142" t="str">
        <f>IF(AA76=0,"",IFERROR(AA76/AA$19,""))</f>
        <v/>
      </c>
      <c r="AC76" s="140"/>
      <c r="AD76" s="138"/>
      <c r="AE76" s="142" t="str">
        <f>IF(AD76=0,"",IFERROR(AD76/AD$19,""))</f>
        <v/>
      </c>
      <c r="AF76" s="141">
        <f t="shared" si="21"/>
        <v>0</v>
      </c>
      <c r="AG76" s="138"/>
      <c r="AH76" s="142" t="str">
        <f>IF(AG76=0,"",IFERROR(AG76/AG$19,""))</f>
        <v/>
      </c>
      <c r="AI76" s="141">
        <f t="shared" si="22"/>
        <v>0</v>
      </c>
    </row>
    <row r="77" spans="1:35" x14ac:dyDescent="0.2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38"/>
      <c r="P77" s="138"/>
      <c r="Q77" s="138"/>
      <c r="R77" s="138"/>
      <c r="S77" s="138"/>
      <c r="T77" s="138"/>
      <c r="U77" s="138"/>
      <c r="V77" s="138"/>
      <c r="W77" s="138"/>
      <c r="X77" s="138"/>
      <c r="Y77" s="138"/>
      <c r="Z77" s="138"/>
      <c r="AA77" s="138">
        <f t="shared" si="20"/>
        <v>0</v>
      </c>
      <c r="AB77" s="142" t="str">
        <f>IF(AA77=0,"",IFERROR(AA77/AA$19,""))</f>
        <v/>
      </c>
      <c r="AC77" s="140"/>
      <c r="AD77" s="138"/>
      <c r="AE77" s="142" t="str">
        <f>IF(AD77=0,"",IFERROR(AD77/AD$19,""))</f>
        <v/>
      </c>
      <c r="AF77" s="141">
        <f t="shared" si="21"/>
        <v>0</v>
      </c>
      <c r="AG77" s="138"/>
      <c r="AH77" s="142" t="str">
        <f>IF(AG77=0,"",IFERROR(AG77/AG$19,""))</f>
        <v/>
      </c>
      <c r="AI77" s="141">
        <f t="shared" si="22"/>
        <v>0</v>
      </c>
    </row>
    <row r="78" spans="1:35" x14ac:dyDescent="0.2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5"/>
      <c r="P78" s="215"/>
      <c r="Q78" s="215"/>
      <c r="R78" s="215"/>
      <c r="S78" s="215"/>
      <c r="T78" s="215"/>
      <c r="U78" s="215"/>
      <c r="V78" s="215"/>
      <c r="W78" s="215"/>
      <c r="X78" s="215"/>
      <c r="Y78" s="215"/>
      <c r="Z78" s="215"/>
      <c r="AA78" s="215">
        <f t="shared" si="20"/>
        <v>0</v>
      </c>
      <c r="AB78" s="217" t="str">
        <f>IF(AA78=0,"",IFERROR(AA78/AA$19,""))</f>
        <v/>
      </c>
      <c r="AC78" s="140"/>
      <c r="AD78" s="215"/>
      <c r="AE78" s="217" t="str">
        <f>IF(AD78=0,"",IFERROR(AD78/AD$19,""))</f>
        <v/>
      </c>
      <c r="AF78" s="218">
        <f t="shared" si="21"/>
        <v>0</v>
      </c>
      <c r="AG78" s="215"/>
      <c r="AH78" s="217" t="str">
        <f>IF(AG78=0,"",IFERROR(AG78/AG$19,""))</f>
        <v/>
      </c>
      <c r="AI78" s="218">
        <f t="shared" si="22"/>
        <v>0</v>
      </c>
    </row>
    <row r="79" spans="1:35" x14ac:dyDescent="0.2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2"/>
      <c r="P79" s="162"/>
      <c r="Q79" s="162"/>
      <c r="R79" s="162"/>
      <c r="S79" s="162"/>
      <c r="T79" s="162"/>
      <c r="U79" s="162"/>
      <c r="V79" s="162"/>
      <c r="W79" s="162"/>
      <c r="X79" s="162"/>
      <c r="Y79" s="162"/>
      <c r="Z79" s="162"/>
      <c r="AA79" s="162">
        <f t="shared" si="20"/>
        <v>0</v>
      </c>
      <c r="AB79" s="163" t="str">
        <f>IF(AA79=0,"",IFERROR(AA79/AA$19,""))</f>
        <v/>
      </c>
      <c r="AC79" s="140"/>
      <c r="AD79" s="162"/>
      <c r="AE79" s="163" t="str">
        <f>IF(AD79=0,"",IFERROR(AD79/AD$19,""))</f>
        <v/>
      </c>
      <c r="AF79" s="164">
        <f t="shared" si="21"/>
        <v>0</v>
      </c>
      <c r="AG79" s="162"/>
      <c r="AH79" s="163" t="str">
        <f>IF(AG79=0,"",IFERROR(AG79/AG$19,""))</f>
        <v/>
      </c>
      <c r="AI79" s="164">
        <f t="shared" si="22"/>
        <v>0</v>
      </c>
    </row>
    <row r="80" spans="1:35" x14ac:dyDescent="0.2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31"/>
      <c r="P80" s="231"/>
      <c r="Q80" s="231"/>
      <c r="R80" s="231"/>
      <c r="S80" s="231"/>
      <c r="T80" s="231"/>
      <c r="U80" s="231"/>
      <c r="V80" s="231"/>
      <c r="W80" s="231"/>
      <c r="X80" s="231"/>
      <c r="Y80" s="231"/>
      <c r="Z80" s="231"/>
      <c r="AA80" s="231">
        <f t="shared" si="20"/>
        <v>0</v>
      </c>
      <c r="AB80" s="233" t="str">
        <f>IF(AA80=0,"",IFERROR(AA80/AA$87,""))</f>
        <v/>
      </c>
      <c r="AC80" s="140"/>
      <c r="AD80" s="231"/>
      <c r="AE80" s="233" t="str">
        <f>IF(AD80=0,"",IFERROR(AD80/AD$87,""))</f>
        <v/>
      </c>
      <c r="AF80" s="234">
        <f t="shared" si="21"/>
        <v>0</v>
      </c>
      <c r="AG80" s="231"/>
      <c r="AH80" s="233" t="str">
        <f>IF(AG80=0,"",IFERROR(AG80/AG$87,""))</f>
        <v/>
      </c>
      <c r="AI80" s="234">
        <f t="shared" si="22"/>
        <v>0</v>
      </c>
    </row>
    <row r="81" spans="1:35" x14ac:dyDescent="0.2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2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5"/>
      <c r="AG82" s="497">
        <f>ROUND(IFERROR(AG79/AG80,0),2)</f>
        <v>0</v>
      </c>
      <c r="AH82" s="498"/>
      <c r="AI82" s="155"/>
    </row>
    <row r="83" spans="1:35" x14ac:dyDescent="0.2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38"/>
      <c r="P83" s="138">
        <v>-446.05</v>
      </c>
      <c r="Q83" s="138"/>
      <c r="R83" s="138">
        <v>-68.040000000000006</v>
      </c>
      <c r="S83" s="138">
        <v>-284.54000000000002</v>
      </c>
      <c r="T83" s="138"/>
      <c r="U83" s="138"/>
      <c r="V83" s="138"/>
      <c r="W83" s="138"/>
      <c r="X83" s="138"/>
      <c r="Y83" s="138"/>
      <c r="Z83" s="138">
        <v>-132.66999999999999</v>
      </c>
      <c r="AA83" s="138">
        <f>SUM(O83:Z83)</f>
        <v>-931.30000000000007</v>
      </c>
      <c r="AB83" s="142">
        <f>IF(AA83=0,"",IFERROR(AA83/AA$19,""))</f>
        <v>-1.083862414065236E-3</v>
      </c>
      <c r="AC83" s="140"/>
      <c r="AD83" s="138"/>
      <c r="AE83" s="142" t="str">
        <f>IF(AD83=0,"",IFERROR(AD83/AD$19,""))</f>
        <v/>
      </c>
      <c r="AF83" s="141">
        <f>IF(AND($AA83="",AD83=""),"",$AA83-AD83)</f>
        <v>-931.30000000000007</v>
      </c>
      <c r="AG83" s="138">
        <v>-1200.74</v>
      </c>
      <c r="AH83" s="142">
        <f>IF(AG83=0,"",IFERROR(AG83/AG$19,""))</f>
        <v>-1.8960152320413532E-3</v>
      </c>
      <c r="AI83" s="141">
        <f>IF(AND($AA83="",AG83=""),"",$AA83-AG83)</f>
        <v>269.43999999999994</v>
      </c>
    </row>
    <row r="84" spans="1:35" x14ac:dyDescent="0.2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2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v>63213.13</v>
      </c>
      <c r="P85" s="507">
        <v>88688.9</v>
      </c>
      <c r="Q85" s="507">
        <v>93045.91</v>
      </c>
      <c r="R85" s="507">
        <v>100127.6</v>
      </c>
      <c r="S85" s="507">
        <v>84083.21</v>
      </c>
      <c r="T85" s="507">
        <v>63865.41</v>
      </c>
      <c r="U85" s="507">
        <v>73853.440000000002</v>
      </c>
      <c r="V85" s="507">
        <v>57536.5</v>
      </c>
      <c r="W85" s="507">
        <v>45925.74</v>
      </c>
      <c r="X85" s="507">
        <v>49960.38</v>
      </c>
      <c r="Y85" s="507">
        <v>55058.97</v>
      </c>
      <c r="Z85" s="507">
        <v>83882.710000000006</v>
      </c>
      <c r="AA85" s="507">
        <f>SUM(O85:Z85)</f>
        <v>859241.9</v>
      </c>
      <c r="AB85" s="508">
        <f>IF(AA85=0,"",IFERROR(AA85/AA$19,""))</f>
        <v>1</v>
      </c>
      <c r="AC85" s="140"/>
      <c r="AD85" s="507">
        <v>1303051.5</v>
      </c>
      <c r="AE85" s="508">
        <f>IF(AD85=0,"",IFERROR(AD85/AD$19,""))</f>
        <v>1</v>
      </c>
      <c r="AF85" s="509">
        <f>IF(AND($AA85="",AD85=""),"",$AA85-AD85)</f>
        <v>-443809.6</v>
      </c>
      <c r="AG85" s="507">
        <v>633296.6</v>
      </c>
      <c r="AH85" s="508">
        <f>IF(AG85=0,"",IFERROR(AG85/AG$19,""))</f>
        <v>1</v>
      </c>
      <c r="AI85" s="509">
        <f>IF(AND($AA85="",AG85=""),"",$AA85-AG85)</f>
        <v>225945.30000000005</v>
      </c>
    </row>
    <row r="86" spans="1:35" x14ac:dyDescent="0.2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v>60</v>
      </c>
      <c r="P86" s="507">
        <v>60</v>
      </c>
      <c r="Q86" s="507">
        <v>60</v>
      </c>
      <c r="R86" s="507">
        <v>60</v>
      </c>
      <c r="S86" s="507">
        <v>60</v>
      </c>
      <c r="T86" s="507">
        <v>60</v>
      </c>
      <c r="U86" s="507">
        <v>60</v>
      </c>
      <c r="V86" s="507">
        <v>60</v>
      </c>
      <c r="W86" s="507">
        <v>60</v>
      </c>
      <c r="X86" s="507">
        <v>60</v>
      </c>
      <c r="Y86" s="507">
        <v>60</v>
      </c>
      <c r="Z86" s="507">
        <v>60</v>
      </c>
      <c r="AA86" s="507">
        <f>SUM(O86:Z86)</f>
        <v>720</v>
      </c>
      <c r="AB86" s="508"/>
      <c r="AC86" s="140"/>
      <c r="AD86" s="507"/>
      <c r="AE86" s="508"/>
      <c r="AF86" s="509">
        <f>IF(AND($AA86="",AD86=""),"",$AA86-AD86)</f>
        <v>720</v>
      </c>
      <c r="AG86" s="507">
        <v>720</v>
      </c>
      <c r="AH86" s="508"/>
      <c r="AI86" s="509">
        <f>IF(AND($AA86="",AG86=""),"",$AA86-AG86)</f>
        <v>0</v>
      </c>
    </row>
    <row r="87" spans="1:35" x14ac:dyDescent="0.2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v>2209</v>
      </c>
      <c r="P87" s="507">
        <v>2626</v>
      </c>
      <c r="Q87" s="507">
        <v>2680</v>
      </c>
      <c r="R87" s="507">
        <v>2835</v>
      </c>
      <c r="S87" s="507">
        <v>2378</v>
      </c>
      <c r="T87" s="507">
        <v>1941</v>
      </c>
      <c r="U87" s="507">
        <v>2313</v>
      </c>
      <c r="V87" s="507">
        <v>1854</v>
      </c>
      <c r="W87" s="507">
        <v>1413</v>
      </c>
      <c r="X87" s="507">
        <v>1583</v>
      </c>
      <c r="Y87" s="507">
        <v>1914</v>
      </c>
      <c r="Z87" s="507">
        <v>2974</v>
      </c>
      <c r="AA87" s="507">
        <f>SUM(O87:Z87)</f>
        <v>26720</v>
      </c>
      <c r="AB87" s="508">
        <f>IF(AA87=0,"",IFERROR(AA87/AA$20,""))</f>
        <v>1</v>
      </c>
      <c r="AC87" s="140"/>
      <c r="AD87" s="507">
        <v>34200</v>
      </c>
      <c r="AE87" s="508">
        <f>IF(AD87=0,"",IFERROR(AD87/AD$20,""))</f>
        <v>1</v>
      </c>
      <c r="AF87" s="509">
        <f>IF(AND($AA87="",AD87=""),"",$AA87-AD87)</f>
        <v>-7480</v>
      </c>
      <c r="AG87" s="507">
        <v>17932</v>
      </c>
      <c r="AH87" s="508">
        <f>IF(AG87=0,"",IFERROR(AG87/AG$20,""))</f>
        <v>1</v>
      </c>
      <c r="AI87" s="509">
        <f>IF(AND($AA87="",AG87=""),"",$AA87-AG87)</f>
        <v>8788</v>
      </c>
    </row>
    <row r="88" spans="1:35" x14ac:dyDescent="0.2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v>28.616174739701201</v>
      </c>
      <c r="P88" s="495">
        <v>33.773381568926098</v>
      </c>
      <c r="Q88" s="495">
        <v>34.718623134328404</v>
      </c>
      <c r="R88" s="495">
        <v>35.318377425044098</v>
      </c>
      <c r="S88" s="495">
        <v>35.358793103448299</v>
      </c>
      <c r="T88" s="495">
        <v>32.903353941267397</v>
      </c>
      <c r="U88" s="495">
        <v>31.9297189796801</v>
      </c>
      <c r="V88" s="495">
        <v>31.033710895361398</v>
      </c>
      <c r="W88" s="495">
        <v>32.502292993630597</v>
      </c>
      <c r="X88" s="495">
        <v>31.5605685407454</v>
      </c>
      <c r="Y88" s="495">
        <v>28.7664420062696</v>
      </c>
      <c r="Z88" s="495">
        <v>28.205349697377301</v>
      </c>
      <c r="AA88" s="495">
        <f>IFERROR(AA85/AA87,"")</f>
        <v>32.157256736526946</v>
      </c>
      <c r="AB88" s="495"/>
      <c r="AC88" s="140"/>
      <c r="AD88" s="495">
        <v>38.100921052631598</v>
      </c>
      <c r="AE88" s="495"/>
      <c r="AF88" s="496">
        <f>IF(AND($AA88="",AD88=""),"",$AA88-AD88)</f>
        <v>-5.9436643161046518</v>
      </c>
      <c r="AG88" s="495">
        <v>35.316562569707799</v>
      </c>
      <c r="AH88" s="495"/>
      <c r="AI88" s="496">
        <f>IF(AND($AA88="",AG88=""),"",$AA88-AG88)</f>
        <v>-3.1593058331808521</v>
      </c>
    </row>
    <row r="89" spans="1:35" x14ac:dyDescent="0.25">
      <c r="A89" s="11"/>
      <c r="B89" s="11"/>
      <c r="C89" s="208"/>
      <c r="D89" s="11"/>
      <c r="E89" s="11"/>
      <c r="F89" s="11"/>
      <c r="G89" s="11"/>
      <c r="H89" s="185"/>
      <c r="I89" s="122"/>
      <c r="J89" s="122"/>
      <c r="K89" s="11"/>
      <c r="L89" s="90"/>
      <c r="M89" s="90"/>
      <c r="N89" s="90"/>
      <c r="O89" s="170"/>
      <c r="P89" s="171"/>
      <c r="Q89" s="171"/>
      <c r="R89" s="171"/>
      <c r="S89" s="171"/>
      <c r="T89" s="171"/>
      <c r="U89" s="171"/>
      <c r="V89" s="171"/>
      <c r="W89" s="171"/>
      <c r="X89" s="171"/>
      <c r="Y89" s="171"/>
      <c r="Z89" s="171"/>
      <c r="AA89" s="171"/>
      <c r="AB89" s="172"/>
      <c r="AC89" s="140"/>
      <c r="AD89" s="170"/>
      <c r="AE89" s="171"/>
      <c r="AF89" s="172"/>
      <c r="AG89" s="170"/>
      <c r="AH89" s="171"/>
      <c r="AI89" s="172"/>
    </row>
    <row r="90" spans="1:35" x14ac:dyDescent="0.25">
      <c r="A90" s="11"/>
      <c r="B90" s="11"/>
      <c r="C90" s="208"/>
      <c r="D90" s="11"/>
      <c r="E90" s="11"/>
      <c r="F90" s="11"/>
      <c r="G90" s="11"/>
      <c r="H90" s="185"/>
      <c r="I90" s="122"/>
      <c r="J90" s="122"/>
      <c r="K90" s="11"/>
      <c r="L90" s="90"/>
      <c r="M90" s="90"/>
      <c r="N90" s="53" t="s">
        <v>334</v>
      </c>
      <c r="O90" s="158"/>
      <c r="P90" s="159"/>
      <c r="Q90" s="159"/>
      <c r="R90" s="159"/>
      <c r="S90" s="159"/>
      <c r="T90" s="159"/>
      <c r="U90" s="159"/>
      <c r="V90" s="159"/>
      <c r="W90" s="159"/>
      <c r="X90" s="159"/>
      <c r="Y90" s="159"/>
      <c r="Z90" s="159"/>
      <c r="AA90" s="159"/>
      <c r="AB90" s="160"/>
      <c r="AC90" s="140"/>
      <c r="AD90" s="158"/>
      <c r="AE90" s="159"/>
      <c r="AF90" s="160"/>
      <c r="AG90" s="158"/>
      <c r="AH90" s="159"/>
      <c r="AI90" s="160"/>
    </row>
    <row r="91" spans="1:35" hidden="1" outlineLevel="1" x14ac:dyDescent="0.2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38">
        <v>480.84</v>
      </c>
      <c r="P91" s="138">
        <v>428.14</v>
      </c>
      <c r="Q91" s="138">
        <v>367.77</v>
      </c>
      <c r="R91" s="138">
        <v>361.02</v>
      </c>
      <c r="S91" s="138">
        <v>301.25</v>
      </c>
      <c r="T91" s="138">
        <v>172.12</v>
      </c>
      <c r="U91" s="138">
        <v>170.98</v>
      </c>
      <c r="V91" s="138">
        <v>178.07</v>
      </c>
      <c r="W91" s="138">
        <v>181.93</v>
      </c>
      <c r="X91" s="138">
        <v>176.61</v>
      </c>
      <c r="Y91" s="138">
        <v>174.36</v>
      </c>
      <c r="Z91" s="138">
        <v>176.05</v>
      </c>
      <c r="AA91" s="138">
        <f>SUM(O91:Z91)</f>
        <v>3169.1400000000003</v>
      </c>
      <c r="AB91" s="142"/>
      <c r="AC91" s="140"/>
      <c r="AD91" s="138">
        <v>16105.285714285301</v>
      </c>
      <c r="AE91" s="142"/>
      <c r="AF91" s="141">
        <f>IF(AND($AA91="",AD91=""),"",$AA91-AD91)</f>
        <v>-12936.1457142853</v>
      </c>
      <c r="AG91" s="138">
        <v>4661.75</v>
      </c>
      <c r="AH91" s="142"/>
      <c r="AI91" s="141">
        <f>IF(AND($AA91="",AG91=""),"",$AA91-AG91)</f>
        <v>-1492.6099999999997</v>
      </c>
    </row>
    <row r="92" spans="1:35" hidden="1" outlineLevel="1" x14ac:dyDescent="0.2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38">
        <v>936.65</v>
      </c>
      <c r="P92" s="138">
        <v>851.36</v>
      </c>
      <c r="Q92" s="138">
        <v>746.23</v>
      </c>
      <c r="R92" s="138">
        <v>94.19</v>
      </c>
      <c r="S92" s="138">
        <v>682.2</v>
      </c>
      <c r="T92" s="138">
        <v>737.17</v>
      </c>
      <c r="U92" s="138">
        <v>857.27</v>
      </c>
      <c r="V92" s="138">
        <v>834.52</v>
      </c>
      <c r="W92" s="138">
        <v>700.47</v>
      </c>
      <c r="X92" s="138">
        <v>746.01</v>
      </c>
      <c r="Y92" s="138">
        <v>822.5</v>
      </c>
      <c r="Z92" s="138">
        <v>753.49</v>
      </c>
      <c r="AA92" s="138">
        <f>SUM(O92:Z92)</f>
        <v>8762.0600000000013</v>
      </c>
      <c r="AB92" s="142"/>
      <c r="AC92" s="140"/>
      <c r="AD92" s="138">
        <v>13373.714285714699</v>
      </c>
      <c r="AE92" s="142"/>
      <c r="AF92" s="141">
        <f>IF(AND($AA92="",AD92=""),"",$AA92-AD92)</f>
        <v>-4611.6542857146978</v>
      </c>
      <c r="AG92" s="138">
        <v>12317.22</v>
      </c>
      <c r="AH92" s="142"/>
      <c r="AI92" s="141">
        <f>IF(AND($AA92="",AG92=""),"",$AA92-AG92)</f>
        <v>-3555.159999999998</v>
      </c>
    </row>
    <row r="93" spans="1:35" collapsed="1" x14ac:dyDescent="0.25">
      <c r="A93" s="11"/>
      <c r="B93" s="11"/>
      <c r="C93" s="208"/>
      <c r="D93" s="11"/>
      <c r="E93" s="11"/>
      <c r="F93" s="11"/>
      <c r="G93" s="11"/>
      <c r="H93" s="185"/>
      <c r="I93" s="122"/>
      <c r="J93" s="122"/>
      <c r="K93" s="11"/>
      <c r="L93" s="90"/>
      <c r="M93" s="90"/>
      <c r="N93" s="104" t="s">
        <v>335</v>
      </c>
      <c r="O93" s="510">
        <f t="shared" ref="O93:AA93" si="25">IFERROR(O$87/O91,"")</f>
        <v>4.5940437567590049</v>
      </c>
      <c r="P93" s="510">
        <f t="shared" si="25"/>
        <v>6.1335077311159907</v>
      </c>
      <c r="Q93" s="510">
        <f t="shared" si="25"/>
        <v>7.2871631726350712</v>
      </c>
      <c r="R93" s="510">
        <f t="shared" si="25"/>
        <v>7.8527505401362809</v>
      </c>
      <c r="S93" s="510">
        <f t="shared" si="25"/>
        <v>7.8937759336099589</v>
      </c>
      <c r="T93" s="510">
        <f t="shared" si="25"/>
        <v>11.277016035324191</v>
      </c>
      <c r="U93" s="510">
        <f t="shared" si="25"/>
        <v>13.527897999766056</v>
      </c>
      <c r="V93" s="510">
        <f t="shared" si="25"/>
        <v>10.41163587353288</v>
      </c>
      <c r="W93" s="510">
        <f t="shared" si="25"/>
        <v>7.7667234650689823</v>
      </c>
      <c r="X93" s="510">
        <f t="shared" si="25"/>
        <v>8.9632523639658004</v>
      </c>
      <c r="Y93" s="510">
        <f t="shared" si="25"/>
        <v>10.977288368891946</v>
      </c>
      <c r="Z93" s="510">
        <f t="shared" si="25"/>
        <v>16.892928145413233</v>
      </c>
      <c r="AA93" s="510">
        <f t="shared" si="25"/>
        <v>8.4313094404160118</v>
      </c>
      <c r="AB93" s="511"/>
      <c r="AC93" s="140"/>
      <c r="AD93" s="510">
        <f>IFERROR(AD$87/AD91,"")</f>
        <v>2.1235264376380969</v>
      </c>
      <c r="AE93" s="511"/>
      <c r="AF93" s="213">
        <f>IF(AND($AA93="",AD93=""),"",$AA93-AD93)</f>
        <v>6.3077830027779154</v>
      </c>
      <c r="AG93" s="510">
        <f>IFERROR(AG$87/AG91,"")</f>
        <v>3.8466241218426558</v>
      </c>
      <c r="AH93" s="511"/>
      <c r="AI93" s="213">
        <f>IF(AND($AA93="",AG93=""),"",$AA93-AG93)</f>
        <v>4.5846853185733565</v>
      </c>
    </row>
    <row r="94" spans="1:35" x14ac:dyDescent="0.25">
      <c r="A94" s="11"/>
      <c r="B94" s="11"/>
      <c r="C94" s="208"/>
      <c r="D94" s="11"/>
      <c r="E94" s="11"/>
      <c r="F94" s="11"/>
      <c r="G94" s="11"/>
      <c r="H94" s="185"/>
      <c r="I94" s="122"/>
      <c r="J94" s="122"/>
      <c r="K94" s="11"/>
      <c r="L94" s="90"/>
      <c r="M94" s="90"/>
      <c r="N94" s="104" t="s">
        <v>336</v>
      </c>
      <c r="O94" s="510">
        <f t="shared" ref="O94:AA94" si="26">IFERROR(O$87/O92,"")</f>
        <v>2.3584049538248011</v>
      </c>
      <c r="P94" s="510">
        <f t="shared" si="26"/>
        <v>3.0844766021424546</v>
      </c>
      <c r="Q94" s="510">
        <f t="shared" si="26"/>
        <v>3.5913860337965504</v>
      </c>
      <c r="R94" s="510">
        <f t="shared" si="26"/>
        <v>30.09873659624164</v>
      </c>
      <c r="S94" s="510">
        <f t="shared" si="26"/>
        <v>3.4857812958076808</v>
      </c>
      <c r="T94" s="510">
        <f t="shared" si="26"/>
        <v>2.6330425817654004</v>
      </c>
      <c r="U94" s="510">
        <f t="shared" si="26"/>
        <v>2.69809978186569</v>
      </c>
      <c r="V94" s="510">
        <f t="shared" si="26"/>
        <v>2.2216363897809521</v>
      </c>
      <c r="W94" s="510">
        <f t="shared" si="26"/>
        <v>2.0172170114351791</v>
      </c>
      <c r="X94" s="510">
        <f t="shared" si="26"/>
        <v>2.1219554697658207</v>
      </c>
      <c r="Y94" s="510">
        <f t="shared" si="26"/>
        <v>2.3270516717325229</v>
      </c>
      <c r="Z94" s="510">
        <f t="shared" si="26"/>
        <v>3.9469667812446083</v>
      </c>
      <c r="AA94" s="510">
        <f t="shared" si="26"/>
        <v>3.049511188008299</v>
      </c>
      <c r="AB94" s="511"/>
      <c r="AC94" s="140"/>
      <c r="AD94" s="510">
        <f>IFERROR(AD$87/AD92,"")</f>
        <v>2.5572551700563215</v>
      </c>
      <c r="AE94" s="511"/>
      <c r="AF94" s="213">
        <f>IF(AND($AA94="",AD94=""),"",$AA94-AD94)</f>
        <v>0.49225601795197749</v>
      </c>
      <c r="AG94" s="510">
        <f>IFERROR(AG$87/AG92,"")</f>
        <v>1.4558479916734459</v>
      </c>
      <c r="AH94" s="511"/>
      <c r="AI94" s="213">
        <f>IF(AND($AA94="",AG94=""),"",$AA94-AG94)</f>
        <v>1.5936631963348531</v>
      </c>
    </row>
    <row r="95" spans="1:35" x14ac:dyDescent="0.2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57"/>
      <c r="AC95" s="140"/>
      <c r="AD95" s="514"/>
      <c r="AE95" s="481"/>
      <c r="AF95" s="157"/>
      <c r="AG95" s="481"/>
      <c r="AH95" s="481"/>
      <c r="AI95" s="157"/>
    </row>
    <row r="96" spans="1:35" x14ac:dyDescent="0.25">
      <c r="A96" s="11"/>
      <c r="B96" s="11"/>
      <c r="C96" s="208"/>
      <c r="D96" s="11"/>
      <c r="E96" s="11"/>
      <c r="F96" s="11"/>
      <c r="G96" s="11"/>
      <c r="H96" s="185"/>
      <c r="I96" s="122"/>
      <c r="J96" s="122"/>
      <c r="K96" s="11"/>
      <c r="L96" s="90"/>
      <c r="M96" s="90"/>
      <c r="N96" s="53" t="s">
        <v>343</v>
      </c>
      <c r="O96" s="514"/>
      <c r="P96" s="481"/>
      <c r="Q96" s="481"/>
      <c r="R96" s="481"/>
      <c r="S96" s="481"/>
      <c r="T96" s="481"/>
      <c r="U96" s="481"/>
      <c r="V96" s="481"/>
      <c r="W96" s="481"/>
      <c r="X96" s="481"/>
      <c r="Y96" s="481"/>
      <c r="Z96" s="481"/>
      <c r="AA96" s="481"/>
      <c r="AB96" s="515"/>
      <c r="AC96" s="140"/>
      <c r="AD96" s="516"/>
      <c r="AE96" s="517"/>
      <c r="AF96" s="157"/>
      <c r="AG96" s="481"/>
      <c r="AH96" s="517"/>
      <c r="AI96" s="157"/>
    </row>
    <row r="97" spans="1:35" x14ac:dyDescent="0.25">
      <c r="A97" s="11"/>
      <c r="B97" s="11"/>
      <c r="C97" s="208"/>
      <c r="D97" s="11"/>
      <c r="E97" s="11"/>
      <c r="F97" s="11"/>
      <c r="G97" s="11"/>
      <c r="H97" s="185"/>
      <c r="I97" s="122"/>
      <c r="J97" s="122"/>
      <c r="K97" s="11"/>
      <c r="L97" s="90"/>
      <c r="M97" s="90"/>
      <c r="N97" s="53" t="s">
        <v>337</v>
      </c>
      <c r="O97" s="158"/>
      <c r="P97" s="159"/>
      <c r="Q97" s="159"/>
      <c r="R97" s="159"/>
      <c r="S97" s="159"/>
      <c r="T97" s="159"/>
      <c r="U97" s="159"/>
      <c r="V97" s="159"/>
      <c r="W97" s="159"/>
      <c r="X97" s="159"/>
      <c r="Y97" s="159"/>
      <c r="Z97" s="159"/>
      <c r="AA97" s="159"/>
      <c r="AB97" s="160"/>
      <c r="AC97" s="140"/>
      <c r="AD97" s="158"/>
      <c r="AE97" s="159"/>
      <c r="AF97" s="160"/>
      <c r="AG97" s="159"/>
      <c r="AH97" s="159"/>
      <c r="AI97" s="160"/>
    </row>
    <row r="98" spans="1:35" x14ac:dyDescent="0.2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38">
        <v>1727</v>
      </c>
      <c r="P98" s="138">
        <v>2601</v>
      </c>
      <c r="Q98" s="138">
        <v>2733</v>
      </c>
      <c r="R98" s="138">
        <v>2061.67</v>
      </c>
      <c r="S98" s="138">
        <v>2428</v>
      </c>
      <c r="T98" s="138">
        <v>1480.01</v>
      </c>
      <c r="U98" s="138">
        <v>2488</v>
      </c>
      <c r="V98" s="138">
        <v>1524</v>
      </c>
      <c r="W98" s="138">
        <v>1967</v>
      </c>
      <c r="X98" s="138">
        <v>1379</v>
      </c>
      <c r="Y98" s="138">
        <v>1338.1</v>
      </c>
      <c r="Z98" s="138">
        <v>1450.4</v>
      </c>
      <c r="AA98" s="138">
        <f t="shared" ref="AA98:AA103" si="27">SUM(O98:Z98)</f>
        <v>23177.18</v>
      </c>
      <c r="AB98" s="142">
        <f t="shared" ref="AB98:AB103" si="28">IF(AA98=0,"",IFERROR(AA98/AA$19,""))</f>
        <v>2.6973987185680771E-2</v>
      </c>
      <c r="AC98" s="140"/>
      <c r="AD98" s="138">
        <v>38440.589999999997</v>
      </c>
      <c r="AE98" s="142">
        <f t="shared" ref="AE98:AE103" si="29">IF(AD98=0,"",IFERROR(AD98/AD$19,""))</f>
        <v>2.950043801031655E-2</v>
      </c>
      <c r="AF98" s="141">
        <f t="shared" ref="AF98:AF103" si="30">IF(AND($AA98="",AD98=""),"",$AA98-AD98)</f>
        <v>-15263.409999999996</v>
      </c>
      <c r="AG98" s="138">
        <v>6693.07</v>
      </c>
      <c r="AH98" s="142">
        <f t="shared" ref="AH98:AH103" si="31">IF(AG98=0,"",IFERROR(AG98/AG$19,""))</f>
        <v>1.0568618243015989E-2</v>
      </c>
      <c r="AI98" s="141">
        <f t="shared" ref="AI98:AI103" si="32">IF(AND($AA98="",AG98=""),"",$AA98-AG98)</f>
        <v>16484.11</v>
      </c>
    </row>
    <row r="99" spans="1:35" x14ac:dyDescent="0.2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38"/>
      <c r="P99" s="138"/>
      <c r="Q99" s="138"/>
      <c r="R99" s="138"/>
      <c r="S99" s="138"/>
      <c r="T99" s="138"/>
      <c r="U99" s="138"/>
      <c r="V99" s="138"/>
      <c r="W99" s="138"/>
      <c r="X99" s="138"/>
      <c r="Y99" s="138"/>
      <c r="Z99" s="138"/>
      <c r="AA99" s="138">
        <f t="shared" si="27"/>
        <v>0</v>
      </c>
      <c r="AB99" s="142" t="str">
        <f t="shared" si="28"/>
        <v/>
      </c>
      <c r="AC99" s="140"/>
      <c r="AD99" s="138"/>
      <c r="AE99" s="142" t="str">
        <f t="shared" si="29"/>
        <v/>
      </c>
      <c r="AF99" s="141">
        <f t="shared" si="30"/>
        <v>0</v>
      </c>
      <c r="AG99" s="138">
        <v>4828.5200000000004</v>
      </c>
      <c r="AH99" s="142">
        <f t="shared" si="31"/>
        <v>7.6244211637959223E-3</v>
      </c>
      <c r="AI99" s="141">
        <f t="shared" si="32"/>
        <v>-4828.5200000000004</v>
      </c>
    </row>
    <row r="100" spans="1:35" x14ac:dyDescent="0.2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38">
        <v>2210.9899999999998</v>
      </c>
      <c r="P100" s="138">
        <v>5321</v>
      </c>
      <c r="Q100" s="138">
        <v>5111</v>
      </c>
      <c r="R100" s="138">
        <v>6036.51</v>
      </c>
      <c r="S100" s="138">
        <v>4236.5</v>
      </c>
      <c r="T100" s="138">
        <v>3740.71</v>
      </c>
      <c r="U100" s="138">
        <v>3697.5</v>
      </c>
      <c r="V100" s="138">
        <v>2950.2</v>
      </c>
      <c r="W100" s="138">
        <v>2677</v>
      </c>
      <c r="X100" s="138">
        <v>3012</v>
      </c>
      <c r="Y100" s="138">
        <v>1559</v>
      </c>
      <c r="Z100" s="138">
        <v>3276</v>
      </c>
      <c r="AA100" s="138">
        <f t="shared" si="27"/>
        <v>43828.409999999996</v>
      </c>
      <c r="AB100" s="142">
        <f t="shared" si="28"/>
        <v>5.1008231791303468E-2</v>
      </c>
      <c r="AC100" s="140"/>
      <c r="AD100" s="138">
        <v>101570.33</v>
      </c>
      <c r="AE100" s="142">
        <f t="shared" si="29"/>
        <v>7.7948055007802844E-2</v>
      </c>
      <c r="AF100" s="141">
        <f t="shared" si="30"/>
        <v>-57741.920000000006</v>
      </c>
      <c r="AG100" s="138">
        <v>55552.25</v>
      </c>
      <c r="AH100" s="142">
        <f t="shared" si="31"/>
        <v>8.7719166659034647E-2</v>
      </c>
      <c r="AI100" s="141">
        <f t="shared" si="32"/>
        <v>-11723.840000000004</v>
      </c>
    </row>
    <row r="101" spans="1:35" x14ac:dyDescent="0.2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38"/>
      <c r="P101" s="138"/>
      <c r="Q101" s="138"/>
      <c r="R101" s="138"/>
      <c r="S101" s="138"/>
      <c r="T101" s="138"/>
      <c r="U101" s="138"/>
      <c r="V101" s="138"/>
      <c r="W101" s="138"/>
      <c r="X101" s="138"/>
      <c r="Y101" s="138"/>
      <c r="Z101" s="138"/>
      <c r="AA101" s="138">
        <f t="shared" si="27"/>
        <v>0</v>
      </c>
      <c r="AB101" s="142" t="str">
        <f t="shared" si="28"/>
        <v/>
      </c>
      <c r="AC101" s="140"/>
      <c r="AD101" s="138"/>
      <c r="AE101" s="142" t="str">
        <f t="shared" si="29"/>
        <v/>
      </c>
      <c r="AF101" s="141">
        <f t="shared" si="30"/>
        <v>0</v>
      </c>
      <c r="AG101" s="138"/>
      <c r="AH101" s="142" t="str">
        <f t="shared" si="31"/>
        <v/>
      </c>
      <c r="AI101" s="141">
        <f t="shared" si="32"/>
        <v>0</v>
      </c>
    </row>
    <row r="102" spans="1:35" x14ac:dyDescent="0.2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38"/>
      <c r="P102" s="138"/>
      <c r="Q102" s="138"/>
      <c r="R102" s="138"/>
      <c r="S102" s="138"/>
      <c r="T102" s="138"/>
      <c r="U102" s="138"/>
      <c r="V102" s="138"/>
      <c r="W102" s="138"/>
      <c r="X102" s="138"/>
      <c r="Y102" s="138"/>
      <c r="Z102" s="138"/>
      <c r="AA102" s="138">
        <f t="shared" si="27"/>
        <v>0</v>
      </c>
      <c r="AB102" s="142" t="str">
        <f t="shared" si="28"/>
        <v/>
      </c>
      <c r="AC102" s="140"/>
      <c r="AD102" s="138"/>
      <c r="AE102" s="142" t="str">
        <f t="shared" si="29"/>
        <v/>
      </c>
      <c r="AF102" s="141">
        <f t="shared" si="30"/>
        <v>0</v>
      </c>
      <c r="AG102" s="138"/>
      <c r="AH102" s="142" t="str">
        <f t="shared" si="31"/>
        <v/>
      </c>
      <c r="AI102" s="141">
        <f t="shared" si="32"/>
        <v>0</v>
      </c>
    </row>
    <row r="103" spans="1:35" x14ac:dyDescent="0.2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2">
        <v>3937.99</v>
      </c>
      <c r="P103" s="162">
        <v>7922</v>
      </c>
      <c r="Q103" s="162">
        <v>7844</v>
      </c>
      <c r="R103" s="162">
        <v>8098.18</v>
      </c>
      <c r="S103" s="162">
        <v>6664.5</v>
      </c>
      <c r="T103" s="162">
        <v>5220.72</v>
      </c>
      <c r="U103" s="162">
        <v>6185.5</v>
      </c>
      <c r="V103" s="162">
        <v>4474.2</v>
      </c>
      <c r="W103" s="162">
        <v>4644</v>
      </c>
      <c r="X103" s="162">
        <v>4391</v>
      </c>
      <c r="Y103" s="162">
        <v>2897.1</v>
      </c>
      <c r="Z103" s="162">
        <v>4726.3999999999996</v>
      </c>
      <c r="AA103" s="162">
        <f t="shared" si="27"/>
        <v>67005.59</v>
      </c>
      <c r="AB103" s="163">
        <f t="shared" si="28"/>
        <v>7.7982218976984236E-2</v>
      </c>
      <c r="AC103" s="140"/>
      <c r="AD103" s="162">
        <v>140010.92000000001</v>
      </c>
      <c r="AE103" s="163">
        <f t="shared" si="29"/>
        <v>0.1074484930181194</v>
      </c>
      <c r="AF103" s="164">
        <f t="shared" si="30"/>
        <v>-73005.330000000016</v>
      </c>
      <c r="AG103" s="162">
        <v>67073.84</v>
      </c>
      <c r="AH103" s="163">
        <f t="shared" si="31"/>
        <v>0.10591220606584656</v>
      </c>
      <c r="AI103" s="164">
        <f t="shared" si="32"/>
        <v>-68.25</v>
      </c>
    </row>
    <row r="104" spans="1:35" x14ac:dyDescent="0.25">
      <c r="A104" s="11"/>
      <c r="B104" s="11"/>
      <c r="C104" s="208"/>
      <c r="D104" s="11"/>
      <c r="E104" s="11"/>
      <c r="F104" s="11"/>
      <c r="G104" s="11"/>
      <c r="H104" s="185"/>
      <c r="I104" s="122"/>
      <c r="J104" s="122"/>
      <c r="K104" s="11"/>
      <c r="L104" s="90"/>
      <c r="M104" s="90"/>
      <c r="N104" s="53"/>
      <c r="O104" s="170"/>
      <c r="P104" s="171"/>
      <c r="Q104" s="171"/>
      <c r="R104" s="171"/>
      <c r="S104" s="171"/>
      <c r="T104" s="171"/>
      <c r="U104" s="171"/>
      <c r="V104" s="171"/>
      <c r="W104" s="171"/>
      <c r="X104" s="171"/>
      <c r="Y104" s="171"/>
      <c r="Z104" s="171"/>
      <c r="AA104" s="171"/>
      <c r="AB104" s="172"/>
      <c r="AC104" s="140"/>
      <c r="AD104" s="170"/>
      <c r="AE104" s="171"/>
      <c r="AF104" s="172"/>
      <c r="AG104" s="170"/>
      <c r="AH104" s="171"/>
      <c r="AI104" s="172"/>
    </row>
    <row r="105" spans="1:35" x14ac:dyDescent="0.25">
      <c r="A105" s="11"/>
      <c r="B105" s="11"/>
      <c r="C105" s="208"/>
      <c r="D105" s="11"/>
      <c r="E105" s="11"/>
      <c r="F105" s="11"/>
      <c r="G105" s="11"/>
      <c r="H105" s="185"/>
      <c r="I105" s="122"/>
      <c r="J105" s="122"/>
      <c r="K105" s="11"/>
      <c r="L105" s="90"/>
      <c r="M105" s="90"/>
      <c r="N105" s="53" t="s">
        <v>339</v>
      </c>
      <c r="O105" s="158"/>
      <c r="P105" s="159"/>
      <c r="Q105" s="159"/>
      <c r="R105" s="159"/>
      <c r="S105" s="159"/>
      <c r="T105" s="159"/>
      <c r="U105" s="159"/>
      <c r="V105" s="159"/>
      <c r="W105" s="159"/>
      <c r="X105" s="159"/>
      <c r="Y105" s="159"/>
      <c r="Z105" s="159"/>
      <c r="AA105" s="159"/>
      <c r="AB105" s="160"/>
      <c r="AC105" s="140"/>
      <c r="AD105" s="158"/>
      <c r="AE105" s="159"/>
      <c r="AF105" s="160"/>
      <c r="AG105" s="158"/>
      <c r="AH105" s="159"/>
      <c r="AI105" s="160"/>
    </row>
    <row r="106" spans="1:35" x14ac:dyDescent="0.2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38">
        <v>368</v>
      </c>
      <c r="P106" s="138">
        <v>440</v>
      </c>
      <c r="Q106" s="138">
        <v>454</v>
      </c>
      <c r="R106" s="138">
        <v>397</v>
      </c>
      <c r="S106" s="138">
        <v>454</v>
      </c>
      <c r="T106" s="138">
        <v>231.5</v>
      </c>
      <c r="U106" s="138">
        <v>368</v>
      </c>
      <c r="V106" s="138">
        <v>123</v>
      </c>
      <c r="W106" s="138">
        <v>196</v>
      </c>
      <c r="X106" s="138">
        <v>239</v>
      </c>
      <c r="Y106" s="138">
        <v>150</v>
      </c>
      <c r="Z106" s="138">
        <v>148</v>
      </c>
      <c r="AA106" s="138">
        <f t="shared" ref="AA106:AA111" si="33">SUM(O106:Z106)</f>
        <v>3568.5</v>
      </c>
      <c r="AB106" s="142">
        <f t="shared" ref="AB106:AB111" si="34">IF(AA106=0,"",IFERROR(AA106/AA$19,""))</f>
        <v>4.1530795926036663E-3</v>
      </c>
      <c r="AC106" s="140"/>
      <c r="AD106" s="138">
        <v>3203.3825000000002</v>
      </c>
      <c r="AE106" s="142">
        <f t="shared" ref="AE106:AE111" si="35">IF(AD106=0,"",IFERROR(AD106/AD$19,""))</f>
        <v>2.4583698341930464E-3</v>
      </c>
      <c r="AF106" s="141">
        <f t="shared" ref="AF106:AF111" si="36">IF(AND($AA106="",AD106=""),"",$AA106-AD106)</f>
        <v>365.11749999999984</v>
      </c>
      <c r="AG106" s="138">
        <v>740</v>
      </c>
      <c r="AH106" s="142">
        <f t="shared" ref="AH106:AH111" si="37">IF(AG106=0,"",IFERROR(AG106/AG$19,""))</f>
        <v>1.168488824983428E-3</v>
      </c>
      <c r="AI106" s="141">
        <f t="shared" ref="AI106:AI111" si="38">IF(AND($AA106="",AG106=""),"",$AA106-AG106)</f>
        <v>2828.5</v>
      </c>
    </row>
    <row r="107" spans="1:35" x14ac:dyDescent="0.2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38"/>
      <c r="P107" s="138"/>
      <c r="Q107" s="138"/>
      <c r="R107" s="138"/>
      <c r="S107" s="138"/>
      <c r="T107" s="138"/>
      <c r="U107" s="138"/>
      <c r="V107" s="138"/>
      <c r="W107" s="138"/>
      <c r="X107" s="138"/>
      <c r="Y107" s="138"/>
      <c r="Z107" s="138"/>
      <c r="AA107" s="138">
        <f t="shared" si="33"/>
        <v>0</v>
      </c>
      <c r="AB107" s="142" t="str">
        <f t="shared" si="34"/>
        <v/>
      </c>
      <c r="AC107" s="140"/>
      <c r="AD107" s="138"/>
      <c r="AE107" s="142" t="str">
        <f t="shared" si="35"/>
        <v/>
      </c>
      <c r="AF107" s="141">
        <f t="shared" si="36"/>
        <v>0</v>
      </c>
      <c r="AG107" s="138">
        <v>880.2</v>
      </c>
      <c r="AH107" s="142">
        <f t="shared" si="37"/>
        <v>1.3898700861492072E-3</v>
      </c>
      <c r="AI107" s="141">
        <f t="shared" si="38"/>
        <v>-880.2</v>
      </c>
    </row>
    <row r="108" spans="1:35" x14ac:dyDescent="0.2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38">
        <v>214</v>
      </c>
      <c r="P108" s="138">
        <v>752</v>
      </c>
      <c r="Q108" s="138">
        <v>615</v>
      </c>
      <c r="R108" s="138">
        <v>828</v>
      </c>
      <c r="S108" s="138">
        <v>628</v>
      </c>
      <c r="T108" s="138">
        <v>457</v>
      </c>
      <c r="U108" s="138">
        <v>726</v>
      </c>
      <c r="V108" s="138">
        <v>408.2</v>
      </c>
      <c r="W108" s="138">
        <v>322</v>
      </c>
      <c r="X108" s="138">
        <v>551.5</v>
      </c>
      <c r="Y108" s="138">
        <v>405.4</v>
      </c>
      <c r="Z108" s="138">
        <v>672</v>
      </c>
      <c r="AA108" s="138">
        <f t="shared" si="33"/>
        <v>6579.0999999999995</v>
      </c>
      <c r="AB108" s="142">
        <f t="shared" si="34"/>
        <v>7.6568658953898774E-3</v>
      </c>
      <c r="AC108" s="140"/>
      <c r="AD108" s="138">
        <v>14085.002500000001</v>
      </c>
      <c r="AE108" s="142">
        <f t="shared" si="35"/>
        <v>1.0809244684496355E-2</v>
      </c>
      <c r="AF108" s="141">
        <f t="shared" si="36"/>
        <v>-7505.9025000000011</v>
      </c>
      <c r="AG108" s="138">
        <v>6829.72</v>
      </c>
      <c r="AH108" s="142">
        <f t="shared" si="37"/>
        <v>1.0784393915899755E-2</v>
      </c>
      <c r="AI108" s="141">
        <f t="shared" si="38"/>
        <v>-250.6200000000008</v>
      </c>
    </row>
    <row r="109" spans="1:35" x14ac:dyDescent="0.2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38"/>
      <c r="P109" s="138"/>
      <c r="Q109" s="138"/>
      <c r="R109" s="138"/>
      <c r="S109" s="138"/>
      <c r="T109" s="138"/>
      <c r="U109" s="138"/>
      <c r="V109" s="138"/>
      <c r="W109" s="138"/>
      <c r="X109" s="138"/>
      <c r="Y109" s="138"/>
      <c r="Z109" s="138"/>
      <c r="AA109" s="138">
        <f t="shared" si="33"/>
        <v>0</v>
      </c>
      <c r="AB109" s="142" t="str">
        <f t="shared" si="34"/>
        <v/>
      </c>
      <c r="AC109" s="140"/>
      <c r="AD109" s="138"/>
      <c r="AE109" s="142" t="str">
        <f t="shared" si="35"/>
        <v/>
      </c>
      <c r="AF109" s="141">
        <f t="shared" si="36"/>
        <v>0</v>
      </c>
      <c r="AG109" s="138"/>
      <c r="AH109" s="142" t="str">
        <f t="shared" si="37"/>
        <v/>
      </c>
      <c r="AI109" s="141">
        <f t="shared" si="38"/>
        <v>0</v>
      </c>
    </row>
    <row r="110" spans="1:35" x14ac:dyDescent="0.2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38"/>
      <c r="P110" s="138"/>
      <c r="Q110" s="138"/>
      <c r="R110" s="138"/>
      <c r="S110" s="138"/>
      <c r="T110" s="138"/>
      <c r="U110" s="138"/>
      <c r="V110" s="138"/>
      <c r="W110" s="138"/>
      <c r="X110" s="138"/>
      <c r="Y110" s="138"/>
      <c r="Z110" s="138"/>
      <c r="AA110" s="138">
        <f t="shared" si="33"/>
        <v>0</v>
      </c>
      <c r="AB110" s="142" t="str">
        <f t="shared" si="34"/>
        <v/>
      </c>
      <c r="AC110" s="140"/>
      <c r="AD110" s="138"/>
      <c r="AE110" s="142" t="str">
        <f t="shared" si="35"/>
        <v/>
      </c>
      <c r="AF110" s="141">
        <f t="shared" si="36"/>
        <v>0</v>
      </c>
      <c r="AG110" s="138"/>
      <c r="AH110" s="142" t="str">
        <f t="shared" si="37"/>
        <v/>
      </c>
      <c r="AI110" s="141">
        <f t="shared" si="38"/>
        <v>0</v>
      </c>
    </row>
    <row r="111" spans="1:35" x14ac:dyDescent="0.2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2">
        <v>582</v>
      </c>
      <c r="P111" s="162">
        <v>1192</v>
      </c>
      <c r="Q111" s="162">
        <v>1069</v>
      </c>
      <c r="R111" s="162">
        <v>1225</v>
      </c>
      <c r="S111" s="162">
        <v>1082</v>
      </c>
      <c r="T111" s="162">
        <v>688.5</v>
      </c>
      <c r="U111" s="162">
        <v>1094</v>
      </c>
      <c r="V111" s="162">
        <v>531.20000000000005</v>
      </c>
      <c r="W111" s="162">
        <v>518</v>
      </c>
      <c r="X111" s="162">
        <v>790.5</v>
      </c>
      <c r="Y111" s="162">
        <v>555.4</v>
      </c>
      <c r="Z111" s="162">
        <v>820</v>
      </c>
      <c r="AA111" s="162">
        <f t="shared" si="33"/>
        <v>10147.6</v>
      </c>
      <c r="AB111" s="163">
        <f t="shared" si="34"/>
        <v>1.1809945487993544E-2</v>
      </c>
      <c r="AC111" s="140"/>
      <c r="AD111" s="162">
        <v>17288.384999999998</v>
      </c>
      <c r="AE111" s="163">
        <f t="shared" si="35"/>
        <v>1.3267614518689397E-2</v>
      </c>
      <c r="AF111" s="164">
        <f t="shared" si="36"/>
        <v>-7140.784999999998</v>
      </c>
      <c r="AG111" s="162">
        <v>8449.92</v>
      </c>
      <c r="AH111" s="163">
        <f t="shared" si="37"/>
        <v>1.334275282703239E-2</v>
      </c>
      <c r="AI111" s="164">
        <f t="shared" si="38"/>
        <v>1697.6800000000003</v>
      </c>
    </row>
    <row r="112" spans="1:35" x14ac:dyDescent="0.25">
      <c r="A112" s="11"/>
      <c r="B112" s="11"/>
      <c r="C112" s="208"/>
      <c r="D112" s="11"/>
      <c r="E112" s="11"/>
      <c r="F112" s="11"/>
      <c r="G112" s="11"/>
      <c r="H112" s="185"/>
      <c r="I112" s="122"/>
      <c r="J112" s="122"/>
      <c r="K112" s="11"/>
      <c r="L112" s="90"/>
      <c r="M112" s="90"/>
      <c r="N112" s="53"/>
      <c r="O112" s="170"/>
      <c r="P112" s="171"/>
      <c r="Q112" s="171"/>
      <c r="R112" s="171"/>
      <c r="S112" s="171"/>
      <c r="T112" s="171"/>
      <c r="U112" s="171"/>
      <c r="V112" s="171"/>
      <c r="W112" s="171"/>
      <c r="X112" s="171"/>
      <c r="Y112" s="171"/>
      <c r="Z112" s="171"/>
      <c r="AA112" s="171"/>
      <c r="AB112" s="172"/>
      <c r="AC112" s="140"/>
      <c r="AD112" s="170"/>
      <c r="AE112" s="171"/>
      <c r="AF112" s="172"/>
      <c r="AG112" s="170"/>
      <c r="AH112" s="171"/>
      <c r="AI112" s="172"/>
    </row>
    <row r="113" spans="1:35" x14ac:dyDescent="0.25">
      <c r="A113" s="11"/>
      <c r="B113" s="11"/>
      <c r="C113" s="208"/>
      <c r="D113" s="11"/>
      <c r="E113" s="11"/>
      <c r="F113" s="11"/>
      <c r="G113" s="11"/>
      <c r="H113" s="185"/>
      <c r="I113" s="122"/>
      <c r="J113" s="122"/>
      <c r="K113" s="11"/>
      <c r="L113" s="90"/>
      <c r="M113" s="90"/>
      <c r="N113" s="53" t="s">
        <v>338</v>
      </c>
      <c r="O113" s="158"/>
      <c r="P113" s="159"/>
      <c r="Q113" s="159"/>
      <c r="R113" s="159"/>
      <c r="S113" s="159"/>
      <c r="T113" s="159"/>
      <c r="U113" s="159"/>
      <c r="V113" s="159"/>
      <c r="W113" s="159"/>
      <c r="X113" s="159"/>
      <c r="Y113" s="159"/>
      <c r="Z113" s="159"/>
      <c r="AA113" s="159"/>
      <c r="AB113" s="160"/>
      <c r="AC113" s="140"/>
      <c r="AD113" s="158"/>
      <c r="AE113" s="159"/>
      <c r="AF113" s="160"/>
      <c r="AG113" s="158"/>
      <c r="AH113" s="159"/>
      <c r="AI113" s="160"/>
    </row>
    <row r="114" spans="1:35" x14ac:dyDescent="0.2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38">
        <v>3483</v>
      </c>
      <c r="P114" s="138">
        <v>5248.4</v>
      </c>
      <c r="Q114" s="138">
        <v>5335</v>
      </c>
      <c r="R114" s="138">
        <v>5144</v>
      </c>
      <c r="S114" s="138">
        <v>5683</v>
      </c>
      <c r="T114" s="138">
        <v>3626</v>
      </c>
      <c r="U114" s="138">
        <v>3115</v>
      </c>
      <c r="V114" s="138">
        <v>2920</v>
      </c>
      <c r="W114" s="138">
        <v>2701</v>
      </c>
      <c r="X114" s="138">
        <v>1476</v>
      </c>
      <c r="Y114" s="138">
        <v>1659.1</v>
      </c>
      <c r="Z114" s="138">
        <v>2847.7</v>
      </c>
      <c r="AA114" s="138">
        <f t="shared" ref="AA114:AA119" si="39">SUM(O114:Z114)</f>
        <v>43238.2</v>
      </c>
      <c r="AB114" s="142">
        <f t="shared" ref="AB114:AB119" si="40">IF(AA114=0,"",IFERROR(AA114/AA$19,""))</f>
        <v>5.032133558663747E-2</v>
      </c>
      <c r="AC114" s="140"/>
      <c r="AD114" s="138">
        <v>96101.475000000006</v>
      </c>
      <c r="AE114" s="142">
        <f t="shared" ref="AE114:AE119" si="41">IF(AD114=0,"",IFERROR(AD114/AD$19,""))</f>
        <v>7.3751095025791386E-2</v>
      </c>
      <c r="AF114" s="141">
        <f t="shared" ref="AF114:AF119" si="42">IF(AND($AA114="",AD114=""),"",$AA114-AD114)</f>
        <v>-52863.275000000009</v>
      </c>
      <c r="AG114" s="138">
        <v>17005.099999999999</v>
      </c>
      <c r="AH114" s="142">
        <f t="shared" ref="AH114:AH119" si="43">IF(AG114=0,"",IFERROR(AG114/AG$19,""))</f>
        <v>2.6851715294223907E-2</v>
      </c>
      <c r="AI114" s="141">
        <f t="shared" ref="AI114:AI119" si="44">IF(AND($AA114="",AG114=""),"",$AA114-AG114)</f>
        <v>26233.1</v>
      </c>
    </row>
    <row r="115" spans="1:35" x14ac:dyDescent="0.2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38"/>
      <c r="P115" s="138"/>
      <c r="Q115" s="138"/>
      <c r="R115" s="138"/>
      <c r="S115" s="138"/>
      <c r="T115" s="138"/>
      <c r="U115" s="138"/>
      <c r="V115" s="138"/>
      <c r="W115" s="138"/>
      <c r="X115" s="138"/>
      <c r="Y115" s="138"/>
      <c r="Z115" s="138"/>
      <c r="AA115" s="138">
        <f t="shared" si="39"/>
        <v>0</v>
      </c>
      <c r="AB115" s="142" t="str">
        <f t="shared" si="40"/>
        <v/>
      </c>
      <c r="AC115" s="140"/>
      <c r="AD115" s="138"/>
      <c r="AE115" s="142" t="str">
        <f t="shared" si="41"/>
        <v/>
      </c>
      <c r="AF115" s="141">
        <f t="shared" si="42"/>
        <v>0</v>
      </c>
      <c r="AG115" s="138">
        <v>8857.6</v>
      </c>
      <c r="AH115" s="142">
        <f t="shared" si="43"/>
        <v>1.3986495427261098E-2</v>
      </c>
      <c r="AI115" s="141">
        <f t="shared" si="44"/>
        <v>-8857.6</v>
      </c>
    </row>
    <row r="116" spans="1:35" x14ac:dyDescent="0.2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38">
        <v>2772.06</v>
      </c>
      <c r="P116" s="138">
        <v>4773.8</v>
      </c>
      <c r="Q116" s="138">
        <v>4094</v>
      </c>
      <c r="R116" s="138">
        <v>4564</v>
      </c>
      <c r="S116" s="138">
        <v>3211.59</v>
      </c>
      <c r="T116" s="138">
        <v>1737.5</v>
      </c>
      <c r="U116" s="138">
        <v>2130.6</v>
      </c>
      <c r="V116" s="138">
        <v>1919.3</v>
      </c>
      <c r="W116" s="138">
        <v>1253.5</v>
      </c>
      <c r="X116" s="138">
        <v>2317.5</v>
      </c>
      <c r="Y116" s="138">
        <v>1853.21</v>
      </c>
      <c r="Z116" s="138">
        <v>3978</v>
      </c>
      <c r="AA116" s="138">
        <f t="shared" si="39"/>
        <v>34605.06</v>
      </c>
      <c r="AB116" s="142">
        <f t="shared" si="40"/>
        <v>4.027394381023551E-2</v>
      </c>
      <c r="AC116" s="140"/>
      <c r="AD116" s="138">
        <v>66315.63</v>
      </c>
      <c r="AE116" s="142">
        <f t="shared" si="41"/>
        <v>5.0892562573313489E-2</v>
      </c>
      <c r="AF116" s="141">
        <f t="shared" si="42"/>
        <v>-31710.570000000007</v>
      </c>
      <c r="AG116" s="138">
        <v>34858.32</v>
      </c>
      <c r="AH116" s="142">
        <f t="shared" si="43"/>
        <v>5.5042645104995042E-2</v>
      </c>
      <c r="AI116" s="141">
        <f t="shared" si="44"/>
        <v>-253.26000000000204</v>
      </c>
    </row>
    <row r="117" spans="1:35" x14ac:dyDescent="0.2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38"/>
      <c r="P117" s="138"/>
      <c r="Q117" s="138"/>
      <c r="R117" s="138"/>
      <c r="S117" s="138"/>
      <c r="T117" s="138"/>
      <c r="U117" s="138"/>
      <c r="V117" s="138"/>
      <c r="W117" s="138"/>
      <c r="X117" s="138"/>
      <c r="Y117" s="138"/>
      <c r="Z117" s="138"/>
      <c r="AA117" s="138">
        <f t="shared" si="39"/>
        <v>0</v>
      </c>
      <c r="AB117" s="142" t="str">
        <f t="shared" si="40"/>
        <v/>
      </c>
      <c r="AC117" s="140"/>
      <c r="AD117" s="138"/>
      <c r="AE117" s="142" t="str">
        <f t="shared" si="41"/>
        <v/>
      </c>
      <c r="AF117" s="141">
        <f t="shared" si="42"/>
        <v>0</v>
      </c>
      <c r="AG117" s="138">
        <v>11</v>
      </c>
      <c r="AH117" s="142">
        <f t="shared" si="43"/>
        <v>1.736942847948339E-5</v>
      </c>
      <c r="AI117" s="141">
        <f t="shared" si="44"/>
        <v>-11</v>
      </c>
    </row>
    <row r="118" spans="1:35" x14ac:dyDescent="0.2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38"/>
      <c r="P118" s="138"/>
      <c r="Q118" s="138"/>
      <c r="R118" s="138"/>
      <c r="S118" s="138"/>
      <c r="T118" s="138"/>
      <c r="U118" s="138"/>
      <c r="V118" s="138"/>
      <c r="W118" s="138"/>
      <c r="X118" s="138"/>
      <c r="Y118" s="138"/>
      <c r="Z118" s="138"/>
      <c r="AA118" s="138">
        <f t="shared" si="39"/>
        <v>0</v>
      </c>
      <c r="AB118" s="142" t="str">
        <f t="shared" si="40"/>
        <v/>
      </c>
      <c r="AC118" s="140"/>
      <c r="AD118" s="138"/>
      <c r="AE118" s="142" t="str">
        <f t="shared" si="41"/>
        <v/>
      </c>
      <c r="AF118" s="141">
        <f t="shared" si="42"/>
        <v>0</v>
      </c>
      <c r="AG118" s="138"/>
      <c r="AH118" s="142" t="str">
        <f t="shared" si="43"/>
        <v/>
      </c>
      <c r="AI118" s="141">
        <f t="shared" si="44"/>
        <v>0</v>
      </c>
    </row>
    <row r="119" spans="1:35" x14ac:dyDescent="0.2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2">
        <v>6255.06</v>
      </c>
      <c r="P119" s="162">
        <v>10022.200000000001</v>
      </c>
      <c r="Q119" s="162">
        <v>9429</v>
      </c>
      <c r="R119" s="162">
        <v>9708</v>
      </c>
      <c r="S119" s="162">
        <v>8894.59</v>
      </c>
      <c r="T119" s="162">
        <v>5363.5</v>
      </c>
      <c r="U119" s="162">
        <v>5245.6</v>
      </c>
      <c r="V119" s="162">
        <v>4839.3</v>
      </c>
      <c r="W119" s="162">
        <v>3954.5</v>
      </c>
      <c r="X119" s="162">
        <v>3793.5</v>
      </c>
      <c r="Y119" s="162">
        <v>3512.31</v>
      </c>
      <c r="Z119" s="162">
        <v>6825.7</v>
      </c>
      <c r="AA119" s="162">
        <f t="shared" si="39"/>
        <v>77843.259999999995</v>
      </c>
      <c r="AB119" s="163">
        <f t="shared" si="40"/>
        <v>9.059527939687298E-2</v>
      </c>
      <c r="AC119" s="140"/>
      <c r="AD119" s="162">
        <v>162417.10500000001</v>
      </c>
      <c r="AE119" s="163">
        <f t="shared" si="41"/>
        <v>0.12464365759910488</v>
      </c>
      <c r="AF119" s="164">
        <f t="shared" si="42"/>
        <v>-84573.845000000016</v>
      </c>
      <c r="AG119" s="162">
        <v>60732.02</v>
      </c>
      <c r="AH119" s="163">
        <f t="shared" si="43"/>
        <v>9.5898225254959529E-2</v>
      </c>
      <c r="AI119" s="164">
        <f t="shared" si="44"/>
        <v>17111.239999999998</v>
      </c>
    </row>
    <row r="120" spans="1:35" x14ac:dyDescent="0.25">
      <c r="A120" s="11"/>
      <c r="B120" s="11"/>
      <c r="C120" s="208"/>
      <c r="D120" s="11"/>
      <c r="E120" s="11"/>
      <c r="F120" s="11"/>
      <c r="G120" s="11"/>
      <c r="H120" s="185"/>
      <c r="I120" s="122"/>
      <c r="J120" s="122"/>
      <c r="K120" s="11"/>
      <c r="L120" s="90"/>
      <c r="M120" s="90"/>
      <c r="N120" s="11"/>
      <c r="O120" s="170"/>
      <c r="P120" s="171"/>
      <c r="Q120" s="171"/>
      <c r="R120" s="171"/>
      <c r="S120" s="171"/>
      <c r="T120" s="171"/>
      <c r="U120" s="171"/>
      <c r="V120" s="171"/>
      <c r="W120" s="171"/>
      <c r="X120" s="171"/>
      <c r="Y120" s="171"/>
      <c r="Z120" s="171"/>
      <c r="AA120" s="171"/>
      <c r="AB120" s="172"/>
      <c r="AC120" s="140"/>
      <c r="AD120" s="170"/>
      <c r="AE120" s="171"/>
      <c r="AF120" s="172"/>
      <c r="AG120" s="170"/>
      <c r="AH120" s="171"/>
      <c r="AI120" s="172"/>
    </row>
    <row r="121" spans="1:35" x14ac:dyDescent="0.2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38">
        <f t="shared" ref="O121:Z121" si="45">O98+O106+O114</f>
        <v>5578</v>
      </c>
      <c r="P121" s="138">
        <f t="shared" si="45"/>
        <v>8289.4</v>
      </c>
      <c r="Q121" s="138">
        <f t="shared" si="45"/>
        <v>8522</v>
      </c>
      <c r="R121" s="138">
        <f t="shared" si="45"/>
        <v>7602.67</v>
      </c>
      <c r="S121" s="138">
        <f t="shared" si="45"/>
        <v>8565</v>
      </c>
      <c r="T121" s="138">
        <f t="shared" si="45"/>
        <v>5337.51</v>
      </c>
      <c r="U121" s="138">
        <f t="shared" si="45"/>
        <v>5971</v>
      </c>
      <c r="V121" s="138">
        <f t="shared" si="45"/>
        <v>4567</v>
      </c>
      <c r="W121" s="138">
        <f t="shared" si="45"/>
        <v>4864</v>
      </c>
      <c r="X121" s="138">
        <f t="shared" si="45"/>
        <v>3094</v>
      </c>
      <c r="Y121" s="138">
        <f t="shared" si="45"/>
        <v>3147.2</v>
      </c>
      <c r="Z121" s="138">
        <f t="shared" si="45"/>
        <v>4446.1000000000004</v>
      </c>
      <c r="AA121" s="138">
        <f t="shared" ref="AA121:AA126" si="46">SUM(O121:Z121)</f>
        <v>69983.88</v>
      </c>
      <c r="AB121" s="142">
        <f t="shared" ref="AB121:AB126" si="47">IF(AA121=0,"",IFERROR(AA121/AA$19,""))</f>
        <v>8.1448402364921915E-2</v>
      </c>
      <c r="AC121" s="140"/>
      <c r="AD121" s="138">
        <f>AD98+AD106+AD114</f>
        <v>137745.44750000001</v>
      </c>
      <c r="AE121" s="142">
        <f t="shared" ref="AE121:AE126" si="48">IF(AD121=0,"",IFERROR(AD121/AD$19,""))</f>
        <v>0.10570990287030099</v>
      </c>
      <c r="AF121" s="141">
        <f t="shared" ref="AF121:AF126" si="49">IF(AND($AA121="",AD121=""),"",$AA121-AD121)</f>
        <v>-67761.567500000005</v>
      </c>
      <c r="AG121" s="138">
        <f>AG98+AG106+AG114</f>
        <v>24438.17</v>
      </c>
      <c r="AH121" s="142">
        <f t="shared" ref="AH121:AH126" si="50">IF(AG121=0,"",IFERROR(AG121/AG$19,""))</f>
        <v>3.8588822362223323E-2</v>
      </c>
      <c r="AI121" s="141">
        <f t="shared" ref="AI121:AI126" si="51">IF(AND($AA121="",AG121=""),"",$AA121-AG121)</f>
        <v>45545.710000000006</v>
      </c>
    </row>
    <row r="122" spans="1:35" x14ac:dyDescent="0.2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38">
        <f t="shared" ref="O122:Z122" si="52">O99+O107+O115</f>
        <v>0</v>
      </c>
      <c r="P122" s="138">
        <f t="shared" si="52"/>
        <v>0</v>
      </c>
      <c r="Q122" s="138">
        <f t="shared" si="52"/>
        <v>0</v>
      </c>
      <c r="R122" s="138">
        <f t="shared" si="52"/>
        <v>0</v>
      </c>
      <c r="S122" s="138">
        <f t="shared" si="52"/>
        <v>0</v>
      </c>
      <c r="T122" s="138">
        <f t="shared" si="52"/>
        <v>0</v>
      </c>
      <c r="U122" s="138">
        <f t="shared" si="52"/>
        <v>0</v>
      </c>
      <c r="V122" s="138">
        <f t="shared" si="52"/>
        <v>0</v>
      </c>
      <c r="W122" s="138">
        <f t="shared" si="52"/>
        <v>0</v>
      </c>
      <c r="X122" s="138">
        <f t="shared" si="52"/>
        <v>0</v>
      </c>
      <c r="Y122" s="138">
        <f t="shared" si="52"/>
        <v>0</v>
      </c>
      <c r="Z122" s="138">
        <f t="shared" si="52"/>
        <v>0</v>
      </c>
      <c r="AA122" s="138">
        <f t="shared" si="46"/>
        <v>0</v>
      </c>
      <c r="AB122" s="142" t="str">
        <f t="shared" si="47"/>
        <v/>
      </c>
      <c r="AC122" s="140"/>
      <c r="AD122" s="138">
        <f>AD99+AD107+AD115</f>
        <v>0</v>
      </c>
      <c r="AE122" s="142" t="str">
        <f t="shared" si="48"/>
        <v/>
      </c>
      <c r="AF122" s="141">
        <f t="shared" si="49"/>
        <v>0</v>
      </c>
      <c r="AG122" s="138">
        <f>AG99+AG107+AG115</f>
        <v>14566.32</v>
      </c>
      <c r="AH122" s="142">
        <f t="shared" si="50"/>
        <v>2.3000786677206227E-2</v>
      </c>
      <c r="AI122" s="141">
        <f t="shared" si="51"/>
        <v>-14566.32</v>
      </c>
    </row>
    <row r="123" spans="1:35" x14ac:dyDescent="0.2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38">
        <f t="shared" ref="O123:Z123" si="53">O100+O108+O116</f>
        <v>5197.0499999999993</v>
      </c>
      <c r="P123" s="138">
        <f t="shared" si="53"/>
        <v>10846.8</v>
      </c>
      <c r="Q123" s="138">
        <f t="shared" si="53"/>
        <v>9820</v>
      </c>
      <c r="R123" s="138">
        <f t="shared" si="53"/>
        <v>11428.51</v>
      </c>
      <c r="S123" s="138">
        <f t="shared" si="53"/>
        <v>8076.09</v>
      </c>
      <c r="T123" s="138">
        <f t="shared" si="53"/>
        <v>5935.21</v>
      </c>
      <c r="U123" s="138">
        <f t="shared" si="53"/>
        <v>6554.1</v>
      </c>
      <c r="V123" s="138">
        <f t="shared" si="53"/>
        <v>5277.7</v>
      </c>
      <c r="W123" s="138">
        <f t="shared" si="53"/>
        <v>4252.5</v>
      </c>
      <c r="X123" s="138">
        <f t="shared" si="53"/>
        <v>5881</v>
      </c>
      <c r="Y123" s="138">
        <f t="shared" si="53"/>
        <v>3817.61</v>
      </c>
      <c r="Z123" s="138">
        <f t="shared" si="53"/>
        <v>7926</v>
      </c>
      <c r="AA123" s="138">
        <f t="shared" si="46"/>
        <v>85012.569999999992</v>
      </c>
      <c r="AB123" s="142">
        <f t="shared" si="47"/>
        <v>9.8939041496928851E-2</v>
      </c>
      <c r="AC123" s="140"/>
      <c r="AD123" s="138">
        <f>AD100+AD108+AD116</f>
        <v>181970.96250000002</v>
      </c>
      <c r="AE123" s="142">
        <f t="shared" si="48"/>
        <v>0.13964986226561268</v>
      </c>
      <c r="AF123" s="141">
        <f t="shared" si="49"/>
        <v>-96958.392500000031</v>
      </c>
      <c r="AG123" s="138">
        <f>AG100+AG108+AG116</f>
        <v>97240.290000000008</v>
      </c>
      <c r="AH123" s="142">
        <f t="shared" si="50"/>
        <v>0.15354620567992947</v>
      </c>
      <c r="AI123" s="141">
        <f t="shared" si="51"/>
        <v>-12227.720000000016</v>
      </c>
    </row>
    <row r="124" spans="1:35" x14ac:dyDescent="0.2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38">
        <f t="shared" ref="O124:Z124" si="54">O101+O109+O117</f>
        <v>0</v>
      </c>
      <c r="P124" s="138">
        <f t="shared" si="54"/>
        <v>0</v>
      </c>
      <c r="Q124" s="138">
        <f t="shared" si="54"/>
        <v>0</v>
      </c>
      <c r="R124" s="138">
        <f t="shared" si="54"/>
        <v>0</v>
      </c>
      <c r="S124" s="138">
        <f t="shared" si="54"/>
        <v>0</v>
      </c>
      <c r="T124" s="138">
        <f t="shared" si="54"/>
        <v>0</v>
      </c>
      <c r="U124" s="138">
        <f t="shared" si="54"/>
        <v>0</v>
      </c>
      <c r="V124" s="138">
        <f t="shared" si="54"/>
        <v>0</v>
      </c>
      <c r="W124" s="138">
        <f t="shared" si="54"/>
        <v>0</v>
      </c>
      <c r="X124" s="138">
        <f t="shared" si="54"/>
        <v>0</v>
      </c>
      <c r="Y124" s="138">
        <f t="shared" si="54"/>
        <v>0</v>
      </c>
      <c r="Z124" s="138">
        <f t="shared" si="54"/>
        <v>0</v>
      </c>
      <c r="AA124" s="138">
        <f t="shared" si="46"/>
        <v>0</v>
      </c>
      <c r="AB124" s="142" t="str">
        <f t="shared" si="47"/>
        <v/>
      </c>
      <c r="AC124" s="140"/>
      <c r="AD124" s="138">
        <f>AD101+AD109+AD117</f>
        <v>0</v>
      </c>
      <c r="AE124" s="142" t="str">
        <f t="shared" si="48"/>
        <v/>
      </c>
      <c r="AF124" s="141">
        <f t="shared" si="49"/>
        <v>0</v>
      </c>
      <c r="AG124" s="138">
        <f>AG101+AG109+AG117</f>
        <v>11</v>
      </c>
      <c r="AH124" s="142">
        <f t="shared" si="50"/>
        <v>1.736942847948339E-5</v>
      </c>
      <c r="AI124" s="141">
        <f t="shared" si="51"/>
        <v>-11</v>
      </c>
    </row>
    <row r="125" spans="1:35" x14ac:dyDescent="0.2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38">
        <f t="shared" ref="O125:Z125" si="55">O102+O110+O118</f>
        <v>0</v>
      </c>
      <c r="P125" s="138">
        <f t="shared" si="55"/>
        <v>0</v>
      </c>
      <c r="Q125" s="138">
        <f t="shared" si="55"/>
        <v>0</v>
      </c>
      <c r="R125" s="138">
        <f t="shared" si="55"/>
        <v>0</v>
      </c>
      <c r="S125" s="138">
        <f t="shared" si="55"/>
        <v>0</v>
      </c>
      <c r="T125" s="138">
        <f t="shared" si="55"/>
        <v>0</v>
      </c>
      <c r="U125" s="138">
        <f t="shared" si="55"/>
        <v>0</v>
      </c>
      <c r="V125" s="138">
        <f t="shared" si="55"/>
        <v>0</v>
      </c>
      <c r="W125" s="138">
        <f t="shared" si="55"/>
        <v>0</v>
      </c>
      <c r="X125" s="138">
        <f t="shared" si="55"/>
        <v>0</v>
      </c>
      <c r="Y125" s="138">
        <f t="shared" si="55"/>
        <v>0</v>
      </c>
      <c r="Z125" s="138">
        <f t="shared" si="55"/>
        <v>0</v>
      </c>
      <c r="AA125" s="138">
        <f t="shared" si="46"/>
        <v>0</v>
      </c>
      <c r="AB125" s="142" t="str">
        <f t="shared" si="47"/>
        <v/>
      </c>
      <c r="AC125" s="140"/>
      <c r="AD125" s="138">
        <f>AD102+AD110+AD118</f>
        <v>0</v>
      </c>
      <c r="AE125" s="142" t="str">
        <f t="shared" si="48"/>
        <v/>
      </c>
      <c r="AF125" s="141">
        <f t="shared" si="49"/>
        <v>0</v>
      </c>
      <c r="AG125" s="138">
        <f>AG102+AG110+AG118</f>
        <v>0</v>
      </c>
      <c r="AH125" s="142" t="str">
        <f t="shared" si="50"/>
        <v/>
      </c>
      <c r="AI125" s="141">
        <f t="shared" si="51"/>
        <v>0</v>
      </c>
    </row>
    <row r="126" spans="1:35" x14ac:dyDescent="0.2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2">
        <f t="shared" ref="O126:Z126" si="56">SUM(O121:O125)</f>
        <v>10775.05</v>
      </c>
      <c r="P126" s="162">
        <f t="shared" si="56"/>
        <v>19136.199999999997</v>
      </c>
      <c r="Q126" s="162">
        <f t="shared" si="56"/>
        <v>18342</v>
      </c>
      <c r="R126" s="162">
        <f t="shared" si="56"/>
        <v>19031.18</v>
      </c>
      <c r="S126" s="162">
        <f t="shared" si="56"/>
        <v>16641.09</v>
      </c>
      <c r="T126" s="162">
        <f t="shared" si="56"/>
        <v>11272.720000000001</v>
      </c>
      <c r="U126" s="162">
        <f t="shared" si="56"/>
        <v>12525.1</v>
      </c>
      <c r="V126" s="162">
        <f t="shared" si="56"/>
        <v>9844.7000000000007</v>
      </c>
      <c r="W126" s="162">
        <f t="shared" si="56"/>
        <v>9116.5</v>
      </c>
      <c r="X126" s="162">
        <f t="shared" si="56"/>
        <v>8975</v>
      </c>
      <c r="Y126" s="162">
        <f t="shared" si="56"/>
        <v>6964.8099999999995</v>
      </c>
      <c r="Z126" s="162">
        <f t="shared" si="56"/>
        <v>12372.1</v>
      </c>
      <c r="AA126" s="162">
        <f t="shared" si="46"/>
        <v>154996.44999999998</v>
      </c>
      <c r="AB126" s="163">
        <f t="shared" si="47"/>
        <v>0.18038744386185077</v>
      </c>
      <c r="AC126" s="140"/>
      <c r="AD126" s="162">
        <f>SUM(AD121:AD125)</f>
        <v>319716.41000000003</v>
      </c>
      <c r="AE126" s="163">
        <f t="shared" si="48"/>
        <v>0.24535976513591368</v>
      </c>
      <c r="AF126" s="164">
        <f t="shared" si="49"/>
        <v>-164719.96000000005</v>
      </c>
      <c r="AG126" s="162">
        <f>SUM(AG121:AG125)</f>
        <v>136255.78</v>
      </c>
      <c r="AH126" s="163">
        <f t="shared" si="50"/>
        <v>0.21515318414783849</v>
      </c>
      <c r="AI126" s="164">
        <f t="shared" si="51"/>
        <v>18740.669999999984</v>
      </c>
    </row>
    <row r="127" spans="1:35" x14ac:dyDescent="0.2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2"/>
      <c r="AC127" s="140"/>
      <c r="AD127" s="511">
        <f>AD103+AD111+AD119-AD126</f>
        <v>0</v>
      </c>
      <c r="AE127" s="142"/>
      <c r="AF127" s="138"/>
      <c r="AG127" s="511">
        <f>AG103+AG111+AG119-AG126</f>
        <v>0</v>
      </c>
      <c r="AH127" s="142"/>
      <c r="AI127" s="138"/>
    </row>
    <row r="128" spans="1:35" x14ac:dyDescent="0.25">
      <c r="A128" s="11"/>
      <c r="B128" s="11"/>
      <c r="C128" s="208"/>
      <c r="D128" s="11"/>
      <c r="E128" s="11"/>
      <c r="F128" s="11"/>
      <c r="G128" s="11"/>
      <c r="H128" s="185"/>
      <c r="I128" s="122"/>
      <c r="J128" s="122"/>
      <c r="K128" s="11"/>
      <c r="L128" s="11"/>
      <c r="M128" s="11"/>
      <c r="N128" s="11"/>
      <c r="O128" s="170"/>
      <c r="P128" s="171"/>
      <c r="Q128" s="171"/>
      <c r="R128" s="171"/>
      <c r="S128" s="171"/>
      <c r="T128" s="171"/>
      <c r="U128" s="171"/>
      <c r="V128" s="171"/>
      <c r="W128" s="171"/>
      <c r="X128" s="171"/>
      <c r="Y128" s="171"/>
      <c r="Z128" s="171"/>
      <c r="AA128" s="171"/>
      <c r="AB128" s="172"/>
      <c r="AC128" s="140"/>
      <c r="AD128" s="170"/>
      <c r="AE128" s="171"/>
      <c r="AF128" s="172"/>
      <c r="AG128" s="170"/>
      <c r="AH128" s="171"/>
      <c r="AI128" s="172"/>
    </row>
    <row r="129" spans="1:35" ht="15.75" x14ac:dyDescent="0.2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2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38">
        <v>16166.52</v>
      </c>
      <c r="P130" s="138">
        <v>37265.919999999998</v>
      </c>
      <c r="Q130" s="138">
        <v>46765.63</v>
      </c>
      <c r="R130" s="138">
        <v>-2563.63</v>
      </c>
      <c r="S130" s="138">
        <v>32134.95</v>
      </c>
      <c r="T130" s="138">
        <v>19271.599999999999</v>
      </c>
      <c r="U130" s="138">
        <v>22037.72</v>
      </c>
      <c r="V130" s="138">
        <v>21192.03</v>
      </c>
      <c r="W130" s="138">
        <v>18122.23</v>
      </c>
      <c r="X130" s="138">
        <v>14136.05</v>
      </c>
      <c r="Y130" s="138">
        <v>9133.67</v>
      </c>
      <c r="Z130" s="138">
        <v>25293.73</v>
      </c>
      <c r="AA130" s="138">
        <f>SUM(O130:Z130)</f>
        <v>258956.42</v>
      </c>
      <c r="AB130" s="458">
        <f>IF(_epmOfflineCondition_,0.367222004979603,IF(AA130=0,"",IFERROR(AA130/_xll.EVGTS($B$1,1,_xll.EVPRO($B$1,$H130,"COSBASIS"),$B$3,$B$5,$B$6,$B$7,$B$9,AA$16,AA$17,AA$11),"")))</f>
        <v>0.367222004979603</v>
      </c>
      <c r="AC130" s="140"/>
      <c r="AD130" s="138">
        <v>304833.87</v>
      </c>
      <c r="AE130" s="458">
        <f>IF(_epmOfflineCondition_,0.309999991966116,IF(AD130=0,"",IFERROR(AD130/_xll.EVGTS($B$1,1,_xll.EVPRO($B$1,$H130,"COSBASIS"),$B$3,$B$5,$B$6,$B$7,$B$9,AD$16,AD$17,AD$18),"")))</f>
        <v>0.309999991966116</v>
      </c>
      <c r="AF130" s="141">
        <f t="shared" ref="AF130:AF141" si="58">IF(AND($AA130="",AD130=""),"",$AA130-AD130)</f>
        <v>-45877.449999999983</v>
      </c>
      <c r="AG130" s="138">
        <v>180205.06</v>
      </c>
      <c r="AH130" s="458">
        <f>IF(_epmOfflineCondition_,0.361682112588119,IF(AG130=0,"",IFERROR(AG130/_xll.EVGTS($B$1,1,_xll.EVPRO($B$1,$H130,"COSBASIS"),$B$3,$B$5,$B$6,$B$7,$B$9,AG$16,AG$17,AG$18),"")))</f>
        <v>0.361682112588119</v>
      </c>
      <c r="AI130" s="141">
        <f t="shared" ref="AI130:AI141" si="59">IF(AND($AA130="",AG130=""),"",$AA130-AG130)</f>
        <v>78751.360000000015</v>
      </c>
    </row>
    <row r="131" spans="1:35" x14ac:dyDescent="0.2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v>0.30829732896398998</v>
      </c>
      <c r="P131" s="508">
        <v>0.53237979249629497</v>
      </c>
      <c r="Q131" s="508">
        <v>0.62601314978024603</v>
      </c>
      <c r="R131" s="508">
        <v>-3.1585622574215398E-2</v>
      </c>
      <c r="S131" s="508">
        <v>0.47448006442367002</v>
      </c>
      <c r="T131" s="508">
        <v>0.36643115231413298</v>
      </c>
      <c r="U131" s="508">
        <v>0.35933990712939601</v>
      </c>
      <c r="V131" s="508">
        <v>0.44435374634633201</v>
      </c>
      <c r="W131" s="508">
        <v>0.492328284963232</v>
      </c>
      <c r="X131" s="508">
        <v>0.34490469528402601</v>
      </c>
      <c r="Y131" s="508">
        <v>0.189912247141857</v>
      </c>
      <c r="Z131" s="508">
        <v>0.35305097700719501</v>
      </c>
      <c r="AA131" s="508">
        <v>0.367222004979603</v>
      </c>
      <c r="AB131" s="458"/>
      <c r="AC131" s="140"/>
      <c r="AD131" s="508">
        <v>0.309999991966116</v>
      </c>
      <c r="AE131" s="458"/>
      <c r="AF131" s="521">
        <f t="shared" si="58"/>
        <v>5.7222013013487005E-2</v>
      </c>
      <c r="AG131" s="508">
        <v>0.361682112588119</v>
      </c>
      <c r="AH131" s="458"/>
      <c r="AI131" s="521">
        <f t="shared" si="59"/>
        <v>5.5398923914840026E-3</v>
      </c>
    </row>
    <row r="132" spans="1:35" x14ac:dyDescent="0.2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38">
        <v>1628.23</v>
      </c>
      <c r="P132" s="138">
        <v>4375.8</v>
      </c>
      <c r="Q132" s="138">
        <v>16737.7</v>
      </c>
      <c r="R132" s="138">
        <v>-14005.17</v>
      </c>
      <c r="S132" s="138">
        <v>4090.48</v>
      </c>
      <c r="T132" s="138">
        <v>1761.74</v>
      </c>
      <c r="U132" s="138">
        <v>2586.1999999999998</v>
      </c>
      <c r="V132" s="138">
        <v>5442.18</v>
      </c>
      <c r="W132" s="138">
        <v>2308.69</v>
      </c>
      <c r="X132" s="138">
        <v>1141.44</v>
      </c>
      <c r="Y132" s="138">
        <v>1770.13</v>
      </c>
      <c r="Z132" s="138">
        <v>2480.81</v>
      </c>
      <c r="AA132" s="138">
        <f>SUM(O132:Z132)</f>
        <v>30318.230000000003</v>
      </c>
      <c r="AB132" s="458">
        <f>IF(_epmOfflineCondition_,0.195605963878528,IF(AA132=0,"",IFERROR(AA132/_xll.EVGTS($B$1,1,_xll.EVPRO($B$1,$H132,"COSBASIS"),$B$3,$B$5,$B$6,$B$7,$B$9,AA$16,AA$17,AA$11),"")))</f>
        <v>0.19560596387852799</v>
      </c>
      <c r="AC132" s="140"/>
      <c r="AD132" s="138">
        <v>76437.350000000006</v>
      </c>
      <c r="AE132" s="458">
        <f>IF(_epmOfflineCondition_,0.239078594683332,IF(AD132=0,"",IFERROR(AD132/_xll.EVGTS($B$1,1,_xll.EVPRO($B$1,$H132,"COSBASIS"),$B$3,$B$5,$B$6,$B$7,$B$9,AD$16,AD$17,AD$18),"")))</f>
        <v>0.23907859468333201</v>
      </c>
      <c r="AF132" s="141">
        <f t="shared" si="58"/>
        <v>-46119.12</v>
      </c>
      <c r="AG132" s="138">
        <v>20158.57</v>
      </c>
      <c r="AH132" s="458">
        <f>IF(_epmOfflineCondition_,0.147946531148991,IF(AG132=0,"",IFERROR(AG132/_xll.EVGTS($B$1,1,_xll.EVPRO($B$1,$H132,"COSBASIS"),$B$3,$B$5,$B$6,$B$7,$B$9,AG$16,AG$17,AG$18),"")))</f>
        <v>0.14794653114899101</v>
      </c>
      <c r="AI132" s="141">
        <f t="shared" si="59"/>
        <v>10159.660000000003</v>
      </c>
    </row>
    <row r="133" spans="1:35" x14ac:dyDescent="0.2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v>0.15111113173488799</v>
      </c>
      <c r="P133" s="508">
        <v>0.2286660883561</v>
      </c>
      <c r="Q133" s="508">
        <v>0.91253407480100301</v>
      </c>
      <c r="R133" s="508">
        <v>-0.73590654914724196</v>
      </c>
      <c r="S133" s="508">
        <v>0.24580601390894499</v>
      </c>
      <c r="T133" s="508">
        <v>0.15628348792483099</v>
      </c>
      <c r="U133" s="508">
        <v>0.20648138537816099</v>
      </c>
      <c r="V133" s="508">
        <v>0.55280303107255702</v>
      </c>
      <c r="W133" s="508">
        <v>0.25324302089617701</v>
      </c>
      <c r="X133" s="508">
        <v>0.12717994428969401</v>
      </c>
      <c r="Y133" s="508">
        <v>0.25415337963275397</v>
      </c>
      <c r="Z133" s="508">
        <v>0.20051648467115499</v>
      </c>
      <c r="AA133" s="508">
        <v>0.19560596387852699</v>
      </c>
      <c r="AB133" s="458"/>
      <c r="AC133" s="140"/>
      <c r="AD133" s="508">
        <v>0.23907859468333201</v>
      </c>
      <c r="AE133" s="458"/>
      <c r="AF133" s="521">
        <f t="shared" si="58"/>
        <v>-4.3472630804805013E-2</v>
      </c>
      <c r="AG133" s="508">
        <v>0.14794653114899001</v>
      </c>
      <c r="AH133" s="458"/>
      <c r="AI133" s="521">
        <f t="shared" si="59"/>
        <v>4.7659432729536988E-2</v>
      </c>
    </row>
    <row r="134" spans="1:35" x14ac:dyDescent="0.2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38">
        <v>-858.36</v>
      </c>
      <c r="P134" s="138">
        <v>-922.26</v>
      </c>
      <c r="Q134" s="138">
        <v>11230.63</v>
      </c>
      <c r="R134" s="138">
        <v>-12268.03</v>
      </c>
      <c r="S134" s="138">
        <v>-54.65</v>
      </c>
      <c r="T134" s="138">
        <v>11.73</v>
      </c>
      <c r="U134" s="138">
        <v>-626.04999999999995</v>
      </c>
      <c r="V134" s="138">
        <v>4831.6000000000004</v>
      </c>
      <c r="W134" s="138">
        <v>-78.040000000000006</v>
      </c>
      <c r="X134" s="138">
        <v>-347.65</v>
      </c>
      <c r="Y134" s="138">
        <v>-1183.56</v>
      </c>
      <c r="Z134" s="138">
        <v>318.02999999999997</v>
      </c>
      <c r="AA134" s="138">
        <f>SUM(O134:Z134)</f>
        <v>53.38999999999794</v>
      </c>
      <c r="AB134" s="458">
        <f>IF(_epmOfflineCondition_,0.000796799192425556,IF(AA134=0,"",IFERROR(AA134/_xll.EVGTS($B$1,1,_xll.EVPRO($B$1,$H134,"COSBASIS"),$B$3,$B$5,$B$6,$B$7,$B$9,AA$16,AA$17,AA$11),"")))</f>
        <v>7.9679919242555601E-4</v>
      </c>
      <c r="AC134" s="140"/>
      <c r="AD134" s="138">
        <v>32202.49</v>
      </c>
      <c r="AE134" s="458">
        <f>IF(_epmOfflineCondition_,0.229999845726319,IF(AD134=0,"",IFERROR(AD134/_xll.EVGTS($B$1,1,_xll.EVPRO($B$1,$H134,"COSBASIS"),$B$3,$B$5,$B$6,$B$7,$B$9,AD$16,AD$17,AD$18),"")))</f>
        <v>0.22999984572631901</v>
      </c>
      <c r="AF134" s="141">
        <f t="shared" si="58"/>
        <v>-32149.100000000002</v>
      </c>
      <c r="AG134" s="138">
        <v>500.69</v>
      </c>
      <c r="AH134" s="458">
        <f>IF(_epmOfflineCondition_,0.00746475824255775,IF(AG134=0,"",IFERROR(AG134/_xll.EVGTS($B$1,1,_xll.EVPRO($B$1,$H134,"COSBASIS"),$B$3,$B$5,$B$6,$B$7,$B$9,AG$16,AG$17,AG$18),"")))</f>
        <v>7.4647582425577501E-3</v>
      </c>
      <c r="AI134" s="141">
        <f t="shared" si="59"/>
        <v>-447.30000000000206</v>
      </c>
    </row>
    <row r="135" spans="1:35" x14ac:dyDescent="0.2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v>-0.217969065436936</v>
      </c>
      <c r="P135" s="508">
        <v>-0.116417571320374</v>
      </c>
      <c r="Q135" s="508">
        <v>1.4317478327383999</v>
      </c>
      <c r="R135" s="508">
        <v>-1.51491199257117</v>
      </c>
      <c r="S135" s="508">
        <v>-8.2001650536424296E-3</v>
      </c>
      <c r="T135" s="508">
        <v>2.2468165310531901E-3</v>
      </c>
      <c r="U135" s="508">
        <v>-0.101212513135559</v>
      </c>
      <c r="V135" s="508">
        <v>1.07988020204729</v>
      </c>
      <c r="W135" s="508">
        <v>-1.6804478897502199E-2</v>
      </c>
      <c r="X135" s="508">
        <v>-7.9173309041220705E-2</v>
      </c>
      <c r="Y135" s="508">
        <v>-0.40853267060163601</v>
      </c>
      <c r="Z135" s="508">
        <v>6.7287999322951902E-2</v>
      </c>
      <c r="AA135" s="508">
        <v>7.9679919242556295E-4</v>
      </c>
      <c r="AB135" s="458"/>
      <c r="AC135" s="140"/>
      <c r="AD135" s="508">
        <v>0.22999984572631901</v>
      </c>
      <c r="AE135" s="458"/>
      <c r="AF135" s="521">
        <f t="shared" si="58"/>
        <v>-0.22920304653389345</v>
      </c>
      <c r="AG135" s="508">
        <v>7.4647582425577596E-3</v>
      </c>
      <c r="AH135" s="458"/>
      <c r="AI135" s="521">
        <f t="shared" si="59"/>
        <v>-6.6679590501321963E-3</v>
      </c>
    </row>
    <row r="136" spans="1:35" x14ac:dyDescent="0.2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38">
        <v>-73.98</v>
      </c>
      <c r="P136" s="138">
        <v>550.01</v>
      </c>
      <c r="Q136" s="138">
        <v>1734.53</v>
      </c>
      <c r="R136" s="138">
        <v>-1546.28</v>
      </c>
      <c r="S136" s="138">
        <v>315.95999999999998</v>
      </c>
      <c r="T136" s="138">
        <v>987.9</v>
      </c>
      <c r="U136" s="138">
        <v>229</v>
      </c>
      <c r="V136" s="138">
        <v>-5.26</v>
      </c>
      <c r="W136" s="138">
        <v>-29.03</v>
      </c>
      <c r="X136" s="138">
        <v>856.38</v>
      </c>
      <c r="Y136" s="138">
        <v>354.92</v>
      </c>
      <c r="Z136" s="138">
        <v>376.95</v>
      </c>
      <c r="AA136" s="138">
        <f>SUM(O136:Z136)</f>
        <v>3751.0999999999995</v>
      </c>
      <c r="AB136" s="458">
        <f>IF(_epmOfflineCondition_,0.369653908313296,IF(AA136=0,"",IFERROR(AA136/_xll.EVGTS($B$1,1,_xll.EVPRO($B$1,$H136,"COSBASIS"),$B$3,$B$5,$B$6,$B$7,$B$9,AA$16,AA$17,AA$11),"")))</f>
        <v>0.36965390831329598</v>
      </c>
      <c r="AC136" s="140"/>
      <c r="AD136" s="138">
        <v>3630.57</v>
      </c>
      <c r="AE136" s="458">
        <f>IF(_epmOfflineCondition_,0.210000529257071,IF(AD136=0,"",IFERROR(AD136/_xll.EVGTS($B$1,1,_xll.EVPRO($B$1,$H136,"COSBASIS"),$B$3,$B$5,$B$6,$B$7,$B$9,AD$16,AD$17,AD$18),"")))</f>
        <v>0.21000052925707099</v>
      </c>
      <c r="AF136" s="141">
        <f t="shared" si="58"/>
        <v>120.52999999999929</v>
      </c>
      <c r="AG136" s="138">
        <v>683.35</v>
      </c>
      <c r="AH136" s="458">
        <f>IF(_epmOfflineCondition_,0.0808705881239112,IF(AG136=0,"",IFERROR(AG136/_xll.EVGTS($B$1,1,_xll.EVPRO($B$1,$H136,"COSBASIS"),$B$3,$B$5,$B$6,$B$7,$B$9,AG$16,AG$17,AG$18),"")))</f>
        <v>8.0870588123911194E-2</v>
      </c>
      <c r="AI136" s="141">
        <f t="shared" si="59"/>
        <v>3067.7499999999995</v>
      </c>
    </row>
    <row r="137" spans="1:35" x14ac:dyDescent="0.2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v>-0.12711340206185601</v>
      </c>
      <c r="P137" s="508">
        <v>0.46141778523489901</v>
      </c>
      <c r="Q137" s="508">
        <v>1.62257249766137</v>
      </c>
      <c r="R137" s="508">
        <v>-1.2622693877550999</v>
      </c>
      <c r="S137" s="508">
        <v>0.29201478743068399</v>
      </c>
      <c r="T137" s="508">
        <v>1.43485838779956</v>
      </c>
      <c r="U137" s="508">
        <v>0.20932358318098701</v>
      </c>
      <c r="V137" s="508">
        <v>-9.9021084337349401E-3</v>
      </c>
      <c r="W137" s="508">
        <v>-5.6042471042471002E-2</v>
      </c>
      <c r="X137" s="508">
        <v>1.08333965844402</v>
      </c>
      <c r="Y137" s="508">
        <v>0.63903492978033904</v>
      </c>
      <c r="Z137" s="508">
        <v>0.45969512195121898</v>
      </c>
      <c r="AA137" s="508">
        <v>0.36965390831329598</v>
      </c>
      <c r="AB137" s="458"/>
      <c r="AC137" s="140"/>
      <c r="AD137" s="508">
        <v>0.21000052925707099</v>
      </c>
      <c r="AE137" s="458"/>
      <c r="AF137" s="521">
        <f t="shared" si="58"/>
        <v>0.15965337905622498</v>
      </c>
      <c r="AG137" s="508">
        <v>8.0870588123911305E-2</v>
      </c>
      <c r="AH137" s="458"/>
      <c r="AI137" s="521">
        <f t="shared" si="59"/>
        <v>0.28878332018938468</v>
      </c>
    </row>
    <row r="138" spans="1:35" x14ac:dyDescent="0.2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38">
        <v>2560.5700000000002</v>
      </c>
      <c r="P138" s="138">
        <v>4748.05</v>
      </c>
      <c r="Q138" s="138">
        <v>3772.54</v>
      </c>
      <c r="R138" s="138">
        <v>-190.86</v>
      </c>
      <c r="S138" s="138">
        <v>3829.17</v>
      </c>
      <c r="T138" s="138">
        <v>762.11</v>
      </c>
      <c r="U138" s="138">
        <v>2983.25</v>
      </c>
      <c r="V138" s="138">
        <v>615.84</v>
      </c>
      <c r="W138" s="138">
        <v>2415.7600000000002</v>
      </c>
      <c r="X138" s="138">
        <v>632.71</v>
      </c>
      <c r="Y138" s="138">
        <v>2598.77</v>
      </c>
      <c r="Z138" s="138">
        <v>1785.83</v>
      </c>
      <c r="AA138" s="138">
        <f>SUM(O138:Z138)</f>
        <v>26513.739999999998</v>
      </c>
      <c r="AB138" s="458">
        <f>IF(_epmOfflineCondition_,0.340604183329424,IF(AA138=0,"",IFERROR(AA138/_xll.EVGTS($B$1,1,_xll.EVPRO($B$1,$H138,"COSBASIS"),$B$3,$B$5,$B$6,$B$7,$B$9,AA$16,AA$17,AA$11),"")))</f>
        <v>0.34060418332942399</v>
      </c>
      <c r="AC138" s="140"/>
      <c r="AD138" s="138">
        <v>40604.29</v>
      </c>
      <c r="AE138" s="458">
        <f>IF(_epmOfflineCondition_,0.250000084658571,IF(AD138=0,"",IFERROR(AD138/_xll.EVGTS($B$1,1,_xll.EVPRO($B$1,$H138,"COSBASIS"),$B$3,$B$5,$B$6,$B$7,$B$9,AD$16,AD$17,AD$18),"")))</f>
        <v>0.25000008465857099</v>
      </c>
      <c r="AF138" s="141">
        <f t="shared" si="58"/>
        <v>-14090.550000000003</v>
      </c>
      <c r="AG138" s="138">
        <v>18974.53</v>
      </c>
      <c r="AH138" s="458">
        <f>IF(_epmOfflineCondition_,0.312430411502861,IF(AG138=0,"",IFERROR(AG138/_xll.EVGTS($B$1,1,_xll.EVPRO($B$1,$H138,"COSBASIS"),$B$3,$B$5,$B$6,$B$7,$B$9,AG$16,AG$17,AG$18),"")))</f>
        <v>0.31243041150286099</v>
      </c>
      <c r="AI138" s="141">
        <f t="shared" si="59"/>
        <v>7539.2099999999991</v>
      </c>
    </row>
    <row r="139" spans="1:35" x14ac:dyDescent="0.2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v>0.40935978232023401</v>
      </c>
      <c r="P139" s="508">
        <v>0.473753267745605</v>
      </c>
      <c r="Q139" s="508">
        <v>0.40009969243822302</v>
      </c>
      <c r="R139" s="508">
        <v>-1.9660074165636601E-2</v>
      </c>
      <c r="S139" s="508">
        <v>0.43050550952882599</v>
      </c>
      <c r="T139" s="508">
        <v>0.14209191759112499</v>
      </c>
      <c r="U139" s="508">
        <v>0.56871473234711001</v>
      </c>
      <c r="V139" s="508">
        <v>0.127258074514909</v>
      </c>
      <c r="W139" s="508">
        <v>0.61088886079150295</v>
      </c>
      <c r="X139" s="508">
        <v>0.16678792671675199</v>
      </c>
      <c r="Y139" s="508">
        <v>0.73990336843843496</v>
      </c>
      <c r="Z139" s="508">
        <v>0.26163323908170599</v>
      </c>
      <c r="AA139" s="508">
        <v>0.34060418332942399</v>
      </c>
      <c r="AB139" s="458"/>
      <c r="AC139" s="140"/>
      <c r="AD139" s="508">
        <v>0.25000008465857099</v>
      </c>
      <c r="AE139" s="458"/>
      <c r="AF139" s="521">
        <f t="shared" si="58"/>
        <v>9.0604098670853006E-2</v>
      </c>
      <c r="AG139" s="508">
        <v>0.31243041150286099</v>
      </c>
      <c r="AH139" s="458"/>
      <c r="AI139" s="521">
        <f t="shared" si="59"/>
        <v>2.8173771826562999E-2</v>
      </c>
    </row>
    <row r="140" spans="1:35" x14ac:dyDescent="0.2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38">
        <v>17794.75</v>
      </c>
      <c r="P140" s="138">
        <v>41641.72</v>
      </c>
      <c r="Q140" s="138">
        <v>63503.33</v>
      </c>
      <c r="R140" s="138">
        <v>-16568.8</v>
      </c>
      <c r="S140" s="138">
        <v>36225.43</v>
      </c>
      <c r="T140" s="138">
        <v>21033.34</v>
      </c>
      <c r="U140" s="138">
        <v>24623.919999999998</v>
      </c>
      <c r="V140" s="138">
        <v>26634.21</v>
      </c>
      <c r="W140" s="138">
        <v>20430.919999999998</v>
      </c>
      <c r="X140" s="138">
        <v>15277.49</v>
      </c>
      <c r="Y140" s="138">
        <v>10903.8</v>
      </c>
      <c r="Z140" s="138">
        <v>27774.54</v>
      </c>
      <c r="AA140" s="138">
        <f>SUM(O140:Z140)</f>
        <v>289274.64999999997</v>
      </c>
      <c r="AB140" s="458">
        <f>IF(_epmOfflineCondition_,0.336662644128504,IF(AA140=0,"",IFERROR(AA140/_xll.EVGTS($B$1,1,_xll.EVPRO($B$1,$H140,"COSBASIS"),$B$3,$B$5,$B$6,$B$7,$B$9,AA$16,AA$17,AA$11),"")))</f>
        <v>0.336662644128504</v>
      </c>
      <c r="AC140" s="140"/>
      <c r="AD140" s="138">
        <v>381271.22</v>
      </c>
      <c r="AE140" s="458">
        <f>IF(_epmOfflineCondition_,0.292598734585701,IF(AD140=0,"",IFERROR(AD140/_xll.EVGTS($B$1,1,_xll.EVPRO($B$1,$H140,"COSBASIS"),$B$3,$B$5,$B$6,$B$7,$B$9,AD$16,AD$17,AD$18),"")))</f>
        <v>0.29259873458570101</v>
      </c>
      <c r="AF140" s="141">
        <f t="shared" si="58"/>
        <v>-91996.57</v>
      </c>
      <c r="AG140" s="138">
        <v>200363.63</v>
      </c>
      <c r="AH140" s="458">
        <f>IF(_epmOfflineCondition_,0.316381976470425,IF(AG140=0,"",IFERROR(AG140/_xll.EVGTS($B$1,1,_xll.EVPRO($B$1,$H140,"COSBASIS"),$B$3,$B$5,$B$6,$B$7,$B$9,AG$16,AG$17,AG$18),"")))</f>
        <v>0.31638197647042499</v>
      </c>
      <c r="AI140" s="141">
        <f t="shared" si="59"/>
        <v>88911.01999999996</v>
      </c>
    </row>
    <row r="141" spans="1:35" x14ac:dyDescent="0.25">
      <c r="A141" s="11"/>
      <c r="B141" s="11"/>
      <c r="C141" s="208"/>
      <c r="D141" s="11"/>
      <c r="E141" s="11"/>
      <c r="F141" s="11"/>
      <c r="G141" s="11"/>
      <c r="H141" s="185"/>
      <c r="I141" s="122"/>
      <c r="J141" s="122"/>
      <c r="K141" s="11"/>
      <c r="L141" s="90"/>
      <c r="M141" s="90"/>
      <c r="N141" s="493" t="s">
        <v>762</v>
      </c>
      <c r="O141" s="508">
        <f t="shared" ref="O141:AA141" si="60">IFERROR(O140/O85,"")</f>
        <v>0.28150401664970554</v>
      </c>
      <c r="P141" s="508">
        <f t="shared" si="60"/>
        <v>0.46952572418870914</v>
      </c>
      <c r="Q141" s="508">
        <f t="shared" si="60"/>
        <v>0.68249458788677542</v>
      </c>
      <c r="R141" s="508">
        <f t="shared" si="60"/>
        <v>-0.16547685153743821</v>
      </c>
      <c r="S141" s="508">
        <f t="shared" si="60"/>
        <v>0.43082834254305941</v>
      </c>
      <c r="T141" s="508">
        <f t="shared" si="60"/>
        <v>0.32933852612861952</v>
      </c>
      <c r="U141" s="508">
        <f t="shared" si="60"/>
        <v>0.33341601961939754</v>
      </c>
      <c r="V141" s="508">
        <f t="shared" si="60"/>
        <v>0.46290980508025337</v>
      </c>
      <c r="W141" s="508">
        <f t="shared" si="60"/>
        <v>0.44486860745194307</v>
      </c>
      <c r="X141" s="508">
        <f t="shared" si="60"/>
        <v>0.30579210966770071</v>
      </c>
      <c r="Y141" s="508">
        <f t="shared" si="60"/>
        <v>0.19803857573071199</v>
      </c>
      <c r="Z141" s="508">
        <f t="shared" si="60"/>
        <v>0.33111162002276751</v>
      </c>
      <c r="AA141" s="508">
        <f t="shared" si="60"/>
        <v>0.33666264412850438</v>
      </c>
      <c r="AB141" s="458"/>
      <c r="AC141" s="140"/>
      <c r="AD141" s="508">
        <f>IFERROR(AD140/AD85,"")</f>
        <v>0.29259873458570129</v>
      </c>
      <c r="AE141" s="458"/>
      <c r="AF141" s="521">
        <f t="shared" si="58"/>
        <v>4.4063909542803092E-2</v>
      </c>
      <c r="AG141" s="508">
        <f>IFERROR(AG140/AG85,"")</f>
        <v>0.31638197647042476</v>
      </c>
      <c r="AH141" s="458"/>
      <c r="AI141" s="521">
        <f t="shared" si="59"/>
        <v>2.0280667658079621E-2</v>
      </c>
    </row>
    <row r="142" spans="1:35" x14ac:dyDescent="0.2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2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2"/>
      <c r="AC143" s="140"/>
      <c r="AD143" s="511">
        <f>AD39+AD49+AD59+AD69+AD79+AD83-AD85</f>
        <v>0</v>
      </c>
      <c r="AE143" s="142"/>
      <c r="AF143" s="138"/>
      <c r="AG143" s="511">
        <f>AG39+AG49+AG59+AG69+AG79+AG83-AG85</f>
        <v>0</v>
      </c>
      <c r="AH143" s="142"/>
      <c r="AI143" s="138"/>
    </row>
    <row r="144" spans="1:35" x14ac:dyDescent="0.2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2"/>
      <c r="AC144" s="140"/>
      <c r="AD144" s="511">
        <f>AD41+AD51+AD61+AD71+AD80-AD87</f>
        <v>0</v>
      </c>
      <c r="AE144" s="142"/>
      <c r="AF144" s="138"/>
      <c r="AG144" s="511">
        <f>AG41+AG51+AG61+AG71+AG80-AG87</f>
        <v>0</v>
      </c>
      <c r="AH144" s="142"/>
      <c r="AI144" s="138"/>
    </row>
    <row r="145" spans="1:35" x14ac:dyDescent="0.25">
      <c r="A145" s="11"/>
      <c r="B145" s="11"/>
      <c r="C145" s="208"/>
      <c r="D145" s="11"/>
      <c r="E145" s="11"/>
      <c r="F145" s="11"/>
      <c r="G145" s="11"/>
      <c r="H145" s="185"/>
      <c r="I145" s="122"/>
      <c r="J145" s="122"/>
      <c r="K145" s="11"/>
      <c r="L145" s="11"/>
      <c r="M145" s="11"/>
      <c r="N145" s="104" t="str">
        <f>N88&amp;" - Check"</f>
        <v>Total Average Check - Check</v>
      </c>
      <c r="O145" s="510">
        <f t="shared" ref="O145:AA145" si="63">IFERROR(O$85/O87,"")-O88</f>
        <v>0</v>
      </c>
      <c r="P145" s="510">
        <f t="shared" si="63"/>
        <v>0</v>
      </c>
      <c r="Q145" s="510">
        <f t="shared" si="63"/>
        <v>0</v>
      </c>
      <c r="R145" s="510">
        <f t="shared" si="63"/>
        <v>0</v>
      </c>
      <c r="S145" s="510">
        <f t="shared" si="63"/>
        <v>0</v>
      </c>
      <c r="T145" s="510">
        <f t="shared" si="63"/>
        <v>0</v>
      </c>
      <c r="U145" s="510">
        <f t="shared" si="63"/>
        <v>-2.8421709430404007E-14</v>
      </c>
      <c r="V145" s="510">
        <f t="shared" si="63"/>
        <v>0</v>
      </c>
      <c r="W145" s="510">
        <f t="shared" si="63"/>
        <v>0</v>
      </c>
      <c r="X145" s="510">
        <f t="shared" si="63"/>
        <v>0</v>
      </c>
      <c r="Y145" s="510">
        <f t="shared" si="63"/>
        <v>0</v>
      </c>
      <c r="Z145" s="510">
        <f t="shared" si="63"/>
        <v>-2.8421709430404007E-14</v>
      </c>
      <c r="AA145" s="510">
        <f t="shared" si="63"/>
        <v>0</v>
      </c>
      <c r="AB145" s="142"/>
      <c r="AC145" s="140"/>
      <c r="AD145" s="510">
        <f>IFERROR(AD$85/AD87,"")-AD88</f>
        <v>0</v>
      </c>
      <c r="AE145" s="142"/>
      <c r="AF145" s="138"/>
      <c r="AG145" s="510">
        <f>IFERROR(AG$85/AG87,"")-AG88</f>
        <v>0</v>
      </c>
      <c r="AH145" s="142"/>
      <c r="AI145" s="138"/>
    </row>
    <row r="146" spans="1:35" x14ac:dyDescent="0.2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2"/>
      <c r="AC146" s="140"/>
      <c r="AD146" s="511">
        <f>(AD130+AD132)-AD140</f>
        <v>0</v>
      </c>
      <c r="AE146" s="142"/>
      <c r="AF146" s="138"/>
      <c r="AG146" s="511">
        <f>(AG130+AG132)-AG140</f>
        <v>0</v>
      </c>
      <c r="AH146" s="142"/>
      <c r="AI146" s="138"/>
    </row>
    <row r="147" spans="1:35" x14ac:dyDescent="0.2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2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2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2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2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wsPMWeoddbj8WIB9H+HTxqBlDpabuNc114Hi/fTWrQ7JW0MUO+ihb6KA+Mgd+Kry6xWrjETyZoIaE0E/V2pAhw==" saltValue="l8KyLW3jfmM+vIojZPV0Og==" spinCount="100000" sheet="1" scenarios="1"/>
  <mergeCells count="2">
    <mergeCell ref="AD31:AE31"/>
    <mergeCell ref="AG31:AH31"/>
  </mergeCells>
  <conditionalFormatting sqref="AD43 AF43:AG43 O43:AA43">
    <cfRule type="expression" dxfId="155" priority="15">
      <formula>ROUND(O42,2)&lt;&gt;ROUND(O43,2)</formula>
    </cfRule>
  </conditionalFormatting>
  <conditionalFormatting sqref="N43">
    <cfRule type="expression" dxfId="154" priority="14">
      <formula>$G43&lt;&gt;0</formula>
    </cfRule>
  </conditionalFormatting>
  <conditionalFormatting sqref="O53:AA53 AD53 AF53:AG53">
    <cfRule type="expression" dxfId="153" priority="13">
      <formula>ROUND(O52,2)&lt;&gt;ROUND(O53,2)</formula>
    </cfRule>
  </conditionalFormatting>
  <conditionalFormatting sqref="N53">
    <cfRule type="expression" dxfId="152" priority="12">
      <formula>$G53&lt;&gt;0</formula>
    </cfRule>
  </conditionalFormatting>
  <conditionalFormatting sqref="O63:AA63 AD63 AF63:AG63">
    <cfRule type="expression" dxfId="151" priority="11">
      <formula>ROUND(O62,2)&lt;&gt;ROUND(O63,2)</formula>
    </cfRule>
  </conditionalFormatting>
  <conditionalFormatting sqref="N63">
    <cfRule type="expression" dxfId="150" priority="10">
      <formula>$G63&lt;&gt;0</formula>
    </cfRule>
  </conditionalFormatting>
  <conditionalFormatting sqref="O73:AA73 AD73 AF73:AG73">
    <cfRule type="expression" dxfId="149" priority="9">
      <formula>ROUND(O72,2)&lt;&gt;ROUND(O73,2)</formula>
    </cfRule>
  </conditionalFormatting>
  <conditionalFormatting sqref="N73">
    <cfRule type="expression" dxfId="148" priority="8">
      <formula>$G73&lt;&gt;0</formula>
    </cfRule>
  </conditionalFormatting>
  <conditionalFormatting sqref="N82">
    <cfRule type="expression" dxfId="147" priority="7">
      <formula>$G82&lt;&gt;0</formula>
    </cfRule>
  </conditionalFormatting>
  <conditionalFormatting sqref="AD82 AF82:AG82 O82:AA82">
    <cfRule type="expression" dxfId="146" priority="6">
      <formula>ROUND(O81,2)&lt;&gt;ROUND(O82,2)</formula>
    </cfRule>
  </conditionalFormatting>
  <conditionalFormatting sqref="AI43">
    <cfRule type="expression" dxfId="145" priority="5">
      <formula>ROUND(AI42,2)&lt;&gt;ROUND(AI43,2)</formula>
    </cfRule>
  </conditionalFormatting>
  <conditionalFormatting sqref="AI53">
    <cfRule type="expression" dxfId="144" priority="4">
      <formula>ROUND(AI52,2)&lt;&gt;ROUND(AI53,2)</formula>
    </cfRule>
  </conditionalFormatting>
  <conditionalFormatting sqref="AI63">
    <cfRule type="expression" dxfId="143" priority="3">
      <formula>ROUND(AI62,2)&lt;&gt;ROUND(AI63,2)</formula>
    </cfRule>
  </conditionalFormatting>
  <conditionalFormatting sqref="AI73">
    <cfRule type="expression" dxfId="142" priority="2">
      <formula>ROUND(AI72,2)&lt;&gt;ROUND(AI73,2)</formula>
    </cfRule>
  </conditionalFormatting>
  <conditionalFormatting sqref="AI82">
    <cfRule type="expression" dxfId="141" priority="1">
      <formula>ROUND(AI81,2)&lt;&gt;ROUND(AI82,2)</formula>
    </cfRule>
  </conditionalFormatting>
  <dataValidations disablePrompts="1" count="2">
    <dataValidation type="list" allowBlank="1" sqref="B29" xr:uid="{00000000-0002-0000-0800-000000000000}">
      <formula1>"SELF,ALL,BAS,DEP,BASMEMBERS,MEMBERS,NOEXPAND,GDEP"</formula1>
    </dataValidation>
    <dataValidation type="list" allowBlank="1" sqref="B28" xr:uid="{00000000-0002-0000-08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2">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IF(_epmOfflineCondition_,"Pool Bar",IF(OR(_xll.EVCGT($B$1,$B$6,$H$1,$H$2,$H$3,$H$4,$H$5,$H$6,$H$7,$H$8)="#RFR",_xll.EVCGT($B$1,$B$6,$H$1,$H$2,$H$3,$H$4,$H$5,$H$6,$H$7,$H$8)="#NODATA"),"",_xll.EVCGT($B$1,$B$6,$H$1,$H$2,$H$3,$H$4,$H$5,$H$6,$H$7,$H$8)))</f>
        <v>Pool Bar</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726</v>
      </c>
      <c r="C6" s="11" t="str">
        <f>IF(_epmOfflineCondition_,"Venue 2",_xll.EVDES(B6,$B$1))</f>
        <v>Venue 2</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IF(_epmOfflineCondition_,"'Venue2'!$B$2:$B$10",_xll.EVRNG($B$2:$B$10))</f>
        <v>'Venue2'!$B$2:$B$10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IF(_epmOfflineCondition_,"'Venue2'!$O$16:$AN$18",_xll.EVRNG($O$16:$AN$18))</f>
        <v>'Venue2'!$O$16:$AN$18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IF(_epmOfflineCondition_,"'Venue2'!$H$35:$H$58",_xll.EVRNG(H35:H58))</f>
        <v>'Venue2'!$H$35:$H$58</v>
      </c>
      <c r="C19" s="11"/>
      <c r="D19" s="11"/>
      <c r="E19" s="11"/>
      <c r="F19" s="11"/>
      <c r="G19" s="67" t="str">
        <f>$B$6</f>
        <v>D2141</v>
      </c>
      <c r="H19" s="67">
        <v>400000</v>
      </c>
      <c r="I19" s="68"/>
      <c r="J19" s="68"/>
      <c r="K19" s="67"/>
      <c r="L19" s="67"/>
      <c r="M19" s="67"/>
      <c r="N19" s="67" t="str">
        <f>IF(_epmOfflineCondition_,"Total Revenue",_xll.EVDES(H19))</f>
        <v>Total Revenue</v>
      </c>
      <c r="O19" s="69">
        <f>IF(_epmOfflineCondition_,29330.76,_xll.EVGTS($B$1,1,$B$3,$B$5,$B$7,$B$9,O$16,O$17,O$18,$G$19,$H$19))</f>
        <v>29330.76</v>
      </c>
      <c r="P19" s="69">
        <f>IF(_epmOfflineCondition_,50415.64,_xll.EVGTS($B$1,1,$B$3,$B$5,$B$7,$B$9,P$16,P$17,P$18,$G$19,$H$19))</f>
        <v>50415.64</v>
      </c>
      <c r="Q19" s="69">
        <f>IF(_epmOfflineCondition_,60382.99,_xll.EVGTS($B$1,1,$B$3,$B$5,$B$7,$B$9,Q$16,Q$17,Q$18,$G$19,$H$19))</f>
        <v>60382.99</v>
      </c>
      <c r="R19" s="69">
        <f>IF(_epmOfflineCondition_,55201.73,_xll.EVGTS($B$1,1,$B$3,$B$5,$B$7,$B$9,R$16,R$17,R$18,$G$19,$H$19))</f>
        <v>55201.73</v>
      </c>
      <c r="S19" s="69">
        <f>IF(_epmOfflineCondition_,53196.3,_xll.EVGTS($B$1,1,$B$3,$B$5,$B$7,$B$9,S$16,S$17,S$18,$G$19,$H$19))</f>
        <v>53196.3</v>
      </c>
      <c r="T19" s="69">
        <f>IF(_epmOfflineCondition_,33472.34,_xll.EVGTS($B$1,1,$B$3,$B$5,$B$7,$B$9,T$16,T$17,T$18,$G$19,$H$19))</f>
        <v>33472.339999999997</v>
      </c>
      <c r="U19" s="69">
        <f>IF(_epmOfflineCondition_,40240.81,_xll.EVGTS($B$1,1,$B$3,$B$5,$B$7,$B$9,U$16,U$17,U$18,$G$19,$H$19))</f>
        <v>40240.81</v>
      </c>
      <c r="V19" s="69">
        <f>IF(_epmOfflineCondition_,31402.04,_xll.EVGTS($B$1,1,$B$3,$B$5,$B$7,$B$9,V$16,V$17,V$18,$G$19,$H$19))</f>
        <v>31402.04</v>
      </c>
      <c r="W19" s="69">
        <f>IF(_epmOfflineCondition_,25432.43,_xll.EVGTS($B$1,1,$B$3,$B$5,$B$7,$B$9,W$16,W$17,W$18,$G$19,$H$19))</f>
        <v>25432.43</v>
      </c>
      <c r="X19" s="69">
        <f>IF(_epmOfflineCondition_,21971.05,_xll.EVGTS($B$1,1,$B$3,$B$5,$B$7,$B$9,X$16,X$17,X$18,$G$19,$H$19))</f>
        <v>21971.05</v>
      </c>
      <c r="Y19" s="69">
        <f>IF(_epmOfflineCondition_,24733.24,_xll.EVGTS($B$1,1,$B$3,$B$5,$B$7,$B$9,Y$16,Y$17,Y$18,$G$19,$H$19))</f>
        <v>24733.24</v>
      </c>
      <c r="Z19" s="69">
        <f>IF(_epmOfflineCondition_,20155.6,_xll.EVGTS($B$1,1,$B$3,$B$5,$B$7,$B$9,Z$16,Z$17,Z$18,$G$19,$H$19))</f>
        <v>20155.599999999999</v>
      </c>
      <c r="AA19" s="69">
        <f>SUM(O19:Z19)</f>
        <v>445934.92999999993</v>
      </c>
      <c r="AB19" s="67"/>
      <c r="AC19" s="67"/>
      <c r="AD19" s="69">
        <f>IF(_epmOfflineCondition_,772261.61646,_xll.EVGTS($B$1,1,$B$3,$B$5,$B$7,$B$9,AD$16,AD$17,AD$18,$G$19,$H$19))</f>
        <v>772261.61646000005</v>
      </c>
      <c r="AE19" s="67"/>
      <c r="AF19" s="67"/>
      <c r="AG19" s="69">
        <f>IF(_epmOfflineCondition_,30855.6,_xll.EVGTS($B$1,1,$B$3,$B$5,$B$7,$B$9,AG$16,AG$17,AG$18,$G$19,$H$19))</f>
        <v>30855.599999999999</v>
      </c>
      <c r="AH19" s="67"/>
      <c r="AI19" s="67"/>
      <c r="AJ19" s="11"/>
      <c r="AK19" s="11"/>
      <c r="AL19" s="11"/>
      <c r="AM19" s="11"/>
      <c r="AN19" s="11"/>
      <c r="AO19" s="11"/>
    </row>
    <row r="20" spans="1:41" hidden="1" outlineLevel="1" x14ac:dyDescent="0.25">
      <c r="A20" s="65" t="s">
        <v>5</v>
      </c>
      <c r="B20" s="66"/>
      <c r="C20" s="11"/>
      <c r="D20" s="11"/>
      <c r="E20" s="11"/>
      <c r="F20" s="11"/>
      <c r="G20" s="67" t="str">
        <f>$B$6</f>
        <v>D2141</v>
      </c>
      <c r="H20" s="67">
        <v>946000</v>
      </c>
      <c r="I20" s="68"/>
      <c r="J20" s="68"/>
      <c r="K20" s="67"/>
      <c r="L20" s="68"/>
      <c r="M20" s="68"/>
      <c r="N20" s="67" t="str">
        <f>IF(_epmOfflineCondition_,"Total Customers",_xll.EVDES(H20))</f>
        <v>Total Customers</v>
      </c>
      <c r="O20" s="69">
        <f>IF(_epmOfflineCondition_,709,_xll.EVGTS($B$1,1,$B$3,$B$5,$B$7,$B$9,O$16,O$17,O$18,$G$20,$H$20))</f>
        <v>709</v>
      </c>
      <c r="P20" s="69">
        <f>IF(_epmOfflineCondition_,1347,_xll.EVGTS($B$1,1,$B$3,$B$5,$B$7,$B$9,P$16,P$17,P$18,$G$20,$H$20))</f>
        <v>1347</v>
      </c>
      <c r="Q20" s="69">
        <f>IF(_epmOfflineCondition_,1368,_xll.EVGTS($B$1,1,$B$3,$B$5,$B$7,$B$9,Q$16,Q$17,Q$18,$G$20,$H$20))</f>
        <v>1368</v>
      </c>
      <c r="R20" s="69">
        <f>IF(_epmOfflineCondition_,1268,_xll.EVGTS($B$1,1,$B$3,$B$5,$B$7,$B$9,R$16,R$17,R$18,$G$20,$H$20))</f>
        <v>1268</v>
      </c>
      <c r="S20" s="69">
        <f>IF(_epmOfflineCondition_,1191,_xll.EVGTS($B$1,1,$B$3,$B$5,$B$7,$B$9,S$16,S$17,S$18,$G$20,$H$20))</f>
        <v>1191</v>
      </c>
      <c r="T20" s="69">
        <f>IF(_epmOfflineCondition_,1178,_xll.EVGTS($B$1,1,$B$3,$B$5,$B$7,$B$9,T$16,T$17,T$18,$G$20,$H$20))</f>
        <v>1178</v>
      </c>
      <c r="U20" s="69">
        <f>IF(_epmOfflineCondition_,1523,_xll.EVGTS($B$1,1,$B$3,$B$5,$B$7,$B$9,U$16,U$17,U$18,$G$20,$H$20))</f>
        <v>1523</v>
      </c>
      <c r="V20" s="69">
        <f>IF(_epmOfflineCondition_,878,_xll.EVGTS($B$1,1,$B$3,$B$5,$B$7,$B$9,V$16,V$17,V$18,$G$20,$H$20))</f>
        <v>878</v>
      </c>
      <c r="W20" s="69">
        <f>IF(_epmOfflineCondition_,1113,_xll.EVGTS($B$1,1,$B$3,$B$5,$B$7,$B$9,W$16,W$17,W$18,$G$20,$H$20))</f>
        <v>1113</v>
      </c>
      <c r="X20" s="69">
        <f>IF(_epmOfflineCondition_,448,_xll.EVGTS($B$1,1,$B$3,$B$5,$B$7,$B$9,X$16,X$17,X$18,$G$20,$H$20))</f>
        <v>448</v>
      </c>
      <c r="Y20" s="69">
        <f>IF(_epmOfflineCondition_,672,_xll.EVGTS($B$1,1,$B$3,$B$5,$B$7,$B$9,Y$16,Y$17,Y$18,$G$20,$H$20))</f>
        <v>672</v>
      </c>
      <c r="Z20" s="69">
        <f>IF(_epmOfflineCondition_,316,_xll.EVGTS($B$1,1,$B$3,$B$5,$B$7,$B$9,Z$16,Z$17,Z$18,$G$20,$H$20))</f>
        <v>316</v>
      </c>
      <c r="AA20" s="69">
        <f>SUM(O20:Z20)</f>
        <v>12011</v>
      </c>
      <c r="AB20" s="67"/>
      <c r="AC20" s="67"/>
      <c r="AD20" s="69">
        <f>IF(_epmOfflineCondition_,19246,_xll.EVGTS($B$1,1,$B$3,$B$5,$B$7,$B$9,AD$16,AD$17,AD$18,$G$20,$H$20))</f>
        <v>19246</v>
      </c>
      <c r="AE20" s="67"/>
      <c r="AF20" s="67"/>
      <c r="AG20" s="69">
        <f>IF(_epmOfflineCondition_,804,_xll.EVGTS($B$1,1,$B$3,$B$5,$B$7,$B$9,AG$16,AG$17,AG$18,$G$20,$H$20))</f>
        <v>804</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IF(_epmOfflineCondition_,"'Venue2'!$A$36:$F$44",_xll.EVRNG(A36:F44))</f>
        <v>'Venue2'!$A$36:$F$44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IF(_epmOfflineCondition_,"'Venue2'!$A$125:$B$146",_xll.EVRNG($A$125:$B$146))</f>
        <v>'Venue2'!$A$125:$B$146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IF(_epmOfflineCondition_,"Pool Bar",IF($N$1="",IF(_xll.EVDES(B6,$B$1)="#NODATA","",_xll.EVDES(B6,$B$1)&amp;" Department"),$N$1))</f>
        <v>Pool Bar</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57">
        <v>33</v>
      </c>
      <c r="P35" s="210"/>
      <c r="Q35" s="210"/>
      <c r="R35" s="210"/>
      <c r="S35" s="210"/>
      <c r="T35" s="210"/>
      <c r="U35" s="210"/>
      <c r="V35" s="210"/>
      <c r="W35" s="210"/>
      <c r="X35" s="210"/>
      <c r="Y35" s="210"/>
      <c r="Z35" s="210"/>
      <c r="AA35" s="210">
        <f t="shared" ref="AA35:AA58" si="1">IF($I35="B1","",SUM(O35:Z35))</f>
        <v>33</v>
      </c>
      <c r="AB35" s="458">
        <f t="shared" ref="AB35:AB58" si="2">IF(AA35=0,"",IFERROR(AA35/AA$19,""))</f>
        <v>7.4001828024550589E-5</v>
      </c>
      <c r="AC35" s="528"/>
      <c r="AD35" s="210"/>
      <c r="AE35" s="458" t="str">
        <f t="shared" ref="AE35:AE58" si="3">IF(AD35=0,"",IFERROR(AD35/AD$19,""))</f>
        <v/>
      </c>
      <c r="AF35" s="460">
        <f t="shared" ref="AF35:AF58" si="4">IF(AND($AA35="",AD35=""),"",$AA35-AD35)</f>
        <v>33</v>
      </c>
      <c r="AG35" s="210"/>
      <c r="AH35" s="458" t="str">
        <f t="shared" ref="AH35:AH58" si="5">IF(AG35=0,"",IFERROR(AG35/AG$19,""))</f>
        <v/>
      </c>
      <c r="AI35" s="461">
        <f t="shared" ref="AI35:AI58" si="6">IF(AND($AA35="",AG35=""),"",$AA35-AG35)</f>
        <v>33</v>
      </c>
      <c r="AJ35" s="462">
        <f t="shared" ref="AJ35:AJ58" si="7">IFERROR(AA35/AA$20,0)</f>
        <v>2.7474814753142953E-3</v>
      </c>
      <c r="AK35" s="463">
        <f t="shared" ref="AK35:AK58" si="8">IFERROR(AD35/AD$20,0)</f>
        <v>0</v>
      </c>
      <c r="AL35" s="464">
        <f t="shared" ref="AL35:AL58" si="9">IFERROR(AG35/AG$20,0)</f>
        <v>0</v>
      </c>
      <c r="AM35" s="465">
        <f t="shared" ref="AM35:AM58" si="10">+IFERROR(ROUND(($AB35-AE35)*100,2)&amp;" pts.",0)</f>
        <v>0</v>
      </c>
      <c r="AN35" s="466">
        <f t="shared" ref="AN35:AN58" si="11">+IFERROR(ROUND(($AB35-AH35)*100,2)&amp;" pts.",0)</f>
        <v>0</v>
      </c>
      <c r="AO35" s="11"/>
    </row>
    <row r="36" spans="1:41" x14ac:dyDescent="0.25">
      <c r="A36" s="11"/>
      <c r="B36" s="11"/>
      <c r="C36" s="11"/>
      <c r="D36" s="11"/>
      <c r="E36" s="11"/>
      <c r="F36" s="11"/>
      <c r="G36" s="11"/>
      <c r="H36" s="185"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57">
        <v>7506</v>
      </c>
      <c r="P36" s="210">
        <v>13543</v>
      </c>
      <c r="Q36" s="210">
        <v>16072.5</v>
      </c>
      <c r="R36" s="210">
        <v>15526.4</v>
      </c>
      <c r="S36" s="210">
        <v>14533.6</v>
      </c>
      <c r="T36" s="210">
        <v>8431.6</v>
      </c>
      <c r="U36" s="210">
        <v>10799.8</v>
      </c>
      <c r="V36" s="210">
        <v>8037.07</v>
      </c>
      <c r="W36" s="210">
        <v>5829</v>
      </c>
      <c r="X36" s="210">
        <v>4565</v>
      </c>
      <c r="Y36" s="210">
        <v>6025.5</v>
      </c>
      <c r="Z36" s="210">
        <v>5949.6</v>
      </c>
      <c r="AA36" s="210">
        <f t="shared" si="1"/>
        <v>116819.07</v>
      </c>
      <c r="AB36" s="458">
        <f t="shared" si="2"/>
        <v>0.26196438570084657</v>
      </c>
      <c r="AC36" s="528"/>
      <c r="AD36" s="210">
        <v>220434.2388618</v>
      </c>
      <c r="AE36" s="458">
        <f t="shared" si="3"/>
        <v>0.28543984857392896</v>
      </c>
      <c r="AF36" s="460">
        <f t="shared" si="4"/>
        <v>-103615.16886179999</v>
      </c>
      <c r="AG36" s="210">
        <v>9362.5</v>
      </c>
      <c r="AH36" s="458">
        <f t="shared" si="5"/>
        <v>0.30342952332801826</v>
      </c>
      <c r="AI36" s="461">
        <f t="shared" si="6"/>
        <v>107456.57</v>
      </c>
      <c r="AJ36" s="462">
        <f t="shared" si="7"/>
        <v>9.7260069935892108</v>
      </c>
      <c r="AK36" s="463">
        <f t="shared" si="8"/>
        <v>11.453509241494336</v>
      </c>
      <c r="AL36" s="464">
        <f t="shared" si="9"/>
        <v>11.644900497512438</v>
      </c>
      <c r="AM36" s="465" t="str">
        <f t="shared" si="10"/>
        <v>-2.35 pts.</v>
      </c>
      <c r="AN36" s="466" t="str">
        <f t="shared" si="11"/>
        <v>-4.15 pts.</v>
      </c>
      <c r="AO36" s="11"/>
    </row>
    <row r="37" spans="1:41" x14ac:dyDescent="0.25">
      <c r="A37" s="11" t="s">
        <v>209</v>
      </c>
      <c r="B37" s="11" t="s">
        <v>21</v>
      </c>
      <c r="C37" s="395"/>
      <c r="D37" s="11" t="s">
        <v>590</v>
      </c>
      <c r="E37" s="11"/>
      <c r="F37" s="11" t="s">
        <v>99</v>
      </c>
      <c r="G37" s="11"/>
      <c r="H37" s="185"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57"/>
      <c r="P37" s="210"/>
      <c r="Q37" s="210"/>
      <c r="R37" s="210"/>
      <c r="S37" s="210"/>
      <c r="T37" s="210"/>
      <c r="U37" s="210"/>
      <c r="V37" s="210"/>
      <c r="W37" s="210"/>
      <c r="X37" s="210"/>
      <c r="Y37" s="210"/>
      <c r="Z37" s="210"/>
      <c r="AA37" s="210">
        <f t="shared" si="1"/>
        <v>0</v>
      </c>
      <c r="AB37" s="458" t="str">
        <f t="shared" si="2"/>
        <v/>
      </c>
      <c r="AC37" s="528"/>
      <c r="AD37" s="210"/>
      <c r="AE37" s="458" t="str">
        <f t="shared" si="3"/>
        <v/>
      </c>
      <c r="AF37" s="460">
        <f t="shared" si="4"/>
        <v>0</v>
      </c>
      <c r="AG37" s="210"/>
      <c r="AH37" s="458" t="str">
        <f t="shared" si="5"/>
        <v/>
      </c>
      <c r="AI37" s="461">
        <f t="shared" si="6"/>
        <v>0</v>
      </c>
      <c r="AJ37" s="462">
        <f t="shared" si="7"/>
        <v>0</v>
      </c>
      <c r="AK37" s="463">
        <f t="shared" si="8"/>
        <v>0</v>
      </c>
      <c r="AL37" s="464">
        <f t="shared" si="9"/>
        <v>0</v>
      </c>
      <c r="AM37" s="465">
        <f t="shared" si="10"/>
        <v>0</v>
      </c>
      <c r="AN37" s="466">
        <f t="shared" si="11"/>
        <v>0</v>
      </c>
      <c r="AO37" s="11"/>
    </row>
    <row r="38" spans="1:41" x14ac:dyDescent="0.2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57"/>
      <c r="P38" s="210"/>
      <c r="Q38" s="210"/>
      <c r="R38" s="210"/>
      <c r="S38" s="210"/>
      <c r="T38" s="210"/>
      <c r="U38" s="210"/>
      <c r="V38" s="210"/>
      <c r="W38" s="210"/>
      <c r="X38" s="210"/>
      <c r="Y38" s="210"/>
      <c r="Z38" s="210"/>
      <c r="AA38" s="210">
        <f t="shared" si="1"/>
        <v>0</v>
      </c>
      <c r="AB38" s="458" t="str">
        <f t="shared" si="2"/>
        <v/>
      </c>
      <c r="AC38" s="528"/>
      <c r="AD38" s="210"/>
      <c r="AE38" s="458" t="str">
        <f t="shared" si="3"/>
        <v/>
      </c>
      <c r="AF38" s="460">
        <f t="shared" si="4"/>
        <v>0</v>
      </c>
      <c r="AG38" s="210"/>
      <c r="AH38" s="458" t="str">
        <f t="shared" si="5"/>
        <v/>
      </c>
      <c r="AI38" s="461">
        <f t="shared" si="6"/>
        <v>0</v>
      </c>
      <c r="AJ38" s="462">
        <f t="shared" si="7"/>
        <v>0</v>
      </c>
      <c r="AK38" s="463">
        <f t="shared" si="8"/>
        <v>0</v>
      </c>
      <c r="AL38" s="464">
        <f t="shared" si="9"/>
        <v>0</v>
      </c>
      <c r="AM38" s="465">
        <f t="shared" si="10"/>
        <v>0</v>
      </c>
      <c r="AN38" s="466">
        <f t="shared" si="11"/>
        <v>0</v>
      </c>
      <c r="AO38" s="11"/>
    </row>
    <row r="39" spans="1:41" x14ac:dyDescent="0.2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67"/>
      <c r="P39" s="216"/>
      <c r="Q39" s="216"/>
      <c r="R39" s="216"/>
      <c r="S39" s="216"/>
      <c r="T39" s="216"/>
      <c r="U39" s="216"/>
      <c r="V39" s="216"/>
      <c r="W39" s="216"/>
      <c r="X39" s="216"/>
      <c r="Y39" s="216"/>
      <c r="Z39" s="216"/>
      <c r="AA39" s="216">
        <f t="shared" si="1"/>
        <v>0</v>
      </c>
      <c r="AB39" s="468" t="str">
        <f t="shared" si="2"/>
        <v/>
      </c>
      <c r="AC39" s="459"/>
      <c r="AD39" s="216"/>
      <c r="AE39" s="468" t="str">
        <f t="shared" si="3"/>
        <v/>
      </c>
      <c r="AF39" s="469">
        <f t="shared" si="4"/>
        <v>0</v>
      </c>
      <c r="AG39" s="216"/>
      <c r="AH39" s="468" t="str">
        <f t="shared" si="5"/>
        <v/>
      </c>
      <c r="AI39" s="470">
        <f t="shared" si="6"/>
        <v>0</v>
      </c>
      <c r="AJ39" s="471">
        <f t="shared" si="7"/>
        <v>0</v>
      </c>
      <c r="AK39" s="472">
        <f t="shared" si="8"/>
        <v>0</v>
      </c>
      <c r="AL39" s="473">
        <f t="shared" si="9"/>
        <v>0</v>
      </c>
      <c r="AM39" s="474">
        <f t="shared" si="10"/>
        <v>0</v>
      </c>
      <c r="AN39" s="475">
        <f t="shared" si="11"/>
        <v>0</v>
      </c>
      <c r="AO39" s="11"/>
    </row>
    <row r="40" spans="1:41" x14ac:dyDescent="0.2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76">
        <v>7539</v>
      </c>
      <c r="P40" s="223">
        <v>13543</v>
      </c>
      <c r="Q40" s="223">
        <v>16072.5</v>
      </c>
      <c r="R40" s="223">
        <v>15526.4</v>
      </c>
      <c r="S40" s="223">
        <v>14533.6</v>
      </c>
      <c r="T40" s="223">
        <v>8431.6</v>
      </c>
      <c r="U40" s="223">
        <v>10799.8</v>
      </c>
      <c r="V40" s="223">
        <v>8037.07</v>
      </c>
      <c r="W40" s="223">
        <v>5829</v>
      </c>
      <c r="X40" s="223">
        <v>4565</v>
      </c>
      <c r="Y40" s="223">
        <v>6025.5</v>
      </c>
      <c r="Z40" s="223">
        <v>5949.6</v>
      </c>
      <c r="AA40" s="223">
        <f t="shared" si="1"/>
        <v>116852.07</v>
      </c>
      <c r="AB40" s="224">
        <f t="shared" si="2"/>
        <v>0.26203838752887115</v>
      </c>
      <c r="AC40" s="225"/>
      <c r="AD40" s="223">
        <v>220434.2388618</v>
      </c>
      <c r="AE40" s="224">
        <f t="shared" si="3"/>
        <v>0.28543984857392896</v>
      </c>
      <c r="AF40" s="226">
        <f t="shared" si="4"/>
        <v>-103582.16886179999</v>
      </c>
      <c r="AG40" s="223">
        <v>9362.5</v>
      </c>
      <c r="AH40" s="224">
        <f t="shared" si="5"/>
        <v>0.30342952332801826</v>
      </c>
      <c r="AI40" s="477">
        <f t="shared" si="6"/>
        <v>107489.57</v>
      </c>
      <c r="AJ40" s="227">
        <f t="shared" si="7"/>
        <v>9.728754475064525</v>
      </c>
      <c r="AK40" s="228">
        <f t="shared" si="8"/>
        <v>11.453509241494336</v>
      </c>
      <c r="AL40" s="230">
        <f t="shared" si="9"/>
        <v>11.644900497512438</v>
      </c>
      <c r="AM40" s="427" t="str">
        <f t="shared" si="10"/>
        <v>-2.34 pts.</v>
      </c>
      <c r="AN40" s="478" t="str">
        <f t="shared" si="11"/>
        <v>-4.14 pts.</v>
      </c>
      <c r="AO40" s="11"/>
    </row>
    <row r="41" spans="1:41" x14ac:dyDescent="0.2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79"/>
      <c r="P41" s="232"/>
      <c r="Q41" s="232"/>
      <c r="R41" s="232"/>
      <c r="S41" s="232"/>
      <c r="T41" s="232"/>
      <c r="U41" s="232"/>
      <c r="V41" s="232"/>
      <c r="W41" s="232"/>
      <c r="X41" s="232"/>
      <c r="Y41" s="232"/>
      <c r="Z41" s="232"/>
      <c r="AA41" s="232" t="str">
        <f t="shared" si="1"/>
        <v/>
      </c>
      <c r="AB41" s="480" t="str">
        <f t="shared" si="2"/>
        <v/>
      </c>
      <c r="AC41" s="529"/>
      <c r="AD41" s="232"/>
      <c r="AE41" s="480" t="str">
        <f t="shared" si="3"/>
        <v/>
      </c>
      <c r="AF41" s="482" t="str">
        <f t="shared" si="4"/>
        <v/>
      </c>
      <c r="AG41" s="232"/>
      <c r="AH41" s="480" t="str">
        <f t="shared" si="5"/>
        <v/>
      </c>
      <c r="AI41" s="483" t="str">
        <f t="shared" si="6"/>
        <v/>
      </c>
      <c r="AJ41" s="235">
        <f t="shared" si="7"/>
        <v>0</v>
      </c>
      <c r="AK41" s="236">
        <f t="shared" si="8"/>
        <v>0</v>
      </c>
      <c r="AL41" s="238">
        <f t="shared" si="9"/>
        <v>0</v>
      </c>
      <c r="AM41" s="429">
        <f t="shared" si="10"/>
        <v>0</v>
      </c>
      <c r="AN41" s="484">
        <f t="shared" si="11"/>
        <v>0</v>
      </c>
      <c r="AO41" s="11"/>
    </row>
    <row r="42" spans="1:41" x14ac:dyDescent="0.2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57"/>
      <c r="P42" s="210"/>
      <c r="Q42" s="210"/>
      <c r="R42" s="210"/>
      <c r="S42" s="210"/>
      <c r="T42" s="210">
        <v>-86</v>
      </c>
      <c r="U42" s="210"/>
      <c r="V42" s="210"/>
      <c r="W42" s="210"/>
      <c r="X42" s="210"/>
      <c r="Y42" s="210"/>
      <c r="Z42" s="210"/>
      <c r="AA42" s="210">
        <f t="shared" si="1"/>
        <v>-86</v>
      </c>
      <c r="AB42" s="458">
        <f t="shared" si="2"/>
        <v>-1.9285324879125305E-4</v>
      </c>
      <c r="AC42" s="528"/>
      <c r="AD42" s="210"/>
      <c r="AE42" s="458" t="str">
        <f t="shared" si="3"/>
        <v/>
      </c>
      <c r="AF42" s="460">
        <f t="shared" si="4"/>
        <v>-86</v>
      </c>
      <c r="AG42" s="210"/>
      <c r="AH42" s="458" t="str">
        <f t="shared" si="5"/>
        <v/>
      </c>
      <c r="AI42" s="461">
        <f t="shared" si="6"/>
        <v>-86</v>
      </c>
      <c r="AJ42" s="462">
        <f t="shared" si="7"/>
        <v>-7.1601032386978602E-3</v>
      </c>
      <c r="AK42" s="463">
        <f t="shared" si="8"/>
        <v>0</v>
      </c>
      <c r="AL42" s="464">
        <f t="shared" si="9"/>
        <v>0</v>
      </c>
      <c r="AM42" s="465">
        <f t="shared" si="10"/>
        <v>0</v>
      </c>
      <c r="AN42" s="466">
        <f t="shared" si="11"/>
        <v>0</v>
      </c>
      <c r="AO42" s="11"/>
    </row>
    <row r="43" spans="1:41" x14ac:dyDescent="0.2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57">
        <v>17257.919999999998</v>
      </c>
      <c r="P43" s="210">
        <v>29180</v>
      </c>
      <c r="Q43" s="210">
        <v>30235</v>
      </c>
      <c r="R43" s="210">
        <v>28208.51</v>
      </c>
      <c r="S43" s="210">
        <v>26812.66</v>
      </c>
      <c r="T43" s="210">
        <v>17280.5</v>
      </c>
      <c r="U43" s="210">
        <v>23252.5</v>
      </c>
      <c r="V43" s="210">
        <v>14920.5</v>
      </c>
      <c r="W43" s="210">
        <v>15009.4</v>
      </c>
      <c r="X43" s="210">
        <v>13234</v>
      </c>
      <c r="Y43" s="210">
        <v>14108.8</v>
      </c>
      <c r="Z43" s="210">
        <v>10084.4</v>
      </c>
      <c r="AA43" s="210">
        <f t="shared" si="1"/>
        <v>239584.18999999997</v>
      </c>
      <c r="AB43" s="458">
        <f t="shared" si="2"/>
        <v>0.53726266744791673</v>
      </c>
      <c r="AC43" s="528"/>
      <c r="AD43" s="210">
        <v>434024.75813819998</v>
      </c>
      <c r="AE43" s="458">
        <f t="shared" si="3"/>
        <v>0.56201777854471502</v>
      </c>
      <c r="AF43" s="460">
        <f t="shared" si="4"/>
        <v>-194440.5681382</v>
      </c>
      <c r="AG43" s="210">
        <v>16734</v>
      </c>
      <c r="AH43" s="458">
        <f t="shared" si="5"/>
        <v>0.54233267218916503</v>
      </c>
      <c r="AI43" s="461">
        <f t="shared" si="6"/>
        <v>222850.18999999997</v>
      </c>
      <c r="AJ43" s="462">
        <f t="shared" si="7"/>
        <v>19.947064357672133</v>
      </c>
      <c r="AK43" s="463">
        <f t="shared" si="8"/>
        <v>22.55142669324535</v>
      </c>
      <c r="AL43" s="464">
        <f t="shared" si="9"/>
        <v>20.813432835820894</v>
      </c>
      <c r="AM43" s="465" t="str">
        <f t="shared" si="10"/>
        <v>-2.48 pts.</v>
      </c>
      <c r="AN43" s="466" t="str">
        <f t="shared" si="11"/>
        <v>-0.51 pts.</v>
      </c>
      <c r="AO43" s="11"/>
    </row>
    <row r="44" spans="1:41" x14ac:dyDescent="0.2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57"/>
      <c r="P44" s="210"/>
      <c r="Q44" s="210"/>
      <c r="R44" s="210"/>
      <c r="S44" s="210"/>
      <c r="T44" s="210"/>
      <c r="U44" s="210"/>
      <c r="V44" s="210"/>
      <c r="W44" s="210"/>
      <c r="X44" s="210"/>
      <c r="Y44" s="210"/>
      <c r="Z44" s="210"/>
      <c r="AA44" s="210">
        <f t="shared" si="1"/>
        <v>0</v>
      </c>
      <c r="AB44" s="458" t="str">
        <f t="shared" si="2"/>
        <v/>
      </c>
      <c r="AC44" s="528"/>
      <c r="AD44" s="210"/>
      <c r="AE44" s="458" t="str">
        <f t="shared" si="3"/>
        <v/>
      </c>
      <c r="AF44" s="460">
        <f t="shared" si="4"/>
        <v>0</v>
      </c>
      <c r="AG44" s="210"/>
      <c r="AH44" s="458" t="str">
        <f t="shared" si="5"/>
        <v/>
      </c>
      <c r="AI44" s="461">
        <f t="shared" si="6"/>
        <v>0</v>
      </c>
      <c r="AJ44" s="462">
        <f t="shared" si="7"/>
        <v>0</v>
      </c>
      <c r="AK44" s="463">
        <f t="shared" si="8"/>
        <v>0</v>
      </c>
      <c r="AL44" s="464">
        <f t="shared" si="9"/>
        <v>0</v>
      </c>
      <c r="AM44" s="465">
        <f t="shared" si="10"/>
        <v>0</v>
      </c>
      <c r="AN44" s="466">
        <f t="shared" si="11"/>
        <v>0</v>
      </c>
      <c r="AO44" s="11"/>
    </row>
    <row r="45" spans="1:41" x14ac:dyDescent="0.2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57"/>
      <c r="P45" s="210"/>
      <c r="Q45" s="210"/>
      <c r="R45" s="210"/>
      <c r="S45" s="210"/>
      <c r="T45" s="210"/>
      <c r="U45" s="210"/>
      <c r="V45" s="210"/>
      <c r="W45" s="210"/>
      <c r="X45" s="210"/>
      <c r="Y45" s="210"/>
      <c r="Z45" s="210"/>
      <c r="AA45" s="210">
        <f t="shared" si="1"/>
        <v>0</v>
      </c>
      <c r="AB45" s="458" t="str">
        <f t="shared" si="2"/>
        <v/>
      </c>
      <c r="AC45" s="528"/>
      <c r="AD45" s="210"/>
      <c r="AE45" s="458" t="str">
        <f t="shared" si="3"/>
        <v/>
      </c>
      <c r="AF45" s="460">
        <f t="shared" si="4"/>
        <v>0</v>
      </c>
      <c r="AG45" s="210"/>
      <c r="AH45" s="458" t="str">
        <f t="shared" si="5"/>
        <v/>
      </c>
      <c r="AI45" s="461">
        <f t="shared" si="6"/>
        <v>0</v>
      </c>
      <c r="AJ45" s="462">
        <f t="shared" si="7"/>
        <v>0</v>
      </c>
      <c r="AK45" s="463">
        <f t="shared" si="8"/>
        <v>0</v>
      </c>
      <c r="AL45" s="464">
        <f t="shared" si="9"/>
        <v>0</v>
      </c>
      <c r="AM45" s="465">
        <f t="shared" si="10"/>
        <v>0</v>
      </c>
      <c r="AN45" s="466">
        <f t="shared" si="11"/>
        <v>0</v>
      </c>
      <c r="AO45" s="11"/>
    </row>
    <row r="46" spans="1:41" x14ac:dyDescent="0.2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67"/>
      <c r="P46" s="216"/>
      <c r="Q46" s="216"/>
      <c r="R46" s="216"/>
      <c r="S46" s="216"/>
      <c r="T46" s="216"/>
      <c r="U46" s="216"/>
      <c r="V46" s="216"/>
      <c r="W46" s="216"/>
      <c r="X46" s="216"/>
      <c r="Y46" s="216"/>
      <c r="Z46" s="216"/>
      <c r="AA46" s="216">
        <f t="shared" si="1"/>
        <v>0</v>
      </c>
      <c r="AB46" s="468" t="str">
        <f t="shared" si="2"/>
        <v/>
      </c>
      <c r="AC46" s="459"/>
      <c r="AD46" s="216"/>
      <c r="AE46" s="468" t="str">
        <f t="shared" si="3"/>
        <v/>
      </c>
      <c r="AF46" s="469">
        <f t="shared" si="4"/>
        <v>0</v>
      </c>
      <c r="AG46" s="216"/>
      <c r="AH46" s="468" t="str">
        <f t="shared" si="5"/>
        <v/>
      </c>
      <c r="AI46" s="470">
        <f t="shared" si="6"/>
        <v>0</v>
      </c>
      <c r="AJ46" s="471">
        <f t="shared" si="7"/>
        <v>0</v>
      </c>
      <c r="AK46" s="472">
        <f t="shared" si="8"/>
        <v>0</v>
      </c>
      <c r="AL46" s="473">
        <f t="shared" si="9"/>
        <v>0</v>
      </c>
      <c r="AM46" s="474">
        <f t="shared" si="10"/>
        <v>0</v>
      </c>
      <c r="AN46" s="475">
        <f t="shared" si="11"/>
        <v>0</v>
      </c>
      <c r="AO46" s="11"/>
    </row>
    <row r="47" spans="1:41" x14ac:dyDescent="0.2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76">
        <v>17257.919999999998</v>
      </c>
      <c r="P47" s="223">
        <v>29180</v>
      </c>
      <c r="Q47" s="223">
        <v>30235</v>
      </c>
      <c r="R47" s="223">
        <v>28208.51</v>
      </c>
      <c r="S47" s="223">
        <v>26812.66</v>
      </c>
      <c r="T47" s="223">
        <v>17194.5</v>
      </c>
      <c r="U47" s="223">
        <v>23252.5</v>
      </c>
      <c r="V47" s="223">
        <v>14920.5</v>
      </c>
      <c r="W47" s="223">
        <v>15009.4</v>
      </c>
      <c r="X47" s="223">
        <v>13234</v>
      </c>
      <c r="Y47" s="223">
        <v>14108.8</v>
      </c>
      <c r="Z47" s="223">
        <v>10084.4</v>
      </c>
      <c r="AA47" s="223">
        <f t="shared" si="1"/>
        <v>239498.18999999997</v>
      </c>
      <c r="AB47" s="224">
        <f t="shared" si="2"/>
        <v>0.53706981419912547</v>
      </c>
      <c r="AC47" s="225"/>
      <c r="AD47" s="223">
        <v>434024.75813819998</v>
      </c>
      <c r="AE47" s="224">
        <f t="shared" si="3"/>
        <v>0.56201777854471502</v>
      </c>
      <c r="AF47" s="226">
        <f t="shared" si="4"/>
        <v>-194526.5681382</v>
      </c>
      <c r="AG47" s="223">
        <v>16734</v>
      </c>
      <c r="AH47" s="224">
        <f t="shared" si="5"/>
        <v>0.54233267218916503</v>
      </c>
      <c r="AI47" s="477">
        <f t="shared" si="6"/>
        <v>222764.18999999997</v>
      </c>
      <c r="AJ47" s="227">
        <f t="shared" si="7"/>
        <v>19.939904254433433</v>
      </c>
      <c r="AK47" s="228">
        <f t="shared" si="8"/>
        <v>22.55142669324535</v>
      </c>
      <c r="AL47" s="230">
        <f t="shared" si="9"/>
        <v>20.813432835820894</v>
      </c>
      <c r="AM47" s="427" t="str">
        <f t="shared" si="10"/>
        <v>-2.49 pts.</v>
      </c>
      <c r="AN47" s="478" t="str">
        <f t="shared" si="11"/>
        <v>-0.53 pts.</v>
      </c>
      <c r="AO47" s="11"/>
    </row>
    <row r="48" spans="1:41" x14ac:dyDescent="0.2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v>-33</v>
      </c>
      <c r="P48" s="239">
        <v>-24.86</v>
      </c>
      <c r="Q48" s="239">
        <v>-22.05</v>
      </c>
      <c r="R48" s="239">
        <v>-148.05000000000001</v>
      </c>
      <c r="S48" s="239">
        <v>-462.68</v>
      </c>
      <c r="T48" s="239">
        <v>-10</v>
      </c>
      <c r="U48" s="239">
        <v>-81.59</v>
      </c>
      <c r="V48" s="239">
        <v>-13.43</v>
      </c>
      <c r="W48" s="239"/>
      <c r="X48" s="239">
        <v>-50.8</v>
      </c>
      <c r="Y48" s="239">
        <v>-87.08</v>
      </c>
      <c r="Z48" s="239">
        <v>-356.97</v>
      </c>
      <c r="AA48" s="239">
        <f t="shared" si="1"/>
        <v>-1290.51</v>
      </c>
      <c r="AB48" s="240">
        <f t="shared" si="2"/>
        <v>-2.8939423964837205E-3</v>
      </c>
      <c r="AC48" s="481"/>
      <c r="AD48" s="239"/>
      <c r="AE48" s="240" t="str">
        <f t="shared" si="3"/>
        <v/>
      </c>
      <c r="AF48" s="241">
        <f t="shared" si="4"/>
        <v>-1290.51</v>
      </c>
      <c r="AG48" s="239"/>
      <c r="AH48" s="240" t="str">
        <f t="shared" si="5"/>
        <v/>
      </c>
      <c r="AI48" s="531">
        <f t="shared" si="6"/>
        <v>-1290.51</v>
      </c>
      <c r="AJ48" s="532">
        <f t="shared" si="7"/>
        <v>-0.10744400965781367</v>
      </c>
      <c r="AK48" s="533">
        <f t="shared" si="8"/>
        <v>0</v>
      </c>
      <c r="AL48" s="534">
        <f t="shared" si="9"/>
        <v>0</v>
      </c>
      <c r="AM48" s="535">
        <f t="shared" si="10"/>
        <v>0</v>
      </c>
      <c r="AN48" s="536">
        <f t="shared" si="11"/>
        <v>0</v>
      </c>
      <c r="AO48" s="11"/>
    </row>
    <row r="49" spans="1:41" x14ac:dyDescent="0.2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76">
        <v>24763.919999999998</v>
      </c>
      <c r="P49" s="223">
        <v>42698.14</v>
      </c>
      <c r="Q49" s="223">
        <v>46285.45</v>
      </c>
      <c r="R49" s="223">
        <v>43586.86</v>
      </c>
      <c r="S49" s="223">
        <v>40883.58</v>
      </c>
      <c r="T49" s="223">
        <v>25616.1</v>
      </c>
      <c r="U49" s="223">
        <v>33970.71</v>
      </c>
      <c r="V49" s="223">
        <v>22944.14</v>
      </c>
      <c r="W49" s="223">
        <v>20838.400000000001</v>
      </c>
      <c r="X49" s="223">
        <v>17748.2</v>
      </c>
      <c r="Y49" s="223">
        <v>20047.22</v>
      </c>
      <c r="Z49" s="223">
        <v>15677.03</v>
      </c>
      <c r="AA49" s="223">
        <f t="shared" si="1"/>
        <v>355059.75000000012</v>
      </c>
      <c r="AB49" s="224">
        <f t="shared" si="2"/>
        <v>0.79621425933151313</v>
      </c>
      <c r="AC49" s="225"/>
      <c r="AD49" s="223">
        <v>654458.99699999997</v>
      </c>
      <c r="AE49" s="224">
        <f t="shared" si="3"/>
        <v>0.84745762711864403</v>
      </c>
      <c r="AF49" s="226">
        <f t="shared" si="4"/>
        <v>-299399.24699999986</v>
      </c>
      <c r="AG49" s="223">
        <v>26096.5</v>
      </c>
      <c r="AH49" s="224">
        <f t="shared" si="5"/>
        <v>0.84576219551718335</v>
      </c>
      <c r="AI49" s="477">
        <f t="shared" si="6"/>
        <v>328963.25000000012</v>
      </c>
      <c r="AJ49" s="227">
        <f t="shared" si="7"/>
        <v>29.561214719840155</v>
      </c>
      <c r="AK49" s="228">
        <f t="shared" si="8"/>
        <v>34.004935934739684</v>
      </c>
      <c r="AL49" s="230">
        <f t="shared" si="9"/>
        <v>32.458333333333336</v>
      </c>
      <c r="AM49" s="427" t="str">
        <f t="shared" si="10"/>
        <v>-5.12 pts.</v>
      </c>
      <c r="AN49" s="478" t="str">
        <f t="shared" si="11"/>
        <v>-4.95 pts.</v>
      </c>
      <c r="AO49" s="11"/>
    </row>
    <row r="50" spans="1:41" x14ac:dyDescent="0.25">
      <c r="A50" s="65" t="s">
        <v>2</v>
      </c>
      <c r="B50" s="66" t="str">
        <f>IF(_epmOfflineCondition_,"'Venue2'!$B$2:$B$10",_xll.EVRNG($B$2:$B$10))</f>
        <v>'Venue2'!$B$2:$B$10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79"/>
      <c r="P50" s="232"/>
      <c r="Q50" s="232"/>
      <c r="R50" s="232"/>
      <c r="S50" s="232"/>
      <c r="T50" s="232"/>
      <c r="U50" s="232"/>
      <c r="V50" s="232"/>
      <c r="W50" s="232"/>
      <c r="X50" s="232"/>
      <c r="Y50" s="232"/>
      <c r="Z50" s="232"/>
      <c r="AA50" s="232" t="str">
        <f t="shared" si="1"/>
        <v/>
      </c>
      <c r="AB50" s="480" t="str">
        <f t="shared" si="2"/>
        <v/>
      </c>
      <c r="AC50" s="529"/>
      <c r="AD50" s="232"/>
      <c r="AE50" s="480" t="str">
        <f t="shared" si="3"/>
        <v/>
      </c>
      <c r="AF50" s="482" t="str">
        <f t="shared" si="4"/>
        <v/>
      </c>
      <c r="AG50" s="232"/>
      <c r="AH50" s="480" t="str">
        <f t="shared" si="5"/>
        <v/>
      </c>
      <c r="AI50" s="483" t="str">
        <f t="shared" si="6"/>
        <v/>
      </c>
      <c r="AJ50" s="235">
        <f t="shared" si="7"/>
        <v>0</v>
      </c>
      <c r="AK50" s="236">
        <f t="shared" si="8"/>
        <v>0</v>
      </c>
      <c r="AL50" s="238">
        <f t="shared" si="9"/>
        <v>0</v>
      </c>
      <c r="AM50" s="429">
        <f t="shared" si="10"/>
        <v>0</v>
      </c>
      <c r="AN50" s="484">
        <f t="shared" si="11"/>
        <v>0</v>
      </c>
      <c r="AO50" s="11"/>
    </row>
    <row r="51" spans="1:41" x14ac:dyDescent="0.25">
      <c r="A51" s="65" t="s">
        <v>3</v>
      </c>
      <c r="B51" s="66" t="str">
        <f>IF(_epmOfflineCondition_,"'Venue2'!$O$16:$AN$18",_xll.EVRNG($O$16:$AN$18))</f>
        <v>'Venue2'!$O$16:$AN$18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57"/>
      <c r="P51" s="210"/>
      <c r="Q51" s="210"/>
      <c r="R51" s="210"/>
      <c r="S51" s="210"/>
      <c r="T51" s="210"/>
      <c r="U51" s="210"/>
      <c r="V51" s="210"/>
      <c r="W51" s="210"/>
      <c r="X51" s="210"/>
      <c r="Y51" s="210"/>
      <c r="Z51" s="210"/>
      <c r="AA51" s="210">
        <f t="shared" si="1"/>
        <v>0</v>
      </c>
      <c r="AB51" s="458" t="str">
        <f t="shared" si="2"/>
        <v/>
      </c>
      <c r="AC51" s="528"/>
      <c r="AD51" s="210"/>
      <c r="AE51" s="458" t="str">
        <f t="shared" si="3"/>
        <v/>
      </c>
      <c r="AF51" s="460">
        <f t="shared" si="4"/>
        <v>0</v>
      </c>
      <c r="AG51" s="210"/>
      <c r="AH51" s="458" t="str">
        <f t="shared" si="5"/>
        <v/>
      </c>
      <c r="AI51" s="461">
        <f t="shared" si="6"/>
        <v>0</v>
      </c>
      <c r="AJ51" s="462">
        <f t="shared" si="7"/>
        <v>0</v>
      </c>
      <c r="AK51" s="463">
        <f t="shared" si="8"/>
        <v>0</v>
      </c>
      <c r="AL51" s="464">
        <f t="shared" si="9"/>
        <v>0</v>
      </c>
      <c r="AM51" s="465">
        <f t="shared" si="10"/>
        <v>0</v>
      </c>
      <c r="AN51" s="466">
        <f t="shared" si="11"/>
        <v>0</v>
      </c>
      <c r="AO51" s="11"/>
    </row>
    <row r="52" spans="1:41" x14ac:dyDescent="0.25">
      <c r="A52" s="65" t="s">
        <v>4</v>
      </c>
      <c r="B52" s="66" t="str">
        <f>IF(_epmOfflineCondition_,"'Venue2'!$H$62:$H$70",_xll.EVRNG(H62:H70))</f>
        <v>'Venue2'!$H$62:$H$70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57"/>
      <c r="P52" s="210"/>
      <c r="Q52" s="210"/>
      <c r="R52" s="210"/>
      <c r="S52" s="210"/>
      <c r="T52" s="210"/>
      <c r="U52" s="210"/>
      <c r="V52" s="210"/>
      <c r="W52" s="210"/>
      <c r="X52" s="210"/>
      <c r="Y52" s="210"/>
      <c r="Z52" s="210"/>
      <c r="AA52" s="210">
        <f t="shared" si="1"/>
        <v>0</v>
      </c>
      <c r="AB52" s="458" t="str">
        <f t="shared" si="2"/>
        <v/>
      </c>
      <c r="AC52" s="528"/>
      <c r="AD52" s="210"/>
      <c r="AE52" s="458" t="str">
        <f t="shared" si="3"/>
        <v/>
      </c>
      <c r="AF52" s="460">
        <f t="shared" si="4"/>
        <v>0</v>
      </c>
      <c r="AG52" s="210"/>
      <c r="AH52" s="458" t="str">
        <f t="shared" si="5"/>
        <v/>
      </c>
      <c r="AI52" s="461">
        <f t="shared" si="6"/>
        <v>0</v>
      </c>
      <c r="AJ52" s="462">
        <f t="shared" si="7"/>
        <v>0</v>
      </c>
      <c r="AK52" s="463">
        <f t="shared" si="8"/>
        <v>0</v>
      </c>
      <c r="AL52" s="464">
        <f t="shared" si="9"/>
        <v>0</v>
      </c>
      <c r="AM52" s="465">
        <f t="shared" si="10"/>
        <v>0</v>
      </c>
      <c r="AN52" s="466">
        <f t="shared" si="11"/>
        <v>0</v>
      </c>
      <c r="AO52" s="11"/>
    </row>
    <row r="53" spans="1:41" x14ac:dyDescent="0.2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57"/>
      <c r="P53" s="210"/>
      <c r="Q53" s="210"/>
      <c r="R53" s="210"/>
      <c r="S53" s="210"/>
      <c r="T53" s="210"/>
      <c r="U53" s="210"/>
      <c r="V53" s="210"/>
      <c r="W53" s="210"/>
      <c r="X53" s="210"/>
      <c r="Y53" s="210"/>
      <c r="Z53" s="210"/>
      <c r="AA53" s="210">
        <f t="shared" si="1"/>
        <v>0</v>
      </c>
      <c r="AB53" s="458" t="str">
        <f t="shared" si="2"/>
        <v/>
      </c>
      <c r="AC53" s="528"/>
      <c r="AD53" s="210"/>
      <c r="AE53" s="458" t="str">
        <f t="shared" si="3"/>
        <v/>
      </c>
      <c r="AF53" s="460">
        <f t="shared" si="4"/>
        <v>0</v>
      </c>
      <c r="AG53" s="210"/>
      <c r="AH53" s="458" t="str">
        <f t="shared" si="5"/>
        <v/>
      </c>
      <c r="AI53" s="461">
        <f t="shared" si="6"/>
        <v>0</v>
      </c>
      <c r="AJ53" s="462">
        <f t="shared" si="7"/>
        <v>0</v>
      </c>
      <c r="AK53" s="463">
        <f t="shared" si="8"/>
        <v>0</v>
      </c>
      <c r="AL53" s="464">
        <f t="shared" si="9"/>
        <v>0</v>
      </c>
      <c r="AM53" s="465">
        <f t="shared" si="10"/>
        <v>0</v>
      </c>
      <c r="AN53" s="466">
        <f t="shared" si="11"/>
        <v>0</v>
      </c>
      <c r="AO53" s="11"/>
    </row>
    <row r="54" spans="1:41" x14ac:dyDescent="0.2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57">
        <v>4541.84</v>
      </c>
      <c r="P54" s="210">
        <v>7690.5</v>
      </c>
      <c r="Q54" s="210">
        <v>8433.4599999999991</v>
      </c>
      <c r="R54" s="210">
        <v>7864.16</v>
      </c>
      <c r="S54" s="210">
        <v>7585.56</v>
      </c>
      <c r="T54" s="210">
        <v>4659.08</v>
      </c>
      <c r="U54" s="210">
        <v>6236.1</v>
      </c>
      <c r="V54" s="210">
        <v>4218.7299999999996</v>
      </c>
      <c r="W54" s="210">
        <v>3816.36</v>
      </c>
      <c r="X54" s="210">
        <v>3325.68</v>
      </c>
      <c r="Y54" s="210">
        <v>3641.4</v>
      </c>
      <c r="Z54" s="210">
        <v>2883.6</v>
      </c>
      <c r="AA54" s="210">
        <f t="shared" si="1"/>
        <v>64896.469999999994</v>
      </c>
      <c r="AB54" s="458">
        <f t="shared" si="2"/>
        <v>0.14552901249516381</v>
      </c>
      <c r="AC54" s="528"/>
      <c r="AD54" s="210">
        <v>117802.61946</v>
      </c>
      <c r="AE54" s="458">
        <f t="shared" si="3"/>
        <v>0.15254237288135591</v>
      </c>
      <c r="AF54" s="460">
        <f t="shared" si="4"/>
        <v>-52906.149460000008</v>
      </c>
      <c r="AG54" s="210">
        <v>4742.1000000000004</v>
      </c>
      <c r="AH54" s="458">
        <f t="shared" si="5"/>
        <v>0.15368685100921714</v>
      </c>
      <c r="AI54" s="461">
        <f t="shared" si="6"/>
        <v>60154.369999999995</v>
      </c>
      <c r="AJ54" s="462">
        <f t="shared" si="7"/>
        <v>5.403086337523936</v>
      </c>
      <c r="AK54" s="463">
        <f t="shared" si="8"/>
        <v>6.1208884682531437</v>
      </c>
      <c r="AL54" s="464">
        <f t="shared" si="9"/>
        <v>5.8981343283582097</v>
      </c>
      <c r="AM54" s="465" t="str">
        <f t="shared" si="10"/>
        <v>-0.7 pts.</v>
      </c>
      <c r="AN54" s="466" t="str">
        <f t="shared" si="11"/>
        <v>-0.82 pts.</v>
      </c>
      <c r="AO54" s="11"/>
    </row>
    <row r="55" spans="1:41" x14ac:dyDescent="0.25">
      <c r="A55" s="65" t="s">
        <v>7</v>
      </c>
      <c r="B55" s="66" t="str">
        <f>IF(_epmOfflineCondition_,"'Venue2'!$A$69:$F$77",_xll.EVRNG(A69:F77))</f>
        <v>'Venue2'!$A$69:$F$77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57">
        <v>25</v>
      </c>
      <c r="P55" s="210">
        <v>27</v>
      </c>
      <c r="Q55" s="210">
        <v>5664.08</v>
      </c>
      <c r="R55" s="210">
        <v>3750.71</v>
      </c>
      <c r="S55" s="210">
        <v>4727.16</v>
      </c>
      <c r="T55" s="210">
        <v>3197.16</v>
      </c>
      <c r="U55" s="210">
        <v>34</v>
      </c>
      <c r="V55" s="210">
        <v>4239.17</v>
      </c>
      <c r="W55" s="210">
        <v>777.67</v>
      </c>
      <c r="X55" s="210">
        <v>897.17</v>
      </c>
      <c r="Y55" s="210">
        <v>1044.6199999999999</v>
      </c>
      <c r="Z55" s="210">
        <v>1594.97</v>
      </c>
      <c r="AA55" s="210">
        <f t="shared" si="1"/>
        <v>25978.709999999995</v>
      </c>
      <c r="AB55" s="458">
        <f t="shared" si="2"/>
        <v>5.8256728173323405E-2</v>
      </c>
      <c r="AC55" s="528"/>
      <c r="AD55" s="210"/>
      <c r="AE55" s="458" t="str">
        <f t="shared" si="3"/>
        <v/>
      </c>
      <c r="AF55" s="460">
        <f t="shared" si="4"/>
        <v>25978.709999999995</v>
      </c>
      <c r="AG55" s="210">
        <v>17</v>
      </c>
      <c r="AH55" s="458">
        <f t="shared" si="5"/>
        <v>5.509534735996059E-4</v>
      </c>
      <c r="AI55" s="461">
        <f t="shared" si="6"/>
        <v>25961.709999999995</v>
      </c>
      <c r="AJ55" s="462">
        <f t="shared" si="7"/>
        <v>2.1629098326534009</v>
      </c>
      <c r="AK55" s="463">
        <f t="shared" si="8"/>
        <v>0</v>
      </c>
      <c r="AL55" s="464">
        <f t="shared" si="9"/>
        <v>2.1144278606965175E-2</v>
      </c>
      <c r="AM55" s="465">
        <f t="shared" si="10"/>
        <v>0</v>
      </c>
      <c r="AN55" s="466" t="str">
        <f t="shared" si="11"/>
        <v>5.77 pts.</v>
      </c>
      <c r="AO55" s="11"/>
    </row>
    <row r="56" spans="1:41" x14ac:dyDescent="0.25">
      <c r="A56" s="65" t="s">
        <v>47</v>
      </c>
      <c r="B56" s="66" t="str">
        <f>IF(_epmOfflineCondition_,"'Venue2'!$A$125:$B$146",_xll.EVRNG($A$125:$B$146))</f>
        <v>'Venue2'!$A$125:$B$146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67"/>
      <c r="P56" s="216"/>
      <c r="Q56" s="216"/>
      <c r="R56" s="216"/>
      <c r="S56" s="216"/>
      <c r="T56" s="216"/>
      <c r="U56" s="216"/>
      <c r="V56" s="216"/>
      <c r="W56" s="216"/>
      <c r="X56" s="216"/>
      <c r="Y56" s="216"/>
      <c r="Z56" s="216"/>
      <c r="AA56" s="216">
        <f t="shared" si="1"/>
        <v>0</v>
      </c>
      <c r="AB56" s="468" t="str">
        <f t="shared" si="2"/>
        <v/>
      </c>
      <c r="AC56" s="459"/>
      <c r="AD56" s="216"/>
      <c r="AE56" s="468" t="str">
        <f t="shared" si="3"/>
        <v/>
      </c>
      <c r="AF56" s="469">
        <f t="shared" si="4"/>
        <v>0</v>
      </c>
      <c r="AG56" s="216"/>
      <c r="AH56" s="468" t="str">
        <f t="shared" si="5"/>
        <v/>
      </c>
      <c r="AI56" s="470">
        <f t="shared" si="6"/>
        <v>0</v>
      </c>
      <c r="AJ56" s="471">
        <f t="shared" si="7"/>
        <v>0</v>
      </c>
      <c r="AK56" s="472">
        <f t="shared" si="8"/>
        <v>0</v>
      </c>
      <c r="AL56" s="473">
        <f t="shared" si="9"/>
        <v>0</v>
      </c>
      <c r="AM56" s="474">
        <f t="shared" si="10"/>
        <v>0</v>
      </c>
      <c r="AN56" s="475">
        <f t="shared" si="11"/>
        <v>0</v>
      </c>
      <c r="AO56" s="11"/>
    </row>
    <row r="57" spans="1:41" x14ac:dyDescent="0.2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85">
        <v>4566.84</v>
      </c>
      <c r="P57" s="242">
        <v>7717.5</v>
      </c>
      <c r="Q57" s="242">
        <v>14097.54</v>
      </c>
      <c r="R57" s="242">
        <v>11614.87</v>
      </c>
      <c r="S57" s="242">
        <v>12312.72</v>
      </c>
      <c r="T57" s="242">
        <v>7856.24</v>
      </c>
      <c r="U57" s="242">
        <v>6270.1</v>
      </c>
      <c r="V57" s="242">
        <v>8457.9</v>
      </c>
      <c r="W57" s="242">
        <v>4594.03</v>
      </c>
      <c r="X57" s="242">
        <v>4222.8500000000004</v>
      </c>
      <c r="Y57" s="242">
        <v>4686.0200000000004</v>
      </c>
      <c r="Z57" s="242">
        <v>4478.57</v>
      </c>
      <c r="AA57" s="242">
        <f t="shared" si="1"/>
        <v>90875.18</v>
      </c>
      <c r="AB57" s="243">
        <f t="shared" si="2"/>
        <v>0.20378574066848723</v>
      </c>
      <c r="AC57" s="244"/>
      <c r="AD57" s="242">
        <v>117802.61946</v>
      </c>
      <c r="AE57" s="243">
        <f t="shared" si="3"/>
        <v>0.15254237288135591</v>
      </c>
      <c r="AF57" s="245">
        <f t="shared" si="4"/>
        <v>-26927.439460000009</v>
      </c>
      <c r="AG57" s="242">
        <v>4759.1000000000004</v>
      </c>
      <c r="AH57" s="243">
        <f t="shared" si="5"/>
        <v>0.15423780448281676</v>
      </c>
      <c r="AI57" s="486">
        <f t="shared" si="6"/>
        <v>86116.079999999987</v>
      </c>
      <c r="AJ57" s="246">
        <f t="shared" si="7"/>
        <v>7.5659961701773373</v>
      </c>
      <c r="AK57" s="247">
        <f t="shared" si="8"/>
        <v>6.1208884682531437</v>
      </c>
      <c r="AL57" s="249">
        <f t="shared" si="9"/>
        <v>5.9192786069651744</v>
      </c>
      <c r="AM57" s="431" t="str">
        <f t="shared" si="10"/>
        <v>5.12 pts.</v>
      </c>
      <c r="AN57" s="487" t="str">
        <f t="shared" si="11"/>
        <v>4.95 pts.</v>
      </c>
      <c r="AO57" s="11"/>
    </row>
    <row r="58" spans="1:41" x14ac:dyDescent="0.2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76">
        <v>29330.76</v>
      </c>
      <c r="P58" s="223">
        <v>50415.64</v>
      </c>
      <c r="Q58" s="223">
        <v>60382.99</v>
      </c>
      <c r="R58" s="223">
        <v>55201.73</v>
      </c>
      <c r="S58" s="223">
        <v>53196.3</v>
      </c>
      <c r="T58" s="223">
        <v>33472.339999999997</v>
      </c>
      <c r="U58" s="223">
        <v>40240.81</v>
      </c>
      <c r="V58" s="223">
        <v>31402.04</v>
      </c>
      <c r="W58" s="223">
        <v>25432.43</v>
      </c>
      <c r="X58" s="223">
        <v>21971.05</v>
      </c>
      <c r="Y58" s="223">
        <v>24733.24</v>
      </c>
      <c r="Z58" s="223">
        <v>20155.599999999999</v>
      </c>
      <c r="AA58" s="223">
        <f t="shared" si="1"/>
        <v>445934.92999999993</v>
      </c>
      <c r="AB58" s="224">
        <f t="shared" si="2"/>
        <v>1</v>
      </c>
      <c r="AC58" s="225"/>
      <c r="AD58" s="223">
        <v>772261.61646000005</v>
      </c>
      <c r="AE58" s="224">
        <f t="shared" si="3"/>
        <v>1</v>
      </c>
      <c r="AF58" s="226">
        <f t="shared" si="4"/>
        <v>-326326.68646000011</v>
      </c>
      <c r="AG58" s="223">
        <v>30855.599999999999</v>
      </c>
      <c r="AH58" s="224">
        <f t="shared" si="5"/>
        <v>1</v>
      </c>
      <c r="AI58" s="477">
        <f t="shared" si="6"/>
        <v>415079.32999999996</v>
      </c>
      <c r="AJ58" s="227">
        <f t="shared" si="7"/>
        <v>37.12721089001748</v>
      </c>
      <c r="AK58" s="228">
        <f t="shared" si="8"/>
        <v>40.125824402992833</v>
      </c>
      <c r="AL58" s="230">
        <f t="shared" si="9"/>
        <v>38.377611940298507</v>
      </c>
      <c r="AM58" s="427" t="str">
        <f t="shared" si="10"/>
        <v>0 pts.</v>
      </c>
      <c r="AN58" s="478" t="str">
        <f t="shared" si="11"/>
        <v>0 pts.</v>
      </c>
      <c r="AO58" s="11"/>
    </row>
    <row r="59" spans="1:41" x14ac:dyDescent="0.2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2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2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2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57">
        <v>2095.84</v>
      </c>
      <c r="P62" s="210">
        <v>3764.95</v>
      </c>
      <c r="Q62" s="210"/>
      <c r="R62" s="210">
        <v>8817.52</v>
      </c>
      <c r="S62" s="210">
        <v>4040.45</v>
      </c>
      <c r="T62" s="210">
        <v>2344.1</v>
      </c>
      <c r="U62" s="210">
        <v>3002.4</v>
      </c>
      <c r="V62" s="210">
        <v>2202.14</v>
      </c>
      <c r="W62" s="210">
        <v>1597.15</v>
      </c>
      <c r="X62" s="210">
        <v>1250.81</v>
      </c>
      <c r="Y62" s="210">
        <v>1651.12</v>
      </c>
      <c r="Z62" s="210">
        <v>1630.19</v>
      </c>
      <c r="AA62" s="210">
        <f t="shared" ref="AA62:AA70" si="13">IF($I62="B1","",SUM(O62:Z62))</f>
        <v>32396.670000000002</v>
      </c>
      <c r="AB62" s="458">
        <f>IF(_epmOfflineCondition_,0.277245152781632,IF(AA62=0,"",IFERROR(AA62/_xll.EVGTS($B$1,1,_xll.EVPRO($B$1,$H62,"COSBASIS"),$B$3,$B$5,$B$6,$B$7,$B$9,AA$16,AA$17,AA$11),"")))</f>
        <v>0.27724515278163198</v>
      </c>
      <c r="AC62" s="528"/>
      <c r="AD62" s="210">
        <v>60398.98</v>
      </c>
      <c r="AE62" s="458">
        <f>IF(_epmOfflineCondition_,0.273999993430543,IF(AD62=0,"",IFERROR(AD62/_xll.EVGTS($B$1,1,_xll.EVPRO($B$1,$H62,"COSBASIS"),$B$3,$B$5,$B$6,$B$7,$B$9,AD$16,AD$17,AD$18),"")))</f>
        <v>0.27399999343054299</v>
      </c>
      <c r="AF62" s="460">
        <f t="shared" ref="AF62:AF72" si="14">IF(AND($AA62="",AD62=""),"",$AA62-AD62)</f>
        <v>-28002.31</v>
      </c>
      <c r="AG62" s="210">
        <v>2602.91</v>
      </c>
      <c r="AH62" s="458">
        <f>IF(_epmOfflineCondition_,0.278014419225634,IF(AG62=0,"",IFERROR(AG62/_xll.EVGTS($B$1,1,_xll.EVPRO($B$1,$H62,"COSBASIS"),$B$3,$B$5,$B$6,$B$7,$B$9,AG$16,AG$17,AG$18),"")))</f>
        <v>0.27801441922563402</v>
      </c>
      <c r="AI62" s="461">
        <f t="shared" ref="AI62:AI72" si="15">IF(AND($AA62="",AG62=""),"",$AA62-AG62)</f>
        <v>29793.760000000002</v>
      </c>
      <c r="AJ62" s="462">
        <f t="shared" ref="AJ62:AJ70" si="16">IFERROR(AA62/AA$20,0)</f>
        <v>2.6972500208142538</v>
      </c>
      <c r="AK62" s="463">
        <f t="shared" ref="AK62:AK70" si="17">IFERROR(AD62/AD$20,0)</f>
        <v>3.1382614569261147</v>
      </c>
      <c r="AL62" s="464">
        <f t="shared" ref="AL62:AL70" si="18">IFERROR(AG62/AG$20,0)</f>
        <v>3.2374502487562187</v>
      </c>
      <c r="AM62" s="465" t="str">
        <f t="shared" ref="AM62:AM70" si="19">+IFERROR(ROUND(($AB62-AE62)*100,2)&amp;" pts.",0)</f>
        <v>0.32 pts.</v>
      </c>
      <c r="AN62" s="466" t="str">
        <f t="shared" ref="AN62:AN70" si="20">+IFERROR(ROUND(($AB62-AH62)*100,2)&amp;" pts.",0)</f>
        <v>-0.08 pts.</v>
      </c>
      <c r="AO62" s="11"/>
    </row>
    <row r="63" spans="1:41" x14ac:dyDescent="0.2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67">
        <v>3394.64</v>
      </c>
      <c r="P63" s="216">
        <v>5735.54</v>
      </c>
      <c r="Q63" s="216"/>
      <c r="R63" s="216">
        <v>11516.74</v>
      </c>
      <c r="S63" s="216">
        <v>5280.56</v>
      </c>
      <c r="T63" s="216">
        <v>3188.79</v>
      </c>
      <c r="U63" s="216">
        <v>4598.84</v>
      </c>
      <c r="V63" s="216">
        <v>2980.97</v>
      </c>
      <c r="W63" s="216">
        <v>2996.04</v>
      </c>
      <c r="X63" s="216">
        <v>2669.68</v>
      </c>
      <c r="Y63" s="216">
        <v>2853.03</v>
      </c>
      <c r="Z63" s="216">
        <v>2026.24</v>
      </c>
      <c r="AA63" s="216">
        <f t="shared" si="13"/>
        <v>47241.07</v>
      </c>
      <c r="AB63" s="468">
        <f>IF(_epmOfflineCondition_,0.197250217214585,IF(AA63=0,"",IFERROR(AA63/_xll.EVGTS($B$1,1,_xll.EVPRO($B$1,$H63,"COSBASIS"),$B$3,$B$5,$B$6,$B$7,$B$9,AA$16,AA$17,AA$11),"")))</f>
        <v>0.19725021721458499</v>
      </c>
      <c r="AC63" s="459"/>
      <c r="AD63" s="216">
        <v>86007.27</v>
      </c>
      <c r="AE63" s="468">
        <f>IF(_epmOfflineCondition_,0.198162128743388,IF(AD63=0,"",IFERROR(AD63/_xll.EVGTS($B$1,1,_xll.EVPRO($B$1,$H63,"COSBASIS"),$B$3,$B$5,$B$6,$B$7,$B$9,AD$16,AD$17,AD$18),"")))</f>
        <v>0.19816212874338801</v>
      </c>
      <c r="AF63" s="469">
        <f t="shared" si="14"/>
        <v>-38766.200000000004</v>
      </c>
      <c r="AG63" s="216">
        <v>3290.69</v>
      </c>
      <c r="AH63" s="468">
        <f>IF(_epmOfflineCondition_,0.196646946336799,IF(AG63=0,"",IFERROR(AG63/_xll.EVGTS($B$1,1,_xll.EVPRO($B$1,$H63,"COSBASIS"),$B$3,$B$5,$B$6,$B$7,$B$9,AG$16,AG$17,AG$18),"")))</f>
        <v>0.19664694633679899</v>
      </c>
      <c r="AI63" s="470">
        <f t="shared" si="15"/>
        <v>43950.38</v>
      </c>
      <c r="AJ63" s="471">
        <f t="shared" si="16"/>
        <v>3.933150445425027</v>
      </c>
      <c r="AK63" s="472">
        <f t="shared" si="17"/>
        <v>4.468838719733971</v>
      </c>
      <c r="AL63" s="473">
        <f t="shared" si="18"/>
        <v>4.0928980099502486</v>
      </c>
      <c r="AM63" s="474" t="str">
        <f t="shared" si="19"/>
        <v>-0.09 pts.</v>
      </c>
      <c r="AN63" s="475" t="str">
        <f t="shared" si="20"/>
        <v>0.06 pts.</v>
      </c>
      <c r="AO63" s="11"/>
    </row>
    <row r="64" spans="1:41" x14ac:dyDescent="0.2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76">
        <v>5490.48</v>
      </c>
      <c r="P64" s="223">
        <v>9500.49</v>
      </c>
      <c r="Q64" s="223"/>
      <c r="R64" s="223">
        <v>20334.259999999998</v>
      </c>
      <c r="S64" s="223">
        <v>9321.01</v>
      </c>
      <c r="T64" s="223">
        <v>5532.89</v>
      </c>
      <c r="U64" s="223">
        <v>7601.24</v>
      </c>
      <c r="V64" s="223">
        <v>5183.1099999999997</v>
      </c>
      <c r="W64" s="223">
        <v>4593.1899999999996</v>
      </c>
      <c r="X64" s="223">
        <v>3920.49</v>
      </c>
      <c r="Y64" s="223">
        <v>4504.1499999999996</v>
      </c>
      <c r="Z64" s="223">
        <v>3656.43</v>
      </c>
      <c r="AA64" s="223">
        <f t="shared" si="13"/>
        <v>79637.739999999991</v>
      </c>
      <c r="AB64" s="224">
        <f>IF(_epmOfflineCondition_,0.224293911095245,IF(AA64=0,"",IFERROR(AA64/_xll.EVGTS($B$1,1,_xll.EVPRO($B$1,$H64,"COSBASIS"),$B$3,$B$5,$B$6,$B$7,$B$9,AA$16,AA$17,AA$11),"")))</f>
        <v>0.22429391109524499</v>
      </c>
      <c r="AC64" s="225"/>
      <c r="AD64" s="223">
        <v>146406.25</v>
      </c>
      <c r="AE64" s="224">
        <f>IF(_epmOfflineCondition_,0.223705764106105,IF(AD64=0,"",IFERROR(AD64/_xll.EVGTS($B$1,1,_xll.EVPRO($B$1,$H64,"COSBASIS"),$B$3,$B$5,$B$6,$B$7,$B$9,AD$16,AD$17,AD$18),"")))</f>
        <v>0.22370576410610499</v>
      </c>
      <c r="AF64" s="226">
        <f t="shared" si="14"/>
        <v>-66768.510000000009</v>
      </c>
      <c r="AG64" s="223">
        <v>5893.6</v>
      </c>
      <c r="AH64" s="224">
        <f>IF(_epmOfflineCondition_,0.225838714003794,IF(AG64=0,"",IFERROR(AG64/_xll.EVGTS($B$1,1,_xll.EVPRO($B$1,$H64,"COSBASIS"),$B$3,$B$5,$B$6,$B$7,$B$9,AG$16,AG$17,AG$18),"")))</f>
        <v>0.22583871400379399</v>
      </c>
      <c r="AI64" s="477">
        <f t="shared" si="15"/>
        <v>73744.139999999985</v>
      </c>
      <c r="AJ64" s="227">
        <f t="shared" si="16"/>
        <v>6.6304004662392799</v>
      </c>
      <c r="AK64" s="228">
        <f t="shared" si="17"/>
        <v>7.6071001766600856</v>
      </c>
      <c r="AL64" s="230">
        <f t="shared" si="18"/>
        <v>7.3303482587064686</v>
      </c>
      <c r="AM64" s="427" t="str">
        <f t="shared" si="19"/>
        <v>0.06 pts.</v>
      </c>
      <c r="AN64" s="478" t="str">
        <f t="shared" si="20"/>
        <v>-0.15 pts.</v>
      </c>
      <c r="AO64" s="11"/>
    </row>
    <row r="65" spans="1:41" x14ac:dyDescent="0.2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79"/>
      <c r="P65" s="232"/>
      <c r="Q65" s="232"/>
      <c r="R65" s="232"/>
      <c r="S65" s="232"/>
      <c r="T65" s="232"/>
      <c r="U65" s="232"/>
      <c r="V65" s="232"/>
      <c r="W65" s="232"/>
      <c r="X65" s="232"/>
      <c r="Y65" s="232"/>
      <c r="Z65" s="232"/>
      <c r="AA65" s="232" t="str">
        <f t="shared" si="13"/>
        <v/>
      </c>
      <c r="AB65" s="480" t="str">
        <f>IF(_epmOfflineCondition_,"",IF(AA65=0,"",IFERROR(AA65/_xll.EVGTS($B$1,1,_xll.EVPRO($B$1,$H65,"COSBASIS"),$B$3,$B$5,$B$6,$B$7,$B$9,AA$16,AA$17,AA$11),"")))</f>
        <v/>
      </c>
      <c r="AC65" s="529"/>
      <c r="AD65" s="232"/>
      <c r="AE65" s="480" t="str">
        <f>IF(_epmOfflineCondition_,"",IF(AD65=0,"",IFERROR(AD65/_xll.EVGTS($B$1,1,_xll.EVPRO($B$1,$H65,"COSBASIS"),$B$3,$B$5,$B$6,$B$7,$B$9,AD$16,AD$17,AD$18),"")))</f>
        <v/>
      </c>
      <c r="AF65" s="482" t="str">
        <f t="shared" si="14"/>
        <v/>
      </c>
      <c r="AG65" s="232"/>
      <c r="AH65" s="480" t="str">
        <f>IF(_epmOfflineCondition_,"",IF(AG65=0,"",IFERROR(AG65/_xll.EVGTS($B$1,1,_xll.EVPRO($B$1,$H65,"COSBASIS"),$B$3,$B$5,$B$6,$B$7,$B$9,AG$16,AG$17,AG$18),"")))</f>
        <v/>
      </c>
      <c r="AI65" s="483" t="str">
        <f t="shared" si="15"/>
        <v/>
      </c>
      <c r="AJ65" s="235">
        <f t="shared" si="16"/>
        <v>0</v>
      </c>
      <c r="AK65" s="236">
        <f t="shared" si="17"/>
        <v>0</v>
      </c>
      <c r="AL65" s="238">
        <f t="shared" si="18"/>
        <v>0</v>
      </c>
      <c r="AM65" s="429">
        <f t="shared" si="19"/>
        <v>0</v>
      </c>
      <c r="AN65" s="484">
        <f t="shared" si="20"/>
        <v>0</v>
      </c>
      <c r="AO65" s="11"/>
    </row>
    <row r="66" spans="1:41" x14ac:dyDescent="0.2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57"/>
      <c r="P66" s="210"/>
      <c r="Q66" s="210"/>
      <c r="R66" s="210"/>
      <c r="S66" s="210"/>
      <c r="T66" s="210"/>
      <c r="U66" s="210"/>
      <c r="V66" s="210"/>
      <c r="W66" s="210"/>
      <c r="X66" s="210"/>
      <c r="Y66" s="210"/>
      <c r="Z66" s="210"/>
      <c r="AA66" s="210">
        <f t="shared" si="13"/>
        <v>0</v>
      </c>
      <c r="AB66" s="458" t="str">
        <f>IF(_epmOfflineCondition_,"",IF(AA66=0,"",IFERROR(AA66/_xll.EVGTS($B$1,1,_xll.EVPRO($B$1,$H66,"COSBASIS"),$B$3,$B$5,$B$6,$B$7,$B$9,AA$16,AA$17,AA$11),"")))</f>
        <v/>
      </c>
      <c r="AC66" s="528"/>
      <c r="AD66" s="210"/>
      <c r="AE66" s="458" t="str">
        <f>IF(_epmOfflineCondition_,"",IF(AD66=0,"",IFERROR(AD66/_xll.EVGTS($B$1,1,_xll.EVPRO($B$1,$H66,"COSBASIS"),$B$3,$B$5,$B$6,$B$7,$B$9,AD$16,AD$17,AD$18),"")))</f>
        <v/>
      </c>
      <c r="AF66" s="460">
        <f t="shared" si="14"/>
        <v>0</v>
      </c>
      <c r="AG66" s="210"/>
      <c r="AH66" s="458" t="str">
        <f>IF(_epmOfflineCondition_,"",IF(AG66=0,"",IFERROR(AG66/_xll.EVGTS($B$1,1,_xll.EVPRO($B$1,$H66,"COSBASIS"),$B$3,$B$5,$B$6,$B$7,$B$9,AG$16,AG$17,AG$18),"")))</f>
        <v/>
      </c>
      <c r="AI66" s="461">
        <f t="shared" si="15"/>
        <v>0</v>
      </c>
      <c r="AJ66" s="462">
        <f t="shared" si="16"/>
        <v>0</v>
      </c>
      <c r="AK66" s="463">
        <f t="shared" si="17"/>
        <v>0</v>
      </c>
      <c r="AL66" s="464">
        <f t="shared" si="18"/>
        <v>0</v>
      </c>
      <c r="AM66" s="465">
        <f t="shared" si="19"/>
        <v>0</v>
      </c>
      <c r="AN66" s="466">
        <f t="shared" si="20"/>
        <v>0</v>
      </c>
      <c r="AO66" s="11"/>
    </row>
    <row r="67" spans="1:41" x14ac:dyDescent="0.2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57"/>
      <c r="P67" s="210"/>
      <c r="Q67" s="210"/>
      <c r="R67" s="210"/>
      <c r="S67" s="210"/>
      <c r="T67" s="210"/>
      <c r="U67" s="210"/>
      <c r="V67" s="210"/>
      <c r="W67" s="210"/>
      <c r="X67" s="210"/>
      <c r="Y67" s="210"/>
      <c r="Z67" s="210"/>
      <c r="AA67" s="210">
        <f t="shared" si="13"/>
        <v>0</v>
      </c>
      <c r="AB67" s="458" t="str">
        <f>IF(_epmOfflineCondition_,"",IF(AA67=0,"",IFERROR(AA67/_xll.EVGTS($B$1,1,_xll.EVPRO($B$1,$H67,"COSBASIS"),$B$3,$B$5,$B$6,$B$7,$B$9,AA$16,AA$17,AA$11),"")))</f>
        <v/>
      </c>
      <c r="AC67" s="528"/>
      <c r="AD67" s="210"/>
      <c r="AE67" s="458" t="str">
        <f>IF(_epmOfflineCondition_,"",IF(AD67=0,"",IFERROR(AD67/_xll.EVGTS($B$1,1,_xll.EVPRO($B$1,$H67,"COSBASIS"),$B$3,$B$5,$B$6,$B$7,$B$9,AD$16,AD$17,AD$18),"")))</f>
        <v/>
      </c>
      <c r="AF67" s="460">
        <f t="shared" si="14"/>
        <v>0</v>
      </c>
      <c r="AG67" s="210"/>
      <c r="AH67" s="458" t="str">
        <f>IF(_epmOfflineCondition_,"",IF(AG67=0,"",IFERROR(AG67/_xll.EVGTS($B$1,1,_xll.EVPRO($B$1,$H67,"COSBASIS"),$B$3,$B$5,$B$6,$B$7,$B$9,AG$16,AG$17,AG$18),"")))</f>
        <v/>
      </c>
      <c r="AI67" s="461">
        <f t="shared" si="15"/>
        <v>0</v>
      </c>
      <c r="AJ67" s="462">
        <f t="shared" si="16"/>
        <v>0</v>
      </c>
      <c r="AK67" s="463">
        <f t="shared" si="17"/>
        <v>0</v>
      </c>
      <c r="AL67" s="464">
        <f t="shared" si="18"/>
        <v>0</v>
      </c>
      <c r="AM67" s="465">
        <f t="shared" si="19"/>
        <v>0</v>
      </c>
      <c r="AN67" s="466">
        <f t="shared" si="20"/>
        <v>0</v>
      </c>
      <c r="AO67" s="11"/>
    </row>
    <row r="68" spans="1:41" x14ac:dyDescent="0.2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67"/>
      <c r="P68" s="216"/>
      <c r="Q68" s="216"/>
      <c r="R68" s="216"/>
      <c r="S68" s="216"/>
      <c r="T68" s="216"/>
      <c r="U68" s="216"/>
      <c r="V68" s="216"/>
      <c r="W68" s="216"/>
      <c r="X68" s="216"/>
      <c r="Y68" s="216"/>
      <c r="Z68" s="216"/>
      <c r="AA68" s="216">
        <f t="shared" si="13"/>
        <v>0</v>
      </c>
      <c r="AB68" s="468" t="str">
        <f>IF(_epmOfflineCondition_,"",IF(AA68=0,"",IFERROR(AA68/_xll.EVGTS($B$1,1,_xll.EVPRO($B$1,$H68,"COSBASIS"),$B$3,$B$5,$B$6,$B$7,$B$9,AA$16,AA$17,AA$11),"")))</f>
        <v/>
      </c>
      <c r="AC68" s="459"/>
      <c r="AD68" s="216"/>
      <c r="AE68" s="468" t="str">
        <f>IF(_epmOfflineCondition_,"",IF(AD68=0,"",IFERROR(AD68/_xll.EVGTS($B$1,1,_xll.EVPRO($B$1,$H68,"COSBASIS"),$B$3,$B$5,$B$6,$B$7,$B$9,AD$16,AD$17,AD$18),"")))</f>
        <v/>
      </c>
      <c r="AF68" s="469">
        <f t="shared" si="14"/>
        <v>0</v>
      </c>
      <c r="AG68" s="216"/>
      <c r="AH68" s="468" t="str">
        <f>IF(_epmOfflineCondition_,"",IF(AG68=0,"",IFERROR(AG68/_xll.EVGTS($B$1,1,_xll.EVPRO($B$1,$H68,"COSBASIS"),$B$3,$B$5,$B$6,$B$7,$B$9,AG$16,AG$17,AG$18),"")))</f>
        <v/>
      </c>
      <c r="AI68" s="470">
        <f t="shared" si="15"/>
        <v>0</v>
      </c>
      <c r="AJ68" s="471">
        <f t="shared" si="16"/>
        <v>0</v>
      </c>
      <c r="AK68" s="472">
        <f t="shared" si="17"/>
        <v>0</v>
      </c>
      <c r="AL68" s="473">
        <f t="shared" si="18"/>
        <v>0</v>
      </c>
      <c r="AM68" s="474">
        <f t="shared" si="19"/>
        <v>0</v>
      </c>
      <c r="AN68" s="475">
        <f t="shared" si="20"/>
        <v>0</v>
      </c>
      <c r="AO68" s="11"/>
    </row>
    <row r="69" spans="1:41" x14ac:dyDescent="0.2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85"/>
      <c r="P69" s="242"/>
      <c r="Q69" s="242"/>
      <c r="R69" s="242"/>
      <c r="S69" s="242"/>
      <c r="T69" s="242"/>
      <c r="U69" s="242"/>
      <c r="V69" s="242"/>
      <c r="W69" s="242"/>
      <c r="X69" s="242"/>
      <c r="Y69" s="242"/>
      <c r="Z69" s="242"/>
      <c r="AA69" s="242">
        <f t="shared" si="13"/>
        <v>0</v>
      </c>
      <c r="AB69" s="243" t="str">
        <f>IF(_epmOfflineCondition_,"",IF(AA69=0,"",IFERROR(AA69/_xll.EVGTS($B$1,1,_xll.EVPRO($B$1,$H69,"COSBASIS"),$B$3,$B$5,$B$6,$B$7,$B$9,AA$16,AA$17,AA$11),"")))</f>
        <v/>
      </c>
      <c r="AC69" s="244"/>
      <c r="AD69" s="242"/>
      <c r="AE69" s="243" t="str">
        <f>IF(_epmOfflineCondition_,"",IF(AD69=0,"",IFERROR(AD69/_xll.EVGTS($B$1,1,_xll.EVPRO($B$1,$H69,"COSBASIS"),$B$3,$B$5,$B$6,$B$7,$B$9,AD$16,AD$17,AD$18),"")))</f>
        <v/>
      </c>
      <c r="AF69" s="245">
        <f t="shared" si="14"/>
        <v>0</v>
      </c>
      <c r="AG69" s="242"/>
      <c r="AH69" s="243" t="str">
        <f>IF(_epmOfflineCondition_,"",IF(AG69=0,"",IFERROR(AG69/_xll.EVGTS($B$1,1,_xll.EVPRO($B$1,$H69,"COSBASIS"),$B$3,$B$5,$B$6,$B$7,$B$9,AG$16,AG$17,AG$18),"")))</f>
        <v/>
      </c>
      <c r="AI69" s="486">
        <f t="shared" si="15"/>
        <v>0</v>
      </c>
      <c r="AJ69" s="246">
        <f t="shared" si="16"/>
        <v>0</v>
      </c>
      <c r="AK69" s="247">
        <f t="shared" si="17"/>
        <v>0</v>
      </c>
      <c r="AL69" s="249">
        <f t="shared" si="18"/>
        <v>0</v>
      </c>
      <c r="AM69" s="431">
        <f t="shared" si="19"/>
        <v>0</v>
      </c>
      <c r="AN69" s="487">
        <f t="shared" si="20"/>
        <v>0</v>
      </c>
      <c r="AO69" s="11"/>
    </row>
    <row r="70" spans="1:41" x14ac:dyDescent="0.2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76">
        <v>5490.48</v>
      </c>
      <c r="P70" s="223">
        <v>9500.49</v>
      </c>
      <c r="Q70" s="223"/>
      <c r="R70" s="223">
        <v>20334.259999999998</v>
      </c>
      <c r="S70" s="223">
        <v>9321.01</v>
      </c>
      <c r="T70" s="223">
        <v>5532.89</v>
      </c>
      <c r="U70" s="223">
        <v>7601.24</v>
      </c>
      <c r="V70" s="223">
        <v>5183.1099999999997</v>
      </c>
      <c r="W70" s="223">
        <v>4593.1899999999996</v>
      </c>
      <c r="X70" s="223">
        <v>3920.49</v>
      </c>
      <c r="Y70" s="223">
        <v>4504.1499999999996</v>
      </c>
      <c r="Z70" s="223">
        <v>3656.43</v>
      </c>
      <c r="AA70" s="223">
        <f t="shared" si="13"/>
        <v>79637.739999999991</v>
      </c>
      <c r="AB70" s="224">
        <f>IF(_epmOfflineCondition_,0.178586010295269,IF(AA70=0,"",IFERROR(AA70/_xll.EVGTS($B$1,1,_xll.EVPRO($B$1,$H70,"COSBASIS"),$B$3,$B$5,$B$6,$B$7,$B$9,AA$16,AA$17,AA$11),"")))</f>
        <v>0.17858601029526899</v>
      </c>
      <c r="AC70" s="225"/>
      <c r="AD70" s="223">
        <v>146406.25</v>
      </c>
      <c r="AE70" s="224">
        <f>IF(_epmOfflineCondition_,0.189581156022123,IF(AD70=0,"",IFERROR(AD70/_xll.EVGTS($B$1,1,_xll.EVPRO($B$1,$H70,"COSBASIS"),$B$3,$B$5,$B$6,$B$7,$B$9,AD$16,AD$17,AD$18),"")))</f>
        <v>0.189581156022123</v>
      </c>
      <c r="AF70" s="226">
        <f t="shared" si="14"/>
        <v>-66768.510000000009</v>
      </c>
      <c r="AG70" s="223">
        <v>5893.6</v>
      </c>
      <c r="AH70" s="224">
        <f>IF(_epmOfflineCondition_,0.191005846588626,IF(AG70=0,"",IFERROR(AG70/_xll.EVGTS($B$1,1,_xll.EVPRO($B$1,$H70,"COSBASIS"),$B$3,$B$5,$B$6,$B$7,$B$9,AG$16,AG$17,AG$18),"")))</f>
        <v>0.19100584658862599</v>
      </c>
      <c r="AI70" s="477">
        <f t="shared" si="15"/>
        <v>73744.139999999985</v>
      </c>
      <c r="AJ70" s="227">
        <f t="shared" si="16"/>
        <v>6.6304004662392799</v>
      </c>
      <c r="AK70" s="228">
        <f t="shared" si="17"/>
        <v>7.6071001766600856</v>
      </c>
      <c r="AL70" s="230">
        <f t="shared" si="18"/>
        <v>7.3303482587064686</v>
      </c>
      <c r="AM70" s="427" t="str">
        <f t="shared" si="19"/>
        <v>-1.1 pts.</v>
      </c>
      <c r="AN70" s="478" t="str">
        <f t="shared" si="20"/>
        <v>-1.24 pts.</v>
      </c>
      <c r="AO70" s="11"/>
    </row>
    <row r="71" spans="1:41" x14ac:dyDescent="0.2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2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23840.28</v>
      </c>
      <c r="P72" s="123">
        <f t="shared" si="21"/>
        <v>40915.15</v>
      </c>
      <c r="Q72" s="123">
        <f t="shared" si="21"/>
        <v>60382.99</v>
      </c>
      <c r="R72" s="123">
        <f t="shared" si="21"/>
        <v>34867.47</v>
      </c>
      <c r="S72" s="123">
        <f t="shared" si="21"/>
        <v>43875.29</v>
      </c>
      <c r="T72" s="123">
        <f t="shared" si="21"/>
        <v>27939.449999999997</v>
      </c>
      <c r="U72" s="123">
        <f t="shared" si="21"/>
        <v>32639.57</v>
      </c>
      <c r="V72" s="123">
        <f t="shared" si="21"/>
        <v>26218.93</v>
      </c>
      <c r="W72" s="123">
        <f t="shared" si="21"/>
        <v>20839.240000000002</v>
      </c>
      <c r="X72" s="123">
        <f t="shared" si="21"/>
        <v>18050.559999999998</v>
      </c>
      <c r="Y72" s="123">
        <f t="shared" si="21"/>
        <v>20229.090000000004</v>
      </c>
      <c r="Z72" s="123">
        <f t="shared" si="21"/>
        <v>16499.169999999998</v>
      </c>
      <c r="AA72" s="191">
        <f>IF($I72="B1","",SUM(O72:Z72))</f>
        <v>366297.19</v>
      </c>
      <c r="AB72" s="192">
        <f>IF(AA72=0,"",IFERROR(AA72/AA$19,""))</f>
        <v>0.82141398970473123</v>
      </c>
      <c r="AC72" s="11"/>
      <c r="AD72" s="123">
        <f>SUMIF($H$35:$H$70,"400000",AD35:AD70)-SUMIF($H$35:$H$70,"500001",AD35:AD70)</f>
        <v>625855.36646000005</v>
      </c>
      <c r="AE72" s="192">
        <f>IF(AD72=0,"",IFERROR(AD72/AD$19,""))</f>
        <v>0.81041884397787722</v>
      </c>
      <c r="AF72" s="125">
        <f t="shared" si="14"/>
        <v>-259558.17646000005</v>
      </c>
      <c r="AG72" s="123">
        <f>SUMIF($H$35:$H$70,"400000",AG35:AG70)-SUMIF($H$35:$H$70,"500001",AG35:AG70)</f>
        <v>24962</v>
      </c>
      <c r="AH72" s="192">
        <f>IF(AG72=0,"",IFERROR(AG72/AG$19,""))</f>
        <v>0.80899415341137426</v>
      </c>
      <c r="AI72" s="125">
        <f t="shared" si="15"/>
        <v>341335.19</v>
      </c>
      <c r="AJ72" s="193">
        <f>IFERROR(AA72/AA$20,0)</f>
        <v>30.496810423778204</v>
      </c>
      <c r="AK72" s="194">
        <f>IFERROR(AD72/AD$20,0)</f>
        <v>32.518724226332751</v>
      </c>
      <c r="AL72" s="195">
        <f>IFERROR(AG72/AG$20,0)</f>
        <v>31.047263681592039</v>
      </c>
      <c r="AM72" s="407" t="str">
        <f>+IFERROR(ROUND(($AB72-AE72)*100,2)&amp;" pts.",0)</f>
        <v>1.1 pts.</v>
      </c>
      <c r="AN72" s="408" t="str">
        <f>+IFERROR(ROUND(($AB72-AH72)*100,2)&amp;" pts.",0)</f>
        <v>1.24 pts.</v>
      </c>
      <c r="AO72" s="11"/>
    </row>
    <row r="73" spans="1:41" x14ac:dyDescent="0.2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2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90"/>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2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90"/>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2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 t="shared" ref="K76:K87" si="22">IF(AND(I76&gt;="T3"),"&gt;","")</f>
        <v/>
      </c>
      <c r="L76" s="90" t="str">
        <f>IF(_epmOfflineCondition_,"",_xll.EVPRO($B$1,H76,"JDEID"))</f>
        <v/>
      </c>
      <c r="M76" s="90" t="str">
        <f>IF(_epmOfflineCondition_,"",IF(AND(I76="N",J76="N"),_xll.EVPRO($B$1,H76,"PSFTID"),""))</f>
        <v/>
      </c>
      <c r="N76" s="90" t="str">
        <f>IF(_epmOfflineCondition_,"",IF(_xll.EVDES(H76,$B$1)="#NODATA","",_xll.EVDES(H76,$B$1)))</f>
        <v/>
      </c>
      <c r="O76" s="231"/>
      <c r="P76" s="231"/>
      <c r="Q76" s="231"/>
      <c r="R76" s="231"/>
      <c r="S76" s="231"/>
      <c r="T76" s="231"/>
      <c r="U76" s="231"/>
      <c r="V76" s="231"/>
      <c r="W76" s="231"/>
      <c r="X76" s="231"/>
      <c r="Y76" s="231"/>
      <c r="Z76" s="231"/>
      <c r="AA76" s="210">
        <f t="shared" ref="AA76:AA87" si="23">IF($I76="B1","",SUM(O76:Z76))</f>
        <v>0</v>
      </c>
      <c r="AB76" s="233" t="str">
        <f t="shared" ref="AB76:AB87" si="24">IF(AA76=0,"",IFERROR(AA76/AA$19,""))</f>
        <v/>
      </c>
      <c r="AC76" s="140"/>
      <c r="AD76" s="231"/>
      <c r="AE76" s="233" t="str">
        <f t="shared" ref="AE76:AE87" si="25">IF(AD76=0,"",IFERROR(AD76/AD$19,""))</f>
        <v/>
      </c>
      <c r="AF76" s="234">
        <f t="shared" ref="AF76:AF87" si="26">IF(AND($AA76="",AD76=""),"",$AA76-AD76)</f>
        <v>0</v>
      </c>
      <c r="AG76" s="231"/>
      <c r="AH76" s="233" t="str">
        <f t="shared" ref="AH76:AH87" si="27">IF(AG76=0,"",IFERROR(AG76/AG$19,""))</f>
        <v/>
      </c>
      <c r="AI76" s="234">
        <f t="shared" ref="AI76:AI87" si="28">IF(AND($AA76="",AG76=""),"",$AA76-AG76)</f>
        <v>0</v>
      </c>
      <c r="AJ76" s="462">
        <f t="shared" ref="AJ76:AJ87" si="29">IFERROR(AA76/AA$20,0)</f>
        <v>0</v>
      </c>
      <c r="AK76" s="463">
        <f t="shared" ref="AK76:AK87" si="30">IFERROR(AD76/AD$20,0)</f>
        <v>0</v>
      </c>
      <c r="AL76" s="464">
        <f t="shared" ref="AL76:AL87" si="31">IFERROR(AG76/AG$20,0)</f>
        <v>0</v>
      </c>
      <c r="AM76" s="465">
        <f t="shared" ref="AM76:AM87" si="32">+IFERROR(ROUND(($AB76-AE76)*100,2)&amp;" pts.",0)</f>
        <v>0</v>
      </c>
      <c r="AN76" s="466">
        <f t="shared" ref="AN76:AN87" si="33">+IFERROR(ROUND(($AB76-AH76)*100,2)&amp;" pts.",0)</f>
        <v>0</v>
      </c>
      <c r="AO76" s="11"/>
    </row>
    <row r="77" spans="1:41" hidden="1" x14ac:dyDescent="0.2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 t="shared" si="22"/>
        <v/>
      </c>
      <c r="L77" s="90" t="str">
        <f>IF(_epmOfflineCondition_,"",_xll.EVPRO($B$1,H77,"JDEID"))</f>
        <v/>
      </c>
      <c r="M77" s="90" t="str">
        <f>IF(_epmOfflineCondition_,"",IF(AND(I77="N",J77="N"),_xll.EVPRO($B$1,H77,"PSFTID"),""))</f>
        <v/>
      </c>
      <c r="N77" s="90" t="str">
        <f>IF(_epmOfflineCondition_,"",IF(_xll.EVDES(H77,$B$1)="#NODATA","",_xll.EVDES(H77,$B$1)))</f>
        <v/>
      </c>
      <c r="O77" s="231"/>
      <c r="P77" s="231"/>
      <c r="Q77" s="231"/>
      <c r="R77" s="231"/>
      <c r="S77" s="231"/>
      <c r="T77" s="231"/>
      <c r="U77" s="231"/>
      <c r="V77" s="231"/>
      <c r="W77" s="231"/>
      <c r="X77" s="231"/>
      <c r="Y77" s="231"/>
      <c r="Z77" s="231"/>
      <c r="AA77" s="210">
        <f t="shared" si="23"/>
        <v>0</v>
      </c>
      <c r="AB77" s="233" t="str">
        <f t="shared" si="24"/>
        <v/>
      </c>
      <c r="AC77" s="140"/>
      <c r="AD77" s="231"/>
      <c r="AE77" s="233" t="str">
        <f t="shared" si="25"/>
        <v/>
      </c>
      <c r="AF77" s="234">
        <f t="shared" si="26"/>
        <v>0</v>
      </c>
      <c r="AG77" s="231"/>
      <c r="AH77" s="233" t="str">
        <f t="shared" si="27"/>
        <v/>
      </c>
      <c r="AI77" s="234">
        <f t="shared" si="28"/>
        <v>0</v>
      </c>
      <c r="AJ77" s="462">
        <f t="shared" si="29"/>
        <v>0</v>
      </c>
      <c r="AK77" s="463">
        <f t="shared" si="30"/>
        <v>0</v>
      </c>
      <c r="AL77" s="464">
        <f t="shared" si="31"/>
        <v>0</v>
      </c>
      <c r="AM77" s="465">
        <f t="shared" si="32"/>
        <v>0</v>
      </c>
      <c r="AN77" s="466">
        <f t="shared" si="33"/>
        <v>0</v>
      </c>
      <c r="AO77" s="11"/>
    </row>
    <row r="78" spans="1:41" x14ac:dyDescent="0.25">
      <c r="A78" s="11"/>
      <c r="B78" s="11"/>
      <c r="C78" s="11"/>
      <c r="D78" s="11"/>
      <c r="E78" s="11"/>
      <c r="F78" s="11"/>
      <c r="G78" s="11"/>
      <c r="H78" s="88" t="s">
        <v>75</v>
      </c>
      <c r="I78" s="89" t="str">
        <f>IF(_epmOfflineCondition_,"B1",_xll.EVPRO($B$1,$H78,"STYLE"))</f>
        <v>B1</v>
      </c>
      <c r="J78" s="89" t="str">
        <f>IF(_epmOfflineCondition_,"Y",_xll.EVPRO($B$1,$H78,"CALC"))</f>
        <v>Y</v>
      </c>
      <c r="K78" s="265" t="str">
        <f t="shared" si="22"/>
        <v/>
      </c>
      <c r="L78" s="106" t="str">
        <f>IF(_epmOfflineCondition_,"",_xll.EVPRO($B$1,H78,"JDEID"))</f>
        <v/>
      </c>
      <c r="M78" s="90" t="str">
        <f>IF(_epmOfflineCondition_,"",IF(AND(I78="N",J78="N"),_xll.EVPRO($B$1,H78,"PSFTID"),""))</f>
        <v/>
      </c>
      <c r="N78" s="106" t="str">
        <f>IF(_epmOfflineCondition_,"Non-Management",IF(_xll.EVDES(H78,$B$1)="#NODATA","",_xll.EVDES(H78,$B$1)))</f>
        <v>Non-Management</v>
      </c>
      <c r="O78" s="205"/>
      <c r="P78" s="205"/>
      <c r="Q78" s="205"/>
      <c r="R78" s="205"/>
      <c r="S78" s="205"/>
      <c r="T78" s="205"/>
      <c r="U78" s="205"/>
      <c r="V78" s="205"/>
      <c r="W78" s="205"/>
      <c r="X78" s="205"/>
      <c r="Y78" s="205"/>
      <c r="Z78" s="205"/>
      <c r="AA78" s="186" t="str">
        <f t="shared" si="23"/>
        <v/>
      </c>
      <c r="AB78" s="206" t="str">
        <f t="shared" si="24"/>
        <v/>
      </c>
      <c r="AC78" s="11"/>
      <c r="AD78" s="205"/>
      <c r="AE78" s="206" t="str">
        <f t="shared" si="25"/>
        <v/>
      </c>
      <c r="AF78" s="207" t="str">
        <f t="shared" si="26"/>
        <v/>
      </c>
      <c r="AG78" s="205"/>
      <c r="AH78" s="206" t="str">
        <f t="shared" si="27"/>
        <v/>
      </c>
      <c r="AI78" s="207" t="str">
        <f t="shared" si="28"/>
        <v/>
      </c>
      <c r="AJ78" s="402">
        <f t="shared" si="29"/>
        <v>0</v>
      </c>
      <c r="AK78" s="403">
        <f t="shared" si="30"/>
        <v>0</v>
      </c>
      <c r="AL78" s="404">
        <f t="shared" si="31"/>
        <v>0</v>
      </c>
      <c r="AM78" s="405">
        <f t="shared" si="32"/>
        <v>0</v>
      </c>
      <c r="AN78" s="406">
        <f t="shared" si="33"/>
        <v>0</v>
      </c>
      <c r="AO78" s="11"/>
    </row>
    <row r="79" spans="1:41" x14ac:dyDescent="0.25">
      <c r="A79" s="11"/>
      <c r="B79" s="11"/>
      <c r="C79" s="208"/>
      <c r="D79" s="11"/>
      <c r="E79" s="11"/>
      <c r="F79" s="11"/>
      <c r="G79" s="11"/>
      <c r="H79" s="88" t="s">
        <v>861</v>
      </c>
      <c r="I79" s="542" t="str">
        <f>IF(_epmOfflineCondition_,"T3",_xll.EVPRO($B$1,$H79,"STYLE"))</f>
        <v>T3</v>
      </c>
      <c r="J79" s="542" t="str">
        <f>IF(_epmOfflineCondition_,"Y",_xll.EVPRO($B$1,$H79,"CALC"))</f>
        <v>Y</v>
      </c>
      <c r="K79" s="117" t="str">
        <f t="shared" si="22"/>
        <v>&gt;</v>
      </c>
      <c r="L79" s="369" t="str">
        <f>IF(_epmOfflineCondition_,"",_xll.EVPRO($B$1,H79,"JDEID"))</f>
        <v/>
      </c>
      <c r="M79" s="90" t="str">
        <f>IF(_epmOfflineCondition_,"",IF(AND(I79="N",J79="N"),_xll.EVPRO($B$1,H79,"PSFTID"),""))</f>
        <v/>
      </c>
      <c r="N79" s="369" t="str">
        <f>IF(_epmOfflineCondition_,"F&amp;B Venues",IF(_xll.EVDES(H79,$B$1)="#NODATA","",_xll.EVDES(H79,$B$1)))</f>
        <v>F&amp;B Venues</v>
      </c>
      <c r="O79" s="242"/>
      <c r="P79" s="242">
        <v>2218.3000000000002</v>
      </c>
      <c r="Q79" s="242"/>
      <c r="R79" s="242">
        <v>5844.89</v>
      </c>
      <c r="S79" s="242">
        <v>2340.62</v>
      </c>
      <c r="T79" s="242">
        <v>1127.0999999999999</v>
      </c>
      <c r="U79" s="242">
        <v>1796.83</v>
      </c>
      <c r="V79" s="242">
        <v>2574.96</v>
      </c>
      <c r="W79" s="242">
        <v>2085.42</v>
      </c>
      <c r="X79" s="242">
        <v>1801.62</v>
      </c>
      <c r="Y79" s="242"/>
      <c r="Z79" s="242"/>
      <c r="AA79" s="242">
        <f t="shared" si="23"/>
        <v>19789.740000000002</v>
      </c>
      <c r="AB79" s="243">
        <f t="shared" si="24"/>
        <v>4.4378088973653633E-2</v>
      </c>
      <c r="AC79" s="244"/>
      <c r="AD79" s="242">
        <v>45191.607142857298</v>
      </c>
      <c r="AE79" s="243">
        <f t="shared" si="25"/>
        <v>5.8518520381749463E-2</v>
      </c>
      <c r="AF79" s="245">
        <f t="shared" si="26"/>
        <v>-25401.867142857296</v>
      </c>
      <c r="AG79" s="242"/>
      <c r="AH79" s="243" t="str">
        <f t="shared" si="27"/>
        <v/>
      </c>
      <c r="AI79" s="245">
        <f t="shared" si="28"/>
        <v>19789.740000000002</v>
      </c>
      <c r="AJ79" s="246">
        <f t="shared" si="29"/>
        <v>1.6476346682207976</v>
      </c>
      <c r="AK79" s="247">
        <f t="shared" si="30"/>
        <v>2.348103873161036</v>
      </c>
      <c r="AL79" s="249">
        <f t="shared" si="31"/>
        <v>0</v>
      </c>
      <c r="AM79" s="431" t="str">
        <f t="shared" si="32"/>
        <v>-1.41 pts.</v>
      </c>
      <c r="AN79" s="487">
        <f t="shared" si="33"/>
        <v>0</v>
      </c>
      <c r="AO79" s="11"/>
    </row>
    <row r="80" spans="1:41" x14ac:dyDescent="0.25">
      <c r="A80" s="61" t="str">
        <f>IF(_epmOfflineCondition_,"Evdre:Ok",_xll.EVDRE($B$1,A83:B90,A93:B99))</f>
        <v>Evdre:Ok</v>
      </c>
      <c r="B80" s="11"/>
      <c r="C80" s="11"/>
      <c r="D80" s="11"/>
      <c r="E80" s="11"/>
      <c r="F80" s="11"/>
      <c r="G80" s="11"/>
      <c r="H80" s="88" t="s">
        <v>847</v>
      </c>
      <c r="I80" s="89" t="str">
        <f>IF(_epmOfflineCondition_,"T2",_xll.EVPRO($B$1,$H80,"STYLE"))</f>
        <v>T2</v>
      </c>
      <c r="J80" s="89" t="str">
        <f>IF(_epmOfflineCondition_,"Y",_xll.EVPRO($B$1,$H80,"CALC"))</f>
        <v>Y</v>
      </c>
      <c r="K80" s="265" t="str">
        <f t="shared" si="22"/>
        <v/>
      </c>
      <c r="L80" s="106" t="str">
        <f>IF(_epmOfflineCondition_,"",_xll.EVPRO($B$1,H80,"JDEID"))</f>
        <v/>
      </c>
      <c r="M80" s="190" t="str">
        <f>IF(_epmOfflineCondition_,"",IF(AND(I80="N",J80="N"),_xll.EVPRO($B$1,H80,"PSFTID"),""))</f>
        <v/>
      </c>
      <c r="N80" s="106" t="str">
        <f>IF(_epmOfflineCondition_,"Total Salaries and Wages",IF(_xll.EVDES(H80,$B$1)="#NODATA","",_xll.EVDES(H80,$B$1)))</f>
        <v>Total Salaries and Wages</v>
      </c>
      <c r="O80" s="223"/>
      <c r="P80" s="223">
        <v>2218.3000000000002</v>
      </c>
      <c r="Q80" s="223"/>
      <c r="R80" s="223">
        <v>5844.89</v>
      </c>
      <c r="S80" s="223">
        <v>2340.62</v>
      </c>
      <c r="T80" s="223">
        <v>1127.0999999999999</v>
      </c>
      <c r="U80" s="223">
        <v>1796.83</v>
      </c>
      <c r="V80" s="223">
        <v>2574.96</v>
      </c>
      <c r="W80" s="223">
        <v>2085.42</v>
      </c>
      <c r="X80" s="223">
        <v>1801.62</v>
      </c>
      <c r="Y80" s="223"/>
      <c r="Z80" s="223"/>
      <c r="AA80" s="223">
        <f t="shared" si="23"/>
        <v>19789.740000000002</v>
      </c>
      <c r="AB80" s="224">
        <f t="shared" si="24"/>
        <v>4.4378088973653633E-2</v>
      </c>
      <c r="AC80" s="225"/>
      <c r="AD80" s="223">
        <v>45191.607142857298</v>
      </c>
      <c r="AE80" s="224">
        <f t="shared" si="25"/>
        <v>5.8518520381749463E-2</v>
      </c>
      <c r="AF80" s="226">
        <f t="shared" si="26"/>
        <v>-25401.867142857296</v>
      </c>
      <c r="AG80" s="223"/>
      <c r="AH80" s="224" t="str">
        <f t="shared" si="27"/>
        <v/>
      </c>
      <c r="AI80" s="226">
        <f t="shared" si="28"/>
        <v>19789.740000000002</v>
      </c>
      <c r="AJ80" s="227">
        <f t="shared" si="29"/>
        <v>1.6476346682207976</v>
      </c>
      <c r="AK80" s="228">
        <f t="shared" si="30"/>
        <v>2.348103873161036</v>
      </c>
      <c r="AL80" s="230">
        <f t="shared" si="31"/>
        <v>0</v>
      </c>
      <c r="AM80" s="427" t="str">
        <f t="shared" si="32"/>
        <v>-1.41 pts.</v>
      </c>
      <c r="AN80" s="478">
        <f t="shared" si="33"/>
        <v>0</v>
      </c>
      <c r="AO80" s="11"/>
    </row>
    <row r="81" spans="1:41" x14ac:dyDescent="0.25">
      <c r="A81" s="11"/>
      <c r="B81" s="11"/>
      <c r="C81" s="11"/>
      <c r="D81" s="11"/>
      <c r="E81" s="11"/>
      <c r="F81" s="11"/>
      <c r="G81" s="11"/>
      <c r="H81" s="88" t="s">
        <v>862</v>
      </c>
      <c r="I81" s="542" t="str">
        <f>IF(_epmOfflineCondition_,"T3",_xll.EVPRO($B$1,$H81,"STYLE"))</f>
        <v>T3</v>
      </c>
      <c r="J81" s="542" t="str">
        <f>IF(_epmOfflineCondition_,"Y",_xll.EVPRO($B$1,$H81,"CALC"))</f>
        <v>Y</v>
      </c>
      <c r="K81" s="117" t="str">
        <f t="shared" si="22"/>
        <v>&gt;</v>
      </c>
      <c r="L81" s="369" t="str">
        <f>IF(_epmOfflineCondition_,"",_xll.EVPRO($B$1,H81,"JDEID"))</f>
        <v/>
      </c>
      <c r="M81" s="90" t="str">
        <f>IF(_epmOfflineCondition_,"",IF(AND(I81="N",J81="N"),_xll.EVPRO($B$1,H81,"PSFTID"),""))</f>
        <v/>
      </c>
      <c r="N81" s="369" t="str">
        <f>IF(_epmOfflineCondition_,"Service Charge Distribution",IF(_xll.EVDES(H81,$B$1)="#NODATA","",_xll.EVDES(H81,$B$1)))</f>
        <v>Service Charge Distribution</v>
      </c>
      <c r="O81" s="549">
        <v>4541.84</v>
      </c>
      <c r="P81" s="549">
        <v>7690.5</v>
      </c>
      <c r="Q81" s="549">
        <v>8433.4599999999991</v>
      </c>
      <c r="R81" s="549">
        <v>7870.1</v>
      </c>
      <c r="S81" s="549">
        <v>7585.56</v>
      </c>
      <c r="T81" s="549">
        <v>4659.08</v>
      </c>
      <c r="U81" s="549">
        <v>6236.04</v>
      </c>
      <c r="V81" s="549">
        <v>4218.7299999999996</v>
      </c>
      <c r="W81" s="549">
        <v>3816.36</v>
      </c>
      <c r="X81" s="549">
        <v>3325.68</v>
      </c>
      <c r="Y81" s="549">
        <v>3641.4</v>
      </c>
      <c r="Z81" s="549">
        <v>2883.6</v>
      </c>
      <c r="AA81" s="549">
        <f t="shared" si="23"/>
        <v>64902.35</v>
      </c>
      <c r="AB81" s="550">
        <f t="shared" si="24"/>
        <v>0.14554219827543002</v>
      </c>
      <c r="AC81" s="551"/>
      <c r="AD81" s="549">
        <v>117802.61946</v>
      </c>
      <c r="AE81" s="550">
        <f t="shared" si="25"/>
        <v>0.15254237288135591</v>
      </c>
      <c r="AF81" s="552">
        <f t="shared" si="26"/>
        <v>-52900.269460000003</v>
      </c>
      <c r="AG81" s="549">
        <v>4742.1000000000004</v>
      </c>
      <c r="AH81" s="550">
        <f t="shared" si="27"/>
        <v>0.15368685100921714</v>
      </c>
      <c r="AI81" s="552">
        <f t="shared" si="28"/>
        <v>60160.25</v>
      </c>
      <c r="AJ81" s="553">
        <f t="shared" si="29"/>
        <v>5.4035758887686285</v>
      </c>
      <c r="AK81" s="554">
        <f t="shared" si="30"/>
        <v>6.1208884682531437</v>
      </c>
      <c r="AL81" s="555">
        <f t="shared" si="31"/>
        <v>5.8981343283582097</v>
      </c>
      <c r="AM81" s="556" t="str">
        <f t="shared" si="32"/>
        <v>-0.7 pts.</v>
      </c>
      <c r="AN81" s="557" t="str">
        <f t="shared" si="33"/>
        <v>-0.81 pts.</v>
      </c>
      <c r="AO81" s="11"/>
    </row>
    <row r="82" spans="1:41" x14ac:dyDescent="0.25">
      <c r="A82" s="62" t="s">
        <v>0</v>
      </c>
      <c r="B82" s="63" t="s">
        <v>1</v>
      </c>
      <c r="C82" s="11"/>
      <c r="D82" s="11"/>
      <c r="E82" s="11"/>
      <c r="F82" s="11"/>
      <c r="G82" s="11"/>
      <c r="H82" s="88" t="s">
        <v>849</v>
      </c>
      <c r="I82" s="89" t="str">
        <f>IF(_epmOfflineCondition_,"T2",_xll.EVPRO($B$1,$H82,"STYLE"))</f>
        <v>T2</v>
      </c>
      <c r="J82" s="89" t="str">
        <f>IF(_epmOfflineCondition_,"Y",_xll.EVPRO($B$1,$H82,"CALC"))</f>
        <v>Y</v>
      </c>
      <c r="K82" s="265" t="str">
        <f t="shared" si="22"/>
        <v/>
      </c>
      <c r="L82" s="106" t="str">
        <f>IF(_epmOfflineCondition_,"",_xll.EVPRO($B$1,H82,"JDEID"))</f>
        <v/>
      </c>
      <c r="M82" s="190" t="str">
        <f>IF(_epmOfflineCondition_,"",IF(AND(I82="N",J82="N"),_xll.EVPRO($B$1,H82,"PSFTID"),""))</f>
        <v/>
      </c>
      <c r="N82" s="106" t="str">
        <f>IF(_epmOfflineCondition_,"Total Labor Expense",IF(_xll.EVDES(H82,$B$1)="#NODATA","",_xll.EVDES(H82,$B$1)))</f>
        <v>Total Labor Expense</v>
      </c>
      <c r="O82" s="223">
        <v>4541.84</v>
      </c>
      <c r="P82" s="223">
        <v>9908.7999999999993</v>
      </c>
      <c r="Q82" s="223">
        <v>8433.4599999999991</v>
      </c>
      <c r="R82" s="223">
        <v>13714.99</v>
      </c>
      <c r="S82" s="223">
        <v>9926.18</v>
      </c>
      <c r="T82" s="223">
        <v>5786.18</v>
      </c>
      <c r="U82" s="223">
        <v>8032.87</v>
      </c>
      <c r="V82" s="223">
        <v>6793.69</v>
      </c>
      <c r="W82" s="223">
        <v>5901.78</v>
      </c>
      <c r="X82" s="223">
        <v>5127.3</v>
      </c>
      <c r="Y82" s="223">
        <v>3641.4</v>
      </c>
      <c r="Z82" s="223">
        <v>2883.6</v>
      </c>
      <c r="AA82" s="223">
        <f t="shared" si="23"/>
        <v>84692.09</v>
      </c>
      <c r="AB82" s="224">
        <f t="shared" si="24"/>
        <v>0.18992028724908364</v>
      </c>
      <c r="AC82" s="225"/>
      <c r="AD82" s="223">
        <v>162994.226602857</v>
      </c>
      <c r="AE82" s="224">
        <f t="shared" si="25"/>
        <v>0.21106089326310501</v>
      </c>
      <c r="AF82" s="226">
        <f t="shared" si="26"/>
        <v>-78302.136602857005</v>
      </c>
      <c r="AG82" s="223">
        <v>4742.1000000000004</v>
      </c>
      <c r="AH82" s="224">
        <f t="shared" si="27"/>
        <v>0.15368685100921714</v>
      </c>
      <c r="AI82" s="226">
        <f t="shared" si="28"/>
        <v>79949.989999999991</v>
      </c>
      <c r="AJ82" s="227">
        <f t="shared" si="29"/>
        <v>7.0512105569894263</v>
      </c>
      <c r="AK82" s="228">
        <f t="shared" si="30"/>
        <v>8.4689923414141646</v>
      </c>
      <c r="AL82" s="230">
        <f t="shared" si="31"/>
        <v>5.8981343283582097</v>
      </c>
      <c r="AM82" s="427" t="str">
        <f t="shared" si="32"/>
        <v>-2.11 pts.</v>
      </c>
      <c r="AN82" s="478" t="str">
        <f t="shared" si="33"/>
        <v>3.62 pts.</v>
      </c>
      <c r="AO82" s="11"/>
    </row>
    <row r="83" spans="1:41" x14ac:dyDescent="0.25">
      <c r="A83" s="65" t="s">
        <v>2</v>
      </c>
      <c r="B83" s="66" t="str">
        <f>IF(_epmOfflineCondition_,"'Venue2'!$B$2:$B$10",_xll.EVRNG($B$2:$B$10))</f>
        <v>'Venue2'!$B$2:$B$10</v>
      </c>
      <c r="C83" s="11"/>
      <c r="D83" s="11"/>
      <c r="E83" s="11"/>
      <c r="F83" s="11"/>
      <c r="G83" s="11"/>
      <c r="H83" s="88" t="s">
        <v>850</v>
      </c>
      <c r="I83" s="542" t="str">
        <f>IF(_epmOfflineCondition_,"T3",_xll.EVPRO($B$1,$H83,"STYLE"))</f>
        <v>T3</v>
      </c>
      <c r="J83" s="542" t="str">
        <f>IF(_epmOfflineCondition_,"Y",_xll.EVPRO($B$1,$H83,"CALC"))</f>
        <v>Y</v>
      </c>
      <c r="K83" s="117" t="str">
        <f t="shared" si="22"/>
        <v>&gt;</v>
      </c>
      <c r="L83" s="369" t="str">
        <f>IF(_epmOfflineCondition_,"",_xll.EVPRO($B$1,H83,"JDEID"))</f>
        <v/>
      </c>
      <c r="M83" s="90" t="str">
        <f>IF(_epmOfflineCondition_,"",IF(AND(I83="N",J83="N"),_xll.EVPRO($B$1,H83,"PSFTID"),""))</f>
        <v/>
      </c>
      <c r="N83" s="369" t="str">
        <f>IF(_epmOfflineCondition_,"Payroll Taxes",IF(_xll.EVDES(H83,$B$1)="#NODATA","",_xll.EVDES(H83,$B$1)))</f>
        <v>Payroll Taxes</v>
      </c>
      <c r="O83" s="549"/>
      <c r="P83" s="549"/>
      <c r="Q83" s="549"/>
      <c r="R83" s="549"/>
      <c r="S83" s="549"/>
      <c r="T83" s="549"/>
      <c r="U83" s="549"/>
      <c r="V83" s="549"/>
      <c r="W83" s="549"/>
      <c r="X83" s="549"/>
      <c r="Y83" s="549"/>
      <c r="Z83" s="549"/>
      <c r="AA83" s="549">
        <f t="shared" si="23"/>
        <v>0</v>
      </c>
      <c r="AB83" s="550" t="str">
        <f t="shared" si="24"/>
        <v/>
      </c>
      <c r="AC83" s="551"/>
      <c r="AD83" s="549">
        <v>9255.7045200443008</v>
      </c>
      <c r="AE83" s="550">
        <f t="shared" si="25"/>
        <v>1.1985193000361567E-2</v>
      </c>
      <c r="AF83" s="552">
        <f t="shared" si="26"/>
        <v>-9255.7045200443008</v>
      </c>
      <c r="AG83" s="549">
        <v>0.71</v>
      </c>
      <c r="AH83" s="550">
        <f t="shared" si="27"/>
        <v>2.3010409779748245E-5</v>
      </c>
      <c r="AI83" s="552">
        <f t="shared" si="28"/>
        <v>-0.71</v>
      </c>
      <c r="AJ83" s="553">
        <f t="shared" si="29"/>
        <v>0</v>
      </c>
      <c r="AK83" s="554">
        <f t="shared" si="30"/>
        <v>0.480915749768487</v>
      </c>
      <c r="AL83" s="555">
        <f t="shared" si="31"/>
        <v>8.8308457711442777E-4</v>
      </c>
      <c r="AM83" s="556">
        <f t="shared" si="32"/>
        <v>0</v>
      </c>
      <c r="AN83" s="557">
        <f t="shared" si="33"/>
        <v>0</v>
      </c>
      <c r="AO83" s="11"/>
    </row>
    <row r="84" spans="1:41" x14ac:dyDescent="0.25">
      <c r="A84" s="65" t="s">
        <v>3</v>
      </c>
      <c r="B84" s="66" t="str">
        <f>IF(_epmOfflineCondition_,"'Venue2'!$O$16:$AN$18",_xll.EVRNG($O$16:$AN$18))</f>
        <v>'Venue2'!$O$16:$AN$18</v>
      </c>
      <c r="C84" s="11"/>
      <c r="D84" s="11"/>
      <c r="E84" s="11"/>
      <c r="F84" s="11"/>
      <c r="G84" s="11"/>
      <c r="H84" s="88" t="s">
        <v>851</v>
      </c>
      <c r="I84" s="542" t="str">
        <f>IF(_epmOfflineCondition_,"T3",_xll.EVPRO($B$1,$H84,"STYLE"))</f>
        <v>T3</v>
      </c>
      <c r="J84" s="542" t="str">
        <f>IF(_epmOfflineCondition_,"Y",_xll.EVPRO($B$1,$H84,"CALC"))</f>
        <v>Y</v>
      </c>
      <c r="K84" s="117" t="str">
        <f t="shared" si="22"/>
        <v>&gt;</v>
      </c>
      <c r="L84" s="369" t="str">
        <f>IF(_epmOfflineCondition_,"",_xll.EVPRO($B$1,H84,"JDEID"))</f>
        <v/>
      </c>
      <c r="M84" s="90" t="str">
        <f>IF(_epmOfflineCondition_,"",IF(AND(I84="N",J84="N"),_xll.EVPRO($B$1,H84,"PSFTID"),""))</f>
        <v/>
      </c>
      <c r="N84" s="369" t="str">
        <f>IF(_epmOfflineCondition_,"Supplemental Pay",IF(_xll.EVDES(H84,$B$1)="#NODATA","",_xll.EVDES(H84,$B$1)))</f>
        <v>Supplemental Pay</v>
      </c>
      <c r="O84" s="242"/>
      <c r="P84" s="242"/>
      <c r="Q84" s="242"/>
      <c r="R84" s="242"/>
      <c r="S84" s="242"/>
      <c r="T84" s="242"/>
      <c r="U84" s="242"/>
      <c r="V84" s="242"/>
      <c r="W84" s="242"/>
      <c r="X84" s="242"/>
      <c r="Y84" s="242"/>
      <c r="Z84" s="242"/>
      <c r="AA84" s="242">
        <f t="shared" si="23"/>
        <v>0</v>
      </c>
      <c r="AB84" s="243" t="str">
        <f t="shared" si="24"/>
        <v/>
      </c>
      <c r="AC84" s="244"/>
      <c r="AD84" s="242">
        <v>903.83214285730003</v>
      </c>
      <c r="AE84" s="243">
        <f t="shared" si="25"/>
        <v>1.1703704076351886E-3</v>
      </c>
      <c r="AF84" s="245">
        <f t="shared" si="26"/>
        <v>-903.83214285730003</v>
      </c>
      <c r="AG84" s="242"/>
      <c r="AH84" s="243" t="str">
        <f t="shared" si="27"/>
        <v/>
      </c>
      <c r="AI84" s="245">
        <f t="shared" si="28"/>
        <v>0</v>
      </c>
      <c r="AJ84" s="246">
        <f t="shared" si="29"/>
        <v>0</v>
      </c>
      <c r="AK84" s="247">
        <f t="shared" si="30"/>
        <v>4.6962077463228724E-2</v>
      </c>
      <c r="AL84" s="249">
        <f t="shared" si="31"/>
        <v>0</v>
      </c>
      <c r="AM84" s="431">
        <f t="shared" si="32"/>
        <v>0</v>
      </c>
      <c r="AN84" s="487">
        <f t="shared" si="33"/>
        <v>0</v>
      </c>
      <c r="AO84" s="11"/>
    </row>
    <row r="85" spans="1:41" x14ac:dyDescent="0.25">
      <c r="A85" s="65" t="s">
        <v>4</v>
      </c>
      <c r="B85" s="66" t="str">
        <f>IF(_epmOfflineCondition_,"'Venue2'!$H$76:$H$77,'Venue2'!$H$79:$H$87,'Venue2'!$H$90:$H$93",_xll.EVRNG(H76:H77,H79:H87,H90:H93))</f>
        <v>'Venue2'!$H$76:$H$77,'Venue2'!$H$79:$H$87,'Venue2'!$H$90:$H$93</v>
      </c>
      <c r="C85" s="11"/>
      <c r="D85" s="11"/>
      <c r="E85" s="11"/>
      <c r="F85" s="11"/>
      <c r="G85" s="11"/>
      <c r="H85" s="88" t="s">
        <v>852</v>
      </c>
      <c r="I85" s="542" t="str">
        <f>IF(_epmOfflineCondition_,"T3",_xll.EVPRO($B$1,$H85,"STYLE"))</f>
        <v>T3</v>
      </c>
      <c r="J85" s="542" t="str">
        <f>IF(_epmOfflineCondition_,"Y",_xll.EVPRO($B$1,$H85,"CALC"))</f>
        <v>Y</v>
      </c>
      <c r="K85" s="117" t="str">
        <f t="shared" si="22"/>
        <v>&gt;</v>
      </c>
      <c r="L85" s="369" t="str">
        <f>IF(_epmOfflineCondition_,"",_xll.EVPRO($B$1,H85,"JDEID"))</f>
        <v/>
      </c>
      <c r="M85" s="90" t="str">
        <f>IF(_epmOfflineCondition_,"",IF(AND(I85="N",J85="N"),_xll.EVPRO($B$1,H85,"PSFTID"),""))</f>
        <v/>
      </c>
      <c r="N85" s="369" t="str">
        <f>IF(_epmOfflineCondition_,"Employee Benefits",IF(_xll.EVDES(H85,$B$1)="#NODATA","",_xll.EVDES(H85,$B$1)))</f>
        <v>Employee Benefits</v>
      </c>
      <c r="O85" s="242"/>
      <c r="P85" s="242"/>
      <c r="Q85" s="242"/>
      <c r="R85" s="242"/>
      <c r="S85" s="242"/>
      <c r="T85" s="242"/>
      <c r="U85" s="242"/>
      <c r="V85" s="242"/>
      <c r="W85" s="242"/>
      <c r="X85" s="242"/>
      <c r="Y85" s="242"/>
      <c r="Z85" s="242"/>
      <c r="AA85" s="242">
        <f t="shared" si="23"/>
        <v>0</v>
      </c>
      <c r="AB85" s="243" t="str">
        <f t="shared" si="24"/>
        <v/>
      </c>
      <c r="AC85" s="244"/>
      <c r="AD85" s="242">
        <v>2940.0358491295001</v>
      </c>
      <c r="AE85" s="243">
        <f t="shared" si="25"/>
        <v>3.807046454809504E-3</v>
      </c>
      <c r="AF85" s="245">
        <f t="shared" si="26"/>
        <v>-2940.0358491295001</v>
      </c>
      <c r="AG85" s="242">
        <v>0.9</v>
      </c>
      <c r="AH85" s="243">
        <f t="shared" si="27"/>
        <v>2.9168125072920315E-5</v>
      </c>
      <c r="AI85" s="245">
        <f t="shared" si="28"/>
        <v>-0.9</v>
      </c>
      <c r="AJ85" s="246">
        <f t="shared" si="29"/>
        <v>0</v>
      </c>
      <c r="AK85" s="247">
        <f t="shared" si="30"/>
        <v>0.15276087753972253</v>
      </c>
      <c r="AL85" s="249">
        <f t="shared" si="31"/>
        <v>1.1194029850746269E-3</v>
      </c>
      <c r="AM85" s="431">
        <f t="shared" si="32"/>
        <v>0</v>
      </c>
      <c r="AN85" s="487">
        <f t="shared" si="33"/>
        <v>0</v>
      </c>
      <c r="AO85" s="11"/>
    </row>
    <row r="86" spans="1:41" x14ac:dyDescent="0.25">
      <c r="A86" s="65" t="s">
        <v>5</v>
      </c>
      <c r="B86" s="66"/>
      <c r="C86" s="11"/>
      <c r="D86" s="11"/>
      <c r="E86" s="11"/>
      <c r="F86" s="11"/>
      <c r="G86" s="11"/>
      <c r="H86" s="88" t="s">
        <v>853</v>
      </c>
      <c r="I86" s="89" t="str">
        <f>IF(_epmOfflineCondition_,"T2",_xll.EVPRO($B$1,$H86,"STYLE"))</f>
        <v>T2</v>
      </c>
      <c r="J86" s="89" t="str">
        <f>IF(_epmOfflineCondition_,"Y",_xll.EVPRO($B$1,$H86,"CALC"))</f>
        <v>Y</v>
      </c>
      <c r="K86" s="265" t="str">
        <f t="shared" si="22"/>
        <v/>
      </c>
      <c r="L86" s="106" t="str">
        <f>IF(_epmOfflineCondition_,"",_xll.EVPRO($B$1,H86,"JDEID"))</f>
        <v/>
      </c>
      <c r="M86" s="190" t="str">
        <f>IF(_epmOfflineCondition_,"",IF(AND(I86="N",J86="N"),_xll.EVPRO($B$1,H86,"PSFTID"),""))</f>
        <v/>
      </c>
      <c r="N86" s="106" t="str">
        <f>IF(_epmOfflineCondition_,"Total Payroll Related",IF(_xll.EVDES(H86,$B$1)="#NODATA","",_xll.EVDES(H86,$B$1)))</f>
        <v>Total Payroll Related</v>
      </c>
      <c r="O86" s="242"/>
      <c r="P86" s="242"/>
      <c r="Q86" s="242"/>
      <c r="R86" s="242"/>
      <c r="S86" s="242"/>
      <c r="T86" s="242"/>
      <c r="U86" s="242"/>
      <c r="V86" s="242"/>
      <c r="W86" s="242"/>
      <c r="X86" s="242"/>
      <c r="Y86" s="242"/>
      <c r="Z86" s="242"/>
      <c r="AA86" s="242">
        <f t="shared" si="23"/>
        <v>0</v>
      </c>
      <c r="AB86" s="243" t="str">
        <f t="shared" si="24"/>
        <v/>
      </c>
      <c r="AC86" s="244"/>
      <c r="AD86" s="242">
        <v>13099.5725120311</v>
      </c>
      <c r="AE86" s="243">
        <f t="shared" si="25"/>
        <v>1.6962609862806257E-2</v>
      </c>
      <c r="AF86" s="245">
        <f t="shared" si="26"/>
        <v>-13099.5725120311</v>
      </c>
      <c r="AG86" s="242">
        <v>1.61</v>
      </c>
      <c r="AH86" s="243">
        <f t="shared" si="27"/>
        <v>5.2178534852668564E-5</v>
      </c>
      <c r="AI86" s="245">
        <f t="shared" si="28"/>
        <v>-1.61</v>
      </c>
      <c r="AJ86" s="246">
        <f t="shared" si="29"/>
        <v>0</v>
      </c>
      <c r="AK86" s="247">
        <f t="shared" si="30"/>
        <v>0.68063870477143817</v>
      </c>
      <c r="AL86" s="249">
        <f t="shared" si="31"/>
        <v>2.0024875621890547E-3</v>
      </c>
      <c r="AM86" s="431">
        <f t="shared" si="32"/>
        <v>0</v>
      </c>
      <c r="AN86" s="487">
        <f t="shared" si="33"/>
        <v>0</v>
      </c>
      <c r="AO86" s="11"/>
    </row>
    <row r="87" spans="1:41" x14ac:dyDescent="0.25">
      <c r="A87" s="65" t="s">
        <v>6</v>
      </c>
      <c r="B87" s="66"/>
      <c r="C87" s="11"/>
      <c r="D87" s="11"/>
      <c r="E87" s="11"/>
      <c r="F87" s="11"/>
      <c r="G87" s="11"/>
      <c r="H87" s="88" t="s">
        <v>76</v>
      </c>
      <c r="I87" s="89" t="str">
        <f>IF(_epmOfflineCondition_,"T1",_xll.EVPRO($B$1,$H87,"STYLE"))</f>
        <v>T1</v>
      </c>
      <c r="J87" s="89" t="str">
        <f>IF(_epmOfflineCondition_,"Y",_xll.EVPRO($B$1,$H87,"CALC"))</f>
        <v>Y</v>
      </c>
      <c r="K87" s="265" t="str">
        <f t="shared" si="22"/>
        <v/>
      </c>
      <c r="L87" s="106" t="str">
        <f>IF(_epmOfflineCondition_,"600000",_xll.EVPRO($B$1,H87,"JDEID"))</f>
        <v>600000</v>
      </c>
      <c r="M87" s="190" t="str">
        <f>IF(_epmOfflineCondition_,"",IF(AND(I87="N",J87="N"),_xll.EVPRO($B$1,H87,"PSFTID"),""))</f>
        <v/>
      </c>
      <c r="N87" s="106" t="str">
        <f>IF(_epmOfflineCondition_,"Total Labor &amp; Related Exp",IF(_xll.EVDES(H87,$B$1)="#NODATA","",_xll.EVDES(H87,$B$1)))</f>
        <v>Total Labor &amp; Related Exp</v>
      </c>
      <c r="O87" s="242">
        <v>4541.84</v>
      </c>
      <c r="P87" s="242">
        <v>9908.7999999999993</v>
      </c>
      <c r="Q87" s="242">
        <v>8433.4599999999991</v>
      </c>
      <c r="R87" s="242">
        <v>13714.99</v>
      </c>
      <c r="S87" s="242">
        <v>9926.18</v>
      </c>
      <c r="T87" s="242">
        <v>5786.18</v>
      </c>
      <c r="U87" s="242">
        <v>8032.87</v>
      </c>
      <c r="V87" s="242">
        <v>6793.69</v>
      </c>
      <c r="W87" s="242">
        <v>5901.78</v>
      </c>
      <c r="X87" s="242">
        <v>5127.3</v>
      </c>
      <c r="Y87" s="242">
        <v>3641.4</v>
      </c>
      <c r="Z87" s="242">
        <v>2883.6</v>
      </c>
      <c r="AA87" s="242">
        <f t="shared" si="23"/>
        <v>84692.09</v>
      </c>
      <c r="AB87" s="243">
        <f t="shared" si="24"/>
        <v>0.18992028724908364</v>
      </c>
      <c r="AC87" s="244"/>
      <c r="AD87" s="242">
        <v>176093.79911488801</v>
      </c>
      <c r="AE87" s="243">
        <f t="shared" si="25"/>
        <v>0.22802350312591113</v>
      </c>
      <c r="AF87" s="245">
        <f t="shared" si="26"/>
        <v>-91401.709114888014</v>
      </c>
      <c r="AG87" s="242">
        <v>4743.71</v>
      </c>
      <c r="AH87" s="243">
        <f t="shared" si="27"/>
        <v>0.15373902954406982</v>
      </c>
      <c r="AI87" s="245">
        <f t="shared" si="28"/>
        <v>79948.37999999999</v>
      </c>
      <c r="AJ87" s="246">
        <f t="shared" si="29"/>
        <v>7.0512105569894263</v>
      </c>
      <c r="AK87" s="247">
        <f t="shared" si="30"/>
        <v>9.149631046185597</v>
      </c>
      <c r="AL87" s="249">
        <f t="shared" si="31"/>
        <v>5.9001368159203977</v>
      </c>
      <c r="AM87" s="431" t="str">
        <f t="shared" si="32"/>
        <v>-3.81 pts.</v>
      </c>
      <c r="AN87" s="487" t="str">
        <f t="shared" si="33"/>
        <v>3.62 pts.</v>
      </c>
      <c r="AO87" s="11"/>
    </row>
    <row r="88" spans="1:41" x14ac:dyDescent="0.25">
      <c r="A88" s="65" t="s">
        <v>7</v>
      </c>
      <c r="B88" s="66" t="str">
        <f>IF(_epmOfflineCondition_,"'Venue2'!$A$102:$F$108",_xll.EVRNG(A102:F108))</f>
        <v>'Venue2'!$A$102:$F$108</v>
      </c>
      <c r="C88" s="11"/>
      <c r="D88" s="11"/>
      <c r="E88" s="11"/>
      <c r="F88" s="11"/>
      <c r="G88" s="11"/>
      <c r="H88" s="11"/>
      <c r="I88" s="59"/>
      <c r="J88" s="59"/>
      <c r="K88" s="11"/>
      <c r="L88" s="11"/>
      <c r="M88" s="11"/>
      <c r="N88" s="11"/>
      <c r="O88" s="129"/>
      <c r="P88" s="130"/>
      <c r="Q88" s="130"/>
      <c r="R88" s="130"/>
      <c r="S88" s="130"/>
      <c r="T88" s="130"/>
      <c r="U88" s="130"/>
      <c r="V88" s="130"/>
      <c r="W88" s="130"/>
      <c r="X88" s="130"/>
      <c r="Y88" s="130"/>
      <c r="Z88" s="130"/>
      <c r="AA88" s="130"/>
      <c r="AB88" s="131"/>
      <c r="AC88" s="11"/>
      <c r="AD88" s="129"/>
      <c r="AE88" s="130"/>
      <c r="AF88" s="131"/>
      <c r="AG88" s="129"/>
      <c r="AH88" s="130"/>
      <c r="AI88" s="131"/>
      <c r="AJ88" s="11"/>
      <c r="AK88" s="11"/>
      <c r="AL88" s="11"/>
      <c r="AM88" s="11"/>
      <c r="AN88" s="11"/>
      <c r="AO88" s="11"/>
    </row>
    <row r="89" spans="1:41" x14ac:dyDescent="0.25">
      <c r="A89" s="65" t="s">
        <v>47</v>
      </c>
      <c r="B89" s="66" t="str">
        <f>IF(_epmOfflineCondition_,"'Venue2'!$A$125:$B$146",_xll.EVRNG($A$125:$B$146))</f>
        <v>'Venue2'!$A$125:$B$146</v>
      </c>
      <c r="C89" s="11"/>
      <c r="D89" s="11"/>
      <c r="E89" s="11"/>
      <c r="F89" s="11"/>
      <c r="G89" s="11"/>
      <c r="H89" s="11" t="s">
        <v>82</v>
      </c>
      <c r="I89" s="59" t="str">
        <f>IF(_epmOfflineCondition_,"B1",_xll.EVPRO($B$1,$H89,"STYLE"))</f>
        <v>B1</v>
      </c>
      <c r="J89" s="59" t="str">
        <f>IF(_epmOfflineCondition_,"Y",_xll.EVPRO($B$1,$H89,"CALC"))</f>
        <v>Y</v>
      </c>
      <c r="K89" s="11"/>
      <c r="L89" s="11"/>
      <c r="M89" s="11"/>
      <c r="N89" s="105" t="str">
        <f>IF(_epmOfflineCondition_,"Other Expenses",IF(_xll.EVDES(H89,$B$1)="#NODATA","",_xll.EVDES(H89,$B$1)))</f>
        <v>Other Expenses</v>
      </c>
      <c r="O89" s="119"/>
      <c r="P89" s="120"/>
      <c r="Q89" s="120"/>
      <c r="R89" s="120"/>
      <c r="S89" s="120"/>
      <c r="T89" s="120"/>
      <c r="U89" s="120"/>
      <c r="V89" s="120"/>
      <c r="W89" s="120"/>
      <c r="X89" s="120"/>
      <c r="Y89" s="120"/>
      <c r="Z89" s="120"/>
      <c r="AA89" s="120"/>
      <c r="AB89" s="121"/>
      <c r="AC89" s="11"/>
      <c r="AD89" s="119"/>
      <c r="AE89" s="120"/>
      <c r="AF89" s="121"/>
      <c r="AG89" s="119"/>
      <c r="AH89" s="120"/>
      <c r="AI89" s="121"/>
      <c r="AJ89" s="11"/>
      <c r="AK89" s="11"/>
      <c r="AL89" s="11"/>
      <c r="AM89" s="11"/>
      <c r="AN89" s="11"/>
      <c r="AO89" s="11"/>
    </row>
    <row r="90" spans="1:41" x14ac:dyDescent="0.25">
      <c r="A90" s="65" t="s">
        <v>8</v>
      </c>
      <c r="B90" s="66"/>
      <c r="C90" s="11"/>
      <c r="D90" s="11"/>
      <c r="E90" s="11"/>
      <c r="F90" s="11"/>
      <c r="G90" s="11"/>
      <c r="H90" s="88" t="s">
        <v>831</v>
      </c>
      <c r="I90" s="122" t="str">
        <f>IF(_epmOfflineCondition_,"T4",_xll.EVPRO($B$1,$H90,"STYLE"))</f>
        <v>T4</v>
      </c>
      <c r="J90" s="122" t="str">
        <f>IF(_epmOfflineCondition_,"Y",_xll.EVPRO($B$1,$H90,"CALC"))</f>
        <v>Y</v>
      </c>
      <c r="K90" s="179" t="str">
        <f>IF(AND(I90&lt;&gt;"B1",J90="Y"),"&gt;","")</f>
        <v>&gt;</v>
      </c>
      <c r="L90" s="90" t="str">
        <f>IF(_epmOfflineCondition_,"701500",_xll.EVPRO($B$1,H90,"JDEID"))</f>
        <v>701500</v>
      </c>
      <c r="M90" s="90" t="str">
        <f>IF(_epmOfflineCondition_,"",IF(AND(I90="N",J90="N"),_xll.EVPRO($B$1,H90,"PSFTID"),""))</f>
        <v/>
      </c>
      <c r="N90" s="90" t="str">
        <f>IF(_epmOfflineCondition_,"Operating Supplies",IF(_xll.EVDES(H90,$B$1)="#NODATA","",_xll.EVDES(H90,$B$1)))</f>
        <v>Operating Supplies</v>
      </c>
      <c r="O90" s="138"/>
      <c r="P90" s="138"/>
      <c r="Q90" s="138"/>
      <c r="R90" s="138"/>
      <c r="S90" s="138"/>
      <c r="T90" s="138">
        <v>128.34</v>
      </c>
      <c r="U90" s="138">
        <v>264.19</v>
      </c>
      <c r="V90" s="138"/>
      <c r="W90" s="138"/>
      <c r="X90" s="138"/>
      <c r="Y90" s="138">
        <v>75</v>
      </c>
      <c r="Z90" s="138">
        <v>10.69</v>
      </c>
      <c r="AA90" s="210">
        <f>IF($I90="B1","",SUM(O90:Z90))</f>
        <v>478.21999999999997</v>
      </c>
      <c r="AB90" s="142">
        <f>IF(AA90=0,"",IFERROR(AA90/AA$19,""))</f>
        <v>1.0723986120575934E-3</v>
      </c>
      <c r="AC90" s="140"/>
      <c r="AD90" s="138"/>
      <c r="AE90" s="142" t="str">
        <f>IF(AD90=0,"",IFERROR(AD90/AD$19,""))</f>
        <v/>
      </c>
      <c r="AF90" s="141">
        <f>IF(AND($AA90="",AD90=""),"",$AA90-AD90)</f>
        <v>478.21999999999997</v>
      </c>
      <c r="AG90" s="138">
        <v>-7.9999999999998295E-2</v>
      </c>
      <c r="AH90" s="142">
        <f>IF(AG90=0,"",IFERROR(AG90/AG$19,""))</f>
        <v>-2.5927222287039728E-6</v>
      </c>
      <c r="AI90" s="141">
        <f>IF(AND($AA90="",AG90=""),"",$AA90-AG90)</f>
        <v>478.29999999999995</v>
      </c>
      <c r="AJ90" s="462">
        <f>IFERROR(AA90/AA$20,0)</f>
        <v>3.9815169428024308E-2</v>
      </c>
      <c r="AK90" s="463">
        <f>IFERROR(AD90/AD$20,0)</f>
        <v>0</v>
      </c>
      <c r="AL90" s="464">
        <f>IFERROR(AG90/AG$20,0)</f>
        <v>-9.9502487562186937E-5</v>
      </c>
      <c r="AM90" s="465">
        <f>+IFERROR(ROUND(($AB90-AE90)*100,2)&amp;" pts.",0)</f>
        <v>0</v>
      </c>
      <c r="AN90" s="466" t="str">
        <f>+IFERROR(ROUND(($AB90-AH90)*100,2)&amp;" pts.",0)</f>
        <v>0.11 pts.</v>
      </c>
      <c r="AO90" s="11"/>
    </row>
    <row r="91" spans="1:41" x14ac:dyDescent="0.25">
      <c r="A91" s="11"/>
      <c r="B91" s="11"/>
      <c r="C91" s="11"/>
      <c r="D91" s="11"/>
      <c r="E91" s="11"/>
      <c r="F91" s="11"/>
      <c r="G91" s="76"/>
      <c r="H91" s="88" t="s">
        <v>871</v>
      </c>
      <c r="I91" s="122" t="str">
        <f>IF(_epmOfflineCondition_,"N",_xll.EVPRO($B$1,$H91,"STYLE"))</f>
        <v>N</v>
      </c>
      <c r="J91" s="122" t="str">
        <f>IF(_epmOfflineCondition_,"N",_xll.EVPRO($B$1,$H91,"CALC"))</f>
        <v>N</v>
      </c>
      <c r="K91" s="179" t="str">
        <f>IF(AND(I91&lt;&gt;"B1",J91="Y"),"&gt;","")</f>
        <v/>
      </c>
      <c r="L91" s="90" t="str">
        <f>IF(_epmOfflineCondition_,"702300",_xll.EVPRO($B$1,H91,"JDEID"))</f>
        <v>702300</v>
      </c>
      <c r="M91" s="90" t="str">
        <f>IF(_epmOfflineCondition_,"590040",IF(AND(I91="N",J91="N"),_xll.EVPRO($B$1,H91,"PSFTID"),""))</f>
        <v>590040</v>
      </c>
      <c r="N91" s="90" t="str">
        <f>IF(_epmOfflineCondition_,"Decorations",IF(_xll.EVDES(H91,$B$1)="#NODATA","",_xll.EVDES(H91,$B$1)))</f>
        <v>Decorations</v>
      </c>
      <c r="O91" s="138"/>
      <c r="P91" s="138"/>
      <c r="Q91" s="138"/>
      <c r="R91" s="138">
        <v>32.090000000000003</v>
      </c>
      <c r="S91" s="138">
        <v>76.52</v>
      </c>
      <c r="T91" s="138"/>
      <c r="U91" s="138"/>
      <c r="V91" s="138">
        <v>207.74</v>
      </c>
      <c r="W91" s="138">
        <v>85.55</v>
      </c>
      <c r="X91" s="138"/>
      <c r="Y91" s="138"/>
      <c r="Z91" s="138"/>
      <c r="AA91" s="210">
        <f>IF($I91="B1","",SUM(O91:Z91))</f>
        <v>401.90000000000003</v>
      </c>
      <c r="AB91" s="142">
        <f>IF(AA91=0,"",IFERROR(AA91/AA$19,""))</f>
        <v>9.0125256615354197E-4</v>
      </c>
      <c r="AC91" s="140"/>
      <c r="AD91" s="138"/>
      <c r="AE91" s="142" t="str">
        <f>IF(AD91=0,"",IFERROR(AD91/AD$19,""))</f>
        <v/>
      </c>
      <c r="AF91" s="141">
        <f>IF(AND($AA91="",AD91=""),"",$AA91-AD91)</f>
        <v>401.90000000000003</v>
      </c>
      <c r="AG91" s="138"/>
      <c r="AH91" s="142" t="str">
        <f>IF(AG91=0,"",IFERROR(AG91/AG$19,""))</f>
        <v/>
      </c>
      <c r="AI91" s="141">
        <f>IF(AND($AA91="",AG91=""),"",$AA91-AG91)</f>
        <v>401.90000000000003</v>
      </c>
      <c r="AJ91" s="462">
        <f>IFERROR(AA91/AA$20,0)</f>
        <v>3.3460994088751979E-2</v>
      </c>
      <c r="AK91" s="463">
        <f>IFERROR(AD91/AD$20,0)</f>
        <v>0</v>
      </c>
      <c r="AL91" s="464">
        <f>IFERROR(AG91/AG$20,0)</f>
        <v>0</v>
      </c>
      <c r="AM91" s="465">
        <f>+IFERROR(ROUND(($AB91-AE91)*100,2)&amp;" pts.",0)</f>
        <v>0</v>
      </c>
      <c r="AN91" s="466">
        <f>+IFERROR(ROUND(($AB91-AH91)*100,2)&amp;" pts.",0)</f>
        <v>0</v>
      </c>
      <c r="AO91" s="11"/>
    </row>
    <row r="92" spans="1:41" x14ac:dyDescent="0.25">
      <c r="A92" s="62" t="s">
        <v>9</v>
      </c>
      <c r="B92" s="63" t="s">
        <v>10</v>
      </c>
      <c r="C92" s="11"/>
      <c r="D92" s="11"/>
      <c r="E92" s="11"/>
      <c r="F92" s="11"/>
      <c r="G92" s="11"/>
      <c r="H92" s="88" t="s">
        <v>832</v>
      </c>
      <c r="I92" s="122" t="str">
        <f>IF(_epmOfflineCondition_,"T4",_xll.EVPRO($B$1,$H92,"STYLE"))</f>
        <v>T4</v>
      </c>
      <c r="J92" s="122" t="str">
        <f>IF(_epmOfflineCondition_,"Y",_xll.EVPRO($B$1,$H92,"CALC"))</f>
        <v>Y</v>
      </c>
      <c r="K92" s="179" t="str">
        <f>IF(AND(I92&lt;&gt;"B1",J92="Y"),"&gt;","")</f>
        <v>&gt;</v>
      </c>
      <c r="L92" s="90" t="str">
        <f>IF(_epmOfflineCondition_,"",_xll.EVPRO($B$1,H92,"JDEID"))</f>
        <v/>
      </c>
      <c r="M92" s="90" t="str">
        <f>IF(_epmOfflineCondition_,"",IF(AND(I92="N",J92="N"),_xll.EVPRO($B$1,H92,"PSFTID"),""))</f>
        <v/>
      </c>
      <c r="N92" s="90" t="str">
        <f>IF(_epmOfflineCondition_,"Contract Services",IF(_xll.EVDES(H92,$B$1)="#NODATA","",_xll.EVDES(H92,$B$1)))</f>
        <v>Contract Services</v>
      </c>
      <c r="O92" s="138">
        <v>-75</v>
      </c>
      <c r="P92" s="138">
        <v>300</v>
      </c>
      <c r="Q92" s="138"/>
      <c r="R92" s="138"/>
      <c r="S92" s="138">
        <v>150</v>
      </c>
      <c r="T92" s="138">
        <v>75</v>
      </c>
      <c r="U92" s="138">
        <v>75</v>
      </c>
      <c r="V92" s="138">
        <v>150</v>
      </c>
      <c r="W92" s="138">
        <v>75</v>
      </c>
      <c r="X92" s="138">
        <v>150</v>
      </c>
      <c r="Y92" s="138">
        <v>150</v>
      </c>
      <c r="Z92" s="138">
        <v>150</v>
      </c>
      <c r="AA92" s="210">
        <f>IF($I92="B1","",SUM(O92:Z92))</f>
        <v>1200</v>
      </c>
      <c r="AB92" s="142">
        <f>IF(AA92=0,"",IFERROR(AA92/AA$19,""))</f>
        <v>2.6909755645291122E-3</v>
      </c>
      <c r="AC92" s="140"/>
      <c r="AD92" s="138">
        <v>900</v>
      </c>
      <c r="AE92" s="142">
        <f>IF(AD92=0,"",IFERROR(AD92/AD$19,""))</f>
        <v>1.165408173625856E-3</v>
      </c>
      <c r="AF92" s="141">
        <f>IF(AND($AA92="",AD92=""),"",$AA92-AD92)</f>
        <v>300</v>
      </c>
      <c r="AG92" s="138">
        <v>375</v>
      </c>
      <c r="AH92" s="142">
        <f>IF(AG92=0,"",IFERROR(AG92/AG$19,""))</f>
        <v>1.215338544705013E-2</v>
      </c>
      <c r="AI92" s="141">
        <f>IF(AND($AA92="",AG92=""),"",$AA92-AG92)</f>
        <v>825</v>
      </c>
      <c r="AJ92" s="462">
        <f>IFERROR(AA92/AA$20,0)</f>
        <v>9.9908417284156184E-2</v>
      </c>
      <c r="AK92" s="463">
        <f>IFERROR(AD92/AD$20,0)</f>
        <v>4.6762963732723685E-2</v>
      </c>
      <c r="AL92" s="464">
        <f>IFERROR(AG92/AG$20,0)</f>
        <v>0.46641791044776121</v>
      </c>
      <c r="AM92" s="465" t="str">
        <f>+IFERROR(ROUND(($AB92-AE92)*100,2)&amp;" pts.",0)</f>
        <v>0.15 pts.</v>
      </c>
      <c r="AN92" s="466" t="str">
        <f>+IFERROR(ROUND(($AB92-AH92)*100,2)&amp;" pts.",0)</f>
        <v>-0.95 pts.</v>
      </c>
      <c r="AO92" s="11"/>
    </row>
    <row r="93" spans="1:41" x14ac:dyDescent="0.25">
      <c r="A93" s="65" t="s">
        <v>11</v>
      </c>
      <c r="B93" s="66" t="s">
        <v>21</v>
      </c>
      <c r="C93" s="11"/>
      <c r="D93" s="11"/>
      <c r="E93" s="11"/>
      <c r="F93" s="11"/>
      <c r="G93" s="11"/>
      <c r="H93" s="88" t="s">
        <v>856</v>
      </c>
      <c r="I93" s="122" t="str">
        <f>IF(_epmOfflineCondition_,"N",_xll.EVPRO($B$1,$H93,"STYLE"))</f>
        <v>N</v>
      </c>
      <c r="J93" s="122" t="str">
        <f>IF(_epmOfflineCondition_,"N",_xll.EVPRO($B$1,$H93,"CALC"))</f>
        <v>N</v>
      </c>
      <c r="K93" s="179" t="str">
        <f>IF(AND(I93&lt;&gt;"B1",J93="Y"),"&gt;","")</f>
        <v/>
      </c>
      <c r="L93" s="90" t="str">
        <f>IF(_epmOfflineCondition_,"703200",_xll.EVPRO($B$1,H93,"JDEID"))</f>
        <v>703200</v>
      </c>
      <c r="M93" s="90" t="str">
        <f>IF(_epmOfflineCondition_,"590035",IF(AND(I93="N",J93="N"),_xll.EVPRO($B$1,H93,"PSFTID"),""))</f>
        <v>590035</v>
      </c>
      <c r="N93" s="90" t="str">
        <f>IF(_epmOfflineCondition_,"Uniform Costs",IF(_xll.EVDES(H93,$B$1)="#NODATA","",_xll.EVDES(H93,$B$1)))</f>
        <v>Uniform Costs</v>
      </c>
      <c r="O93" s="138"/>
      <c r="P93" s="138"/>
      <c r="Q93" s="138"/>
      <c r="R93" s="138"/>
      <c r="S93" s="138"/>
      <c r="T93" s="138"/>
      <c r="U93" s="138"/>
      <c r="V93" s="138"/>
      <c r="W93" s="138"/>
      <c r="X93" s="138"/>
      <c r="Y93" s="138"/>
      <c r="Z93" s="138"/>
      <c r="AA93" s="210">
        <f>IF($I93="B1","",SUM(O93:Z93))</f>
        <v>0</v>
      </c>
      <c r="AB93" s="142" t="str">
        <f>IF(AA93=0,"",IFERROR(AA93/AA$19,""))</f>
        <v/>
      </c>
      <c r="AC93" s="140"/>
      <c r="AD93" s="138"/>
      <c r="AE93" s="142" t="str">
        <f>IF(AD93=0,"",IFERROR(AD93/AD$19,""))</f>
        <v/>
      </c>
      <c r="AF93" s="141">
        <f>IF(AND($AA93="",AD93=""),"",$AA93-AD93)</f>
        <v>0</v>
      </c>
      <c r="AG93" s="138">
        <v>0.69</v>
      </c>
      <c r="AH93" s="142">
        <f>IF(AG93=0,"",IFERROR(AG93/AG$19,""))</f>
        <v>2.2362229222572239E-5</v>
      </c>
      <c r="AI93" s="141">
        <f>IF(AND($AA93="",AG93=""),"",$AA93-AG93)</f>
        <v>-0.69</v>
      </c>
      <c r="AJ93" s="462">
        <f>IFERROR(AA93/AA$20,0)</f>
        <v>0</v>
      </c>
      <c r="AK93" s="463">
        <f>IFERROR(AD93/AD$20,0)</f>
        <v>0</v>
      </c>
      <c r="AL93" s="464">
        <f>IFERROR(AG93/AG$20,0)</f>
        <v>8.5820895522388052E-4</v>
      </c>
      <c r="AM93" s="465">
        <f>+IFERROR(ROUND(($AB93-AE93)*100,2)&amp;" pts.",0)</f>
        <v>0</v>
      </c>
      <c r="AN93" s="466">
        <f>+IFERROR(ROUND(($AB93-AH93)*100,2)&amp;" pts.",0)</f>
        <v>0</v>
      </c>
      <c r="AO93" s="11"/>
    </row>
    <row r="94" spans="1:41" x14ac:dyDescent="0.25">
      <c r="A94" s="65" t="s">
        <v>12</v>
      </c>
      <c r="B94" s="66" t="s">
        <v>22</v>
      </c>
      <c r="C94" s="11"/>
      <c r="D94" s="11"/>
      <c r="E94" s="11"/>
      <c r="F94" s="11"/>
      <c r="G94" s="11"/>
      <c r="H94" s="88" t="s">
        <v>79</v>
      </c>
      <c r="I94" s="136" t="str">
        <f>IF(_epmOfflineCondition_,"T3",_xll.EVPRO($B$1,$H94,"STYLE"))</f>
        <v>T3</v>
      </c>
      <c r="J94" s="136" t="str">
        <f>IF(_epmOfflineCondition_,"Y",_xll.EVPRO($B$1,$H94,"CALC"))</f>
        <v>Y</v>
      </c>
      <c r="K94" s="104"/>
      <c r="L94" s="104"/>
      <c r="M94" s="104"/>
      <c r="N94" s="106" t="str">
        <f>IF(_epmOfflineCondition_,"Total Operations Expense",IF(_xll.EVDES(H94,$B$1)="#NODATA","",_xll.EVDES(H94,$B$1)))</f>
        <v>Total Operations Expense</v>
      </c>
      <c r="O94" s="150">
        <v>-75</v>
      </c>
      <c r="P94" s="150">
        <v>300</v>
      </c>
      <c r="Q94" s="150"/>
      <c r="R94" s="150">
        <v>32.090000000000003</v>
      </c>
      <c r="S94" s="150">
        <v>226.52</v>
      </c>
      <c r="T94" s="150">
        <v>203.34</v>
      </c>
      <c r="U94" s="150">
        <v>339.19</v>
      </c>
      <c r="V94" s="150">
        <v>357.74</v>
      </c>
      <c r="W94" s="150">
        <v>160.55000000000001</v>
      </c>
      <c r="X94" s="150">
        <v>150</v>
      </c>
      <c r="Y94" s="150">
        <v>225</v>
      </c>
      <c r="Z94" s="150">
        <v>160.69</v>
      </c>
      <c r="AA94" s="150">
        <f>IF($I94="B1","",SUM(O94:Z94))</f>
        <v>2080.12</v>
      </c>
      <c r="AB94" s="151">
        <f>IF(AA94=0,"",IFERROR(AA94/AA$19,""))</f>
        <v>4.6646267427402476E-3</v>
      </c>
      <c r="AC94" s="140"/>
      <c r="AD94" s="150">
        <v>900</v>
      </c>
      <c r="AE94" s="151">
        <f>IF(AD94=0,"",IFERROR(AD94/AD$19,""))</f>
        <v>1.165408173625856E-3</v>
      </c>
      <c r="AF94" s="152">
        <f>IF(AND($AA94="",AD94=""),"",$AA94-AD94)</f>
        <v>1180.1199999999999</v>
      </c>
      <c r="AG94" s="150">
        <v>375.61</v>
      </c>
      <c r="AH94" s="151">
        <f>IF(AG94=0,"",IFERROR(AG94/AG$19,""))</f>
        <v>1.2173154954044E-2</v>
      </c>
      <c r="AI94" s="152">
        <f>IF(AND($AA94="",AG94=""),"",$AA94-AG94)</f>
        <v>1704.5099999999998</v>
      </c>
      <c r="AJ94" s="446">
        <f>IFERROR(AA94/AA$20,0)</f>
        <v>0.17318458080093246</v>
      </c>
      <c r="AK94" s="447">
        <f>IFERROR(AD94/AD$20,0)</f>
        <v>4.6762963732723685E-2</v>
      </c>
      <c r="AL94" s="448">
        <f>IFERROR(AG94/AG$20,0)</f>
        <v>0.46717661691542289</v>
      </c>
      <c r="AM94" s="449" t="str">
        <f>+IFERROR(ROUND(($AB94-AE94)*100,2)&amp;" pts.",0)</f>
        <v>0.35 pts.</v>
      </c>
      <c r="AN94" s="546" t="str">
        <f>+IFERROR(ROUND(($AB94-AH94)*100,2)&amp;" pts.",0)</f>
        <v>-0.75 pts.</v>
      </c>
      <c r="AO94" s="11"/>
    </row>
    <row r="95" spans="1:41" x14ac:dyDescent="0.25">
      <c r="A95" s="65" t="s">
        <v>13</v>
      </c>
      <c r="B95" s="66" t="s">
        <v>737</v>
      </c>
      <c r="C95" s="11"/>
      <c r="D95" s="11"/>
      <c r="E95" s="11"/>
      <c r="F95" s="11"/>
      <c r="G95" s="11"/>
      <c r="H95" s="11"/>
      <c r="I95" s="59"/>
      <c r="J95" s="59"/>
      <c r="K95" s="11"/>
      <c r="L95" s="11"/>
      <c r="M95" s="11"/>
      <c r="N95" s="11"/>
      <c r="O95" s="140"/>
      <c r="P95" s="140"/>
      <c r="Q95" s="140"/>
      <c r="R95" s="140"/>
      <c r="S95" s="140"/>
      <c r="T95" s="140"/>
      <c r="U95" s="140"/>
      <c r="V95" s="140"/>
      <c r="W95" s="140"/>
      <c r="X95" s="140"/>
      <c r="Y95" s="140"/>
      <c r="Z95" s="140"/>
      <c r="AA95" s="140"/>
      <c r="AB95" s="140"/>
      <c r="AC95" s="140"/>
      <c r="AD95" s="140"/>
      <c r="AE95" s="140"/>
      <c r="AF95" s="140"/>
      <c r="AG95" s="140"/>
      <c r="AH95" s="140"/>
      <c r="AI95" s="140"/>
      <c r="AJ95" s="140"/>
      <c r="AK95" s="140"/>
      <c r="AL95" s="140"/>
      <c r="AM95" s="140"/>
      <c r="AN95" s="140"/>
      <c r="AO95" s="11"/>
    </row>
    <row r="96" spans="1:41" x14ac:dyDescent="0.25">
      <c r="A96" s="65" t="s">
        <v>14</v>
      </c>
      <c r="B96" s="66"/>
      <c r="C96" s="11"/>
      <c r="D96" s="11"/>
      <c r="E96" s="11"/>
      <c r="F96" s="11"/>
      <c r="G96" s="11"/>
      <c r="H96" s="88" t="s">
        <v>80</v>
      </c>
      <c r="I96" s="136" t="str">
        <f>IF(_epmOfflineCondition_,"T3",_xll.EVPRO($B$1,$H96,"STYLE"))</f>
        <v>T3</v>
      </c>
      <c r="J96" s="136" t="str">
        <f>IF(_epmOfflineCondition_,"Y",_xll.EVPRO($B$1,$H96,"CALC"))</f>
        <v>Y</v>
      </c>
      <c r="K96" s="106"/>
      <c r="L96" s="106"/>
      <c r="M96" s="106"/>
      <c r="N96" s="106" t="str">
        <f>IF(_epmOfflineCondition_,"Total Expenses",IF(_xll.EVDES(H96,$B$1)="#NODATA","",_xll.EVDES(H96,$B$1)))</f>
        <v>Total Expenses</v>
      </c>
      <c r="O96" s="242">
        <v>4466.84</v>
      </c>
      <c r="P96" s="242">
        <v>10208.799999999999</v>
      </c>
      <c r="Q96" s="242">
        <v>8433.4599999999991</v>
      </c>
      <c r="R96" s="242">
        <v>13747.08</v>
      </c>
      <c r="S96" s="242">
        <v>10152.700000000001</v>
      </c>
      <c r="T96" s="242">
        <v>5989.52</v>
      </c>
      <c r="U96" s="242">
        <v>8372.06</v>
      </c>
      <c r="V96" s="242">
        <v>7151.43</v>
      </c>
      <c r="W96" s="242">
        <v>6062.33</v>
      </c>
      <c r="X96" s="242">
        <v>5277.3</v>
      </c>
      <c r="Y96" s="242">
        <v>3866.4</v>
      </c>
      <c r="Z96" s="242">
        <v>3044.29</v>
      </c>
      <c r="AA96" s="242">
        <f>IF($I96="B1","",SUM(O96:Z96))</f>
        <v>86772.21</v>
      </c>
      <c r="AB96" s="243">
        <f>IF(AA96=0,"",IFERROR(AA96/AA$19,""))</f>
        <v>0.19458491399182393</v>
      </c>
      <c r="AC96" s="140"/>
      <c r="AD96" s="242">
        <v>176993.79911488801</v>
      </c>
      <c r="AE96" s="243">
        <f>IF(AD96=0,"",IFERROR(AD96/AD$19,""))</f>
        <v>0.229188911299537</v>
      </c>
      <c r="AF96" s="254">
        <f>IF(AND($AA96="",AD96=""),"",$AA96-AD96)</f>
        <v>-90221.589114888004</v>
      </c>
      <c r="AG96" s="255">
        <v>5119.32</v>
      </c>
      <c r="AH96" s="256">
        <f>IF(AG96=0,"",IFERROR(AG96/AG$19,""))</f>
        <v>0.16591218449811379</v>
      </c>
      <c r="AI96" s="254">
        <f>IF(AND($AA96="",AG96=""),"",$AA96-AG96)</f>
        <v>81652.890000000014</v>
      </c>
      <c r="AJ96" s="435">
        <f>IFERROR(AA96/AA$20,0)</f>
        <v>7.224395137790359</v>
      </c>
      <c r="AK96" s="436">
        <f>IFERROR(AD96/AD$20,0)</f>
        <v>9.1963940099183219</v>
      </c>
      <c r="AL96" s="437">
        <f>IFERROR(AG96/AG$20,0)</f>
        <v>6.3673134328358207</v>
      </c>
      <c r="AM96" s="438" t="str">
        <f>+IFERROR(ROUND(($AB96-AE96)*100,2)&amp;" pts.",0)</f>
        <v>-3.46 pts.</v>
      </c>
      <c r="AN96" s="547" t="str">
        <f>+IFERROR(ROUND(($AB96-AH96)*100,2)&amp;" pts.",0)</f>
        <v>2.87 pts.</v>
      </c>
      <c r="AO96" s="11"/>
    </row>
    <row r="97" spans="1:41" ht="15.75" thickBot="1" x14ac:dyDescent="0.3">
      <c r="A97" s="65" t="s">
        <v>15</v>
      </c>
      <c r="B97" s="66"/>
      <c r="C97" s="11"/>
      <c r="D97" s="11"/>
      <c r="E97" s="11"/>
      <c r="F97" s="11"/>
      <c r="G97" s="11"/>
      <c r="H97" s="88" t="s">
        <v>81</v>
      </c>
      <c r="I97" s="136" t="str">
        <f>IF(_epmOfflineCondition_,"T3",_xll.EVPRO($B$1,$H97,"STYLE"))</f>
        <v>T3</v>
      </c>
      <c r="J97" s="136" t="str">
        <f>IF(_epmOfflineCondition_,"Y",_xll.EVPRO($B$1,$H97,"CALC"))</f>
        <v>Y</v>
      </c>
      <c r="K97" s="106"/>
      <c r="L97" s="106"/>
      <c r="M97" s="106"/>
      <c r="N97" s="106" t="str">
        <f>IF(_epmOfflineCondition_,"Department Profit (Loss)",IF(_xll.EVDES(H97,$B$1)="#NODATA","",_xll.EVDES(H97,$B$1)))</f>
        <v>Department Profit (Loss)</v>
      </c>
      <c r="O97" s="165">
        <v>19373.439999999999</v>
      </c>
      <c r="P97" s="165">
        <v>30706.35</v>
      </c>
      <c r="Q97" s="165">
        <v>51949.53</v>
      </c>
      <c r="R97" s="165">
        <v>21120.39</v>
      </c>
      <c r="S97" s="165">
        <v>33722.589999999997</v>
      </c>
      <c r="T97" s="165">
        <v>21949.93</v>
      </c>
      <c r="U97" s="165">
        <v>24267.51</v>
      </c>
      <c r="V97" s="165">
        <v>19067.5</v>
      </c>
      <c r="W97" s="165">
        <v>14776.91</v>
      </c>
      <c r="X97" s="165">
        <v>12773.26</v>
      </c>
      <c r="Y97" s="165">
        <v>16362.69</v>
      </c>
      <c r="Z97" s="165">
        <v>13454.88</v>
      </c>
      <c r="AA97" s="165">
        <f>IF($I97="B1","",SUM(O97:Z97))</f>
        <v>279524.98</v>
      </c>
      <c r="AB97" s="166">
        <f>IF(AA97=0,"",IFERROR(AA97/AA$19,""))</f>
        <v>0.62682907571290736</v>
      </c>
      <c r="AC97" s="140"/>
      <c r="AD97" s="165">
        <v>448861.56734511198</v>
      </c>
      <c r="AE97" s="166">
        <f>IF(AD97=0,"",IFERROR(AD97/AD$19,""))</f>
        <v>0.58122993267834011</v>
      </c>
      <c r="AF97" s="167">
        <f>IF(AND($AA97="",AD97=""),"",$AA97-AD97)</f>
        <v>-169336.587345112</v>
      </c>
      <c r="AG97" s="165">
        <v>19842.68</v>
      </c>
      <c r="AH97" s="166">
        <f>IF(AG97=0,"",IFERROR(AG97/AG$19,""))</f>
        <v>0.64308196891326053</v>
      </c>
      <c r="AI97" s="167">
        <f>IF(AND($AA97="",AG97=""),"",$AA97-AG97)</f>
        <v>259682.3</v>
      </c>
      <c r="AJ97" s="452">
        <f>IFERROR(AA97/AA$20,0)</f>
        <v>23.272415285987844</v>
      </c>
      <c r="AK97" s="453">
        <f>IFERROR(AD97/AD$20,0)</f>
        <v>23.322330216414421</v>
      </c>
      <c r="AL97" s="454">
        <f>IFERROR(AG97/AG$20,0)</f>
        <v>24.679950248756221</v>
      </c>
      <c r="AM97" s="455" t="str">
        <f>+IFERROR(ROUND(($AB97-AE97)*100,2)&amp;" pts.",0)</f>
        <v>4.56 pts.</v>
      </c>
      <c r="AN97" s="548" t="str">
        <f>+IFERROR(ROUND(($AB97-AH97)*100,2)&amp;" pts.",0)</f>
        <v>-1.63 pts.</v>
      </c>
      <c r="AO97" s="11"/>
    </row>
    <row r="98" spans="1:41" ht="15.75" thickTop="1" x14ac:dyDescent="0.25">
      <c r="A98" s="65" t="s">
        <v>16</v>
      </c>
      <c r="B98" s="66" t="s">
        <v>78</v>
      </c>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17</v>
      </c>
      <c r="B99" s="66"/>
      <c r="C99" s="11"/>
      <c r="D99" s="11"/>
      <c r="E99" s="11"/>
      <c r="F99" s="11"/>
      <c r="G99" s="11"/>
      <c r="H99" s="11"/>
      <c r="I99" s="59"/>
      <c r="J99" s="59"/>
      <c r="K99" s="11"/>
      <c r="L99" s="11"/>
      <c r="M99" s="11"/>
      <c r="N99" s="104" t="str">
        <f>N96&amp;" - Check"</f>
        <v>Total Expenses - Check</v>
      </c>
      <c r="O99" s="209">
        <f t="shared" ref="O99:AA99" si="34">SUMIF($H$35:$H$97,"600000",O$35:O$97)+SUMIF($H$35:$H$97,"700000",O$35:O$97)-SUMIF($H$35:$H$97,"TOTDEPTEXP",O$35:O$97)</f>
        <v>0</v>
      </c>
      <c r="P99" s="209">
        <f t="shared" si="34"/>
        <v>0</v>
      </c>
      <c r="Q99" s="209">
        <f t="shared" si="34"/>
        <v>0</v>
      </c>
      <c r="R99" s="209">
        <f t="shared" si="34"/>
        <v>0</v>
      </c>
      <c r="S99" s="209">
        <f t="shared" si="34"/>
        <v>0</v>
      </c>
      <c r="T99" s="209">
        <f t="shared" si="34"/>
        <v>0</v>
      </c>
      <c r="U99" s="209">
        <f t="shared" si="34"/>
        <v>0</v>
      </c>
      <c r="V99" s="209">
        <f t="shared" si="34"/>
        <v>0</v>
      </c>
      <c r="W99" s="209">
        <f t="shared" si="34"/>
        <v>0</v>
      </c>
      <c r="X99" s="209">
        <f t="shared" si="34"/>
        <v>0</v>
      </c>
      <c r="Y99" s="209">
        <f t="shared" si="34"/>
        <v>0</v>
      </c>
      <c r="Z99" s="209">
        <f t="shared" si="34"/>
        <v>0</v>
      </c>
      <c r="AA99" s="209">
        <f t="shared" si="34"/>
        <v>0</v>
      </c>
      <c r="AB99" s="100"/>
      <c r="AC99" s="11"/>
      <c r="AD99" s="209">
        <f>SUMIF($H$35:$H$97,"600000",AD$35:AD$97)+SUMIF($H$35:$H$97,"700000",AD$35:AD$97)-SUMIF($H$35:$H$97,"TOTDEPTEXP",AD$35:AD$97)</f>
        <v>0</v>
      </c>
      <c r="AE99" s="100"/>
      <c r="AF99" s="91"/>
      <c r="AG99" s="209">
        <f>SUMIF($H$35:$H$97,"600000",AG$35:AG$97)+SUMIF($H$35:$H$97,"700000",AG$35:AG$97)-SUMIF($H$35:$H$97,"TOTDEPTEXP",AG$35:AG$97)</f>
        <v>0</v>
      </c>
      <c r="AH99" s="100"/>
      <c r="AI99" s="91"/>
      <c r="AJ99" s="11"/>
      <c r="AK99" s="11"/>
      <c r="AL99" s="11"/>
      <c r="AM99" s="11"/>
      <c r="AN99" s="11"/>
      <c r="AO99" s="11"/>
    </row>
    <row r="100" spans="1:41" x14ac:dyDescent="0.25">
      <c r="A100" s="11"/>
      <c r="B100" s="11"/>
      <c r="C100" s="11"/>
      <c r="D100" s="11"/>
      <c r="E100" s="11"/>
      <c r="F100" s="11"/>
      <c r="G100" s="11"/>
      <c r="H100" s="11"/>
      <c r="I100" s="59"/>
      <c r="J100" s="59"/>
      <c r="K100" s="11"/>
      <c r="L100" s="11"/>
      <c r="M100" s="11"/>
      <c r="N100" s="104" t="str">
        <f>N97&amp;" - Check"</f>
        <v>Department Profit (Loss) - Check</v>
      </c>
      <c r="O100" s="209">
        <f t="shared" ref="O100:AA100" si="35">SUMIF($H$35:$H$97,"KPI_GP",O$35:O$97)-SUMIF($H$35:$H$97,"TOTDEPTEXP",O$35:O$97)-SUMIF($H$35:$H$97,"TOTDEPTPL",O$35:O$97)</f>
        <v>0</v>
      </c>
      <c r="P100" s="209">
        <f t="shared" si="35"/>
        <v>0</v>
      </c>
      <c r="Q100" s="209">
        <f t="shared" si="35"/>
        <v>0</v>
      </c>
      <c r="R100" s="209">
        <f t="shared" si="35"/>
        <v>0</v>
      </c>
      <c r="S100" s="209">
        <f t="shared" si="35"/>
        <v>0</v>
      </c>
      <c r="T100" s="209">
        <f t="shared" si="35"/>
        <v>0</v>
      </c>
      <c r="U100" s="209">
        <f t="shared" si="35"/>
        <v>0</v>
      </c>
      <c r="V100" s="209">
        <f t="shared" si="35"/>
        <v>0</v>
      </c>
      <c r="W100" s="209">
        <f t="shared" si="35"/>
        <v>0</v>
      </c>
      <c r="X100" s="209">
        <f t="shared" si="35"/>
        <v>0</v>
      </c>
      <c r="Y100" s="209">
        <f t="shared" si="35"/>
        <v>0</v>
      </c>
      <c r="Z100" s="209">
        <f t="shared" si="35"/>
        <v>0</v>
      </c>
      <c r="AA100" s="209">
        <f t="shared" si="35"/>
        <v>0</v>
      </c>
      <c r="AB100" s="100"/>
      <c r="AC100" s="11"/>
      <c r="AD100" s="209">
        <f>SUMIF($H$35:$H$97,"KPI_GP",AD$35:AD$97)-SUMIF($H$35:$H$97,"TOTDEPTEXP",AD$35:AD$97)-SUMIF($H$35:$H$97,"TOTDEPTPL",AD$35:AD$97)</f>
        <v>0</v>
      </c>
      <c r="AE100" s="100"/>
      <c r="AF100" s="91"/>
      <c r="AG100" s="209">
        <f>SUMIF($H$35:$H$97,"KPI_GP",AG$35:AG$97)-SUMIF($H$35:$H$97,"TOTDEPTEXP",AG$35:AG$97)-SUMIF($H$35:$H$97,"TOTDEPTPL",AG$35:AG$97)</f>
        <v>0</v>
      </c>
      <c r="AH100" s="100"/>
      <c r="AI100" s="91"/>
      <c r="AJ100" s="11"/>
      <c r="AK100" s="11"/>
      <c r="AL100" s="11"/>
      <c r="AM100" s="11"/>
      <c r="AN100" s="11"/>
      <c r="AO100" s="11"/>
    </row>
    <row r="101" spans="1:41" x14ac:dyDescent="0.25">
      <c r="A101" s="97" t="s">
        <v>92</v>
      </c>
      <c r="B101" s="98" t="s">
        <v>93</v>
      </c>
      <c r="C101" s="98" t="s">
        <v>94</v>
      </c>
      <c r="D101" s="98" t="s">
        <v>95</v>
      </c>
      <c r="E101" s="98" t="s">
        <v>96</v>
      </c>
      <c r="F101" s="99" t="s">
        <v>97</v>
      </c>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11"/>
      <c r="I102" s="59"/>
      <c r="J102" s="59"/>
      <c r="K102" s="11"/>
      <c r="L102" s="11"/>
      <c r="M102" s="11"/>
      <c r="N102" s="11"/>
      <c r="O102" s="137"/>
      <c r="P102" s="137"/>
      <c r="Q102" s="137"/>
      <c r="R102" s="137"/>
      <c r="S102" s="137"/>
      <c r="T102" s="137"/>
      <c r="U102" s="137"/>
      <c r="V102" s="137"/>
      <c r="W102" s="137"/>
      <c r="X102" s="137"/>
      <c r="Y102" s="137"/>
      <c r="Z102" s="137"/>
      <c r="AA102" s="137"/>
      <c r="AB102" s="11"/>
      <c r="AC102" s="11"/>
      <c r="AD102" s="137"/>
      <c r="AE102" s="11"/>
      <c r="AF102" s="11"/>
      <c r="AG102" s="137"/>
      <c r="AH102" s="11"/>
      <c r="AI102" s="11"/>
      <c r="AJ102" s="11"/>
      <c r="AK102" s="11"/>
      <c r="AL102" s="11"/>
      <c r="AM102" s="11"/>
      <c r="AN102" s="11"/>
      <c r="AO102" s="11"/>
    </row>
    <row r="103" spans="1:41" x14ac:dyDescent="0.25">
      <c r="A103" s="11" t="s">
        <v>108</v>
      </c>
      <c r="B103" s="11"/>
      <c r="C103" s="104" t="s">
        <v>101</v>
      </c>
      <c r="D103" s="11" t="s">
        <v>106</v>
      </c>
      <c r="E103" s="11"/>
      <c r="F103" s="11" t="s">
        <v>98</v>
      </c>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t="s">
        <v>100</v>
      </c>
      <c r="B104" s="11"/>
      <c r="C104" s="53" t="s">
        <v>101</v>
      </c>
      <c r="D104" s="11" t="s">
        <v>106</v>
      </c>
      <c r="E104" s="11"/>
      <c r="F104" s="11" t="s">
        <v>98</v>
      </c>
      <c r="G104" s="11"/>
      <c r="H104" s="11"/>
      <c r="I104" s="59"/>
      <c r="J104" s="59"/>
      <c r="K104" s="11"/>
      <c r="L104" s="11"/>
      <c r="M104" s="11"/>
      <c r="N104" s="11"/>
      <c r="O104" s="137"/>
      <c r="P104" s="137"/>
      <c r="Q104" s="137"/>
      <c r="R104" s="137"/>
      <c r="S104" s="137"/>
      <c r="T104" s="137"/>
      <c r="U104" s="137"/>
      <c r="V104" s="137"/>
      <c r="W104" s="137"/>
      <c r="X104" s="137"/>
      <c r="Y104" s="137"/>
      <c r="Z104" s="137"/>
      <c r="AA104" s="137"/>
      <c r="AB104" s="11"/>
      <c r="AC104" s="11"/>
      <c r="AD104" s="137"/>
      <c r="AE104" s="11"/>
      <c r="AF104" s="11"/>
      <c r="AG104" s="137"/>
      <c r="AH104" s="11"/>
      <c r="AI104" s="11"/>
      <c r="AJ104" s="11"/>
      <c r="AK104" s="11"/>
      <c r="AL104" s="11"/>
      <c r="AM104" s="11"/>
      <c r="AN104" s="11"/>
      <c r="AO104" s="11"/>
    </row>
    <row r="105" spans="1:41" x14ac:dyDescent="0.25">
      <c r="A105" s="11" t="s">
        <v>109</v>
      </c>
      <c r="B105" s="11"/>
      <c r="C105" s="106" t="s">
        <v>101</v>
      </c>
      <c r="D105" s="11" t="s">
        <v>106</v>
      </c>
      <c r="E105" s="11"/>
      <c r="F105" s="11" t="s">
        <v>98</v>
      </c>
      <c r="G105" s="76"/>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t="s">
        <v>109</v>
      </c>
      <c r="B106" s="11"/>
      <c r="C106" s="196" t="s">
        <v>101</v>
      </c>
      <c r="D106" s="11" t="s">
        <v>107</v>
      </c>
      <c r="E106" s="11"/>
      <c r="F106" s="11" t="s">
        <v>99</v>
      </c>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5" t="s">
        <v>2</v>
      </c>
      <c r="B114" s="66" t="str">
        <f>IF(_epmOfflineCondition_,"'Venue2'!$B$2:$B$10",_xll.EVRNG($B$2:$B$10))</f>
        <v>'Venue2'!$B$2:$B$10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3</v>
      </c>
      <c r="B115" s="66" t="str">
        <f>IF(_epmOfflineCondition_,"'Venue2'!$O$16:$AN$18",_xll.EVRNG($O$16:$AN$18))</f>
        <v>'Venue2'!$O$16:$AN$18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4</v>
      </c>
      <c r="B116" s="66" t="str">
        <f>IF(_epmOfflineCondition_,"'Venue2'!$H$94:$H$97",_xll.EVRNG(H94:H97))</f>
        <v>'Venue2'!$H$94:$H$97</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47</v>
      </c>
      <c r="B120" s="66" t="str">
        <f>IF(_epmOfflineCondition_,"'Venue2'!$A$125:$B$146",_xll.EVRNG($A$125:$B$146))</f>
        <v>'Venue2'!$A$125:$B$146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8</v>
      </c>
      <c r="B121" s="66"/>
      <c r="C121" s="11"/>
      <c r="D121" s="11"/>
      <c r="E121" s="11"/>
      <c r="F121" s="11"/>
      <c r="G121" s="11"/>
      <c r="H121" s="59"/>
      <c r="I121" s="59"/>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59"/>
      <c r="I122" s="59"/>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59"/>
      <c r="I123" s="59"/>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2" t="s">
        <v>23</v>
      </c>
      <c r="B124" s="63" t="s">
        <v>24</v>
      </c>
      <c r="C124" s="11"/>
      <c r="D124" s="11"/>
      <c r="E124" s="11"/>
      <c r="F124" s="11"/>
      <c r="G124" s="11"/>
      <c r="H124" s="59"/>
      <c r="I124" s="59"/>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25</v>
      </c>
      <c r="B125" s="66"/>
      <c r="C125" s="11"/>
      <c r="D125" s="11"/>
      <c r="E125" s="11"/>
      <c r="F125" s="11"/>
      <c r="G125" s="11"/>
      <c r="H125" s="59"/>
      <c r="I125" s="59"/>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26</v>
      </c>
      <c r="B126" s="66"/>
      <c r="C126" s="11"/>
      <c r="D126" s="11"/>
      <c r="E126" s="11"/>
      <c r="F126" s="11"/>
      <c r="G126" s="11"/>
      <c r="H126" s="59"/>
      <c r="I126" s="59"/>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27</v>
      </c>
      <c r="B127" s="66"/>
      <c r="C127" s="11"/>
      <c r="D127" s="11"/>
      <c r="E127" s="11"/>
      <c r="F127" s="11"/>
      <c r="G127" s="11"/>
      <c r="H127" s="59"/>
      <c r="I127" s="59"/>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28</v>
      </c>
      <c r="B128" s="66"/>
      <c r="C128" s="11"/>
      <c r="D128" s="11"/>
      <c r="E128" s="11"/>
      <c r="F128" s="11"/>
      <c r="G128" s="11"/>
      <c r="H128" s="59"/>
      <c r="I128" s="59"/>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29</v>
      </c>
      <c r="B129" s="66"/>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267"/>
      <c r="J170" s="11"/>
      <c r="K170" s="267"/>
      <c r="L170" s="267"/>
      <c r="M170" s="267"/>
      <c r="N170" s="11"/>
      <c r="O170" s="267"/>
      <c r="P170" s="267"/>
      <c r="Q170" s="267"/>
      <c r="R170" s="267"/>
      <c r="S170" s="267"/>
      <c r="T170" s="267"/>
      <c r="U170" s="267"/>
      <c r="V170" s="267"/>
      <c r="W170" s="267"/>
      <c r="X170" s="267"/>
      <c r="Y170" s="267"/>
      <c r="Z170" s="267"/>
      <c r="AA170" s="267"/>
      <c r="AB170" s="11"/>
      <c r="AC170" s="11"/>
      <c r="AD170" s="267"/>
      <c r="AE170" s="11"/>
      <c r="AF170" s="267"/>
      <c r="AG170" s="11"/>
      <c r="AH170" s="267"/>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267"/>
      <c r="J174" s="11"/>
      <c r="K174" s="267"/>
      <c r="L174" s="267"/>
      <c r="M174" s="267"/>
      <c r="N174" s="11"/>
      <c r="O174" s="267"/>
      <c r="P174" s="267"/>
      <c r="Q174" s="267"/>
      <c r="R174" s="267"/>
      <c r="S174" s="267"/>
      <c r="T174" s="267"/>
      <c r="U174" s="267"/>
      <c r="V174" s="267"/>
      <c r="W174" s="267"/>
      <c r="X174" s="267"/>
      <c r="Y174" s="267"/>
      <c r="Z174" s="267"/>
      <c r="AA174" s="267"/>
      <c r="AB174" s="11"/>
      <c r="AC174" s="11"/>
      <c r="AD174" s="267"/>
      <c r="AE174" s="11"/>
      <c r="AF174" s="267"/>
      <c r="AG174" s="11"/>
      <c r="AH174" s="267"/>
      <c r="AI174" s="11"/>
      <c r="AJ174" s="11"/>
      <c r="AK174" s="11"/>
      <c r="AL174" s="11"/>
      <c r="AM174" s="11"/>
      <c r="AN174" s="11"/>
      <c r="AO174" s="11"/>
    </row>
    <row r="175" spans="1:41"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2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Wh6UIfO1Lhu9IEaCTYa46aiyibgozwJZ8x8FdqDQnqeyZaq3Sa1nZvT570EAYSif4l19uScIhrZcR8sNrLdwjA==" saltValue="e7UdwSNP3jPoqEy9ULmYKg==" spinCount="100000" sheet="1" scenarios="1"/>
  <mergeCells count="2">
    <mergeCell ref="AD31:AE31"/>
    <mergeCell ref="AG31:AH31"/>
  </mergeCells>
  <dataValidations count="2">
    <dataValidation type="list" allowBlank="1" sqref="B29 B95 B62" xr:uid="{00000000-0002-0000-0900-000000000000}">
      <formula1>"SELF,ALL,BAS,DEP,BASMEMBERS,MEMBERS,NOEXPAND,GDEP"</formula1>
    </dataValidation>
    <dataValidation type="list" allowBlank="1" sqref="B28 B94 B61" xr:uid="{00000000-0002-0000-09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6">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t="str">
        <f>Venue2!N1</f>
        <v>Pool Bar</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726</v>
      </c>
      <c r="C6" s="11" t="str">
        <f>IF(_epmOfflineCondition_,"Venue 2",_xll.EVDES(B6,$B$1))</f>
        <v>Venue 2</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IF(_epmOfflineCondition_,"'Venue2_KPI'!$B$2:$B$10",_xll.EVRNG($B$2:$B$10))</f>
        <v>'Venue2_KPI'!$B$2:$B$10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IF(_epmOfflineCondition_,"'Venue2_KPI'!$O$16:$AI$18",_xll.EVRNG(O16:AI18))</f>
        <v>'Venue2_KPI'!$O$16:$AI$18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IF(_epmOfflineCondition_,"'Venue2_KPI'!$H$35:$H$146",_xll.EVRNG(H35:H146))</f>
        <v>'Venue2_KPI'!$H$35:$H$146</v>
      </c>
      <c r="C19" s="11"/>
      <c r="D19" s="11"/>
      <c r="E19" s="11"/>
      <c r="F19" s="11"/>
      <c r="G19" s="67" t="str">
        <f>$B$6</f>
        <v>D2141</v>
      </c>
      <c r="H19" s="67" t="s">
        <v>273</v>
      </c>
      <c r="I19" s="68"/>
      <c r="J19" s="68"/>
      <c r="K19" s="67"/>
      <c r="L19" s="67"/>
      <c r="M19" s="67"/>
      <c r="N19" s="67" t="str">
        <f>IF(_epmOfflineCondition_,"Total Food &amp; Beverage Revenue",_xll.EVDES(H19))</f>
        <v>Total Food &amp; Beverage Revenue</v>
      </c>
      <c r="O19" s="69">
        <f>IF(_epmOfflineCondition_,24763.92,_xll.EVGTS($B$1,1,$B$3,$B$5,$B$7,$B$9,O$16,O$17,O$18,$G$19,$H$19))</f>
        <v>24763.919999999998</v>
      </c>
      <c r="P19" s="69">
        <f>IF(_epmOfflineCondition_,42698.14,_xll.EVGTS($B$1,1,$B$3,$B$5,$B$7,$B$9,P$16,P$17,P$18,$G$19,$H$19))</f>
        <v>42698.14</v>
      </c>
      <c r="Q19" s="69">
        <f>IF(_epmOfflineCondition_,46285.45,_xll.EVGTS($B$1,1,$B$3,$B$5,$B$7,$B$9,Q$16,Q$17,Q$18,$G$19,$H$19))</f>
        <v>46285.45</v>
      </c>
      <c r="R19" s="69">
        <f>IF(_epmOfflineCondition_,43586.86,_xll.EVGTS($B$1,1,$B$3,$B$5,$B$7,$B$9,R$16,R$17,R$18,$G$19,$H$19))</f>
        <v>43586.86</v>
      </c>
      <c r="S19" s="69">
        <f>IF(_epmOfflineCondition_,40883.58,_xll.EVGTS($B$1,1,$B$3,$B$5,$B$7,$B$9,S$16,S$17,S$18,$G$19,$H$19))</f>
        <v>40883.58</v>
      </c>
      <c r="T19" s="69">
        <f>IF(_epmOfflineCondition_,25616.1,_xll.EVGTS($B$1,1,$B$3,$B$5,$B$7,$B$9,T$16,T$17,T$18,$G$19,$H$19))</f>
        <v>25616.1</v>
      </c>
      <c r="U19" s="69">
        <f>IF(_epmOfflineCondition_,33970.71,_xll.EVGTS($B$1,1,$B$3,$B$5,$B$7,$B$9,U$16,U$17,U$18,$G$19,$H$19))</f>
        <v>33970.71</v>
      </c>
      <c r="V19" s="69">
        <f>IF(_epmOfflineCondition_,22944.14,_xll.EVGTS($B$1,1,$B$3,$B$5,$B$7,$B$9,V$16,V$17,V$18,$G$19,$H$19))</f>
        <v>22944.14</v>
      </c>
      <c r="W19" s="69">
        <f>IF(_epmOfflineCondition_,20838.4,_xll.EVGTS($B$1,1,$B$3,$B$5,$B$7,$B$9,W$16,W$17,W$18,$G$19,$H$19))</f>
        <v>20838.400000000001</v>
      </c>
      <c r="X19" s="69">
        <f>IF(_epmOfflineCondition_,17748.2,_xll.EVGTS($B$1,1,$B$3,$B$5,$B$7,$B$9,X$16,X$17,X$18,$G$19,$H$19))</f>
        <v>17748.2</v>
      </c>
      <c r="Y19" s="69">
        <f>IF(_epmOfflineCondition_,20047.22,_xll.EVGTS($B$1,1,$B$3,$B$5,$B$7,$B$9,Y$16,Y$17,Y$18,$G$19,$H$19))</f>
        <v>20047.22</v>
      </c>
      <c r="Z19" s="69">
        <f>IF(_epmOfflineCondition_,15677.03,_xll.EVGTS($B$1,1,$B$3,$B$5,$B$7,$B$9,Z$16,Z$17,Z$18,$G$19,$H$19))</f>
        <v>15677.03</v>
      </c>
      <c r="AA19" s="69">
        <f>SUM(O19:Z19)</f>
        <v>355059.75000000012</v>
      </c>
      <c r="AB19" s="67"/>
      <c r="AC19" s="67"/>
      <c r="AD19" s="69">
        <f>IF(_epmOfflineCondition_,654458.997,_xll.EVGTS($B$1,1,$B$3,$B$5,$B$7,$B$9,AD$16,AD$17,AD$18,$G$19,$H$19))</f>
        <v>654458.99699999997</v>
      </c>
      <c r="AE19" s="67"/>
      <c r="AF19" s="67"/>
      <c r="AG19" s="69">
        <f>IF(_epmOfflineCondition_,26096.5,_xll.EVGTS($B$1,1,$B$3,$B$5,$B$7,$B$9,AG$16,AG$17,AG$18,$G$19,$H$19))</f>
        <v>26096.5</v>
      </c>
      <c r="AH19" s="67"/>
      <c r="AI19" s="67"/>
    </row>
    <row r="20" spans="1:35" hidden="1" outlineLevel="1" x14ac:dyDescent="0.25">
      <c r="A20" s="65" t="s">
        <v>5</v>
      </c>
      <c r="B20" s="66"/>
      <c r="C20" s="11"/>
      <c r="D20" s="11"/>
      <c r="E20" s="11"/>
      <c r="F20" s="11"/>
      <c r="G20" s="67" t="str">
        <f>$B$6</f>
        <v>D2141</v>
      </c>
      <c r="H20" s="67">
        <v>946000</v>
      </c>
      <c r="I20" s="68"/>
      <c r="J20" s="68"/>
      <c r="K20" s="67"/>
      <c r="L20" s="67"/>
      <c r="M20" s="67"/>
      <c r="N20" s="67" t="str">
        <f>IF(_epmOfflineCondition_,"Total Customers",_xll.EVDES(H20))</f>
        <v>Total Customers</v>
      </c>
      <c r="O20" s="69">
        <f>IF(_epmOfflineCondition_,709,_xll.EVGTS($B$1,1,$B$3,$B$5,$B$7,$B$9,O$16,O$17,O$18,$G$20,$H$20))</f>
        <v>709</v>
      </c>
      <c r="P20" s="69">
        <f>IF(_epmOfflineCondition_,1347,_xll.EVGTS($B$1,1,$B$3,$B$5,$B$7,$B$9,P$16,P$17,P$18,$G$20,$H$20))</f>
        <v>1347</v>
      </c>
      <c r="Q20" s="69">
        <f>IF(_epmOfflineCondition_,1368,_xll.EVGTS($B$1,1,$B$3,$B$5,$B$7,$B$9,Q$16,Q$17,Q$18,$G$20,$H$20))</f>
        <v>1368</v>
      </c>
      <c r="R20" s="69">
        <f>IF(_epmOfflineCondition_,1268,_xll.EVGTS($B$1,1,$B$3,$B$5,$B$7,$B$9,R$16,R$17,R$18,$G$20,$H$20))</f>
        <v>1268</v>
      </c>
      <c r="S20" s="69">
        <f>IF(_epmOfflineCondition_,1191,_xll.EVGTS($B$1,1,$B$3,$B$5,$B$7,$B$9,S$16,S$17,S$18,$G$20,$H$20))</f>
        <v>1191</v>
      </c>
      <c r="T20" s="69">
        <f>IF(_epmOfflineCondition_,1178,_xll.EVGTS($B$1,1,$B$3,$B$5,$B$7,$B$9,T$16,T$17,T$18,$G$20,$H$20))</f>
        <v>1178</v>
      </c>
      <c r="U20" s="69">
        <f>IF(_epmOfflineCondition_,1523,_xll.EVGTS($B$1,1,$B$3,$B$5,$B$7,$B$9,U$16,U$17,U$18,$G$20,$H$20))</f>
        <v>1523</v>
      </c>
      <c r="V20" s="69">
        <f>IF(_epmOfflineCondition_,878,_xll.EVGTS($B$1,1,$B$3,$B$5,$B$7,$B$9,V$16,V$17,V$18,$G$20,$H$20))</f>
        <v>878</v>
      </c>
      <c r="W20" s="69">
        <f>IF(_epmOfflineCondition_,1113,_xll.EVGTS($B$1,1,$B$3,$B$5,$B$7,$B$9,W$16,W$17,W$18,$G$20,$H$20))</f>
        <v>1113</v>
      </c>
      <c r="X20" s="69">
        <f>IF(_epmOfflineCondition_,448,_xll.EVGTS($B$1,1,$B$3,$B$5,$B$7,$B$9,X$16,X$17,X$18,$G$20,$H$20))</f>
        <v>448</v>
      </c>
      <c r="Y20" s="69">
        <f>IF(_epmOfflineCondition_,672,_xll.EVGTS($B$1,1,$B$3,$B$5,$B$7,$B$9,Y$16,Y$17,Y$18,$G$20,$H$20))</f>
        <v>672</v>
      </c>
      <c r="Z20" s="69">
        <f>IF(_epmOfflineCondition_,316,_xll.EVGTS($B$1,1,$B$3,$B$5,$B$7,$B$9,Z$16,Z$17,Z$18,$G$20,$H$20))</f>
        <v>316</v>
      </c>
      <c r="AA20" s="69">
        <f>SUM(O20:Z20)</f>
        <v>12011</v>
      </c>
      <c r="AB20" s="67"/>
      <c r="AC20" s="67"/>
      <c r="AD20" s="69">
        <f>IF(_epmOfflineCondition_,19246,_xll.EVGTS($B$1,1,$B$3,$B$5,$B$7,$B$9,AD$16,AD$17,AD$18,$G$20,$H$20))</f>
        <v>19246</v>
      </c>
      <c r="AE20" s="67"/>
      <c r="AF20" s="67"/>
      <c r="AG20" s="69">
        <f>IF(_epmOfflineCondition_,804,_xll.EVGTS($B$1,1,$B$3,$B$5,$B$7,$B$9,AG$16,AG$17,AG$18,$G$20,$H$20))</f>
        <v>804</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IF(_epmOfflineCondition_,"'Venue2_KPI'!$A$37:$B$58",_xll.EVRNG($A$37:$B$58))</f>
        <v>'Venue2_KPI'!$A$37:$B$58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IF(_epmOfflineCondition_,"Pool Bar",IF($N$1="",IF(_xll.EVDES(B6,$B$1)="#NODATA","",_xll.EVDES(B6,$B$1)&amp;" Department"),$N$1))</f>
        <v>Pool Bar</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v>33</v>
      </c>
      <c r="P35" s="138"/>
      <c r="Q35" s="138"/>
      <c r="R35" s="138"/>
      <c r="S35" s="138"/>
      <c r="T35" s="138"/>
      <c r="U35" s="138"/>
      <c r="V35" s="138"/>
      <c r="W35" s="138"/>
      <c r="X35" s="138"/>
      <c r="Y35" s="138"/>
      <c r="Z35" s="138"/>
      <c r="AA35" s="138">
        <f t="shared" ref="AA35:AA41" si="0">SUM(O35:Z35)</f>
        <v>33</v>
      </c>
      <c r="AB35" s="142">
        <f>IF(AA35=0,"",IFERROR(AA35/AA$19,""))</f>
        <v>9.2942103406539291E-5</v>
      </c>
      <c r="AC35" s="140"/>
      <c r="AD35" s="138"/>
      <c r="AE35" s="142" t="str">
        <f>IF(AD35=0,"",IFERROR(AD35/AD$19,""))</f>
        <v/>
      </c>
      <c r="AF35" s="141">
        <f t="shared" ref="AF35:AF42" si="1">IF(AND($AA35="",AD35=""),"",$AA35-AD35)</f>
        <v>33</v>
      </c>
      <c r="AG35" s="138"/>
      <c r="AH35" s="142" t="str">
        <f>IF(AG35=0,"",IFERROR(AG35/AG$19,""))</f>
        <v/>
      </c>
      <c r="AI35" s="141">
        <f t="shared" ref="AI35:AI42" si="2">IF(AND($AA35="",AG35=""),"",$AA35-AG35)</f>
        <v>33</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c r="P36" s="138"/>
      <c r="Q36" s="138"/>
      <c r="R36" s="138"/>
      <c r="S36" s="138"/>
      <c r="T36" s="138">
        <v>-86</v>
      </c>
      <c r="U36" s="138"/>
      <c r="V36" s="138"/>
      <c r="W36" s="138"/>
      <c r="X36" s="138"/>
      <c r="Y36" s="138"/>
      <c r="Z36" s="138"/>
      <c r="AA36" s="138">
        <f t="shared" si="0"/>
        <v>-86</v>
      </c>
      <c r="AB36" s="142">
        <f>IF(AA36=0,"",IFERROR(AA36/AA$19,""))</f>
        <v>-2.4221275433219331E-4</v>
      </c>
      <c r="AC36" s="140"/>
      <c r="AD36" s="138"/>
      <c r="AE36" s="142" t="str">
        <f>IF(AD36=0,"",IFERROR(AD36/AD$19,""))</f>
        <v/>
      </c>
      <c r="AF36" s="141">
        <f t="shared" si="1"/>
        <v>-86</v>
      </c>
      <c r="AG36" s="138"/>
      <c r="AH36" s="142" t="str">
        <f>IF(AG36=0,"",IFERROR(AG36/AG$19,""))</f>
        <v/>
      </c>
      <c r="AI36" s="141">
        <f t="shared" si="2"/>
        <v>-86</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c r="P37" s="138"/>
      <c r="Q37" s="138"/>
      <c r="R37" s="138"/>
      <c r="S37" s="138"/>
      <c r="T37" s="138"/>
      <c r="U37" s="138"/>
      <c r="V37" s="138"/>
      <c r="W37" s="138"/>
      <c r="X37" s="138"/>
      <c r="Y37" s="138"/>
      <c r="Z37" s="138"/>
      <c r="AA37" s="138">
        <f t="shared" si="0"/>
        <v>0</v>
      </c>
      <c r="AB37" s="142" t="str">
        <f>IF(AA37=0,"",IFERROR(AA37/AA$19,""))</f>
        <v/>
      </c>
      <c r="AC37" s="140"/>
      <c r="AD37" s="138"/>
      <c r="AE37" s="142" t="str">
        <f>IF(AD37=0,"",IFERROR(AD37/AD$19,""))</f>
        <v/>
      </c>
      <c r="AF37" s="141">
        <f t="shared" si="1"/>
        <v>0</v>
      </c>
      <c r="AG37" s="138"/>
      <c r="AH37" s="142" t="str">
        <f>IF(AG37=0,"",IFERROR(AG37/AG$19,""))</f>
        <v/>
      </c>
      <c r="AI37" s="141">
        <f t="shared" si="2"/>
        <v>0</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c r="P38" s="215"/>
      <c r="Q38" s="215"/>
      <c r="R38" s="215"/>
      <c r="S38" s="215"/>
      <c r="T38" s="215"/>
      <c r="U38" s="215"/>
      <c r="V38" s="215"/>
      <c r="W38" s="215"/>
      <c r="X38" s="215"/>
      <c r="Y38" s="215"/>
      <c r="Z38" s="215"/>
      <c r="AA38" s="215">
        <f t="shared" si="0"/>
        <v>0</v>
      </c>
      <c r="AB38" s="217" t="str">
        <f>IF(AA38=0,"",IFERROR(AA38/AA$19,""))</f>
        <v/>
      </c>
      <c r="AC38" s="140"/>
      <c r="AD38" s="215"/>
      <c r="AE38" s="217" t="str">
        <f>IF(AD38=0,"",IFERROR(AD38/AD$19,""))</f>
        <v/>
      </c>
      <c r="AF38" s="218">
        <f t="shared" si="1"/>
        <v>0</v>
      </c>
      <c r="AG38" s="215"/>
      <c r="AH38" s="217" t="str">
        <f>IF(AG38=0,"",IFERROR(AG38/AG$19,""))</f>
        <v/>
      </c>
      <c r="AI38" s="218">
        <f t="shared" si="2"/>
        <v>0</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v>33</v>
      </c>
      <c r="P39" s="162"/>
      <c r="Q39" s="162"/>
      <c r="R39" s="162"/>
      <c r="S39" s="162"/>
      <c r="T39" s="162">
        <v>-86</v>
      </c>
      <c r="U39" s="162"/>
      <c r="V39" s="162"/>
      <c r="W39" s="162"/>
      <c r="X39" s="162"/>
      <c r="Y39" s="162"/>
      <c r="Z39" s="162"/>
      <c r="AA39" s="162">
        <f t="shared" si="0"/>
        <v>-53</v>
      </c>
      <c r="AB39" s="163">
        <f>IF(AA39=0,"",IFERROR(AA39/AA$19,""))</f>
        <v>-1.4927065092565402E-4</v>
      </c>
      <c r="AC39" s="140"/>
      <c r="AD39" s="162"/>
      <c r="AE39" s="163" t="str">
        <f>IF(AD39=0,"",IFERROR(AD39/AD$19,""))</f>
        <v/>
      </c>
      <c r="AF39" s="164">
        <f t="shared" si="1"/>
        <v>-53</v>
      </c>
      <c r="AG39" s="162"/>
      <c r="AH39" s="163" t="str">
        <f>IF(AG39=0,"",IFERROR(AG39/AG$19,""))</f>
        <v/>
      </c>
      <c r="AI39" s="164">
        <f t="shared" si="2"/>
        <v>-53</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c r="P40" s="231"/>
      <c r="Q40" s="231"/>
      <c r="R40" s="231"/>
      <c r="S40" s="231"/>
      <c r="T40" s="231"/>
      <c r="U40" s="231"/>
      <c r="V40" s="231"/>
      <c r="W40" s="231"/>
      <c r="X40" s="231"/>
      <c r="Y40" s="231"/>
      <c r="Z40" s="231"/>
      <c r="AA40" s="231">
        <f t="shared" si="0"/>
        <v>0</v>
      </c>
      <c r="AB40" s="233"/>
      <c r="AC40" s="140"/>
      <c r="AD40" s="231"/>
      <c r="AE40" s="233"/>
      <c r="AF40" s="234">
        <f t="shared" si="1"/>
        <v>0</v>
      </c>
      <c r="AG40" s="231"/>
      <c r="AH40" s="233"/>
      <c r="AI40" s="234">
        <f t="shared" si="2"/>
        <v>0</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c r="P41" s="231"/>
      <c r="Q41" s="231"/>
      <c r="R41" s="231"/>
      <c r="S41" s="231"/>
      <c r="T41" s="231"/>
      <c r="U41" s="231"/>
      <c r="V41" s="231"/>
      <c r="W41" s="231"/>
      <c r="X41" s="231"/>
      <c r="Y41" s="231"/>
      <c r="Z41" s="231"/>
      <c r="AA41" s="231">
        <f t="shared" si="0"/>
        <v>0</v>
      </c>
      <c r="AB41" s="233" t="str">
        <f>IF(AA41=0,"",IFERROR(AA41/AA$87,""))</f>
        <v/>
      </c>
      <c r="AC41" s="140"/>
      <c r="AD41" s="231"/>
      <c r="AE41" s="233" t="str">
        <f>IF(AD41=0,"",IFERROR(AD41/AD$87,""))</f>
        <v/>
      </c>
      <c r="AF41" s="234">
        <f t="shared" si="1"/>
        <v>0</v>
      </c>
      <c r="AG41" s="231"/>
      <c r="AH41" s="233" t="str">
        <f>IF(AG41=0,"",IFERROR(AG41/AG$87,""))</f>
        <v/>
      </c>
      <c r="AI41" s="234">
        <f t="shared" si="2"/>
        <v>0</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2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5"/>
      <c r="AG43" s="497">
        <f>ROUND(IFERROR(AG39/AG41,0),2)</f>
        <v>0</v>
      </c>
      <c r="AH43" s="498"/>
      <c r="AI43" s="155"/>
    </row>
    <row r="44" spans="1:35" x14ac:dyDescent="0.2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v>7506</v>
      </c>
      <c r="P45" s="138">
        <v>13543</v>
      </c>
      <c r="Q45" s="138">
        <v>16072.5</v>
      </c>
      <c r="R45" s="138">
        <v>15526.4</v>
      </c>
      <c r="S45" s="138">
        <v>14533.6</v>
      </c>
      <c r="T45" s="138">
        <v>8431.6</v>
      </c>
      <c r="U45" s="138">
        <v>10799.8</v>
      </c>
      <c r="V45" s="138">
        <v>8037.07</v>
      </c>
      <c r="W45" s="138">
        <v>5829</v>
      </c>
      <c r="X45" s="138">
        <v>4565</v>
      </c>
      <c r="Y45" s="138">
        <v>6025.5</v>
      </c>
      <c r="Z45" s="138">
        <v>5949.6</v>
      </c>
      <c r="AA45" s="138">
        <f t="shared" ref="AA45:AA51" si="5">SUM(O45:Z45)</f>
        <v>116819.07</v>
      </c>
      <c r="AB45" s="142">
        <f>IF(AA45=0,"",IFERROR(AA45/AA$19,""))</f>
        <v>0.32901242678168946</v>
      </c>
      <c r="AC45" s="140"/>
      <c r="AD45" s="138">
        <v>220434.2388618</v>
      </c>
      <c r="AE45" s="142">
        <f>IF(AD45=0,"",IFERROR(AD45/AD$19,""))</f>
        <v>0.33681902131723618</v>
      </c>
      <c r="AF45" s="141">
        <f t="shared" ref="AF45:AF52" si="6">IF(AND($AA45="",AD45=""),"",$AA45-AD45)</f>
        <v>-103615.16886179999</v>
      </c>
      <c r="AG45" s="138">
        <v>9362.5</v>
      </c>
      <c r="AH45" s="142">
        <f>IF(AG45=0,"",IFERROR(AG45/AG$19,""))</f>
        <v>0.35876458528921501</v>
      </c>
      <c r="AI45" s="141">
        <f t="shared" ref="AI45:AI52" si="7">IF(AND($AA45="",AG45=""),"",$AA45-AG45)</f>
        <v>107456.57</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v>12495</v>
      </c>
      <c r="P46" s="138">
        <v>24003</v>
      </c>
      <c r="Q46" s="138">
        <v>24395</v>
      </c>
      <c r="R46" s="138">
        <v>22282.51</v>
      </c>
      <c r="S46" s="138">
        <v>21888.66</v>
      </c>
      <c r="T46" s="138">
        <v>13796.4</v>
      </c>
      <c r="U46" s="138">
        <v>18145.5</v>
      </c>
      <c r="V46" s="138">
        <v>12026.5</v>
      </c>
      <c r="W46" s="138">
        <v>12508.4</v>
      </c>
      <c r="X46" s="138">
        <v>9769</v>
      </c>
      <c r="Y46" s="138">
        <v>9978.4</v>
      </c>
      <c r="Z46" s="138">
        <v>7564.2</v>
      </c>
      <c r="AA46" s="138">
        <f t="shared" si="5"/>
        <v>188852.57</v>
      </c>
      <c r="AB46" s="142">
        <f>IF(AA46=0,"",IFERROR(AA46/AA$19,""))</f>
        <v>0.53188954816759704</v>
      </c>
      <c r="AC46" s="140"/>
      <c r="AD46" s="138">
        <v>362901.50140050001</v>
      </c>
      <c r="AE46" s="142">
        <f>IF(AD46=0,"",IFERROR(AD46/AD$19,""))</f>
        <v>0.55450609291646735</v>
      </c>
      <c r="AF46" s="141">
        <f t="shared" si="6"/>
        <v>-174048.93140050001</v>
      </c>
      <c r="AG46" s="138">
        <v>12511</v>
      </c>
      <c r="AH46" s="142">
        <f>IF(AG46=0,"",IFERROR(AG46/AG$19,""))</f>
        <v>0.47941294809648805</v>
      </c>
      <c r="AI46" s="141">
        <f t="shared" si="7"/>
        <v>176341.57</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v>1955</v>
      </c>
      <c r="P47" s="138">
        <v>3029</v>
      </c>
      <c r="Q47" s="138">
        <v>3792</v>
      </c>
      <c r="R47" s="138">
        <v>4218</v>
      </c>
      <c r="S47" s="138">
        <v>3467.6</v>
      </c>
      <c r="T47" s="138">
        <v>2453.6</v>
      </c>
      <c r="U47" s="138">
        <v>4300</v>
      </c>
      <c r="V47" s="138">
        <v>2516</v>
      </c>
      <c r="W47" s="138">
        <v>1991</v>
      </c>
      <c r="X47" s="138">
        <v>2298</v>
      </c>
      <c r="Y47" s="138">
        <v>2786</v>
      </c>
      <c r="Z47" s="138">
        <v>2000</v>
      </c>
      <c r="AA47" s="138">
        <f t="shared" si="5"/>
        <v>34806.199999999997</v>
      </c>
      <c r="AB47" s="142">
        <f>IF(AA47=0,"",IFERROR(AA47/AA$19,""))</f>
        <v>9.8029134532990531E-2</v>
      </c>
      <c r="AC47" s="140"/>
      <c r="AD47" s="138">
        <v>30033.186672299998</v>
      </c>
      <c r="AE47" s="142">
        <f>IF(AD47=0,"",IFERROR(AD47/AD$19,""))</f>
        <v>4.5890096721063187E-2</v>
      </c>
      <c r="AF47" s="141">
        <f t="shared" si="6"/>
        <v>4773.0133276999986</v>
      </c>
      <c r="AG47" s="138">
        <v>1837</v>
      </c>
      <c r="AH47" s="142">
        <f>IF(AG47=0,"",IFERROR(AG47/AG$19,""))</f>
        <v>7.0392581380644914E-2</v>
      </c>
      <c r="AI47" s="141">
        <f t="shared" si="7"/>
        <v>32969.199999999997</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v>2807.92</v>
      </c>
      <c r="P48" s="215">
        <v>2148</v>
      </c>
      <c r="Q48" s="215">
        <v>2048</v>
      </c>
      <c r="R48" s="215">
        <v>1708</v>
      </c>
      <c r="S48" s="215">
        <v>1456.4</v>
      </c>
      <c r="T48" s="215">
        <v>1030.5</v>
      </c>
      <c r="U48" s="215">
        <v>807</v>
      </c>
      <c r="V48" s="215">
        <v>378</v>
      </c>
      <c r="W48" s="215">
        <v>510</v>
      </c>
      <c r="X48" s="215">
        <v>1167</v>
      </c>
      <c r="Y48" s="215">
        <v>1344.4</v>
      </c>
      <c r="Z48" s="215">
        <v>520.20000000000005</v>
      </c>
      <c r="AA48" s="215">
        <f t="shared" si="5"/>
        <v>15925.42</v>
      </c>
      <c r="AB48" s="217">
        <f>IF(AA48=0,"",IFERROR(AA48/AA$19,""))</f>
        <v>4.4852788861592996E-2</v>
      </c>
      <c r="AC48" s="140"/>
      <c r="AD48" s="215">
        <v>41090.070065400003</v>
      </c>
      <c r="AE48" s="217">
        <f>IF(AD48=0,"",IFERROR(AD48/AD$19,""))</f>
        <v>6.2784789045233352E-2</v>
      </c>
      <c r="AF48" s="218">
        <f t="shared" si="6"/>
        <v>-25164.650065400005</v>
      </c>
      <c r="AG48" s="215">
        <v>2386</v>
      </c>
      <c r="AH48" s="217">
        <f>IF(AG48=0,"",IFERROR(AG48/AG$19,""))</f>
        <v>9.1429885233652017E-2</v>
      </c>
      <c r="AI48" s="218">
        <f t="shared" si="7"/>
        <v>13539.42</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v>24763.919999999998</v>
      </c>
      <c r="P49" s="162">
        <v>42723</v>
      </c>
      <c r="Q49" s="162">
        <v>46307.5</v>
      </c>
      <c r="R49" s="162">
        <v>43734.91</v>
      </c>
      <c r="S49" s="162">
        <v>41346.26</v>
      </c>
      <c r="T49" s="162">
        <v>25712.1</v>
      </c>
      <c r="U49" s="162">
        <v>34052.300000000003</v>
      </c>
      <c r="V49" s="162">
        <v>22957.57</v>
      </c>
      <c r="W49" s="162">
        <v>20838.400000000001</v>
      </c>
      <c r="X49" s="162">
        <v>17799</v>
      </c>
      <c r="Y49" s="162">
        <v>20134.3</v>
      </c>
      <c r="Z49" s="162">
        <v>16034</v>
      </c>
      <c r="AA49" s="162">
        <f t="shared" si="5"/>
        <v>356403.26000000007</v>
      </c>
      <c r="AB49" s="163">
        <f>IF(AA49=0,"",IFERROR(AA49/AA$19,""))</f>
        <v>1.0037838983438701</v>
      </c>
      <c r="AC49" s="140"/>
      <c r="AD49" s="162">
        <v>654458.99699999997</v>
      </c>
      <c r="AE49" s="163">
        <f>IF(AD49=0,"",IFERROR(AD49/AD$19,""))</f>
        <v>1</v>
      </c>
      <c r="AF49" s="164">
        <f t="shared" si="6"/>
        <v>-298055.73699999991</v>
      </c>
      <c r="AG49" s="162">
        <v>26096.5</v>
      </c>
      <c r="AH49" s="163">
        <f>IF(AG49=0,"",IFERROR(AG49/AG$19,""))</f>
        <v>1</v>
      </c>
      <c r="AI49" s="164">
        <f t="shared" si="7"/>
        <v>330306.76000000007</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v>24</v>
      </c>
      <c r="P50" s="231">
        <v>25</v>
      </c>
      <c r="Q50" s="231">
        <v>30</v>
      </c>
      <c r="R50" s="231">
        <v>29</v>
      </c>
      <c r="S50" s="231">
        <v>31</v>
      </c>
      <c r="T50" s="231">
        <v>28</v>
      </c>
      <c r="U50" s="231">
        <v>31</v>
      </c>
      <c r="V50" s="231">
        <v>31</v>
      </c>
      <c r="W50" s="231">
        <v>28</v>
      </c>
      <c r="X50" s="231">
        <v>30</v>
      </c>
      <c r="Y50" s="231">
        <v>26</v>
      </c>
      <c r="Z50" s="231">
        <v>25</v>
      </c>
      <c r="AA50" s="231">
        <f t="shared" si="5"/>
        <v>338</v>
      </c>
      <c r="AB50" s="233"/>
      <c r="AC50" s="140"/>
      <c r="AD50" s="231">
        <v>365</v>
      </c>
      <c r="AE50" s="233"/>
      <c r="AF50" s="234">
        <f t="shared" si="6"/>
        <v>-27</v>
      </c>
      <c r="AG50" s="231">
        <v>23</v>
      </c>
      <c r="AH50" s="233"/>
      <c r="AI50" s="234">
        <f t="shared" si="7"/>
        <v>315</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v>709</v>
      </c>
      <c r="P51" s="231">
        <v>1347</v>
      </c>
      <c r="Q51" s="231">
        <v>1368</v>
      </c>
      <c r="R51" s="231">
        <v>1268</v>
      </c>
      <c r="S51" s="231">
        <v>1191</v>
      </c>
      <c r="T51" s="231">
        <v>1178</v>
      </c>
      <c r="U51" s="231">
        <v>1523</v>
      </c>
      <c r="V51" s="231">
        <v>878</v>
      </c>
      <c r="W51" s="231">
        <v>1113</v>
      </c>
      <c r="X51" s="231">
        <v>448</v>
      </c>
      <c r="Y51" s="231">
        <v>672</v>
      </c>
      <c r="Z51" s="231">
        <v>316</v>
      </c>
      <c r="AA51" s="231">
        <f t="shared" si="5"/>
        <v>12011</v>
      </c>
      <c r="AB51" s="233">
        <f>IF(AA51=0,"",IFERROR(AA51/AA$87,""))</f>
        <v>1</v>
      </c>
      <c r="AC51" s="140"/>
      <c r="AD51" s="231">
        <v>19246</v>
      </c>
      <c r="AE51" s="233">
        <f>IF(AD51=0,"",IFERROR(AD51/AD$87,""))</f>
        <v>1</v>
      </c>
      <c r="AF51" s="234">
        <f t="shared" si="6"/>
        <v>-7235</v>
      </c>
      <c r="AG51" s="231">
        <v>804</v>
      </c>
      <c r="AH51" s="233">
        <f>IF(AG51=0,"",IFERROR(AG51/AG$87,""))</f>
        <v>1</v>
      </c>
      <c r="AI51" s="234">
        <f t="shared" si="7"/>
        <v>11207</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v>34.927954866008498</v>
      </c>
      <c r="P52" s="495">
        <v>31.717149220490001</v>
      </c>
      <c r="Q52" s="495">
        <v>33.850511695906398</v>
      </c>
      <c r="R52" s="495">
        <v>34.4912539432177</v>
      </c>
      <c r="S52" s="495">
        <v>34.715583543241003</v>
      </c>
      <c r="T52" s="495">
        <v>21.826910016977902</v>
      </c>
      <c r="U52" s="495">
        <v>22.358699934340098</v>
      </c>
      <c r="V52" s="495">
        <v>26.147574031890699</v>
      </c>
      <c r="W52" s="495">
        <v>18.7227313566936</v>
      </c>
      <c r="X52" s="495">
        <v>39.729910714285701</v>
      </c>
      <c r="Y52" s="495">
        <v>29.961755952381001</v>
      </c>
      <c r="Z52" s="495">
        <v>50.740506329113899</v>
      </c>
      <c r="AA52" s="495">
        <f>IFERROR(AA49/AA51,"")</f>
        <v>29.673071351261349</v>
      </c>
      <c r="AB52" s="495"/>
      <c r="AC52" s="140"/>
      <c r="AD52" s="495">
        <v>34.004935934739699</v>
      </c>
      <c r="AE52" s="495"/>
      <c r="AF52" s="496">
        <f t="shared" si="6"/>
        <v>-4.3318645834783496</v>
      </c>
      <c r="AG52" s="495">
        <v>32.4583333333333</v>
      </c>
      <c r="AH52" s="495"/>
      <c r="AI52" s="496">
        <f t="shared" si="7"/>
        <v>-2.7852619820719511</v>
      </c>
    </row>
    <row r="53" spans="1:35" x14ac:dyDescent="0.25">
      <c r="A53" s="65" t="s">
        <v>41</v>
      </c>
      <c r="B53" s="66"/>
      <c r="C53" s="11"/>
      <c r="D53" s="11"/>
      <c r="E53" s="11"/>
      <c r="F53" s="11"/>
      <c r="G53" s="490">
        <f>COUNTIF(O54:AI54,FALSE)</f>
        <v>0</v>
      </c>
      <c r="H53" s="88"/>
      <c r="I53" s="122"/>
      <c r="J53" s="122"/>
      <c r="K53" s="90"/>
      <c r="L53" s="90"/>
      <c r="M53" s="90"/>
      <c r="N53" s="491" t="s">
        <v>345</v>
      </c>
      <c r="O53" s="497">
        <f t="shared" ref="O53:AA53" si="8">ROUND(IFERROR(O49/O51,0),2)</f>
        <v>34.93</v>
      </c>
      <c r="P53" s="498">
        <f t="shared" si="8"/>
        <v>31.72</v>
      </c>
      <c r="Q53" s="498">
        <f t="shared" si="8"/>
        <v>33.85</v>
      </c>
      <c r="R53" s="498">
        <f t="shared" si="8"/>
        <v>34.49</v>
      </c>
      <c r="S53" s="498">
        <f t="shared" si="8"/>
        <v>34.72</v>
      </c>
      <c r="T53" s="498">
        <f t="shared" si="8"/>
        <v>21.83</v>
      </c>
      <c r="U53" s="498">
        <f t="shared" si="8"/>
        <v>22.36</v>
      </c>
      <c r="V53" s="498">
        <f t="shared" si="8"/>
        <v>26.15</v>
      </c>
      <c r="W53" s="498">
        <f t="shared" si="8"/>
        <v>18.72</v>
      </c>
      <c r="X53" s="498">
        <f t="shared" si="8"/>
        <v>39.729999999999997</v>
      </c>
      <c r="Y53" s="498">
        <f t="shared" si="8"/>
        <v>29.96</v>
      </c>
      <c r="Z53" s="498">
        <f t="shared" si="8"/>
        <v>50.74</v>
      </c>
      <c r="AA53" s="498">
        <f t="shared" si="8"/>
        <v>29.67</v>
      </c>
      <c r="AB53" s="499"/>
      <c r="AC53" s="140"/>
      <c r="AD53" s="497">
        <f>ROUND(IFERROR(AD49/AD51,0),2)</f>
        <v>34</v>
      </c>
      <c r="AE53" s="498"/>
      <c r="AF53" s="155"/>
      <c r="AG53" s="497">
        <f>ROUND(IFERROR(AG49/AG51,0),2)</f>
        <v>32.46</v>
      </c>
      <c r="AH53" s="498"/>
      <c r="AI53" s="155"/>
    </row>
    <row r="54" spans="1:35" x14ac:dyDescent="0.2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c r="P55" s="138"/>
      <c r="Q55" s="138"/>
      <c r="R55" s="138"/>
      <c r="S55" s="138"/>
      <c r="T55" s="138"/>
      <c r="U55" s="138"/>
      <c r="V55" s="138"/>
      <c r="W55" s="138"/>
      <c r="X55" s="138"/>
      <c r="Y55" s="138"/>
      <c r="Z55" s="138"/>
      <c r="AA55" s="138">
        <f t="shared" ref="AA55:AA61" si="10">SUM(O55:Z55)</f>
        <v>0</v>
      </c>
      <c r="AB55" s="142" t="str">
        <f>IF(AA55=0,"",IFERROR(AA55/AA$19,""))</f>
        <v/>
      </c>
      <c r="AC55" s="140"/>
      <c r="AD55" s="138"/>
      <c r="AE55" s="142" t="str">
        <f>IF(AD55=0,"",IFERROR(AD55/AD$19,""))</f>
        <v/>
      </c>
      <c r="AF55" s="141">
        <f t="shared" ref="AF55:AF62" si="11">IF(AND($AA55="",AD55=""),"",$AA55-AD55)</f>
        <v>0</v>
      </c>
      <c r="AG55" s="138"/>
      <c r="AH55" s="142" t="str">
        <f>IF(AG55=0,"",IFERROR(AG55/AG$19,""))</f>
        <v/>
      </c>
      <c r="AI55" s="141">
        <f t="shared" ref="AI55:AI62" si="12">IF(AND($AA55="",AG55=""),"",$AA55-AG55)</f>
        <v>0</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c r="P56" s="138"/>
      <c r="Q56" s="138"/>
      <c r="R56" s="138"/>
      <c r="S56" s="138"/>
      <c r="T56" s="138"/>
      <c r="U56" s="138"/>
      <c r="V56" s="138"/>
      <c r="W56" s="138"/>
      <c r="X56" s="138"/>
      <c r="Y56" s="138"/>
      <c r="Z56" s="138"/>
      <c r="AA56" s="138">
        <f t="shared" si="10"/>
        <v>0</v>
      </c>
      <c r="AB56" s="142" t="str">
        <f>IF(AA56=0,"",IFERROR(AA56/AA$19,""))</f>
        <v/>
      </c>
      <c r="AC56" s="140"/>
      <c r="AD56" s="138"/>
      <c r="AE56" s="142" t="str">
        <f>IF(AD56=0,"",IFERROR(AD56/AD$19,""))</f>
        <v/>
      </c>
      <c r="AF56" s="141">
        <f t="shared" si="11"/>
        <v>0</v>
      </c>
      <c r="AG56" s="138"/>
      <c r="AH56" s="142" t="str">
        <f>IF(AG56=0,"",IFERROR(AG56/AG$19,""))</f>
        <v/>
      </c>
      <c r="AI56" s="141">
        <f t="shared" si="12"/>
        <v>0</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c r="P57" s="138"/>
      <c r="Q57" s="138"/>
      <c r="R57" s="138"/>
      <c r="S57" s="138"/>
      <c r="T57" s="138"/>
      <c r="U57" s="138"/>
      <c r="V57" s="138"/>
      <c r="W57" s="138"/>
      <c r="X57" s="138"/>
      <c r="Y57" s="138"/>
      <c r="Z57" s="138"/>
      <c r="AA57" s="138">
        <f t="shared" si="10"/>
        <v>0</v>
      </c>
      <c r="AB57" s="142" t="str">
        <f>IF(AA57=0,"",IFERROR(AA57/AA$19,""))</f>
        <v/>
      </c>
      <c r="AC57" s="140"/>
      <c r="AD57" s="138"/>
      <c r="AE57" s="142" t="str">
        <f>IF(AD57=0,"",IFERROR(AD57/AD$19,""))</f>
        <v/>
      </c>
      <c r="AF57" s="141">
        <f t="shared" si="11"/>
        <v>0</v>
      </c>
      <c r="AG57" s="138"/>
      <c r="AH57" s="142" t="str">
        <f>IF(AG57=0,"",IFERROR(AG57/AG$19,""))</f>
        <v/>
      </c>
      <c r="AI57" s="141">
        <f t="shared" si="12"/>
        <v>0</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c r="P58" s="215"/>
      <c r="Q58" s="215"/>
      <c r="R58" s="215"/>
      <c r="S58" s="215"/>
      <c r="T58" s="215"/>
      <c r="U58" s="215"/>
      <c r="V58" s="215"/>
      <c r="W58" s="215"/>
      <c r="X58" s="215"/>
      <c r="Y58" s="215"/>
      <c r="Z58" s="215"/>
      <c r="AA58" s="215">
        <f t="shared" si="10"/>
        <v>0</v>
      </c>
      <c r="AB58" s="217" t="str">
        <f>IF(AA58=0,"",IFERROR(AA58/AA$19,""))</f>
        <v/>
      </c>
      <c r="AC58" s="140"/>
      <c r="AD58" s="215"/>
      <c r="AE58" s="217" t="str">
        <f>IF(AD58=0,"",IFERROR(AD58/AD$19,""))</f>
        <v/>
      </c>
      <c r="AF58" s="218">
        <f t="shared" si="11"/>
        <v>0</v>
      </c>
      <c r="AG58" s="215"/>
      <c r="AH58" s="217" t="str">
        <f>IF(AG58=0,"",IFERROR(AG58/AG$19,""))</f>
        <v/>
      </c>
      <c r="AI58" s="218">
        <f t="shared" si="12"/>
        <v>0</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c r="P59" s="162"/>
      <c r="Q59" s="162"/>
      <c r="R59" s="162"/>
      <c r="S59" s="162"/>
      <c r="T59" s="162"/>
      <c r="U59" s="162"/>
      <c r="V59" s="162"/>
      <c r="W59" s="162"/>
      <c r="X59" s="162"/>
      <c r="Y59" s="162"/>
      <c r="Z59" s="162"/>
      <c r="AA59" s="162">
        <f t="shared" si="10"/>
        <v>0</v>
      </c>
      <c r="AB59" s="163" t="str">
        <f>IF(AA59=0,"",IFERROR(AA59/AA$19,""))</f>
        <v/>
      </c>
      <c r="AC59" s="140"/>
      <c r="AD59" s="162"/>
      <c r="AE59" s="163" t="str">
        <f>IF(AD59=0,"",IFERROR(AD59/AD$19,""))</f>
        <v/>
      </c>
      <c r="AF59" s="164">
        <f t="shared" si="11"/>
        <v>0</v>
      </c>
      <c r="AG59" s="162"/>
      <c r="AH59" s="163" t="str">
        <f>IF(AG59=0,"",IFERROR(AG59/AG$19,""))</f>
        <v/>
      </c>
      <c r="AI59" s="164">
        <f t="shared" si="12"/>
        <v>0</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c r="P60" s="231"/>
      <c r="Q60" s="231"/>
      <c r="R60" s="231"/>
      <c r="S60" s="231"/>
      <c r="T60" s="231"/>
      <c r="U60" s="231"/>
      <c r="V60" s="231"/>
      <c r="W60" s="231"/>
      <c r="X60" s="231"/>
      <c r="Y60" s="231"/>
      <c r="Z60" s="231"/>
      <c r="AA60" s="231">
        <f t="shared" si="10"/>
        <v>0</v>
      </c>
      <c r="AB60" s="233"/>
      <c r="AC60" s="140"/>
      <c r="AD60" s="231"/>
      <c r="AE60" s="233"/>
      <c r="AF60" s="234">
        <f t="shared" si="11"/>
        <v>0</v>
      </c>
      <c r="AG60" s="231"/>
      <c r="AH60" s="233"/>
      <c r="AI60" s="234">
        <f t="shared" si="12"/>
        <v>0</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c r="P61" s="231"/>
      <c r="Q61" s="231"/>
      <c r="R61" s="231"/>
      <c r="S61" s="231"/>
      <c r="T61" s="231"/>
      <c r="U61" s="231"/>
      <c r="V61" s="231"/>
      <c r="W61" s="231"/>
      <c r="X61" s="231"/>
      <c r="Y61" s="231"/>
      <c r="Z61" s="231"/>
      <c r="AA61" s="231">
        <f t="shared" si="10"/>
        <v>0</v>
      </c>
      <c r="AB61" s="233" t="str">
        <f>IF(AA61=0,"",IFERROR(AA61/AA$87,""))</f>
        <v/>
      </c>
      <c r="AC61" s="140"/>
      <c r="AD61" s="231"/>
      <c r="AE61" s="233" t="str">
        <f>IF(AD61=0,"",IFERROR(AD61/AD$87,""))</f>
        <v/>
      </c>
      <c r="AF61" s="234">
        <f t="shared" si="11"/>
        <v>0</v>
      </c>
      <c r="AG61" s="231"/>
      <c r="AH61" s="233" t="str">
        <f>IF(AG61=0,"",IFERROR(AG61/AG$87,""))</f>
        <v/>
      </c>
      <c r="AI61" s="234">
        <f t="shared" si="12"/>
        <v>0</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2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5"/>
      <c r="AG63" s="497">
        <f>ROUND(IFERROR(AG59/AG61,0),2)</f>
        <v>0</v>
      </c>
      <c r="AH63" s="498"/>
      <c r="AI63" s="155"/>
    </row>
    <row r="64" spans="1:35" x14ac:dyDescent="0.2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38"/>
      <c r="P65" s="138"/>
      <c r="Q65" s="138"/>
      <c r="R65" s="138"/>
      <c r="S65" s="138"/>
      <c r="T65" s="138"/>
      <c r="U65" s="138"/>
      <c r="V65" s="138"/>
      <c r="W65" s="138"/>
      <c r="X65" s="138"/>
      <c r="Y65" s="138"/>
      <c r="Z65" s="138"/>
      <c r="AA65" s="138">
        <f t="shared" ref="AA65:AA71" si="15">SUM(O65:Z65)</f>
        <v>0</v>
      </c>
      <c r="AB65" s="142" t="str">
        <f>IF(AA65=0,"",IFERROR(AA65/AA$19,""))</f>
        <v/>
      </c>
      <c r="AC65" s="140"/>
      <c r="AD65" s="138"/>
      <c r="AE65" s="142" t="str">
        <f>IF(AD65=0,"",IFERROR(AD65/AD$19,""))</f>
        <v/>
      </c>
      <c r="AF65" s="141">
        <f t="shared" ref="AF65:AF72" si="16">IF(AND($AA65="",AD65=""),"",$AA65-AD65)</f>
        <v>0</v>
      </c>
      <c r="AG65" s="138"/>
      <c r="AH65" s="142" t="str">
        <f>IF(AG65=0,"",IFERROR(AG65/AG$19,""))</f>
        <v/>
      </c>
      <c r="AI65" s="141">
        <f t="shared" ref="AI65:AI72" si="17">IF(AND($AA65="",AG65=""),"",$AA65-AG65)</f>
        <v>0</v>
      </c>
    </row>
    <row r="66" spans="1:35" x14ac:dyDescent="0.2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38"/>
      <c r="P66" s="138"/>
      <c r="Q66" s="138"/>
      <c r="R66" s="138"/>
      <c r="S66" s="138"/>
      <c r="T66" s="138"/>
      <c r="U66" s="138"/>
      <c r="V66" s="138"/>
      <c r="W66" s="138"/>
      <c r="X66" s="138"/>
      <c r="Y66" s="138"/>
      <c r="Z66" s="138"/>
      <c r="AA66" s="138">
        <f t="shared" si="15"/>
        <v>0</v>
      </c>
      <c r="AB66" s="142" t="str">
        <f>IF(AA66=0,"",IFERROR(AA66/AA$19,""))</f>
        <v/>
      </c>
      <c r="AC66" s="140"/>
      <c r="AD66" s="138"/>
      <c r="AE66" s="142" t="str">
        <f>IF(AD66=0,"",IFERROR(AD66/AD$19,""))</f>
        <v/>
      </c>
      <c r="AF66" s="141">
        <f t="shared" si="16"/>
        <v>0</v>
      </c>
      <c r="AG66" s="138"/>
      <c r="AH66" s="142" t="str">
        <f>IF(AG66=0,"",IFERROR(AG66/AG$19,""))</f>
        <v/>
      </c>
      <c r="AI66" s="141">
        <f t="shared" si="17"/>
        <v>0</v>
      </c>
    </row>
    <row r="67" spans="1:35" x14ac:dyDescent="0.2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38"/>
      <c r="P67" s="138"/>
      <c r="Q67" s="138"/>
      <c r="R67" s="138"/>
      <c r="S67" s="138"/>
      <c r="T67" s="138"/>
      <c r="U67" s="138"/>
      <c r="V67" s="138"/>
      <c r="W67" s="138"/>
      <c r="X67" s="138"/>
      <c r="Y67" s="138"/>
      <c r="Z67" s="138"/>
      <c r="AA67" s="138">
        <f t="shared" si="15"/>
        <v>0</v>
      </c>
      <c r="AB67" s="142" t="str">
        <f>IF(AA67=0,"",IFERROR(AA67/AA$19,""))</f>
        <v/>
      </c>
      <c r="AC67" s="140"/>
      <c r="AD67" s="138"/>
      <c r="AE67" s="142" t="str">
        <f>IF(AD67=0,"",IFERROR(AD67/AD$19,""))</f>
        <v/>
      </c>
      <c r="AF67" s="141">
        <f t="shared" si="16"/>
        <v>0</v>
      </c>
      <c r="AG67" s="138"/>
      <c r="AH67" s="142" t="str">
        <f>IF(AG67=0,"",IFERROR(AG67/AG$19,""))</f>
        <v/>
      </c>
      <c r="AI67" s="141">
        <f t="shared" si="17"/>
        <v>0</v>
      </c>
    </row>
    <row r="68" spans="1:35" x14ac:dyDescent="0.2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5"/>
      <c r="P68" s="215"/>
      <c r="Q68" s="215"/>
      <c r="R68" s="215"/>
      <c r="S68" s="215"/>
      <c r="T68" s="215"/>
      <c r="U68" s="215"/>
      <c r="V68" s="215"/>
      <c r="W68" s="215"/>
      <c r="X68" s="215"/>
      <c r="Y68" s="215"/>
      <c r="Z68" s="215"/>
      <c r="AA68" s="215">
        <f t="shared" si="15"/>
        <v>0</v>
      </c>
      <c r="AB68" s="217" t="str">
        <f>IF(AA68=0,"",IFERROR(AA68/AA$19,""))</f>
        <v/>
      </c>
      <c r="AC68" s="140"/>
      <c r="AD68" s="215"/>
      <c r="AE68" s="217" t="str">
        <f>IF(AD68=0,"",IFERROR(AD68/AD$19,""))</f>
        <v/>
      </c>
      <c r="AF68" s="218">
        <f t="shared" si="16"/>
        <v>0</v>
      </c>
      <c r="AG68" s="215"/>
      <c r="AH68" s="217" t="str">
        <f>IF(AG68=0,"",IFERROR(AG68/AG$19,""))</f>
        <v/>
      </c>
      <c r="AI68" s="218">
        <f t="shared" si="17"/>
        <v>0</v>
      </c>
    </row>
    <row r="69" spans="1:35" x14ac:dyDescent="0.2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2"/>
      <c r="P69" s="162"/>
      <c r="Q69" s="162"/>
      <c r="R69" s="162"/>
      <c r="S69" s="162"/>
      <c r="T69" s="162"/>
      <c r="U69" s="162"/>
      <c r="V69" s="162"/>
      <c r="W69" s="162"/>
      <c r="X69" s="162"/>
      <c r="Y69" s="162"/>
      <c r="Z69" s="162"/>
      <c r="AA69" s="162">
        <f t="shared" si="15"/>
        <v>0</v>
      </c>
      <c r="AB69" s="163" t="str">
        <f>IF(AA69=0,"",IFERROR(AA69/AA$19,""))</f>
        <v/>
      </c>
      <c r="AC69" s="140"/>
      <c r="AD69" s="162"/>
      <c r="AE69" s="163" t="str">
        <f>IF(AD69=0,"",IFERROR(AD69/AD$19,""))</f>
        <v/>
      </c>
      <c r="AF69" s="164">
        <f t="shared" si="16"/>
        <v>0</v>
      </c>
      <c r="AG69" s="162"/>
      <c r="AH69" s="163" t="str">
        <f>IF(AG69=0,"",IFERROR(AG69/AG$19,""))</f>
        <v/>
      </c>
      <c r="AI69" s="164">
        <f t="shared" si="17"/>
        <v>0</v>
      </c>
    </row>
    <row r="70" spans="1:35" x14ac:dyDescent="0.2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31"/>
      <c r="P70" s="231"/>
      <c r="Q70" s="231"/>
      <c r="R70" s="231"/>
      <c r="S70" s="231"/>
      <c r="T70" s="231"/>
      <c r="U70" s="231"/>
      <c r="V70" s="231"/>
      <c r="W70" s="231"/>
      <c r="X70" s="231"/>
      <c r="Y70" s="231"/>
      <c r="Z70" s="231"/>
      <c r="AA70" s="231">
        <f t="shared" si="15"/>
        <v>0</v>
      </c>
      <c r="AB70" s="233"/>
      <c r="AC70" s="140"/>
      <c r="AD70" s="231"/>
      <c r="AE70" s="233"/>
      <c r="AF70" s="234">
        <f t="shared" si="16"/>
        <v>0</v>
      </c>
      <c r="AG70" s="231"/>
      <c r="AH70" s="233"/>
      <c r="AI70" s="234">
        <f t="shared" si="17"/>
        <v>0</v>
      </c>
    </row>
    <row r="71" spans="1:35" x14ac:dyDescent="0.2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31"/>
      <c r="P71" s="231"/>
      <c r="Q71" s="231"/>
      <c r="R71" s="231"/>
      <c r="S71" s="231"/>
      <c r="T71" s="231"/>
      <c r="U71" s="231"/>
      <c r="V71" s="231"/>
      <c r="W71" s="231"/>
      <c r="X71" s="231"/>
      <c r="Y71" s="231"/>
      <c r="Z71" s="231"/>
      <c r="AA71" s="231">
        <f t="shared" si="15"/>
        <v>0</v>
      </c>
      <c r="AB71" s="233" t="str">
        <f>IF(AA71=0,"",IFERROR(AA71/AA$87,""))</f>
        <v/>
      </c>
      <c r="AC71" s="140"/>
      <c r="AD71" s="231"/>
      <c r="AE71" s="233" t="str">
        <f>IF(AD71=0,"",IFERROR(AD71/AD$87,""))</f>
        <v/>
      </c>
      <c r="AF71" s="234">
        <f t="shared" si="16"/>
        <v>0</v>
      </c>
      <c r="AG71" s="231"/>
      <c r="AH71" s="233" t="str">
        <f>IF(AG71=0,"",IFERROR(AG71/AG$87,""))</f>
        <v/>
      </c>
      <c r="AI71" s="234">
        <f t="shared" si="17"/>
        <v>0</v>
      </c>
    </row>
    <row r="72" spans="1:35" x14ac:dyDescent="0.2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2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5"/>
      <c r="AG73" s="497">
        <f>ROUND(IFERROR(AG69/AG71,0),2)</f>
        <v>0</v>
      </c>
      <c r="AH73" s="498"/>
      <c r="AI73" s="155"/>
    </row>
    <row r="74" spans="1:35" x14ac:dyDescent="0.2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2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38"/>
      <c r="P75" s="138"/>
      <c r="Q75" s="138"/>
      <c r="R75" s="138"/>
      <c r="S75" s="138"/>
      <c r="T75" s="138"/>
      <c r="U75" s="138"/>
      <c r="V75" s="138"/>
      <c r="W75" s="138"/>
      <c r="X75" s="138"/>
      <c r="Y75" s="138"/>
      <c r="Z75" s="138"/>
      <c r="AA75" s="138">
        <f t="shared" ref="AA75:AA80" si="20">SUM(O75:Z75)</f>
        <v>0</v>
      </c>
      <c r="AB75" s="142" t="str">
        <f>IF(AA75=0,"",IFERROR(AA75/AA$19,""))</f>
        <v/>
      </c>
      <c r="AC75" s="140"/>
      <c r="AD75" s="138"/>
      <c r="AE75" s="142" t="str">
        <f>IF(AD75=0,"",IFERROR(AD75/AD$19,""))</f>
        <v/>
      </c>
      <c r="AF75" s="141">
        <f t="shared" ref="AF75:AF81" si="21">IF(AND($AA75="",AD75=""),"",$AA75-AD75)</f>
        <v>0</v>
      </c>
      <c r="AG75" s="138"/>
      <c r="AH75" s="142" t="str">
        <f>IF(AG75=0,"",IFERROR(AG75/AG$19,""))</f>
        <v/>
      </c>
      <c r="AI75" s="141">
        <f t="shared" ref="AI75:AI81" si="22">IF(AND($AA75="",AG75=""),"",$AA75-AG75)</f>
        <v>0</v>
      </c>
    </row>
    <row r="76" spans="1:35" x14ac:dyDescent="0.2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38"/>
      <c r="P76" s="138"/>
      <c r="Q76" s="138"/>
      <c r="R76" s="138"/>
      <c r="S76" s="138"/>
      <c r="T76" s="138"/>
      <c r="U76" s="138"/>
      <c r="V76" s="138"/>
      <c r="W76" s="138"/>
      <c r="X76" s="138"/>
      <c r="Y76" s="138"/>
      <c r="Z76" s="138"/>
      <c r="AA76" s="138">
        <f t="shared" si="20"/>
        <v>0</v>
      </c>
      <c r="AB76" s="142" t="str">
        <f>IF(AA76=0,"",IFERROR(AA76/AA$19,""))</f>
        <v/>
      </c>
      <c r="AC76" s="140"/>
      <c r="AD76" s="138"/>
      <c r="AE76" s="142" t="str">
        <f>IF(AD76=0,"",IFERROR(AD76/AD$19,""))</f>
        <v/>
      </c>
      <c r="AF76" s="141">
        <f t="shared" si="21"/>
        <v>0</v>
      </c>
      <c r="AG76" s="138"/>
      <c r="AH76" s="142" t="str">
        <f>IF(AG76=0,"",IFERROR(AG76/AG$19,""))</f>
        <v/>
      </c>
      <c r="AI76" s="141">
        <f t="shared" si="22"/>
        <v>0</v>
      </c>
    </row>
    <row r="77" spans="1:35" x14ac:dyDescent="0.2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38"/>
      <c r="P77" s="138"/>
      <c r="Q77" s="138"/>
      <c r="R77" s="138"/>
      <c r="S77" s="138"/>
      <c r="T77" s="138"/>
      <c r="U77" s="138"/>
      <c r="V77" s="138"/>
      <c r="W77" s="138"/>
      <c r="X77" s="138"/>
      <c r="Y77" s="138"/>
      <c r="Z77" s="138"/>
      <c r="AA77" s="138">
        <f t="shared" si="20"/>
        <v>0</v>
      </c>
      <c r="AB77" s="142" t="str">
        <f>IF(AA77=0,"",IFERROR(AA77/AA$19,""))</f>
        <v/>
      </c>
      <c r="AC77" s="140"/>
      <c r="AD77" s="138"/>
      <c r="AE77" s="142" t="str">
        <f>IF(AD77=0,"",IFERROR(AD77/AD$19,""))</f>
        <v/>
      </c>
      <c r="AF77" s="141">
        <f t="shared" si="21"/>
        <v>0</v>
      </c>
      <c r="AG77" s="138"/>
      <c r="AH77" s="142" t="str">
        <f>IF(AG77=0,"",IFERROR(AG77/AG$19,""))</f>
        <v/>
      </c>
      <c r="AI77" s="141">
        <f t="shared" si="22"/>
        <v>0</v>
      </c>
    </row>
    <row r="78" spans="1:35" x14ac:dyDescent="0.2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5"/>
      <c r="P78" s="215"/>
      <c r="Q78" s="215"/>
      <c r="R78" s="215"/>
      <c r="S78" s="215"/>
      <c r="T78" s="215"/>
      <c r="U78" s="215"/>
      <c r="V78" s="215"/>
      <c r="W78" s="215"/>
      <c r="X78" s="215"/>
      <c r="Y78" s="215"/>
      <c r="Z78" s="215"/>
      <c r="AA78" s="215">
        <f t="shared" si="20"/>
        <v>0</v>
      </c>
      <c r="AB78" s="217" t="str">
        <f>IF(AA78=0,"",IFERROR(AA78/AA$19,""))</f>
        <v/>
      </c>
      <c r="AC78" s="140"/>
      <c r="AD78" s="215"/>
      <c r="AE78" s="217" t="str">
        <f>IF(AD78=0,"",IFERROR(AD78/AD$19,""))</f>
        <v/>
      </c>
      <c r="AF78" s="218">
        <f t="shared" si="21"/>
        <v>0</v>
      </c>
      <c r="AG78" s="215"/>
      <c r="AH78" s="217" t="str">
        <f>IF(AG78=0,"",IFERROR(AG78/AG$19,""))</f>
        <v/>
      </c>
      <c r="AI78" s="218">
        <f t="shared" si="22"/>
        <v>0</v>
      </c>
    </row>
    <row r="79" spans="1:35" x14ac:dyDescent="0.2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2"/>
      <c r="P79" s="162"/>
      <c r="Q79" s="162"/>
      <c r="R79" s="162"/>
      <c r="S79" s="162"/>
      <c r="T79" s="162"/>
      <c r="U79" s="162"/>
      <c r="V79" s="162"/>
      <c r="W79" s="162"/>
      <c r="X79" s="162"/>
      <c r="Y79" s="162"/>
      <c r="Z79" s="162"/>
      <c r="AA79" s="162">
        <f t="shared" si="20"/>
        <v>0</v>
      </c>
      <c r="AB79" s="163" t="str">
        <f>IF(AA79=0,"",IFERROR(AA79/AA$19,""))</f>
        <v/>
      </c>
      <c r="AC79" s="140"/>
      <c r="AD79" s="162"/>
      <c r="AE79" s="163" t="str">
        <f>IF(AD79=0,"",IFERROR(AD79/AD$19,""))</f>
        <v/>
      </c>
      <c r="AF79" s="164">
        <f t="shared" si="21"/>
        <v>0</v>
      </c>
      <c r="AG79" s="162"/>
      <c r="AH79" s="163" t="str">
        <f>IF(AG79=0,"",IFERROR(AG79/AG$19,""))</f>
        <v/>
      </c>
      <c r="AI79" s="164">
        <f t="shared" si="22"/>
        <v>0</v>
      </c>
    </row>
    <row r="80" spans="1:35" x14ac:dyDescent="0.2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31"/>
      <c r="P80" s="231"/>
      <c r="Q80" s="231"/>
      <c r="R80" s="231"/>
      <c r="S80" s="231"/>
      <c r="T80" s="231"/>
      <c r="U80" s="231"/>
      <c r="V80" s="231"/>
      <c r="W80" s="231"/>
      <c r="X80" s="231"/>
      <c r="Y80" s="231"/>
      <c r="Z80" s="231"/>
      <c r="AA80" s="231">
        <f t="shared" si="20"/>
        <v>0</v>
      </c>
      <c r="AB80" s="233" t="str">
        <f>IF(AA80=0,"",IFERROR(AA80/AA$87,""))</f>
        <v/>
      </c>
      <c r="AC80" s="140"/>
      <c r="AD80" s="231"/>
      <c r="AE80" s="233" t="str">
        <f>IF(AD80=0,"",IFERROR(AD80/AD$87,""))</f>
        <v/>
      </c>
      <c r="AF80" s="234">
        <f t="shared" si="21"/>
        <v>0</v>
      </c>
      <c r="AG80" s="231"/>
      <c r="AH80" s="233" t="str">
        <f>IF(AG80=0,"",IFERROR(AG80/AG$87,""))</f>
        <v/>
      </c>
      <c r="AI80" s="234">
        <f t="shared" si="22"/>
        <v>0</v>
      </c>
    </row>
    <row r="81" spans="1:35" x14ac:dyDescent="0.2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2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5"/>
      <c r="AG82" s="497">
        <f>ROUND(IFERROR(AG79/AG80,0),2)</f>
        <v>0</v>
      </c>
      <c r="AH82" s="498"/>
      <c r="AI82" s="155"/>
    </row>
    <row r="83" spans="1:35" x14ac:dyDescent="0.2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38">
        <v>-33</v>
      </c>
      <c r="P83" s="138">
        <v>-24.86</v>
      </c>
      <c r="Q83" s="138">
        <v>-22.05</v>
      </c>
      <c r="R83" s="138">
        <v>-148.05000000000001</v>
      </c>
      <c r="S83" s="138">
        <v>-462.68</v>
      </c>
      <c r="T83" s="138">
        <v>-10</v>
      </c>
      <c r="U83" s="138">
        <v>-81.59</v>
      </c>
      <c r="V83" s="138">
        <v>-13.43</v>
      </c>
      <c r="W83" s="138"/>
      <c r="X83" s="138">
        <v>-50.8</v>
      </c>
      <c r="Y83" s="138">
        <v>-87.08</v>
      </c>
      <c r="Z83" s="138">
        <v>-356.97</v>
      </c>
      <c r="AA83" s="138">
        <f>SUM(O83:Z83)</f>
        <v>-1290.51</v>
      </c>
      <c r="AB83" s="142">
        <f>IF(AA83=0,"",IFERROR(AA83/AA$19,""))</f>
        <v>-3.6346276929446371E-3</v>
      </c>
      <c r="AC83" s="140"/>
      <c r="AD83" s="138"/>
      <c r="AE83" s="142" t="str">
        <f>IF(AD83=0,"",IFERROR(AD83/AD$19,""))</f>
        <v/>
      </c>
      <c r="AF83" s="141">
        <f>IF(AND($AA83="",AD83=""),"",$AA83-AD83)</f>
        <v>-1290.51</v>
      </c>
      <c r="AG83" s="138"/>
      <c r="AH83" s="142" t="str">
        <f>IF(AG83=0,"",IFERROR(AG83/AG$19,""))</f>
        <v/>
      </c>
      <c r="AI83" s="141">
        <f>IF(AND($AA83="",AG83=""),"",$AA83-AG83)</f>
        <v>-1290.51</v>
      </c>
    </row>
    <row r="84" spans="1:35" x14ac:dyDescent="0.2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2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v>24763.919999999998</v>
      </c>
      <c r="P85" s="507">
        <v>42698.14</v>
      </c>
      <c r="Q85" s="507">
        <v>46285.45</v>
      </c>
      <c r="R85" s="507">
        <v>43586.86</v>
      </c>
      <c r="S85" s="507">
        <v>40883.58</v>
      </c>
      <c r="T85" s="507">
        <v>25616.1</v>
      </c>
      <c r="U85" s="507">
        <v>33970.71</v>
      </c>
      <c r="V85" s="507">
        <v>22944.14</v>
      </c>
      <c r="W85" s="507">
        <v>20838.400000000001</v>
      </c>
      <c r="X85" s="507">
        <v>17748.2</v>
      </c>
      <c r="Y85" s="507">
        <v>20047.22</v>
      </c>
      <c r="Z85" s="507">
        <v>15677.03</v>
      </c>
      <c r="AA85" s="507">
        <f>SUM(O85:Z85)</f>
        <v>355059.75000000012</v>
      </c>
      <c r="AB85" s="508">
        <f>IF(AA85=0,"",IFERROR(AA85/AA$19,""))</f>
        <v>1</v>
      </c>
      <c r="AC85" s="140"/>
      <c r="AD85" s="507">
        <v>654458.99699999997</v>
      </c>
      <c r="AE85" s="508">
        <f>IF(AD85=0,"",IFERROR(AD85/AD$19,""))</f>
        <v>1</v>
      </c>
      <c r="AF85" s="509">
        <f>IF(AND($AA85="",AD85=""),"",$AA85-AD85)</f>
        <v>-299399.24699999986</v>
      </c>
      <c r="AG85" s="507">
        <v>26096.5</v>
      </c>
      <c r="AH85" s="508">
        <f>IF(AG85=0,"",IFERROR(AG85/AG$19,""))</f>
        <v>1</v>
      </c>
      <c r="AI85" s="509">
        <f>IF(AND($AA85="",AG85=""),"",$AA85-AG85)</f>
        <v>328963.25000000012</v>
      </c>
    </row>
    <row r="86" spans="1:35" x14ac:dyDescent="0.2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2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v>709</v>
      </c>
      <c r="P87" s="507">
        <v>1347</v>
      </c>
      <c r="Q87" s="507">
        <v>1368</v>
      </c>
      <c r="R87" s="507">
        <v>1268</v>
      </c>
      <c r="S87" s="507">
        <v>1191</v>
      </c>
      <c r="T87" s="507">
        <v>1178</v>
      </c>
      <c r="U87" s="507">
        <v>1523</v>
      </c>
      <c r="V87" s="507">
        <v>878</v>
      </c>
      <c r="W87" s="507">
        <v>1113</v>
      </c>
      <c r="X87" s="507">
        <v>448</v>
      </c>
      <c r="Y87" s="507">
        <v>672</v>
      </c>
      <c r="Z87" s="507">
        <v>316</v>
      </c>
      <c r="AA87" s="507">
        <f>SUM(O87:Z87)</f>
        <v>12011</v>
      </c>
      <c r="AB87" s="508">
        <f>IF(AA87=0,"",IFERROR(AA87/AA$20,""))</f>
        <v>1</v>
      </c>
      <c r="AC87" s="140"/>
      <c r="AD87" s="507">
        <v>19246</v>
      </c>
      <c r="AE87" s="508">
        <f>IF(AD87=0,"",IFERROR(AD87/AD$20,""))</f>
        <v>1</v>
      </c>
      <c r="AF87" s="509">
        <f>IF(AND($AA87="",AD87=""),"",$AA87-AD87)</f>
        <v>-7235</v>
      </c>
      <c r="AG87" s="507">
        <v>804</v>
      </c>
      <c r="AH87" s="508">
        <f>IF(AG87=0,"",IFERROR(AG87/AG$20,""))</f>
        <v>1</v>
      </c>
      <c r="AI87" s="509">
        <f>IF(AND($AA87="",AG87=""),"",$AA87-AG87)</f>
        <v>11207</v>
      </c>
    </row>
    <row r="88" spans="1:35" x14ac:dyDescent="0.2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v>34.927954866008498</v>
      </c>
      <c r="P88" s="495">
        <v>31.6986933927246</v>
      </c>
      <c r="Q88" s="495">
        <v>33.834393274853802</v>
      </c>
      <c r="R88" s="495">
        <v>34.374495268138801</v>
      </c>
      <c r="S88" s="495">
        <v>34.3271032745592</v>
      </c>
      <c r="T88" s="495">
        <v>21.745415959252998</v>
      </c>
      <c r="U88" s="495">
        <v>22.305128036769499</v>
      </c>
      <c r="V88" s="495">
        <v>26.132277904327999</v>
      </c>
      <c r="W88" s="495">
        <v>18.7227313566936</v>
      </c>
      <c r="X88" s="495">
        <v>39.616517857142902</v>
      </c>
      <c r="Y88" s="495">
        <v>29.832172619047601</v>
      </c>
      <c r="Z88" s="495">
        <v>49.610854430379803</v>
      </c>
      <c r="AA88" s="495">
        <f>IFERROR(AA85/AA87,"")</f>
        <v>29.561214719840155</v>
      </c>
      <c r="AB88" s="495"/>
      <c r="AC88" s="140"/>
      <c r="AD88" s="495">
        <v>34.004935934739699</v>
      </c>
      <c r="AE88" s="495"/>
      <c r="AF88" s="496">
        <f>IF(AND($AA88="",AD88=""),"",$AA88-AD88)</f>
        <v>-4.4437212148995435</v>
      </c>
      <c r="AG88" s="495">
        <v>32.4583333333333</v>
      </c>
      <c r="AH88" s="495"/>
      <c r="AI88" s="496">
        <f>IF(AND($AA88="",AG88=""),"",$AA88-AG88)</f>
        <v>-2.897118613493145</v>
      </c>
    </row>
    <row r="89" spans="1:35" x14ac:dyDescent="0.25">
      <c r="A89" s="11"/>
      <c r="B89" s="11"/>
      <c r="C89" s="208"/>
      <c r="D89" s="11"/>
      <c r="E89" s="11"/>
      <c r="F89" s="11"/>
      <c r="G89" s="11"/>
      <c r="H89" s="185"/>
      <c r="I89" s="122"/>
      <c r="J89" s="122"/>
      <c r="K89" s="11"/>
      <c r="L89" s="90"/>
      <c r="M89" s="90"/>
      <c r="N89" s="90"/>
      <c r="O89" s="170"/>
      <c r="P89" s="171"/>
      <c r="Q89" s="171"/>
      <c r="R89" s="171"/>
      <c r="S89" s="171"/>
      <c r="T89" s="171"/>
      <c r="U89" s="171"/>
      <c r="V89" s="171"/>
      <c r="W89" s="171"/>
      <c r="X89" s="171"/>
      <c r="Y89" s="171"/>
      <c r="Z89" s="171"/>
      <c r="AA89" s="171"/>
      <c r="AB89" s="172"/>
      <c r="AC89" s="140"/>
      <c r="AD89" s="170"/>
      <c r="AE89" s="171"/>
      <c r="AF89" s="172"/>
      <c r="AG89" s="170"/>
      <c r="AH89" s="171"/>
      <c r="AI89" s="172"/>
    </row>
    <row r="90" spans="1:35" x14ac:dyDescent="0.25">
      <c r="A90" s="11"/>
      <c r="B90" s="11"/>
      <c r="C90" s="208"/>
      <c r="D90" s="11"/>
      <c r="E90" s="11"/>
      <c r="F90" s="11"/>
      <c r="G90" s="11"/>
      <c r="H90" s="185"/>
      <c r="I90" s="122"/>
      <c r="J90" s="122"/>
      <c r="K90" s="11"/>
      <c r="L90" s="90"/>
      <c r="M90" s="90"/>
      <c r="N90" s="53" t="s">
        <v>334</v>
      </c>
      <c r="O90" s="158"/>
      <c r="P90" s="159"/>
      <c r="Q90" s="159"/>
      <c r="R90" s="159"/>
      <c r="S90" s="159"/>
      <c r="T90" s="159"/>
      <c r="U90" s="159"/>
      <c r="V90" s="159"/>
      <c r="W90" s="159"/>
      <c r="X90" s="159"/>
      <c r="Y90" s="159"/>
      <c r="Z90" s="159"/>
      <c r="AA90" s="159"/>
      <c r="AB90" s="160"/>
      <c r="AC90" s="140"/>
      <c r="AD90" s="158"/>
      <c r="AE90" s="159"/>
      <c r="AF90" s="160"/>
      <c r="AG90" s="158"/>
      <c r="AH90" s="159"/>
      <c r="AI90" s="160"/>
    </row>
    <row r="91" spans="1:35" hidden="1" outlineLevel="1" x14ac:dyDescent="0.2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38"/>
      <c r="P91" s="138"/>
      <c r="Q91" s="138"/>
      <c r="R91" s="138"/>
      <c r="S91" s="138"/>
      <c r="T91" s="138"/>
      <c r="U91" s="138"/>
      <c r="V91" s="138"/>
      <c r="W91" s="138"/>
      <c r="X91" s="138"/>
      <c r="Y91" s="138"/>
      <c r="Z91" s="138"/>
      <c r="AA91" s="138">
        <f>SUM(O91:Z91)</f>
        <v>0</v>
      </c>
      <c r="AB91" s="142"/>
      <c r="AC91" s="140"/>
      <c r="AD91" s="138"/>
      <c r="AE91" s="142"/>
      <c r="AF91" s="141">
        <f>IF(AND($AA91="",AD91=""),"",$AA91-AD91)</f>
        <v>0</v>
      </c>
      <c r="AG91" s="138"/>
      <c r="AH91" s="142"/>
      <c r="AI91" s="141">
        <f>IF(AND($AA91="",AG91=""),"",$AA91-AG91)</f>
        <v>0</v>
      </c>
    </row>
    <row r="92" spans="1:35" hidden="1" outlineLevel="1" x14ac:dyDescent="0.2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38"/>
      <c r="P92" s="138"/>
      <c r="Q92" s="138"/>
      <c r="R92" s="138"/>
      <c r="S92" s="138"/>
      <c r="T92" s="138"/>
      <c r="U92" s="138"/>
      <c r="V92" s="138"/>
      <c r="W92" s="138"/>
      <c r="X92" s="138"/>
      <c r="Y92" s="138"/>
      <c r="Z92" s="138"/>
      <c r="AA92" s="138">
        <f>SUM(O92:Z92)</f>
        <v>0</v>
      </c>
      <c r="AB92" s="142"/>
      <c r="AC92" s="140"/>
      <c r="AD92" s="138">
        <v>5214.2857142864004</v>
      </c>
      <c r="AE92" s="142"/>
      <c r="AF92" s="141">
        <f>IF(AND($AA92="",AD92=""),"",$AA92-AD92)</f>
        <v>-5214.2857142864004</v>
      </c>
      <c r="AG92" s="138"/>
      <c r="AH92" s="142"/>
      <c r="AI92" s="141">
        <f>IF(AND($AA92="",AG92=""),"",$AA92-AG92)</f>
        <v>0</v>
      </c>
    </row>
    <row r="93" spans="1:35" collapsed="1" x14ac:dyDescent="0.2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3" t="str">
        <f>IF(AND($AA93="",AD93=""),"",$AA93-AD93)</f>
        <v/>
      </c>
      <c r="AG93" s="510" t="str">
        <f>IFERROR(AG$87/AG91,"")</f>
        <v/>
      </c>
      <c r="AH93" s="511"/>
      <c r="AI93" s="213" t="str">
        <f>IF(AND($AA93="",AG93=""),"",$AA93-AG93)</f>
        <v/>
      </c>
    </row>
    <row r="94" spans="1:35" x14ac:dyDescent="0.2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f>IFERROR(AD$87/AD92,"")</f>
        <v>3.6910136986296513</v>
      </c>
      <c r="AE94" s="511"/>
      <c r="AF94" s="213" t="e">
        <f>IF(AND($AA94="",AD94=""),"",$AA94-AD94)</f>
        <v>#VALUE!</v>
      </c>
      <c r="AG94" s="510" t="str">
        <f>IFERROR(AG$87/AG92,"")</f>
        <v/>
      </c>
      <c r="AH94" s="511"/>
      <c r="AI94" s="213" t="str">
        <f>IF(AND($AA94="",AG94=""),"",$AA94-AG94)</f>
        <v/>
      </c>
    </row>
    <row r="95" spans="1:35" x14ac:dyDescent="0.2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57"/>
      <c r="AC95" s="140"/>
      <c r="AD95" s="514"/>
      <c r="AE95" s="481"/>
      <c r="AF95" s="157"/>
      <c r="AG95" s="481"/>
      <c r="AH95" s="481"/>
      <c r="AI95" s="157"/>
    </row>
    <row r="96" spans="1:35" x14ac:dyDescent="0.25">
      <c r="A96" s="11"/>
      <c r="B96" s="11"/>
      <c r="C96" s="208"/>
      <c r="D96" s="11"/>
      <c r="E96" s="11"/>
      <c r="F96" s="11"/>
      <c r="G96" s="11"/>
      <c r="H96" s="185"/>
      <c r="I96" s="122"/>
      <c r="J96" s="122"/>
      <c r="K96" s="11"/>
      <c r="L96" s="90"/>
      <c r="M96" s="90"/>
      <c r="N96" s="53" t="s">
        <v>343</v>
      </c>
      <c r="O96" s="514"/>
      <c r="P96" s="481"/>
      <c r="Q96" s="481"/>
      <c r="R96" s="481"/>
      <c r="S96" s="481"/>
      <c r="T96" s="481"/>
      <c r="U96" s="481"/>
      <c r="V96" s="481"/>
      <c r="W96" s="481"/>
      <c r="X96" s="481"/>
      <c r="Y96" s="481"/>
      <c r="Z96" s="481"/>
      <c r="AA96" s="481"/>
      <c r="AB96" s="515"/>
      <c r="AC96" s="140"/>
      <c r="AD96" s="516"/>
      <c r="AE96" s="517"/>
      <c r="AF96" s="157"/>
      <c r="AG96" s="481"/>
      <c r="AH96" s="517"/>
      <c r="AI96" s="157"/>
    </row>
    <row r="97" spans="1:35" x14ac:dyDescent="0.25">
      <c r="A97" s="11"/>
      <c r="B97" s="11"/>
      <c r="C97" s="208"/>
      <c r="D97" s="11"/>
      <c r="E97" s="11"/>
      <c r="F97" s="11"/>
      <c r="G97" s="11"/>
      <c r="H97" s="185"/>
      <c r="I97" s="122"/>
      <c r="J97" s="122"/>
      <c r="K97" s="11"/>
      <c r="L97" s="90"/>
      <c r="M97" s="90"/>
      <c r="N97" s="53" t="s">
        <v>337</v>
      </c>
      <c r="O97" s="158"/>
      <c r="P97" s="159"/>
      <c r="Q97" s="159"/>
      <c r="R97" s="159"/>
      <c r="S97" s="159"/>
      <c r="T97" s="159"/>
      <c r="U97" s="159"/>
      <c r="V97" s="159"/>
      <c r="W97" s="159"/>
      <c r="X97" s="159"/>
      <c r="Y97" s="159"/>
      <c r="Z97" s="159"/>
      <c r="AA97" s="159"/>
      <c r="AB97" s="160"/>
      <c r="AC97" s="140"/>
      <c r="AD97" s="158"/>
      <c r="AE97" s="159"/>
      <c r="AF97" s="160"/>
      <c r="AG97" s="159"/>
      <c r="AH97" s="159"/>
      <c r="AI97" s="160"/>
    </row>
    <row r="98" spans="1:35" x14ac:dyDescent="0.2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38"/>
      <c r="P98" s="138"/>
      <c r="Q98" s="138"/>
      <c r="R98" s="138"/>
      <c r="S98" s="138"/>
      <c r="T98" s="138">
        <v>-86</v>
      </c>
      <c r="U98" s="138"/>
      <c r="V98" s="138"/>
      <c r="W98" s="138"/>
      <c r="X98" s="138"/>
      <c r="Y98" s="138"/>
      <c r="Z98" s="138"/>
      <c r="AA98" s="138">
        <f t="shared" ref="AA98:AA103" si="27">SUM(O98:Z98)</f>
        <v>-86</v>
      </c>
      <c r="AB98" s="142">
        <f t="shared" ref="AB98:AB103" si="28">IF(AA98=0,"",IFERROR(AA98/AA$19,""))</f>
        <v>-2.4221275433219331E-4</v>
      </c>
      <c r="AC98" s="140"/>
      <c r="AD98" s="138"/>
      <c r="AE98" s="142" t="str">
        <f t="shared" ref="AE98:AE103" si="29">IF(AD98=0,"",IFERROR(AD98/AD$19,""))</f>
        <v/>
      </c>
      <c r="AF98" s="141">
        <f t="shared" ref="AF98:AF103" si="30">IF(AND($AA98="",AD98=""),"",$AA98-AD98)</f>
        <v>-86</v>
      </c>
      <c r="AG98" s="138"/>
      <c r="AH98" s="142" t="str">
        <f t="shared" ref="AH98:AH103" si="31">IF(AG98=0,"",IFERROR(AG98/AG$19,""))</f>
        <v/>
      </c>
      <c r="AI98" s="141">
        <f t="shared" ref="AI98:AI103" si="32">IF(AND($AA98="",AG98=""),"",$AA98-AG98)</f>
        <v>-86</v>
      </c>
    </row>
    <row r="99" spans="1:35" x14ac:dyDescent="0.2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38">
        <v>12495</v>
      </c>
      <c r="P99" s="138">
        <v>24003</v>
      </c>
      <c r="Q99" s="138">
        <v>24395</v>
      </c>
      <c r="R99" s="138">
        <v>22282.51</v>
      </c>
      <c r="S99" s="138">
        <v>21888.66</v>
      </c>
      <c r="T99" s="138">
        <v>13796.4</v>
      </c>
      <c r="U99" s="138">
        <v>18145.5</v>
      </c>
      <c r="V99" s="138">
        <v>12026.5</v>
      </c>
      <c r="W99" s="138">
        <v>12508.4</v>
      </c>
      <c r="X99" s="138">
        <v>9769</v>
      </c>
      <c r="Y99" s="138">
        <v>9978.4</v>
      </c>
      <c r="Z99" s="138">
        <v>7564.2</v>
      </c>
      <c r="AA99" s="138">
        <f t="shared" si="27"/>
        <v>188852.57</v>
      </c>
      <c r="AB99" s="142">
        <f t="shared" si="28"/>
        <v>0.53188954816759704</v>
      </c>
      <c r="AC99" s="140"/>
      <c r="AD99" s="138">
        <v>362901.50140050001</v>
      </c>
      <c r="AE99" s="142">
        <f t="shared" si="29"/>
        <v>0.55450609291646735</v>
      </c>
      <c r="AF99" s="141">
        <f t="shared" si="30"/>
        <v>-174048.93140050001</v>
      </c>
      <c r="AG99" s="138">
        <v>12511</v>
      </c>
      <c r="AH99" s="142">
        <f t="shared" si="31"/>
        <v>0.47941294809648805</v>
      </c>
      <c r="AI99" s="141">
        <f t="shared" si="32"/>
        <v>176341.57</v>
      </c>
    </row>
    <row r="100" spans="1:35" x14ac:dyDescent="0.2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38"/>
      <c r="P100" s="138"/>
      <c r="Q100" s="138"/>
      <c r="R100" s="138"/>
      <c r="S100" s="138"/>
      <c r="T100" s="138"/>
      <c r="U100" s="138"/>
      <c r="V100" s="138"/>
      <c r="W100" s="138"/>
      <c r="X100" s="138"/>
      <c r="Y100" s="138"/>
      <c r="Z100" s="138"/>
      <c r="AA100" s="138">
        <f t="shared" si="27"/>
        <v>0</v>
      </c>
      <c r="AB100" s="142" t="str">
        <f t="shared" si="28"/>
        <v/>
      </c>
      <c r="AC100" s="140"/>
      <c r="AD100" s="138"/>
      <c r="AE100" s="142" t="str">
        <f t="shared" si="29"/>
        <v/>
      </c>
      <c r="AF100" s="141">
        <f t="shared" si="30"/>
        <v>0</v>
      </c>
      <c r="AG100" s="138"/>
      <c r="AH100" s="142" t="str">
        <f t="shared" si="31"/>
        <v/>
      </c>
      <c r="AI100" s="141">
        <f t="shared" si="32"/>
        <v>0</v>
      </c>
    </row>
    <row r="101" spans="1:35" x14ac:dyDescent="0.2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38"/>
      <c r="P101" s="138"/>
      <c r="Q101" s="138"/>
      <c r="R101" s="138"/>
      <c r="S101" s="138"/>
      <c r="T101" s="138"/>
      <c r="U101" s="138"/>
      <c r="V101" s="138"/>
      <c r="W101" s="138"/>
      <c r="X101" s="138"/>
      <c r="Y101" s="138"/>
      <c r="Z101" s="138"/>
      <c r="AA101" s="138">
        <f t="shared" si="27"/>
        <v>0</v>
      </c>
      <c r="AB101" s="142" t="str">
        <f t="shared" si="28"/>
        <v/>
      </c>
      <c r="AC101" s="140"/>
      <c r="AD101" s="138"/>
      <c r="AE101" s="142" t="str">
        <f t="shared" si="29"/>
        <v/>
      </c>
      <c r="AF101" s="141">
        <f t="shared" si="30"/>
        <v>0</v>
      </c>
      <c r="AG101" s="138"/>
      <c r="AH101" s="142" t="str">
        <f t="shared" si="31"/>
        <v/>
      </c>
      <c r="AI101" s="141">
        <f t="shared" si="32"/>
        <v>0</v>
      </c>
    </row>
    <row r="102" spans="1:35" x14ac:dyDescent="0.2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38"/>
      <c r="P102" s="138"/>
      <c r="Q102" s="138"/>
      <c r="R102" s="138"/>
      <c r="S102" s="138"/>
      <c r="T102" s="138"/>
      <c r="U102" s="138"/>
      <c r="V102" s="138"/>
      <c r="W102" s="138"/>
      <c r="X102" s="138"/>
      <c r="Y102" s="138"/>
      <c r="Z102" s="138"/>
      <c r="AA102" s="138">
        <f t="shared" si="27"/>
        <v>0</v>
      </c>
      <c r="AB102" s="142" t="str">
        <f t="shared" si="28"/>
        <v/>
      </c>
      <c r="AC102" s="140"/>
      <c r="AD102" s="138"/>
      <c r="AE102" s="142" t="str">
        <f t="shared" si="29"/>
        <v/>
      </c>
      <c r="AF102" s="141">
        <f t="shared" si="30"/>
        <v>0</v>
      </c>
      <c r="AG102" s="138"/>
      <c r="AH102" s="142" t="str">
        <f t="shared" si="31"/>
        <v/>
      </c>
      <c r="AI102" s="141">
        <f t="shared" si="32"/>
        <v>0</v>
      </c>
    </row>
    <row r="103" spans="1:35" x14ac:dyDescent="0.2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2">
        <v>12495</v>
      </c>
      <c r="P103" s="162">
        <v>24003</v>
      </c>
      <c r="Q103" s="162">
        <v>24395</v>
      </c>
      <c r="R103" s="162">
        <v>22282.51</v>
      </c>
      <c r="S103" s="162">
        <v>21888.66</v>
      </c>
      <c r="T103" s="162">
        <v>13710.4</v>
      </c>
      <c r="U103" s="162">
        <v>18145.5</v>
      </c>
      <c r="V103" s="162">
        <v>12026.5</v>
      </c>
      <c r="W103" s="162">
        <v>12508.4</v>
      </c>
      <c r="X103" s="162">
        <v>9769</v>
      </c>
      <c r="Y103" s="162">
        <v>9978.4</v>
      </c>
      <c r="Z103" s="162">
        <v>7564.2</v>
      </c>
      <c r="AA103" s="162">
        <f t="shared" si="27"/>
        <v>188766.57</v>
      </c>
      <c r="AB103" s="163">
        <f t="shared" si="28"/>
        <v>0.53164733541326481</v>
      </c>
      <c r="AC103" s="140"/>
      <c r="AD103" s="162">
        <v>362901.50140050001</v>
      </c>
      <c r="AE103" s="163">
        <f t="shared" si="29"/>
        <v>0.55450609291646735</v>
      </c>
      <c r="AF103" s="164">
        <f t="shared" si="30"/>
        <v>-174134.93140050001</v>
      </c>
      <c r="AG103" s="162">
        <v>12511</v>
      </c>
      <c r="AH103" s="163">
        <f t="shared" si="31"/>
        <v>0.47941294809648805</v>
      </c>
      <c r="AI103" s="164">
        <f t="shared" si="32"/>
        <v>176255.57</v>
      </c>
    </row>
    <row r="104" spans="1:35" x14ac:dyDescent="0.25">
      <c r="A104" s="11"/>
      <c r="B104" s="11"/>
      <c r="C104" s="208"/>
      <c r="D104" s="11"/>
      <c r="E104" s="11"/>
      <c r="F104" s="11"/>
      <c r="G104" s="11"/>
      <c r="H104" s="185"/>
      <c r="I104" s="122"/>
      <c r="J104" s="122"/>
      <c r="K104" s="11"/>
      <c r="L104" s="90"/>
      <c r="M104" s="90"/>
      <c r="N104" s="53"/>
      <c r="O104" s="170"/>
      <c r="P104" s="171"/>
      <c r="Q104" s="171"/>
      <c r="R104" s="171"/>
      <c r="S104" s="171"/>
      <c r="T104" s="171"/>
      <c r="U104" s="171"/>
      <c r="V104" s="171"/>
      <c r="W104" s="171"/>
      <c r="X104" s="171"/>
      <c r="Y104" s="171"/>
      <c r="Z104" s="171"/>
      <c r="AA104" s="171"/>
      <c r="AB104" s="172"/>
      <c r="AC104" s="140"/>
      <c r="AD104" s="170"/>
      <c r="AE104" s="171"/>
      <c r="AF104" s="172"/>
      <c r="AG104" s="170"/>
      <c r="AH104" s="171"/>
      <c r="AI104" s="172"/>
    </row>
    <row r="105" spans="1:35" x14ac:dyDescent="0.25">
      <c r="A105" s="11"/>
      <c r="B105" s="11"/>
      <c r="C105" s="208"/>
      <c r="D105" s="11"/>
      <c r="E105" s="11"/>
      <c r="F105" s="11"/>
      <c r="G105" s="11"/>
      <c r="H105" s="185"/>
      <c r="I105" s="122"/>
      <c r="J105" s="122"/>
      <c r="K105" s="11"/>
      <c r="L105" s="90"/>
      <c r="M105" s="90"/>
      <c r="N105" s="53" t="s">
        <v>339</v>
      </c>
      <c r="O105" s="158"/>
      <c r="P105" s="159"/>
      <c r="Q105" s="159"/>
      <c r="R105" s="159"/>
      <c r="S105" s="159"/>
      <c r="T105" s="159"/>
      <c r="U105" s="159"/>
      <c r="V105" s="159"/>
      <c r="W105" s="159"/>
      <c r="X105" s="159"/>
      <c r="Y105" s="159"/>
      <c r="Z105" s="159"/>
      <c r="AA105" s="159"/>
      <c r="AB105" s="160"/>
      <c r="AC105" s="140"/>
      <c r="AD105" s="158"/>
      <c r="AE105" s="159"/>
      <c r="AF105" s="160"/>
      <c r="AG105" s="158"/>
      <c r="AH105" s="159"/>
      <c r="AI105" s="160"/>
    </row>
    <row r="106" spans="1:35" x14ac:dyDescent="0.2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38"/>
      <c r="P106" s="138"/>
      <c r="Q106" s="138"/>
      <c r="R106" s="138"/>
      <c r="S106" s="138"/>
      <c r="T106" s="138"/>
      <c r="U106" s="138"/>
      <c r="V106" s="138"/>
      <c r="W106" s="138"/>
      <c r="X106" s="138"/>
      <c r="Y106" s="138"/>
      <c r="Z106" s="138"/>
      <c r="AA106" s="138">
        <f t="shared" ref="AA106:AA111" si="33">SUM(O106:Z106)</f>
        <v>0</v>
      </c>
      <c r="AB106" s="142" t="str">
        <f t="shared" ref="AB106:AB111" si="34">IF(AA106=0,"",IFERROR(AA106/AA$19,""))</f>
        <v/>
      </c>
      <c r="AC106" s="140"/>
      <c r="AD106" s="138"/>
      <c r="AE106" s="142" t="str">
        <f t="shared" ref="AE106:AE111" si="35">IF(AD106=0,"",IFERROR(AD106/AD$19,""))</f>
        <v/>
      </c>
      <c r="AF106" s="141">
        <f t="shared" ref="AF106:AF111" si="36">IF(AND($AA106="",AD106=""),"",$AA106-AD106)</f>
        <v>0</v>
      </c>
      <c r="AG106" s="138"/>
      <c r="AH106" s="142" t="str">
        <f t="shared" ref="AH106:AH111" si="37">IF(AG106=0,"",IFERROR(AG106/AG$19,""))</f>
        <v/>
      </c>
      <c r="AI106" s="141">
        <f t="shared" ref="AI106:AI111" si="38">IF(AND($AA106="",AG106=""),"",$AA106-AG106)</f>
        <v>0</v>
      </c>
    </row>
    <row r="107" spans="1:35" x14ac:dyDescent="0.2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38">
        <v>1955</v>
      </c>
      <c r="P107" s="138">
        <v>3029</v>
      </c>
      <c r="Q107" s="138">
        <v>3792</v>
      </c>
      <c r="R107" s="138">
        <v>4218</v>
      </c>
      <c r="S107" s="138">
        <v>3467.6</v>
      </c>
      <c r="T107" s="138">
        <v>2453.6</v>
      </c>
      <c r="U107" s="138">
        <v>4300</v>
      </c>
      <c r="V107" s="138">
        <v>2516</v>
      </c>
      <c r="W107" s="138">
        <v>1991</v>
      </c>
      <c r="X107" s="138">
        <v>2298</v>
      </c>
      <c r="Y107" s="138">
        <v>2786</v>
      </c>
      <c r="Z107" s="138">
        <v>2000</v>
      </c>
      <c r="AA107" s="138">
        <f t="shared" si="33"/>
        <v>34806.199999999997</v>
      </c>
      <c r="AB107" s="142">
        <f t="shared" si="34"/>
        <v>9.8029134532990531E-2</v>
      </c>
      <c r="AC107" s="140"/>
      <c r="AD107" s="138">
        <v>30033.186672299998</v>
      </c>
      <c r="AE107" s="142">
        <f t="shared" si="35"/>
        <v>4.5890096721063187E-2</v>
      </c>
      <c r="AF107" s="141">
        <f t="shared" si="36"/>
        <v>4773.0133276999986</v>
      </c>
      <c r="AG107" s="138">
        <v>1837</v>
      </c>
      <c r="AH107" s="142">
        <f t="shared" si="37"/>
        <v>7.0392581380644914E-2</v>
      </c>
      <c r="AI107" s="141">
        <f t="shared" si="38"/>
        <v>32969.199999999997</v>
      </c>
    </row>
    <row r="108" spans="1:35" x14ac:dyDescent="0.2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38"/>
      <c r="P108" s="138"/>
      <c r="Q108" s="138"/>
      <c r="R108" s="138"/>
      <c r="S108" s="138"/>
      <c r="T108" s="138"/>
      <c r="U108" s="138"/>
      <c r="V108" s="138"/>
      <c r="W108" s="138"/>
      <c r="X108" s="138"/>
      <c r="Y108" s="138"/>
      <c r="Z108" s="138"/>
      <c r="AA108" s="138">
        <f t="shared" si="33"/>
        <v>0</v>
      </c>
      <c r="AB108" s="142" t="str">
        <f t="shared" si="34"/>
        <v/>
      </c>
      <c r="AC108" s="140"/>
      <c r="AD108" s="138"/>
      <c r="AE108" s="142" t="str">
        <f t="shared" si="35"/>
        <v/>
      </c>
      <c r="AF108" s="141">
        <f t="shared" si="36"/>
        <v>0</v>
      </c>
      <c r="AG108" s="138"/>
      <c r="AH108" s="142" t="str">
        <f t="shared" si="37"/>
        <v/>
      </c>
      <c r="AI108" s="141">
        <f t="shared" si="38"/>
        <v>0</v>
      </c>
    </row>
    <row r="109" spans="1:35" x14ac:dyDescent="0.2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38"/>
      <c r="P109" s="138"/>
      <c r="Q109" s="138"/>
      <c r="R109" s="138"/>
      <c r="S109" s="138"/>
      <c r="T109" s="138"/>
      <c r="U109" s="138"/>
      <c r="V109" s="138"/>
      <c r="W109" s="138"/>
      <c r="X109" s="138"/>
      <c r="Y109" s="138"/>
      <c r="Z109" s="138"/>
      <c r="AA109" s="138">
        <f t="shared" si="33"/>
        <v>0</v>
      </c>
      <c r="AB109" s="142" t="str">
        <f t="shared" si="34"/>
        <v/>
      </c>
      <c r="AC109" s="140"/>
      <c r="AD109" s="138"/>
      <c r="AE109" s="142" t="str">
        <f t="shared" si="35"/>
        <v/>
      </c>
      <c r="AF109" s="141">
        <f t="shared" si="36"/>
        <v>0</v>
      </c>
      <c r="AG109" s="138"/>
      <c r="AH109" s="142" t="str">
        <f t="shared" si="37"/>
        <v/>
      </c>
      <c r="AI109" s="141">
        <f t="shared" si="38"/>
        <v>0</v>
      </c>
    </row>
    <row r="110" spans="1:35" x14ac:dyDescent="0.2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38"/>
      <c r="P110" s="138"/>
      <c r="Q110" s="138"/>
      <c r="R110" s="138"/>
      <c r="S110" s="138"/>
      <c r="T110" s="138"/>
      <c r="U110" s="138"/>
      <c r="V110" s="138"/>
      <c r="W110" s="138"/>
      <c r="X110" s="138"/>
      <c r="Y110" s="138"/>
      <c r="Z110" s="138"/>
      <c r="AA110" s="138">
        <f t="shared" si="33"/>
        <v>0</v>
      </c>
      <c r="AB110" s="142" t="str">
        <f t="shared" si="34"/>
        <v/>
      </c>
      <c r="AC110" s="140"/>
      <c r="AD110" s="138"/>
      <c r="AE110" s="142" t="str">
        <f t="shared" si="35"/>
        <v/>
      </c>
      <c r="AF110" s="141">
        <f t="shared" si="36"/>
        <v>0</v>
      </c>
      <c r="AG110" s="138"/>
      <c r="AH110" s="142" t="str">
        <f t="shared" si="37"/>
        <v/>
      </c>
      <c r="AI110" s="141">
        <f t="shared" si="38"/>
        <v>0</v>
      </c>
    </row>
    <row r="111" spans="1:35" x14ac:dyDescent="0.2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2">
        <v>1955</v>
      </c>
      <c r="P111" s="162">
        <v>3029</v>
      </c>
      <c r="Q111" s="162">
        <v>3792</v>
      </c>
      <c r="R111" s="162">
        <v>4218</v>
      </c>
      <c r="S111" s="162">
        <v>3467.6</v>
      </c>
      <c r="T111" s="162">
        <v>2453.6</v>
      </c>
      <c r="U111" s="162">
        <v>4300</v>
      </c>
      <c r="V111" s="162">
        <v>2516</v>
      </c>
      <c r="W111" s="162">
        <v>1991</v>
      </c>
      <c r="X111" s="162">
        <v>2298</v>
      </c>
      <c r="Y111" s="162">
        <v>2786</v>
      </c>
      <c r="Z111" s="162">
        <v>2000</v>
      </c>
      <c r="AA111" s="162">
        <f t="shared" si="33"/>
        <v>34806.199999999997</v>
      </c>
      <c r="AB111" s="163">
        <f t="shared" si="34"/>
        <v>9.8029134532990531E-2</v>
      </c>
      <c r="AC111" s="140"/>
      <c r="AD111" s="162">
        <v>30033.186672299998</v>
      </c>
      <c r="AE111" s="163">
        <f t="shared" si="35"/>
        <v>4.5890096721063187E-2</v>
      </c>
      <c r="AF111" s="164">
        <f t="shared" si="36"/>
        <v>4773.0133276999986</v>
      </c>
      <c r="AG111" s="162">
        <v>1837</v>
      </c>
      <c r="AH111" s="163">
        <f t="shared" si="37"/>
        <v>7.0392581380644914E-2</v>
      </c>
      <c r="AI111" s="164">
        <f t="shared" si="38"/>
        <v>32969.199999999997</v>
      </c>
    </row>
    <row r="112" spans="1:35" x14ac:dyDescent="0.25">
      <c r="A112" s="11"/>
      <c r="B112" s="11"/>
      <c r="C112" s="208"/>
      <c r="D112" s="11"/>
      <c r="E112" s="11"/>
      <c r="F112" s="11"/>
      <c r="G112" s="11"/>
      <c r="H112" s="185"/>
      <c r="I112" s="122"/>
      <c r="J112" s="122"/>
      <c r="K112" s="11"/>
      <c r="L112" s="90"/>
      <c r="M112" s="90"/>
      <c r="N112" s="53"/>
      <c r="O112" s="170"/>
      <c r="P112" s="171"/>
      <c r="Q112" s="171"/>
      <c r="R112" s="171"/>
      <c r="S112" s="171"/>
      <c r="T112" s="171"/>
      <c r="U112" s="171"/>
      <c r="V112" s="171"/>
      <c r="W112" s="171"/>
      <c r="X112" s="171"/>
      <c r="Y112" s="171"/>
      <c r="Z112" s="171"/>
      <c r="AA112" s="171"/>
      <c r="AB112" s="172"/>
      <c r="AC112" s="140"/>
      <c r="AD112" s="170"/>
      <c r="AE112" s="171"/>
      <c r="AF112" s="172"/>
      <c r="AG112" s="170"/>
      <c r="AH112" s="171"/>
      <c r="AI112" s="172"/>
    </row>
    <row r="113" spans="1:35" x14ac:dyDescent="0.25">
      <c r="A113" s="11"/>
      <c r="B113" s="11"/>
      <c r="C113" s="208"/>
      <c r="D113" s="11"/>
      <c r="E113" s="11"/>
      <c r="F113" s="11"/>
      <c r="G113" s="11"/>
      <c r="H113" s="185"/>
      <c r="I113" s="122"/>
      <c r="J113" s="122"/>
      <c r="K113" s="11"/>
      <c r="L113" s="90"/>
      <c r="M113" s="90"/>
      <c r="N113" s="53" t="s">
        <v>338</v>
      </c>
      <c r="O113" s="158"/>
      <c r="P113" s="159"/>
      <c r="Q113" s="159"/>
      <c r="R113" s="159"/>
      <c r="S113" s="159"/>
      <c r="T113" s="159"/>
      <c r="U113" s="159"/>
      <c r="V113" s="159"/>
      <c r="W113" s="159"/>
      <c r="X113" s="159"/>
      <c r="Y113" s="159"/>
      <c r="Z113" s="159"/>
      <c r="AA113" s="159"/>
      <c r="AB113" s="160"/>
      <c r="AC113" s="140"/>
      <c r="AD113" s="158"/>
      <c r="AE113" s="159"/>
      <c r="AF113" s="160"/>
      <c r="AG113" s="158"/>
      <c r="AH113" s="159"/>
      <c r="AI113" s="160"/>
    </row>
    <row r="114" spans="1:35" x14ac:dyDescent="0.2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38"/>
      <c r="P114" s="138"/>
      <c r="Q114" s="138"/>
      <c r="R114" s="138"/>
      <c r="S114" s="138"/>
      <c r="T114" s="138"/>
      <c r="U114" s="138"/>
      <c r="V114" s="138"/>
      <c r="W114" s="138"/>
      <c r="X114" s="138"/>
      <c r="Y114" s="138"/>
      <c r="Z114" s="138"/>
      <c r="AA114" s="138">
        <f t="shared" ref="AA114:AA119" si="39">SUM(O114:Z114)</f>
        <v>0</v>
      </c>
      <c r="AB114" s="142" t="str">
        <f t="shared" ref="AB114:AB119" si="40">IF(AA114=0,"",IFERROR(AA114/AA$19,""))</f>
        <v/>
      </c>
      <c r="AC114" s="140"/>
      <c r="AD114" s="138"/>
      <c r="AE114" s="142" t="str">
        <f t="shared" ref="AE114:AE119" si="41">IF(AD114=0,"",IFERROR(AD114/AD$19,""))</f>
        <v/>
      </c>
      <c r="AF114" s="141">
        <f t="shared" ref="AF114:AF119" si="42">IF(AND($AA114="",AD114=""),"",$AA114-AD114)</f>
        <v>0</v>
      </c>
      <c r="AG114" s="138"/>
      <c r="AH114" s="142" t="str">
        <f t="shared" ref="AH114:AH119" si="43">IF(AG114=0,"",IFERROR(AG114/AG$19,""))</f>
        <v/>
      </c>
      <c r="AI114" s="141">
        <f t="shared" ref="AI114:AI119" si="44">IF(AND($AA114="",AG114=""),"",$AA114-AG114)</f>
        <v>0</v>
      </c>
    </row>
    <row r="115" spans="1:35" x14ac:dyDescent="0.2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38">
        <v>2807.92</v>
      </c>
      <c r="P115" s="138">
        <v>2148</v>
      </c>
      <c r="Q115" s="138">
        <v>2048</v>
      </c>
      <c r="R115" s="138">
        <v>1708</v>
      </c>
      <c r="S115" s="138">
        <v>1456.4</v>
      </c>
      <c r="T115" s="138">
        <v>1030.5</v>
      </c>
      <c r="U115" s="138">
        <v>807</v>
      </c>
      <c r="V115" s="138">
        <v>378</v>
      </c>
      <c r="W115" s="138">
        <v>510</v>
      </c>
      <c r="X115" s="138">
        <v>1167</v>
      </c>
      <c r="Y115" s="138">
        <v>1344.4</v>
      </c>
      <c r="Z115" s="138">
        <v>520.20000000000005</v>
      </c>
      <c r="AA115" s="138">
        <f t="shared" si="39"/>
        <v>15925.42</v>
      </c>
      <c r="AB115" s="142">
        <f t="shared" si="40"/>
        <v>4.4852788861592996E-2</v>
      </c>
      <c r="AC115" s="140"/>
      <c r="AD115" s="138">
        <v>41090.070065400003</v>
      </c>
      <c r="AE115" s="142">
        <f t="shared" si="41"/>
        <v>6.2784789045233352E-2</v>
      </c>
      <c r="AF115" s="141">
        <f t="shared" si="42"/>
        <v>-25164.650065400005</v>
      </c>
      <c r="AG115" s="138">
        <v>2386</v>
      </c>
      <c r="AH115" s="142">
        <f t="shared" si="43"/>
        <v>9.1429885233652017E-2</v>
      </c>
      <c r="AI115" s="141">
        <f t="shared" si="44"/>
        <v>13539.42</v>
      </c>
    </row>
    <row r="116" spans="1:35" x14ac:dyDescent="0.2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38"/>
      <c r="P116" s="138"/>
      <c r="Q116" s="138"/>
      <c r="R116" s="138"/>
      <c r="S116" s="138"/>
      <c r="T116" s="138"/>
      <c r="U116" s="138"/>
      <c r="V116" s="138"/>
      <c r="W116" s="138"/>
      <c r="X116" s="138"/>
      <c r="Y116" s="138"/>
      <c r="Z116" s="138"/>
      <c r="AA116" s="138">
        <f t="shared" si="39"/>
        <v>0</v>
      </c>
      <c r="AB116" s="142" t="str">
        <f t="shared" si="40"/>
        <v/>
      </c>
      <c r="AC116" s="140"/>
      <c r="AD116" s="138"/>
      <c r="AE116" s="142" t="str">
        <f t="shared" si="41"/>
        <v/>
      </c>
      <c r="AF116" s="141">
        <f t="shared" si="42"/>
        <v>0</v>
      </c>
      <c r="AG116" s="138"/>
      <c r="AH116" s="142" t="str">
        <f t="shared" si="43"/>
        <v/>
      </c>
      <c r="AI116" s="141">
        <f t="shared" si="44"/>
        <v>0</v>
      </c>
    </row>
    <row r="117" spans="1:35" x14ac:dyDescent="0.2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38"/>
      <c r="P117" s="138"/>
      <c r="Q117" s="138"/>
      <c r="R117" s="138"/>
      <c r="S117" s="138"/>
      <c r="T117" s="138"/>
      <c r="U117" s="138"/>
      <c r="V117" s="138"/>
      <c r="W117" s="138"/>
      <c r="X117" s="138"/>
      <c r="Y117" s="138"/>
      <c r="Z117" s="138"/>
      <c r="AA117" s="138">
        <f t="shared" si="39"/>
        <v>0</v>
      </c>
      <c r="AB117" s="142" t="str">
        <f t="shared" si="40"/>
        <v/>
      </c>
      <c r="AC117" s="140"/>
      <c r="AD117" s="138"/>
      <c r="AE117" s="142" t="str">
        <f t="shared" si="41"/>
        <v/>
      </c>
      <c r="AF117" s="141">
        <f t="shared" si="42"/>
        <v>0</v>
      </c>
      <c r="AG117" s="138"/>
      <c r="AH117" s="142" t="str">
        <f t="shared" si="43"/>
        <v/>
      </c>
      <c r="AI117" s="141">
        <f t="shared" si="44"/>
        <v>0</v>
      </c>
    </row>
    <row r="118" spans="1:35" x14ac:dyDescent="0.2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38"/>
      <c r="P118" s="138"/>
      <c r="Q118" s="138"/>
      <c r="R118" s="138"/>
      <c r="S118" s="138"/>
      <c r="T118" s="138"/>
      <c r="U118" s="138"/>
      <c r="V118" s="138"/>
      <c r="W118" s="138"/>
      <c r="X118" s="138"/>
      <c r="Y118" s="138"/>
      <c r="Z118" s="138"/>
      <c r="AA118" s="138">
        <f t="shared" si="39"/>
        <v>0</v>
      </c>
      <c r="AB118" s="142" t="str">
        <f t="shared" si="40"/>
        <v/>
      </c>
      <c r="AC118" s="140"/>
      <c r="AD118" s="138"/>
      <c r="AE118" s="142" t="str">
        <f t="shared" si="41"/>
        <v/>
      </c>
      <c r="AF118" s="141">
        <f t="shared" si="42"/>
        <v>0</v>
      </c>
      <c r="AG118" s="138"/>
      <c r="AH118" s="142" t="str">
        <f t="shared" si="43"/>
        <v/>
      </c>
      <c r="AI118" s="141">
        <f t="shared" si="44"/>
        <v>0</v>
      </c>
    </row>
    <row r="119" spans="1:35" x14ac:dyDescent="0.2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2">
        <v>2807.92</v>
      </c>
      <c r="P119" s="162">
        <v>2148</v>
      </c>
      <c r="Q119" s="162">
        <v>2048</v>
      </c>
      <c r="R119" s="162">
        <v>1708</v>
      </c>
      <c r="S119" s="162">
        <v>1456.4</v>
      </c>
      <c r="T119" s="162">
        <v>1030.5</v>
      </c>
      <c r="U119" s="162">
        <v>807</v>
      </c>
      <c r="V119" s="162">
        <v>378</v>
      </c>
      <c r="W119" s="162">
        <v>510</v>
      </c>
      <c r="X119" s="162">
        <v>1167</v>
      </c>
      <c r="Y119" s="162">
        <v>1344.4</v>
      </c>
      <c r="Z119" s="162">
        <v>520.20000000000005</v>
      </c>
      <c r="AA119" s="162">
        <f t="shared" si="39"/>
        <v>15925.42</v>
      </c>
      <c r="AB119" s="163">
        <f t="shared" si="40"/>
        <v>4.4852788861592996E-2</v>
      </c>
      <c r="AC119" s="140"/>
      <c r="AD119" s="162">
        <v>41090.070065400003</v>
      </c>
      <c r="AE119" s="163">
        <f t="shared" si="41"/>
        <v>6.2784789045233352E-2</v>
      </c>
      <c r="AF119" s="164">
        <f t="shared" si="42"/>
        <v>-25164.650065400005</v>
      </c>
      <c r="AG119" s="162">
        <v>2386</v>
      </c>
      <c r="AH119" s="163">
        <f t="shared" si="43"/>
        <v>9.1429885233652017E-2</v>
      </c>
      <c r="AI119" s="164">
        <f t="shared" si="44"/>
        <v>13539.42</v>
      </c>
    </row>
    <row r="120" spans="1:35" x14ac:dyDescent="0.25">
      <c r="A120" s="11"/>
      <c r="B120" s="11"/>
      <c r="C120" s="208"/>
      <c r="D120" s="11"/>
      <c r="E120" s="11"/>
      <c r="F120" s="11"/>
      <c r="G120" s="11"/>
      <c r="H120" s="185"/>
      <c r="I120" s="122"/>
      <c r="J120" s="122"/>
      <c r="K120" s="11"/>
      <c r="L120" s="90"/>
      <c r="M120" s="90"/>
      <c r="N120" s="11"/>
      <c r="O120" s="170"/>
      <c r="P120" s="171"/>
      <c r="Q120" s="171"/>
      <c r="R120" s="171"/>
      <c r="S120" s="171"/>
      <c r="T120" s="171"/>
      <c r="U120" s="171"/>
      <c r="V120" s="171"/>
      <c r="W120" s="171"/>
      <c r="X120" s="171"/>
      <c r="Y120" s="171"/>
      <c r="Z120" s="171"/>
      <c r="AA120" s="171"/>
      <c r="AB120" s="172"/>
      <c r="AC120" s="140"/>
      <c r="AD120" s="170"/>
      <c r="AE120" s="171"/>
      <c r="AF120" s="172"/>
      <c r="AG120" s="170"/>
      <c r="AH120" s="171"/>
      <c r="AI120" s="172"/>
    </row>
    <row r="121" spans="1:35" x14ac:dyDescent="0.2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38">
        <f t="shared" ref="O121:Z121" si="45">O98+O106+O114</f>
        <v>0</v>
      </c>
      <c r="P121" s="138">
        <f t="shared" si="45"/>
        <v>0</v>
      </c>
      <c r="Q121" s="138">
        <f t="shared" si="45"/>
        <v>0</v>
      </c>
      <c r="R121" s="138">
        <f t="shared" si="45"/>
        <v>0</v>
      </c>
      <c r="S121" s="138">
        <f t="shared" si="45"/>
        <v>0</v>
      </c>
      <c r="T121" s="138">
        <f t="shared" si="45"/>
        <v>-86</v>
      </c>
      <c r="U121" s="138">
        <f t="shared" si="45"/>
        <v>0</v>
      </c>
      <c r="V121" s="138">
        <f t="shared" si="45"/>
        <v>0</v>
      </c>
      <c r="W121" s="138">
        <f t="shared" si="45"/>
        <v>0</v>
      </c>
      <c r="X121" s="138">
        <f t="shared" si="45"/>
        <v>0</v>
      </c>
      <c r="Y121" s="138">
        <f t="shared" si="45"/>
        <v>0</v>
      </c>
      <c r="Z121" s="138">
        <f t="shared" si="45"/>
        <v>0</v>
      </c>
      <c r="AA121" s="138">
        <f t="shared" ref="AA121:AA126" si="46">SUM(O121:Z121)</f>
        <v>-86</v>
      </c>
      <c r="AB121" s="142">
        <f t="shared" ref="AB121:AB126" si="47">IF(AA121=0,"",IFERROR(AA121/AA$19,""))</f>
        <v>-2.4221275433219331E-4</v>
      </c>
      <c r="AC121" s="140"/>
      <c r="AD121" s="138">
        <f>AD98+AD106+AD114</f>
        <v>0</v>
      </c>
      <c r="AE121" s="142" t="str">
        <f t="shared" ref="AE121:AE126" si="48">IF(AD121=0,"",IFERROR(AD121/AD$19,""))</f>
        <v/>
      </c>
      <c r="AF121" s="141">
        <f t="shared" ref="AF121:AF126" si="49">IF(AND($AA121="",AD121=""),"",$AA121-AD121)</f>
        <v>-86</v>
      </c>
      <c r="AG121" s="138">
        <f>AG98+AG106+AG114</f>
        <v>0</v>
      </c>
      <c r="AH121" s="142" t="str">
        <f t="shared" ref="AH121:AH126" si="50">IF(AG121=0,"",IFERROR(AG121/AG$19,""))</f>
        <v/>
      </c>
      <c r="AI121" s="141">
        <f t="shared" ref="AI121:AI126" si="51">IF(AND($AA121="",AG121=""),"",$AA121-AG121)</f>
        <v>-86</v>
      </c>
    </row>
    <row r="122" spans="1:35" x14ac:dyDescent="0.2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38">
        <f t="shared" ref="O122:Z122" si="52">O99+O107+O115</f>
        <v>17257.919999999998</v>
      </c>
      <c r="P122" s="138">
        <f t="shared" si="52"/>
        <v>29180</v>
      </c>
      <c r="Q122" s="138">
        <f t="shared" si="52"/>
        <v>30235</v>
      </c>
      <c r="R122" s="138">
        <f t="shared" si="52"/>
        <v>28208.51</v>
      </c>
      <c r="S122" s="138">
        <f t="shared" si="52"/>
        <v>26812.66</v>
      </c>
      <c r="T122" s="138">
        <f t="shared" si="52"/>
        <v>17280.5</v>
      </c>
      <c r="U122" s="138">
        <f t="shared" si="52"/>
        <v>23252.5</v>
      </c>
      <c r="V122" s="138">
        <f t="shared" si="52"/>
        <v>14920.5</v>
      </c>
      <c r="W122" s="138">
        <f t="shared" si="52"/>
        <v>15009.4</v>
      </c>
      <c r="X122" s="138">
        <f t="shared" si="52"/>
        <v>13234</v>
      </c>
      <c r="Y122" s="138">
        <f t="shared" si="52"/>
        <v>14108.8</v>
      </c>
      <c r="Z122" s="138">
        <f t="shared" si="52"/>
        <v>10084.400000000001</v>
      </c>
      <c r="AA122" s="138">
        <f t="shared" si="46"/>
        <v>239584.18999999997</v>
      </c>
      <c r="AB122" s="142">
        <f t="shared" si="47"/>
        <v>0.67477147156218042</v>
      </c>
      <c r="AC122" s="140"/>
      <c r="AD122" s="138">
        <f>AD99+AD107+AD115</f>
        <v>434024.75813819998</v>
      </c>
      <c r="AE122" s="142">
        <f t="shared" si="48"/>
        <v>0.66318097868276382</v>
      </c>
      <c r="AF122" s="141">
        <f t="shared" si="49"/>
        <v>-194440.5681382</v>
      </c>
      <c r="AG122" s="138">
        <f>AG99+AG107+AG115</f>
        <v>16734</v>
      </c>
      <c r="AH122" s="142">
        <f t="shared" si="50"/>
        <v>0.64123541471078493</v>
      </c>
      <c r="AI122" s="141">
        <f t="shared" si="51"/>
        <v>222850.18999999997</v>
      </c>
    </row>
    <row r="123" spans="1:35" x14ac:dyDescent="0.2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38">
        <f t="shared" ref="O123:Z123" si="53">O100+O108+O116</f>
        <v>0</v>
      </c>
      <c r="P123" s="138">
        <f t="shared" si="53"/>
        <v>0</v>
      </c>
      <c r="Q123" s="138">
        <f t="shared" si="53"/>
        <v>0</v>
      </c>
      <c r="R123" s="138">
        <f t="shared" si="53"/>
        <v>0</v>
      </c>
      <c r="S123" s="138">
        <f t="shared" si="53"/>
        <v>0</v>
      </c>
      <c r="T123" s="138">
        <f t="shared" si="53"/>
        <v>0</v>
      </c>
      <c r="U123" s="138">
        <f t="shared" si="53"/>
        <v>0</v>
      </c>
      <c r="V123" s="138">
        <f t="shared" si="53"/>
        <v>0</v>
      </c>
      <c r="W123" s="138">
        <f t="shared" si="53"/>
        <v>0</v>
      </c>
      <c r="X123" s="138">
        <f t="shared" si="53"/>
        <v>0</v>
      </c>
      <c r="Y123" s="138">
        <f t="shared" si="53"/>
        <v>0</v>
      </c>
      <c r="Z123" s="138">
        <f t="shared" si="53"/>
        <v>0</v>
      </c>
      <c r="AA123" s="138">
        <f t="shared" si="46"/>
        <v>0</v>
      </c>
      <c r="AB123" s="142" t="str">
        <f t="shared" si="47"/>
        <v/>
      </c>
      <c r="AC123" s="140"/>
      <c r="AD123" s="138">
        <f>AD100+AD108+AD116</f>
        <v>0</v>
      </c>
      <c r="AE123" s="142" t="str">
        <f t="shared" si="48"/>
        <v/>
      </c>
      <c r="AF123" s="141">
        <f t="shared" si="49"/>
        <v>0</v>
      </c>
      <c r="AG123" s="138">
        <f>AG100+AG108+AG116</f>
        <v>0</v>
      </c>
      <c r="AH123" s="142" t="str">
        <f t="shared" si="50"/>
        <v/>
      </c>
      <c r="AI123" s="141">
        <f t="shared" si="51"/>
        <v>0</v>
      </c>
    </row>
    <row r="124" spans="1:35" x14ac:dyDescent="0.2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38">
        <f t="shared" ref="O124:Z124" si="54">O101+O109+O117</f>
        <v>0</v>
      </c>
      <c r="P124" s="138">
        <f t="shared" si="54"/>
        <v>0</v>
      </c>
      <c r="Q124" s="138">
        <f t="shared" si="54"/>
        <v>0</v>
      </c>
      <c r="R124" s="138">
        <f t="shared" si="54"/>
        <v>0</v>
      </c>
      <c r="S124" s="138">
        <f t="shared" si="54"/>
        <v>0</v>
      </c>
      <c r="T124" s="138">
        <f t="shared" si="54"/>
        <v>0</v>
      </c>
      <c r="U124" s="138">
        <f t="shared" si="54"/>
        <v>0</v>
      </c>
      <c r="V124" s="138">
        <f t="shared" si="54"/>
        <v>0</v>
      </c>
      <c r="W124" s="138">
        <f t="shared" si="54"/>
        <v>0</v>
      </c>
      <c r="X124" s="138">
        <f t="shared" si="54"/>
        <v>0</v>
      </c>
      <c r="Y124" s="138">
        <f t="shared" si="54"/>
        <v>0</v>
      </c>
      <c r="Z124" s="138">
        <f t="shared" si="54"/>
        <v>0</v>
      </c>
      <c r="AA124" s="138">
        <f t="shared" si="46"/>
        <v>0</v>
      </c>
      <c r="AB124" s="142" t="str">
        <f t="shared" si="47"/>
        <v/>
      </c>
      <c r="AC124" s="140"/>
      <c r="AD124" s="138">
        <f>AD101+AD109+AD117</f>
        <v>0</v>
      </c>
      <c r="AE124" s="142" t="str">
        <f t="shared" si="48"/>
        <v/>
      </c>
      <c r="AF124" s="141">
        <f t="shared" si="49"/>
        <v>0</v>
      </c>
      <c r="AG124" s="138">
        <f>AG101+AG109+AG117</f>
        <v>0</v>
      </c>
      <c r="AH124" s="142" t="str">
        <f t="shared" si="50"/>
        <v/>
      </c>
      <c r="AI124" s="141">
        <f t="shared" si="51"/>
        <v>0</v>
      </c>
    </row>
    <row r="125" spans="1:35" x14ac:dyDescent="0.2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38">
        <f t="shared" ref="O125:Z125" si="55">O102+O110+O118</f>
        <v>0</v>
      </c>
      <c r="P125" s="138">
        <f t="shared" si="55"/>
        <v>0</v>
      </c>
      <c r="Q125" s="138">
        <f t="shared" si="55"/>
        <v>0</v>
      </c>
      <c r="R125" s="138">
        <f t="shared" si="55"/>
        <v>0</v>
      </c>
      <c r="S125" s="138">
        <f t="shared" si="55"/>
        <v>0</v>
      </c>
      <c r="T125" s="138">
        <f t="shared" si="55"/>
        <v>0</v>
      </c>
      <c r="U125" s="138">
        <f t="shared" si="55"/>
        <v>0</v>
      </c>
      <c r="V125" s="138">
        <f t="shared" si="55"/>
        <v>0</v>
      </c>
      <c r="W125" s="138">
        <f t="shared" si="55"/>
        <v>0</v>
      </c>
      <c r="X125" s="138">
        <f t="shared" si="55"/>
        <v>0</v>
      </c>
      <c r="Y125" s="138">
        <f t="shared" si="55"/>
        <v>0</v>
      </c>
      <c r="Z125" s="138">
        <f t="shared" si="55"/>
        <v>0</v>
      </c>
      <c r="AA125" s="138">
        <f t="shared" si="46"/>
        <v>0</v>
      </c>
      <c r="AB125" s="142" t="str">
        <f t="shared" si="47"/>
        <v/>
      </c>
      <c r="AC125" s="140"/>
      <c r="AD125" s="138">
        <f>AD102+AD110+AD118</f>
        <v>0</v>
      </c>
      <c r="AE125" s="142" t="str">
        <f t="shared" si="48"/>
        <v/>
      </c>
      <c r="AF125" s="141">
        <f t="shared" si="49"/>
        <v>0</v>
      </c>
      <c r="AG125" s="138">
        <f>AG102+AG110+AG118</f>
        <v>0</v>
      </c>
      <c r="AH125" s="142" t="str">
        <f t="shared" si="50"/>
        <v/>
      </c>
      <c r="AI125" s="141">
        <f t="shared" si="51"/>
        <v>0</v>
      </c>
    </row>
    <row r="126" spans="1:35" x14ac:dyDescent="0.2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2">
        <f t="shared" ref="O126:Z126" si="56">SUM(O121:O125)</f>
        <v>17257.919999999998</v>
      </c>
      <c r="P126" s="162">
        <f t="shared" si="56"/>
        <v>29180</v>
      </c>
      <c r="Q126" s="162">
        <f t="shared" si="56"/>
        <v>30235</v>
      </c>
      <c r="R126" s="162">
        <f t="shared" si="56"/>
        <v>28208.51</v>
      </c>
      <c r="S126" s="162">
        <f t="shared" si="56"/>
        <v>26812.66</v>
      </c>
      <c r="T126" s="162">
        <f t="shared" si="56"/>
        <v>17194.5</v>
      </c>
      <c r="U126" s="162">
        <f t="shared" si="56"/>
        <v>23252.5</v>
      </c>
      <c r="V126" s="162">
        <f t="shared" si="56"/>
        <v>14920.5</v>
      </c>
      <c r="W126" s="162">
        <f t="shared" si="56"/>
        <v>15009.4</v>
      </c>
      <c r="X126" s="162">
        <f t="shared" si="56"/>
        <v>13234</v>
      </c>
      <c r="Y126" s="162">
        <f t="shared" si="56"/>
        <v>14108.8</v>
      </c>
      <c r="Z126" s="162">
        <f t="shared" si="56"/>
        <v>10084.400000000001</v>
      </c>
      <c r="AA126" s="162">
        <f t="shared" si="46"/>
        <v>239498.18999999997</v>
      </c>
      <c r="AB126" s="163">
        <f t="shared" si="47"/>
        <v>0.6745292588078482</v>
      </c>
      <c r="AC126" s="140"/>
      <c r="AD126" s="162">
        <f>SUM(AD121:AD125)</f>
        <v>434024.75813819998</v>
      </c>
      <c r="AE126" s="163">
        <f t="shared" si="48"/>
        <v>0.66318097868276382</v>
      </c>
      <c r="AF126" s="164">
        <f t="shared" si="49"/>
        <v>-194526.5681382</v>
      </c>
      <c r="AG126" s="162">
        <f>SUM(AG121:AG125)</f>
        <v>16734</v>
      </c>
      <c r="AH126" s="163">
        <f t="shared" si="50"/>
        <v>0.64123541471078493</v>
      </c>
      <c r="AI126" s="164">
        <f t="shared" si="51"/>
        <v>222764.18999999997</v>
      </c>
    </row>
    <row r="127" spans="1:35" x14ac:dyDescent="0.2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2"/>
      <c r="AC127" s="140"/>
      <c r="AD127" s="511">
        <f>AD103+AD111+AD119-AD126</f>
        <v>0</v>
      </c>
      <c r="AE127" s="142"/>
      <c r="AF127" s="138"/>
      <c r="AG127" s="511">
        <f>AG103+AG111+AG119-AG126</f>
        <v>0</v>
      </c>
      <c r="AH127" s="142"/>
      <c r="AI127" s="138"/>
    </row>
    <row r="128" spans="1:35" x14ac:dyDescent="0.25">
      <c r="A128" s="11"/>
      <c r="B128" s="11"/>
      <c r="C128" s="208"/>
      <c r="D128" s="11"/>
      <c r="E128" s="11"/>
      <c r="F128" s="11"/>
      <c r="G128" s="11"/>
      <c r="H128" s="185"/>
      <c r="I128" s="122"/>
      <c r="J128" s="122"/>
      <c r="K128" s="11"/>
      <c r="L128" s="11"/>
      <c r="M128" s="11"/>
      <c r="N128" s="11"/>
      <c r="O128" s="170"/>
      <c r="P128" s="171"/>
      <c r="Q128" s="171"/>
      <c r="R128" s="171"/>
      <c r="S128" s="171"/>
      <c r="T128" s="171"/>
      <c r="U128" s="171"/>
      <c r="V128" s="171"/>
      <c r="W128" s="171"/>
      <c r="X128" s="171"/>
      <c r="Y128" s="171"/>
      <c r="Z128" s="171"/>
      <c r="AA128" s="171"/>
      <c r="AB128" s="172"/>
      <c r="AC128" s="140"/>
      <c r="AD128" s="170"/>
      <c r="AE128" s="171"/>
      <c r="AF128" s="172"/>
      <c r="AG128" s="170"/>
      <c r="AH128" s="171"/>
      <c r="AI128" s="172"/>
    </row>
    <row r="129" spans="1:35" ht="15.75" x14ac:dyDescent="0.2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2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38">
        <v>2095.84</v>
      </c>
      <c r="P130" s="138">
        <v>3764.95</v>
      </c>
      <c r="Q130" s="138"/>
      <c r="R130" s="138">
        <v>8817.52</v>
      </c>
      <c r="S130" s="138">
        <v>4040.45</v>
      </c>
      <c r="T130" s="138">
        <v>2344.1</v>
      </c>
      <c r="U130" s="138">
        <v>3002.4</v>
      </c>
      <c r="V130" s="138">
        <v>2202.14</v>
      </c>
      <c r="W130" s="138">
        <v>1597.15</v>
      </c>
      <c r="X130" s="138">
        <v>1250.81</v>
      </c>
      <c r="Y130" s="138">
        <v>1651.12</v>
      </c>
      <c r="Z130" s="138">
        <v>1630.19</v>
      </c>
      <c r="AA130" s="138">
        <f>SUM(O130:Z130)</f>
        <v>32396.670000000002</v>
      </c>
      <c r="AB130" s="458">
        <f>IF(_epmOfflineCondition_,0.277245152781632,IF(AA130=0,"",IFERROR(AA130/_xll.EVGTS($B$1,1,_xll.EVPRO($B$1,$H130,"COSBASIS"),$B$3,$B$5,$B$6,$B$7,$B$9,AA$16,AA$17,AA$11),"")))</f>
        <v>0.27724515278163198</v>
      </c>
      <c r="AC130" s="140"/>
      <c r="AD130" s="138">
        <v>60398.98</v>
      </c>
      <c r="AE130" s="458">
        <f>IF(_epmOfflineCondition_,0.273999993430543,IF(AD130=0,"",IFERROR(AD130/_xll.EVGTS($B$1,1,_xll.EVPRO($B$1,$H130,"COSBASIS"),$B$3,$B$5,$B$6,$B$7,$B$9,AD$16,AD$17,AD$18),"")))</f>
        <v>0.27399999343054299</v>
      </c>
      <c r="AF130" s="141">
        <f t="shared" ref="AF130:AF141" si="58">IF(AND($AA130="",AD130=""),"",$AA130-AD130)</f>
        <v>-28002.31</v>
      </c>
      <c r="AG130" s="138">
        <v>2602.91</v>
      </c>
      <c r="AH130" s="458">
        <f>IF(_epmOfflineCondition_,0.278014419225634,IF(AG130=0,"",IFERROR(AG130/_xll.EVGTS($B$1,1,_xll.EVPRO($B$1,$H130,"COSBASIS"),$B$3,$B$5,$B$6,$B$7,$B$9,AG$16,AG$17,AG$18),"")))</f>
        <v>0.27801441922563402</v>
      </c>
      <c r="AI130" s="141">
        <f t="shared" ref="AI130:AI141" si="59">IF(AND($AA130="",AG130=""),"",$AA130-AG130)</f>
        <v>29793.760000000002</v>
      </c>
    </row>
    <row r="131" spans="1:35" x14ac:dyDescent="0.2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v>0.27799973471282702</v>
      </c>
      <c r="P131" s="508">
        <v>0.27799970464446599</v>
      </c>
      <c r="Q131" s="508"/>
      <c r="R131" s="508">
        <v>0.56790498763396502</v>
      </c>
      <c r="S131" s="508">
        <v>0.27800751362360299</v>
      </c>
      <c r="T131" s="508">
        <v>0.278013662887234</v>
      </c>
      <c r="U131" s="508">
        <v>0.27800514824348599</v>
      </c>
      <c r="V131" s="508">
        <v>0.27399786240508001</v>
      </c>
      <c r="W131" s="508">
        <v>0.27400068622405199</v>
      </c>
      <c r="X131" s="508">
        <v>0.27400000000000002</v>
      </c>
      <c r="Y131" s="508">
        <v>0.27402207285702401</v>
      </c>
      <c r="Z131" s="508">
        <v>0.27399993276858903</v>
      </c>
      <c r="AA131" s="508">
        <v>0.27724515278163198</v>
      </c>
      <c r="AB131" s="458"/>
      <c r="AC131" s="140"/>
      <c r="AD131" s="508">
        <v>0.27399999343054299</v>
      </c>
      <c r="AE131" s="458"/>
      <c r="AF131" s="521">
        <f t="shared" si="58"/>
        <v>3.2451593510889887E-3</v>
      </c>
      <c r="AG131" s="508">
        <v>0.27801441922563402</v>
      </c>
      <c r="AH131" s="458"/>
      <c r="AI131" s="521">
        <f t="shared" si="59"/>
        <v>-7.6926644400204802E-4</v>
      </c>
    </row>
    <row r="132" spans="1:35" x14ac:dyDescent="0.2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38">
        <v>3394.64</v>
      </c>
      <c r="P132" s="138">
        <v>5735.54</v>
      </c>
      <c r="Q132" s="138"/>
      <c r="R132" s="138">
        <v>11516.74</v>
      </c>
      <c r="S132" s="138">
        <v>5280.56</v>
      </c>
      <c r="T132" s="138">
        <v>3188.79</v>
      </c>
      <c r="U132" s="138">
        <v>4598.84</v>
      </c>
      <c r="V132" s="138">
        <v>2980.97</v>
      </c>
      <c r="W132" s="138">
        <v>2996.04</v>
      </c>
      <c r="X132" s="138">
        <v>2669.68</v>
      </c>
      <c r="Y132" s="138">
        <v>2853.03</v>
      </c>
      <c r="Z132" s="138">
        <v>2026.24</v>
      </c>
      <c r="AA132" s="138">
        <f>SUM(O132:Z132)</f>
        <v>47241.07</v>
      </c>
      <c r="AB132" s="458">
        <f>IF(_epmOfflineCondition_,0.197250217214585,IF(AA132=0,"",IFERROR(AA132/_xll.EVGTS($B$1,1,_xll.EVPRO($B$1,$H132,"COSBASIS"),$B$3,$B$5,$B$6,$B$7,$B$9,AA$16,AA$17,AA$11),"")))</f>
        <v>0.19725021721458499</v>
      </c>
      <c r="AC132" s="140"/>
      <c r="AD132" s="138">
        <v>86007.27</v>
      </c>
      <c r="AE132" s="458">
        <f>IF(_epmOfflineCondition_,0.198162128743388,IF(AD132=0,"",IFERROR(AD132/_xll.EVGTS($B$1,1,_xll.EVPRO($B$1,$H132,"COSBASIS"),$B$3,$B$5,$B$6,$B$7,$B$9,AD$16,AD$17,AD$18),"")))</f>
        <v>0.19816212874338801</v>
      </c>
      <c r="AF132" s="141">
        <f t="shared" si="58"/>
        <v>-38766.200000000004</v>
      </c>
      <c r="AG132" s="138">
        <v>3290.69</v>
      </c>
      <c r="AH132" s="458">
        <f>IF(_epmOfflineCondition_,0.196646946336799,IF(AG132=0,"",IFERROR(AG132/_xll.EVGTS($B$1,1,_xll.EVPRO($B$1,$H132,"COSBASIS"),$B$3,$B$5,$B$6,$B$7,$B$9,AG$16,AG$17,AG$18),"")))</f>
        <v>0.19664694633679899</v>
      </c>
      <c r="AI132" s="141">
        <f t="shared" si="59"/>
        <v>43950.38</v>
      </c>
    </row>
    <row r="133" spans="1:35" x14ac:dyDescent="0.2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v>0.19670041349131301</v>
      </c>
      <c r="P133" s="508">
        <v>0.19655723098012301</v>
      </c>
      <c r="Q133" s="508"/>
      <c r="R133" s="508">
        <v>0.40827183002576201</v>
      </c>
      <c r="S133" s="508">
        <v>0.19694278747427499</v>
      </c>
      <c r="T133" s="508">
        <v>0.18545406961528399</v>
      </c>
      <c r="U133" s="508">
        <v>0.19777830340823599</v>
      </c>
      <c r="V133" s="508">
        <v>0.19979022150732201</v>
      </c>
      <c r="W133" s="508">
        <v>0.19961091049608901</v>
      </c>
      <c r="X133" s="508">
        <v>0.201728880157171</v>
      </c>
      <c r="Y133" s="508">
        <v>0.20221634724427301</v>
      </c>
      <c r="Z133" s="508">
        <v>0.20092816627662499</v>
      </c>
      <c r="AA133" s="508">
        <v>0.19725021721458499</v>
      </c>
      <c r="AB133" s="458"/>
      <c r="AC133" s="140"/>
      <c r="AD133" s="508">
        <v>0.19816212874338801</v>
      </c>
      <c r="AE133" s="458"/>
      <c r="AF133" s="521">
        <f t="shared" si="58"/>
        <v>-9.1191152880301662E-4</v>
      </c>
      <c r="AG133" s="508">
        <v>0.19664694633679899</v>
      </c>
      <c r="AH133" s="458"/>
      <c r="AI133" s="521">
        <f t="shared" si="59"/>
        <v>6.0327087778599964E-4</v>
      </c>
    </row>
    <row r="134" spans="1:35" x14ac:dyDescent="0.2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38">
        <v>2436.5300000000002</v>
      </c>
      <c r="P134" s="138">
        <v>4680.59</v>
      </c>
      <c r="Q134" s="138"/>
      <c r="R134" s="138">
        <v>9102.2199999999993</v>
      </c>
      <c r="S134" s="138">
        <v>4268.3599999999997</v>
      </c>
      <c r="T134" s="138">
        <v>2673.45</v>
      </c>
      <c r="U134" s="138">
        <v>3538.47</v>
      </c>
      <c r="V134" s="138">
        <v>2369.3200000000002</v>
      </c>
      <c r="W134" s="138">
        <v>2464.15</v>
      </c>
      <c r="X134" s="138">
        <v>1924.49</v>
      </c>
      <c r="Y134" s="138">
        <v>1965.67</v>
      </c>
      <c r="Z134" s="138">
        <v>1490.15</v>
      </c>
      <c r="AA134" s="138">
        <f>SUM(O134:Z134)</f>
        <v>36913.4</v>
      </c>
      <c r="AB134" s="458">
        <f>IF(_epmOfflineCondition_,0.195550515115044,IF(AA134=0,"",IFERROR(AA134/_xll.EVGTS($B$1,1,_xll.EVPRO($B$1,$H134,"COSBASIS"),$B$3,$B$5,$B$6,$B$7,$B$9,AA$16,AA$17,AA$11),"")))</f>
        <v>0.19555051511504401</v>
      </c>
      <c r="AC134" s="140"/>
      <c r="AD134" s="138">
        <v>70402.89</v>
      </c>
      <c r="AE134" s="458">
        <f>IF(_epmOfflineCondition_,0.193999996495752,IF(AD134=0,"",IFERROR(AD134/_xll.EVGTS($B$1,1,_xll.EVPRO($B$1,$H134,"COSBASIS"),$B$3,$B$5,$B$6,$B$7,$B$9,AD$16,AD$17,AD$18),"")))</f>
        <v>0.193999996495752</v>
      </c>
      <c r="AF134" s="141">
        <f t="shared" si="58"/>
        <v>-33489.49</v>
      </c>
      <c r="AG134" s="138">
        <v>2439.65</v>
      </c>
      <c r="AH134" s="458">
        <f>IF(_epmOfflineCondition_,0.19500039964831,IF(AG134=0,"",IFERROR(AG134/_xll.EVGTS($B$1,1,_xll.EVPRO($B$1,$H134,"COSBASIS"),$B$3,$B$5,$B$6,$B$7,$B$9,AG$16,AG$17,AG$18),"")))</f>
        <v>0.19500039964831001</v>
      </c>
      <c r="AI134" s="141">
        <f t="shared" si="59"/>
        <v>34473.75</v>
      </c>
    </row>
    <row r="135" spans="1:35" x14ac:dyDescent="0.2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v>0.19500040016006401</v>
      </c>
      <c r="P135" s="508">
        <v>0.195000208307295</v>
      </c>
      <c r="Q135" s="508"/>
      <c r="R135" s="508">
        <v>0.40849168248998902</v>
      </c>
      <c r="S135" s="508">
        <v>0.195003257394468</v>
      </c>
      <c r="T135" s="508">
        <v>0.194994310888085</v>
      </c>
      <c r="U135" s="508">
        <v>0.19500537323303299</v>
      </c>
      <c r="V135" s="508">
        <v>0.19700827339624999</v>
      </c>
      <c r="W135" s="508">
        <v>0.19699961625787499</v>
      </c>
      <c r="X135" s="508">
        <v>0.19699969290613201</v>
      </c>
      <c r="Y135" s="508">
        <v>0.196992503808226</v>
      </c>
      <c r="Z135" s="508">
        <v>0.19700034372438599</v>
      </c>
      <c r="AA135" s="508">
        <v>0.19555051511504401</v>
      </c>
      <c r="AB135" s="458"/>
      <c r="AC135" s="140"/>
      <c r="AD135" s="508">
        <v>0.193999996495752</v>
      </c>
      <c r="AE135" s="458"/>
      <c r="AF135" s="521">
        <f t="shared" si="58"/>
        <v>1.5505186192920073E-3</v>
      </c>
      <c r="AG135" s="508">
        <v>0.19500039964831001</v>
      </c>
      <c r="AH135" s="458"/>
      <c r="AI135" s="521">
        <f t="shared" si="59"/>
        <v>5.5011546673400247E-4</v>
      </c>
    </row>
    <row r="136" spans="1:35" x14ac:dyDescent="0.2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38">
        <v>410.55</v>
      </c>
      <c r="P136" s="138">
        <v>636.09</v>
      </c>
      <c r="Q136" s="138"/>
      <c r="R136" s="138">
        <v>1682.1</v>
      </c>
      <c r="S136" s="138">
        <v>728.28</v>
      </c>
      <c r="T136" s="138">
        <v>515.34</v>
      </c>
      <c r="U136" s="138">
        <v>903</v>
      </c>
      <c r="V136" s="138">
        <v>525.84</v>
      </c>
      <c r="W136" s="138">
        <v>416.12</v>
      </c>
      <c r="X136" s="138">
        <v>480.28</v>
      </c>
      <c r="Y136" s="138">
        <v>582.27</v>
      </c>
      <c r="Z136" s="138">
        <v>418</v>
      </c>
      <c r="AA136" s="138">
        <f>SUM(O136:Z136)</f>
        <v>7297.869999999999</v>
      </c>
      <c r="AB136" s="458">
        <f>IF(_epmOfflineCondition_,0.209671552769334,IF(AA136=0,"",IFERROR(AA136/_xll.EVGTS($B$1,1,_xll.EVPRO($B$1,$H136,"COSBASIS"),$B$3,$B$5,$B$6,$B$7,$B$9,AA$16,AA$17,AA$11),"")))</f>
        <v>0.209671552769334</v>
      </c>
      <c r="AC136" s="140"/>
      <c r="AD136" s="138">
        <v>6276.94</v>
      </c>
      <c r="AE136" s="458">
        <f>IF(_epmOfflineCondition_,0.209000132702844,IF(AD136=0,"",IFERROR(AD136/_xll.EVGTS($B$1,1,_xll.EVPRO($B$1,$H136,"COSBASIS"),$B$3,$B$5,$B$6,$B$7,$B$9,AD$16,AD$17,AD$18),"")))</f>
        <v>0.20900013270284401</v>
      </c>
      <c r="AF136" s="141">
        <f t="shared" si="58"/>
        <v>1020.9299999999994</v>
      </c>
      <c r="AG136" s="138">
        <v>385.77</v>
      </c>
      <c r="AH136" s="458">
        <f>IF(_epmOfflineCondition_,0.21,IF(AG136=0,"",IFERROR(AG136/_xll.EVGTS($B$1,1,_xll.EVPRO($B$1,$H136,"COSBASIS"),$B$3,$B$5,$B$6,$B$7,$B$9,AG$16,AG$17,AG$18),"")))</f>
        <v>0.21</v>
      </c>
      <c r="AI136" s="141">
        <f t="shared" si="59"/>
        <v>6912.0999999999985</v>
      </c>
    </row>
    <row r="137" spans="1:35" x14ac:dyDescent="0.2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v>0.21</v>
      </c>
      <c r="P137" s="508">
        <v>0.21</v>
      </c>
      <c r="Q137" s="508"/>
      <c r="R137" s="508">
        <v>0.39879089615931701</v>
      </c>
      <c r="S137" s="508">
        <v>0.21002422424731801</v>
      </c>
      <c r="T137" s="508">
        <v>0.210034235409195</v>
      </c>
      <c r="U137" s="508">
        <v>0.21</v>
      </c>
      <c r="V137" s="508">
        <v>0.20899841017488099</v>
      </c>
      <c r="W137" s="508">
        <v>0.209000502260171</v>
      </c>
      <c r="X137" s="508">
        <v>0.20899912967798101</v>
      </c>
      <c r="Y137" s="508">
        <v>0.208998564249821</v>
      </c>
      <c r="Z137" s="508">
        <v>0.20899999999999999</v>
      </c>
      <c r="AA137" s="508">
        <v>0.209671552769334</v>
      </c>
      <c r="AB137" s="458"/>
      <c r="AC137" s="140"/>
      <c r="AD137" s="508">
        <v>0.20900013270284401</v>
      </c>
      <c r="AE137" s="458"/>
      <c r="AF137" s="521">
        <f t="shared" si="58"/>
        <v>6.7142006648998609E-4</v>
      </c>
      <c r="AG137" s="508">
        <v>0.21</v>
      </c>
      <c r="AH137" s="458"/>
      <c r="AI137" s="521">
        <f t="shared" si="59"/>
        <v>-3.2844723066599579E-4</v>
      </c>
    </row>
    <row r="138" spans="1:35" x14ac:dyDescent="0.2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38">
        <v>547.55999999999995</v>
      </c>
      <c r="P138" s="138">
        <v>418.86</v>
      </c>
      <c r="Q138" s="138"/>
      <c r="R138" s="138">
        <v>732.42</v>
      </c>
      <c r="S138" s="138">
        <v>283.92</v>
      </c>
      <c r="T138" s="138"/>
      <c r="U138" s="138">
        <v>157.37</v>
      </c>
      <c r="V138" s="138">
        <v>85.81</v>
      </c>
      <c r="W138" s="138">
        <v>115.77</v>
      </c>
      <c r="X138" s="138">
        <v>264.91000000000003</v>
      </c>
      <c r="Y138" s="138">
        <v>305.08999999999997</v>
      </c>
      <c r="Z138" s="138">
        <v>118.09</v>
      </c>
      <c r="AA138" s="138">
        <f>SUM(O138:Z138)</f>
        <v>3029.8</v>
      </c>
      <c r="AB138" s="458">
        <f>IF(_epmOfflineCondition_,0.190249299547516,IF(AA138=0,"",IFERROR(AA138/_xll.EVGTS($B$1,1,_xll.EVPRO($B$1,$H138,"COSBASIS"),$B$3,$B$5,$B$6,$B$7,$B$9,AA$16,AA$17,AA$11),"")))</f>
        <v>0.19024929954751599</v>
      </c>
      <c r="AC138" s="140"/>
      <c r="AD138" s="138">
        <v>9327.44</v>
      </c>
      <c r="AE138" s="458">
        <f>IF(_epmOfflineCondition_,0.226999856295066,IF(AD138=0,"",IFERROR(AD138/_xll.EVGTS($B$1,1,_xll.EVPRO($B$1,$H138,"COSBASIS"),$B$3,$B$5,$B$6,$B$7,$B$9,AD$16,AD$17,AD$18),"")))</f>
        <v>0.226999856295066</v>
      </c>
      <c r="AF138" s="141">
        <f t="shared" si="58"/>
        <v>-6297.64</v>
      </c>
      <c r="AG138" s="138">
        <v>465.27</v>
      </c>
      <c r="AH138" s="458">
        <f>IF(_epmOfflineCondition_,0.195,IF(AG138=0,"",IFERROR(AG138/_xll.EVGTS($B$1,1,_xll.EVPRO($B$1,$H138,"COSBASIS"),$B$3,$B$5,$B$6,$B$7,$B$9,AG$16,AG$17,AG$18),"")))</f>
        <v>0.19500000000000001</v>
      </c>
      <c r="AI138" s="141">
        <f t="shared" si="59"/>
        <v>2564.5300000000002</v>
      </c>
    </row>
    <row r="139" spans="1:35" x14ac:dyDescent="0.2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v>0.19500555571383801</v>
      </c>
      <c r="P139" s="508">
        <v>0.19500000000000001</v>
      </c>
      <c r="Q139" s="508"/>
      <c r="R139" s="508">
        <v>0.42881733021077301</v>
      </c>
      <c r="S139" s="508">
        <v>0.194946443284812</v>
      </c>
      <c r="T139" s="508"/>
      <c r="U139" s="508">
        <v>0.19500619578686501</v>
      </c>
      <c r="V139" s="508">
        <v>0.227010582010582</v>
      </c>
      <c r="W139" s="508">
        <v>0.22700000000000001</v>
      </c>
      <c r="X139" s="508">
        <v>0.22700085689802901</v>
      </c>
      <c r="Y139" s="508">
        <v>0.22693394822969401</v>
      </c>
      <c r="Z139" s="508">
        <v>0.22700884275278699</v>
      </c>
      <c r="AA139" s="508">
        <v>0.19024929954751599</v>
      </c>
      <c r="AB139" s="458"/>
      <c r="AC139" s="140"/>
      <c r="AD139" s="508">
        <v>0.226999856295066</v>
      </c>
      <c r="AE139" s="458"/>
      <c r="AF139" s="521">
        <f t="shared" si="58"/>
        <v>-3.6750556747550012E-2</v>
      </c>
      <c r="AG139" s="508">
        <v>0.19500000000000001</v>
      </c>
      <c r="AH139" s="458"/>
      <c r="AI139" s="521">
        <f t="shared" si="59"/>
        <v>-4.7507004524840191E-3</v>
      </c>
    </row>
    <row r="140" spans="1:35" x14ac:dyDescent="0.2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38">
        <v>5490.48</v>
      </c>
      <c r="P140" s="138">
        <v>9500.49</v>
      </c>
      <c r="Q140" s="138"/>
      <c r="R140" s="138">
        <v>20334.259999999998</v>
      </c>
      <c r="S140" s="138">
        <v>9321.01</v>
      </c>
      <c r="T140" s="138">
        <v>5532.89</v>
      </c>
      <c r="U140" s="138">
        <v>7601.24</v>
      </c>
      <c r="V140" s="138">
        <v>5183.1099999999997</v>
      </c>
      <c r="W140" s="138">
        <v>4593.1899999999996</v>
      </c>
      <c r="X140" s="138">
        <v>3920.49</v>
      </c>
      <c r="Y140" s="138">
        <v>4504.1499999999996</v>
      </c>
      <c r="Z140" s="138">
        <v>3656.43</v>
      </c>
      <c r="AA140" s="138">
        <f>SUM(O140:Z140)</f>
        <v>79637.739999999991</v>
      </c>
      <c r="AB140" s="458">
        <f>IF(_epmOfflineCondition_,0.224293911095245,IF(AA140=0,"",IFERROR(AA140/_xll.EVGTS($B$1,1,_xll.EVPRO($B$1,$H140,"COSBASIS"),$B$3,$B$5,$B$6,$B$7,$B$9,AA$16,AA$17,AA$11),"")))</f>
        <v>0.22429391109524499</v>
      </c>
      <c r="AC140" s="140"/>
      <c r="AD140" s="138">
        <v>146406.25</v>
      </c>
      <c r="AE140" s="458">
        <f>IF(_epmOfflineCondition_,0.223705764106105,IF(AD140=0,"",IFERROR(AD140/_xll.EVGTS($B$1,1,_xll.EVPRO($B$1,$H140,"COSBASIS"),$B$3,$B$5,$B$6,$B$7,$B$9,AD$16,AD$17,AD$18),"")))</f>
        <v>0.22370576410610499</v>
      </c>
      <c r="AF140" s="141">
        <f t="shared" si="58"/>
        <v>-66768.510000000009</v>
      </c>
      <c r="AG140" s="138">
        <v>5893.6</v>
      </c>
      <c r="AH140" s="458">
        <f>IF(_epmOfflineCondition_,0.225838714003794,IF(AG140=0,"",IFERROR(AG140/_xll.EVGTS($B$1,1,_xll.EVPRO($B$1,$H140,"COSBASIS"),$B$3,$B$5,$B$6,$B$7,$B$9,AG$16,AG$17,AG$18),"")))</f>
        <v>0.22583871400379399</v>
      </c>
      <c r="AI140" s="141">
        <f t="shared" si="59"/>
        <v>73744.139999999985</v>
      </c>
    </row>
    <row r="141" spans="1:35" x14ac:dyDescent="0.25">
      <c r="A141" s="11"/>
      <c r="B141" s="11"/>
      <c r="C141" s="208"/>
      <c r="D141" s="11"/>
      <c r="E141" s="11"/>
      <c r="F141" s="11"/>
      <c r="G141" s="11"/>
      <c r="H141" s="185"/>
      <c r="I141" s="122"/>
      <c r="J141" s="122"/>
      <c r="K141" s="11"/>
      <c r="L141" s="90"/>
      <c r="M141" s="90"/>
      <c r="N141" s="493" t="s">
        <v>762</v>
      </c>
      <c r="O141" s="508">
        <f t="shared" ref="O141:AA141" si="60">IFERROR(O140/O85,"")</f>
        <v>0.22171287905953499</v>
      </c>
      <c r="P141" s="508">
        <f t="shared" si="60"/>
        <v>0.22250360320145093</v>
      </c>
      <c r="Q141" s="508">
        <f t="shared" si="60"/>
        <v>0</v>
      </c>
      <c r="R141" s="508">
        <f t="shared" si="60"/>
        <v>0.4665227089081434</v>
      </c>
      <c r="S141" s="508">
        <f t="shared" si="60"/>
        <v>0.22798908510458232</v>
      </c>
      <c r="T141" s="508">
        <f t="shared" si="60"/>
        <v>0.21599267648080703</v>
      </c>
      <c r="U141" s="508">
        <f t="shared" si="60"/>
        <v>0.22375864384347574</v>
      </c>
      <c r="V141" s="508">
        <f t="shared" si="60"/>
        <v>0.22590125408927944</v>
      </c>
      <c r="W141" s="508">
        <f t="shared" si="60"/>
        <v>0.22041951397420145</v>
      </c>
      <c r="X141" s="508">
        <f t="shared" si="60"/>
        <v>0.22089507668383271</v>
      </c>
      <c r="Y141" s="508">
        <f t="shared" si="60"/>
        <v>0.22467703751442841</v>
      </c>
      <c r="Z141" s="508">
        <f t="shared" si="60"/>
        <v>0.23323486655316725</v>
      </c>
      <c r="AA141" s="508">
        <f t="shared" si="60"/>
        <v>0.22429391109524513</v>
      </c>
      <c r="AB141" s="458"/>
      <c r="AC141" s="140"/>
      <c r="AD141" s="508">
        <f>IFERROR(AD140/AD85,"")</f>
        <v>0.22370576410610488</v>
      </c>
      <c r="AE141" s="458"/>
      <c r="AF141" s="521">
        <f t="shared" si="58"/>
        <v>5.8814698914025354E-4</v>
      </c>
      <c r="AG141" s="508">
        <f>IFERROR(AG140/AG85,"")</f>
        <v>0.22583871400379363</v>
      </c>
      <c r="AH141" s="458"/>
      <c r="AI141" s="521">
        <f t="shared" si="59"/>
        <v>-1.5448029085484982E-3</v>
      </c>
    </row>
    <row r="142" spans="1:35" x14ac:dyDescent="0.2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2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2"/>
      <c r="AC143" s="140"/>
      <c r="AD143" s="511">
        <f>AD39+AD49+AD59+AD69+AD79+AD83-AD85</f>
        <v>0</v>
      </c>
      <c r="AE143" s="142"/>
      <c r="AF143" s="138"/>
      <c r="AG143" s="511">
        <f>AG39+AG49+AG59+AG69+AG79+AG83-AG85</f>
        <v>0</v>
      </c>
      <c r="AH143" s="142"/>
      <c r="AI143" s="138"/>
    </row>
    <row r="144" spans="1:35" x14ac:dyDescent="0.2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2"/>
      <c r="AC144" s="140"/>
      <c r="AD144" s="511">
        <f>AD41+AD51+AD61+AD71+AD80-AD87</f>
        <v>0</v>
      </c>
      <c r="AE144" s="142"/>
      <c r="AF144" s="138"/>
      <c r="AG144" s="511">
        <f>AG41+AG51+AG61+AG71+AG80-AG87</f>
        <v>0</v>
      </c>
      <c r="AH144" s="142"/>
      <c r="AI144" s="138"/>
    </row>
    <row r="145" spans="1:35" x14ac:dyDescent="0.25">
      <c r="A145" s="11"/>
      <c r="B145" s="11"/>
      <c r="C145" s="208"/>
      <c r="D145" s="11"/>
      <c r="E145" s="11"/>
      <c r="F145" s="11"/>
      <c r="G145" s="11"/>
      <c r="H145" s="185"/>
      <c r="I145" s="122"/>
      <c r="J145" s="122"/>
      <c r="K145" s="11"/>
      <c r="L145" s="11"/>
      <c r="M145" s="11"/>
      <c r="N145" s="104" t="str">
        <f>N88&amp;" - Check"</f>
        <v>Total Average Check - Check</v>
      </c>
      <c r="O145" s="510">
        <f t="shared" ref="O145:AA145" si="63">IFERROR(O$85/O87,"")-O88</f>
        <v>0</v>
      </c>
      <c r="P145" s="510">
        <f t="shared" si="63"/>
        <v>-2.8421709430404007E-14</v>
      </c>
      <c r="Q145" s="510">
        <f t="shared" si="63"/>
        <v>0</v>
      </c>
      <c r="R145" s="510">
        <f t="shared" si="63"/>
        <v>0</v>
      </c>
      <c r="S145" s="510">
        <f t="shared" si="63"/>
        <v>0</v>
      </c>
      <c r="T145" s="510">
        <f t="shared" si="63"/>
        <v>-2.8421709430404007E-14</v>
      </c>
      <c r="U145" s="510">
        <f t="shared" si="63"/>
        <v>3.5527136788005009E-14</v>
      </c>
      <c r="V145" s="510">
        <f t="shared" si="63"/>
        <v>0</v>
      </c>
      <c r="W145" s="510">
        <f t="shared" si="63"/>
        <v>0</v>
      </c>
      <c r="X145" s="510">
        <f t="shared" si="63"/>
        <v>0</v>
      </c>
      <c r="Y145" s="510">
        <f t="shared" si="63"/>
        <v>0</v>
      </c>
      <c r="Z145" s="510">
        <f t="shared" si="63"/>
        <v>-5.6843418860808015E-14</v>
      </c>
      <c r="AA145" s="510">
        <f t="shared" si="63"/>
        <v>0</v>
      </c>
      <c r="AB145" s="142"/>
      <c r="AC145" s="140"/>
      <c r="AD145" s="510">
        <f>IFERROR(AD$85/AD87,"")-AD88</f>
        <v>0</v>
      </c>
      <c r="AE145" s="142"/>
      <c r="AF145" s="138"/>
      <c r="AG145" s="510">
        <f>IFERROR(AG$85/AG87,"")-AG88</f>
        <v>0</v>
      </c>
      <c r="AH145" s="142"/>
      <c r="AI145" s="138"/>
    </row>
    <row r="146" spans="1:35" x14ac:dyDescent="0.2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2"/>
      <c r="AC146" s="140"/>
      <c r="AD146" s="511">
        <f>(AD130+AD132)-AD140</f>
        <v>0</v>
      </c>
      <c r="AE146" s="142"/>
      <c r="AF146" s="138"/>
      <c r="AG146" s="511">
        <f>(AG130+AG132)-AG140</f>
        <v>0</v>
      </c>
      <c r="AH146" s="142"/>
      <c r="AI146" s="138"/>
    </row>
    <row r="147" spans="1:35" x14ac:dyDescent="0.2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2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2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2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2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Vbnfejr9cofMLe7CyMER1soQ3tP+KE5OOGHSzUd+Q/vegywe9WJ+EqZ7zUrK+B0dZkzC32wmJ6bddneaJqAuiA==" saltValue="unse08r22Hhy4dQIM18uDQ==" spinCount="100000" sheet="1" scenarios="1"/>
  <mergeCells count="2">
    <mergeCell ref="AD31:AE31"/>
    <mergeCell ref="AG31:AH31"/>
  </mergeCells>
  <conditionalFormatting sqref="AD43 AF43:AG43 O43:AA43">
    <cfRule type="expression" dxfId="140" priority="15">
      <formula>ROUND(O42,2)&lt;&gt;ROUND(O43,2)</formula>
    </cfRule>
  </conditionalFormatting>
  <conditionalFormatting sqref="N43">
    <cfRule type="expression" dxfId="139" priority="14">
      <formula>$G43&lt;&gt;0</formula>
    </cfRule>
  </conditionalFormatting>
  <conditionalFormatting sqref="O53:AA53 AD53 AF53:AG53">
    <cfRule type="expression" dxfId="138" priority="13">
      <formula>ROUND(O52,2)&lt;&gt;ROUND(O53,2)</formula>
    </cfRule>
  </conditionalFormatting>
  <conditionalFormatting sqref="N53">
    <cfRule type="expression" dxfId="137" priority="12">
      <formula>$G53&lt;&gt;0</formula>
    </cfRule>
  </conditionalFormatting>
  <conditionalFormatting sqref="O63:AA63 AD63 AF63:AG63">
    <cfRule type="expression" dxfId="136" priority="11">
      <formula>ROUND(O62,2)&lt;&gt;ROUND(O63,2)</formula>
    </cfRule>
  </conditionalFormatting>
  <conditionalFormatting sqref="N63">
    <cfRule type="expression" dxfId="135" priority="10">
      <formula>$G63&lt;&gt;0</formula>
    </cfRule>
  </conditionalFormatting>
  <conditionalFormatting sqref="O73:AA73 AD73 AF73:AG73">
    <cfRule type="expression" dxfId="134" priority="9">
      <formula>ROUND(O72,2)&lt;&gt;ROUND(O73,2)</formula>
    </cfRule>
  </conditionalFormatting>
  <conditionalFormatting sqref="N73">
    <cfRule type="expression" dxfId="133" priority="8">
      <formula>$G73&lt;&gt;0</formula>
    </cfRule>
  </conditionalFormatting>
  <conditionalFormatting sqref="N82">
    <cfRule type="expression" dxfId="132" priority="7">
      <formula>$G82&lt;&gt;0</formula>
    </cfRule>
  </conditionalFormatting>
  <conditionalFormatting sqref="AD82 AF82:AG82 O82:AA82">
    <cfRule type="expression" dxfId="131" priority="6">
      <formula>ROUND(O81,2)&lt;&gt;ROUND(O82,2)</formula>
    </cfRule>
  </conditionalFormatting>
  <conditionalFormatting sqref="AI43">
    <cfRule type="expression" dxfId="130" priority="5">
      <formula>ROUND(AI42,2)&lt;&gt;ROUND(AI43,2)</formula>
    </cfRule>
  </conditionalFormatting>
  <conditionalFormatting sqref="AI53">
    <cfRule type="expression" dxfId="129" priority="4">
      <formula>ROUND(AI52,2)&lt;&gt;ROUND(AI53,2)</formula>
    </cfRule>
  </conditionalFormatting>
  <conditionalFormatting sqref="AI63">
    <cfRule type="expression" dxfId="128" priority="3">
      <formula>ROUND(AI62,2)&lt;&gt;ROUND(AI63,2)</formula>
    </cfRule>
  </conditionalFormatting>
  <conditionalFormatting sqref="AI73">
    <cfRule type="expression" dxfId="127" priority="2">
      <formula>ROUND(AI72,2)&lt;&gt;ROUND(AI73,2)</formula>
    </cfRule>
  </conditionalFormatting>
  <conditionalFormatting sqref="AI82">
    <cfRule type="expression" dxfId="126" priority="1">
      <formula>ROUND(AI81,2)&lt;&gt;ROUND(AI82,2)</formula>
    </cfRule>
  </conditionalFormatting>
  <dataValidations disablePrompts="1" count="2">
    <dataValidation type="list" allowBlank="1" sqref="B28" xr:uid="{00000000-0002-0000-0A00-000000000000}">
      <formula1>"ACCOUNT,BUSINESSUNIT,CATEGORY,DATASRC,DEPARTMENT,INTCO,MEASURES,RPTCURRENCY,TIME"</formula1>
    </dataValidation>
    <dataValidation type="list" allowBlank="1" sqref="B29" xr:uid="{00000000-0002-0000-0A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3">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732</v>
      </c>
      <c r="C6" s="11" t="str">
        <f>IF(_epmOfflineCondition_,"Venue 3",_xll.EVDES(B6,$B$1))</f>
        <v>Venue 3</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IF(_epmOfflineCondition_,"'Venue3'!$B$2:$B$10",_xll.EVRNG($B$2:$B$10))</f>
        <v>'Venue3'!$B$2:$B$10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IF(_epmOfflineCondition_,"'Venue3'!$O$16:$AN$18",_xll.EVRNG($O$16:$AN$18))</f>
        <v>'Venue3'!$O$16:$AN$18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IF(_epmOfflineCondition_,"'Venue3'!$H$35:$H$58",_xll.EVRNG(H35:H58))</f>
        <v>'Venue3'!$H$35:$H$58</v>
      </c>
      <c r="C19" s="11"/>
      <c r="D19" s="11"/>
      <c r="E19" s="11"/>
      <c r="F19" s="11"/>
      <c r="G19" s="67" t="str">
        <f>$B$6</f>
        <v>D2142</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25">
      <c r="A20" s="65" t="s">
        <v>5</v>
      </c>
      <c r="B20" s="66"/>
      <c r="C20" s="11"/>
      <c r="D20" s="11"/>
      <c r="E20" s="11"/>
      <c r="F20" s="11"/>
      <c r="G20" s="67" t="str">
        <f>$B$6</f>
        <v>D2142</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IF(_epmOfflineCondition_,"'Venue3'!$A$36:$F$44",_xll.EVRNG(A36:F44))</f>
        <v>'Venue3'!$A$36:$F$44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IF(_epmOfflineCondition_,"'Venue3'!$A$125:$B$146",_xll.EVRNG($A$125:$B$146))</f>
        <v>'Venue3'!$A$125:$B$146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IF(_epmOfflineCondition_,"Venue 3 Department",IF($N$1="",IF(_xll.EVDES(B6,$B$1)="#NODATA","",_xll.EVDES(B6,$B$1)&amp;" Department"),$N$1))</f>
        <v>Venue 3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57"/>
      <c r="P35" s="210"/>
      <c r="Q35" s="210"/>
      <c r="R35" s="210"/>
      <c r="S35" s="210"/>
      <c r="T35" s="210"/>
      <c r="U35" s="210"/>
      <c r="V35" s="210"/>
      <c r="W35" s="210"/>
      <c r="X35" s="210"/>
      <c r="Y35" s="210"/>
      <c r="Z35" s="210"/>
      <c r="AA35" s="210">
        <f t="shared" ref="AA35:AA58" si="1">IF($I35="B1","",SUM(O35:Z35))</f>
        <v>0</v>
      </c>
      <c r="AB35" s="458" t="str">
        <f t="shared" ref="AB35:AB58" si="2">IF(AA35=0,"",IFERROR(AA35/AA$19,""))</f>
        <v/>
      </c>
      <c r="AC35" s="528"/>
      <c r="AD35" s="210"/>
      <c r="AE35" s="458" t="str">
        <f t="shared" ref="AE35:AE58" si="3">IF(AD35=0,"",IFERROR(AD35/AD$19,""))</f>
        <v/>
      </c>
      <c r="AF35" s="460">
        <f t="shared" ref="AF35:AF58" si="4">IF(AND($AA35="",AD35=""),"",$AA35-AD35)</f>
        <v>0</v>
      </c>
      <c r="AG35" s="210"/>
      <c r="AH35" s="458" t="str">
        <f t="shared" ref="AH35:AH58" si="5">IF(AG35=0,"",IFERROR(AG35/AG$19,""))</f>
        <v/>
      </c>
      <c r="AI35" s="461">
        <f t="shared" ref="AI35:AI58" si="6">IF(AND($AA35="",AG35=""),"",$AA35-AG35)</f>
        <v>0</v>
      </c>
      <c r="AJ35" s="462">
        <f t="shared" ref="AJ35:AJ58" si="7">IFERROR(AA35/AA$20,0)</f>
        <v>0</v>
      </c>
      <c r="AK35" s="463">
        <f t="shared" ref="AK35:AK58" si="8">IFERROR(AD35/AD$20,0)</f>
        <v>0</v>
      </c>
      <c r="AL35" s="464">
        <f t="shared" ref="AL35:AL58" si="9">IFERROR(AG35/AG$20,0)</f>
        <v>0</v>
      </c>
      <c r="AM35" s="465">
        <f t="shared" ref="AM35:AM58" si="10">+IFERROR(ROUND(($AB35-AE35)*100,2)&amp;" pts.",0)</f>
        <v>0</v>
      </c>
      <c r="AN35" s="466">
        <f t="shared" ref="AN35:AN58" si="11">+IFERROR(ROUND(($AB35-AH35)*100,2)&amp;" pts.",0)</f>
        <v>0</v>
      </c>
      <c r="AO35" s="11"/>
    </row>
    <row r="36" spans="1:41" x14ac:dyDescent="0.2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57"/>
      <c r="P36" s="210"/>
      <c r="Q36" s="210"/>
      <c r="R36" s="210"/>
      <c r="S36" s="210"/>
      <c r="T36" s="210"/>
      <c r="U36" s="210"/>
      <c r="V36" s="210"/>
      <c r="W36" s="210"/>
      <c r="X36" s="210"/>
      <c r="Y36" s="210"/>
      <c r="Z36" s="210"/>
      <c r="AA36" s="210">
        <f t="shared" si="1"/>
        <v>0</v>
      </c>
      <c r="AB36" s="458" t="str">
        <f t="shared" si="2"/>
        <v/>
      </c>
      <c r="AC36" s="528"/>
      <c r="AD36" s="210"/>
      <c r="AE36" s="458" t="str">
        <f t="shared" si="3"/>
        <v/>
      </c>
      <c r="AF36" s="460">
        <f t="shared" si="4"/>
        <v>0</v>
      </c>
      <c r="AG36" s="210"/>
      <c r="AH36" s="458" t="str">
        <f t="shared" si="5"/>
        <v/>
      </c>
      <c r="AI36" s="461">
        <f t="shared" si="6"/>
        <v>0</v>
      </c>
      <c r="AJ36" s="462">
        <f t="shared" si="7"/>
        <v>0</v>
      </c>
      <c r="AK36" s="463">
        <f t="shared" si="8"/>
        <v>0</v>
      </c>
      <c r="AL36" s="464">
        <f t="shared" si="9"/>
        <v>0</v>
      </c>
      <c r="AM36" s="465">
        <f t="shared" si="10"/>
        <v>0</v>
      </c>
      <c r="AN36" s="466">
        <f t="shared" si="11"/>
        <v>0</v>
      </c>
      <c r="AO36" s="11"/>
    </row>
    <row r="37" spans="1:41" x14ac:dyDescent="0.2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57"/>
      <c r="P37" s="210"/>
      <c r="Q37" s="210"/>
      <c r="R37" s="210"/>
      <c r="S37" s="210"/>
      <c r="T37" s="210"/>
      <c r="U37" s="210"/>
      <c r="V37" s="210"/>
      <c r="W37" s="210"/>
      <c r="X37" s="210"/>
      <c r="Y37" s="210"/>
      <c r="Z37" s="210"/>
      <c r="AA37" s="210">
        <f t="shared" si="1"/>
        <v>0</v>
      </c>
      <c r="AB37" s="458" t="str">
        <f t="shared" si="2"/>
        <v/>
      </c>
      <c r="AC37" s="528"/>
      <c r="AD37" s="210"/>
      <c r="AE37" s="458" t="str">
        <f t="shared" si="3"/>
        <v/>
      </c>
      <c r="AF37" s="460">
        <f t="shared" si="4"/>
        <v>0</v>
      </c>
      <c r="AG37" s="210"/>
      <c r="AH37" s="458" t="str">
        <f t="shared" si="5"/>
        <v/>
      </c>
      <c r="AI37" s="461">
        <f t="shared" si="6"/>
        <v>0</v>
      </c>
      <c r="AJ37" s="462">
        <f t="shared" si="7"/>
        <v>0</v>
      </c>
      <c r="AK37" s="463">
        <f t="shared" si="8"/>
        <v>0</v>
      </c>
      <c r="AL37" s="464">
        <f t="shared" si="9"/>
        <v>0</v>
      </c>
      <c r="AM37" s="465">
        <f t="shared" si="10"/>
        <v>0</v>
      </c>
      <c r="AN37" s="466">
        <f t="shared" si="11"/>
        <v>0</v>
      </c>
      <c r="AO37" s="11"/>
    </row>
    <row r="38" spans="1:41" x14ac:dyDescent="0.2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57"/>
      <c r="P38" s="210"/>
      <c r="Q38" s="210"/>
      <c r="R38" s="210"/>
      <c r="S38" s="210"/>
      <c r="T38" s="210"/>
      <c r="U38" s="210"/>
      <c r="V38" s="210"/>
      <c r="W38" s="210"/>
      <c r="X38" s="210"/>
      <c r="Y38" s="210"/>
      <c r="Z38" s="210"/>
      <c r="AA38" s="210">
        <f t="shared" si="1"/>
        <v>0</v>
      </c>
      <c r="AB38" s="458" t="str">
        <f t="shared" si="2"/>
        <v/>
      </c>
      <c r="AC38" s="528"/>
      <c r="AD38" s="210"/>
      <c r="AE38" s="458" t="str">
        <f t="shared" si="3"/>
        <v/>
      </c>
      <c r="AF38" s="460">
        <f t="shared" si="4"/>
        <v>0</v>
      </c>
      <c r="AG38" s="210"/>
      <c r="AH38" s="458" t="str">
        <f t="shared" si="5"/>
        <v/>
      </c>
      <c r="AI38" s="461">
        <f t="shared" si="6"/>
        <v>0</v>
      </c>
      <c r="AJ38" s="462">
        <f t="shared" si="7"/>
        <v>0</v>
      </c>
      <c r="AK38" s="463">
        <f t="shared" si="8"/>
        <v>0</v>
      </c>
      <c r="AL38" s="464">
        <f t="shared" si="9"/>
        <v>0</v>
      </c>
      <c r="AM38" s="465">
        <f t="shared" si="10"/>
        <v>0</v>
      </c>
      <c r="AN38" s="466">
        <f t="shared" si="11"/>
        <v>0</v>
      </c>
      <c r="AO38" s="11"/>
    </row>
    <row r="39" spans="1:41" x14ac:dyDescent="0.2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67"/>
      <c r="P39" s="216"/>
      <c r="Q39" s="216"/>
      <c r="R39" s="216"/>
      <c r="S39" s="216"/>
      <c r="T39" s="216"/>
      <c r="U39" s="216"/>
      <c r="V39" s="216"/>
      <c r="W39" s="216"/>
      <c r="X39" s="216"/>
      <c r="Y39" s="216"/>
      <c r="Z39" s="216"/>
      <c r="AA39" s="216">
        <f t="shared" si="1"/>
        <v>0</v>
      </c>
      <c r="AB39" s="468" t="str">
        <f t="shared" si="2"/>
        <v/>
      </c>
      <c r="AC39" s="459"/>
      <c r="AD39" s="216"/>
      <c r="AE39" s="468" t="str">
        <f t="shared" si="3"/>
        <v/>
      </c>
      <c r="AF39" s="469">
        <f t="shared" si="4"/>
        <v>0</v>
      </c>
      <c r="AG39" s="216"/>
      <c r="AH39" s="468" t="str">
        <f t="shared" si="5"/>
        <v/>
      </c>
      <c r="AI39" s="470">
        <f t="shared" si="6"/>
        <v>0</v>
      </c>
      <c r="AJ39" s="471">
        <f t="shared" si="7"/>
        <v>0</v>
      </c>
      <c r="AK39" s="472">
        <f t="shared" si="8"/>
        <v>0</v>
      </c>
      <c r="AL39" s="473">
        <f t="shared" si="9"/>
        <v>0</v>
      </c>
      <c r="AM39" s="474">
        <f t="shared" si="10"/>
        <v>0</v>
      </c>
      <c r="AN39" s="475">
        <f t="shared" si="11"/>
        <v>0</v>
      </c>
      <c r="AO39" s="11"/>
    </row>
    <row r="40" spans="1:41" x14ac:dyDescent="0.2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76"/>
      <c r="P40" s="223"/>
      <c r="Q40" s="223"/>
      <c r="R40" s="223"/>
      <c r="S40" s="223"/>
      <c r="T40" s="223"/>
      <c r="U40" s="223"/>
      <c r="V40" s="223"/>
      <c r="W40" s="223"/>
      <c r="X40" s="223"/>
      <c r="Y40" s="223"/>
      <c r="Z40" s="223"/>
      <c r="AA40" s="223">
        <f t="shared" si="1"/>
        <v>0</v>
      </c>
      <c r="AB40" s="224" t="str">
        <f t="shared" si="2"/>
        <v/>
      </c>
      <c r="AC40" s="225"/>
      <c r="AD40" s="223"/>
      <c r="AE40" s="224" t="str">
        <f t="shared" si="3"/>
        <v/>
      </c>
      <c r="AF40" s="226">
        <f t="shared" si="4"/>
        <v>0</v>
      </c>
      <c r="AG40" s="223"/>
      <c r="AH40" s="224" t="str">
        <f t="shared" si="5"/>
        <v/>
      </c>
      <c r="AI40" s="477">
        <f t="shared" si="6"/>
        <v>0</v>
      </c>
      <c r="AJ40" s="227">
        <f t="shared" si="7"/>
        <v>0</v>
      </c>
      <c r="AK40" s="228">
        <f t="shared" si="8"/>
        <v>0</v>
      </c>
      <c r="AL40" s="230">
        <f t="shared" si="9"/>
        <v>0</v>
      </c>
      <c r="AM40" s="427">
        <f t="shared" si="10"/>
        <v>0</v>
      </c>
      <c r="AN40" s="478">
        <f t="shared" si="11"/>
        <v>0</v>
      </c>
      <c r="AO40" s="11"/>
    </row>
    <row r="41" spans="1:41" x14ac:dyDescent="0.2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79"/>
      <c r="P41" s="232"/>
      <c r="Q41" s="232"/>
      <c r="R41" s="232"/>
      <c r="S41" s="232"/>
      <c r="T41" s="232"/>
      <c r="U41" s="232"/>
      <c r="V41" s="232"/>
      <c r="W41" s="232"/>
      <c r="X41" s="232"/>
      <c r="Y41" s="232"/>
      <c r="Z41" s="232"/>
      <c r="AA41" s="232" t="str">
        <f t="shared" si="1"/>
        <v/>
      </c>
      <c r="AB41" s="480" t="str">
        <f t="shared" si="2"/>
        <v/>
      </c>
      <c r="AC41" s="529"/>
      <c r="AD41" s="232"/>
      <c r="AE41" s="480" t="str">
        <f t="shared" si="3"/>
        <v/>
      </c>
      <c r="AF41" s="482" t="str">
        <f t="shared" si="4"/>
        <v/>
      </c>
      <c r="AG41" s="232"/>
      <c r="AH41" s="480" t="str">
        <f t="shared" si="5"/>
        <v/>
      </c>
      <c r="AI41" s="483" t="str">
        <f t="shared" si="6"/>
        <v/>
      </c>
      <c r="AJ41" s="235">
        <f t="shared" si="7"/>
        <v>0</v>
      </c>
      <c r="AK41" s="236">
        <f t="shared" si="8"/>
        <v>0</v>
      </c>
      <c r="AL41" s="238">
        <f t="shared" si="9"/>
        <v>0</v>
      </c>
      <c r="AM41" s="429">
        <f t="shared" si="10"/>
        <v>0</v>
      </c>
      <c r="AN41" s="484">
        <f t="shared" si="11"/>
        <v>0</v>
      </c>
      <c r="AO41" s="11"/>
    </row>
    <row r="42" spans="1:41" x14ac:dyDescent="0.2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57"/>
      <c r="P42" s="210"/>
      <c r="Q42" s="210"/>
      <c r="R42" s="210"/>
      <c r="S42" s="210"/>
      <c r="T42" s="210"/>
      <c r="U42" s="210"/>
      <c r="V42" s="210"/>
      <c r="W42" s="210"/>
      <c r="X42" s="210"/>
      <c r="Y42" s="210"/>
      <c r="Z42" s="210"/>
      <c r="AA42" s="210">
        <f t="shared" si="1"/>
        <v>0</v>
      </c>
      <c r="AB42" s="458" t="str">
        <f t="shared" si="2"/>
        <v/>
      </c>
      <c r="AC42" s="528"/>
      <c r="AD42" s="210"/>
      <c r="AE42" s="458" t="str">
        <f t="shared" si="3"/>
        <v/>
      </c>
      <c r="AF42" s="460">
        <f t="shared" si="4"/>
        <v>0</v>
      </c>
      <c r="AG42" s="210"/>
      <c r="AH42" s="458" t="str">
        <f t="shared" si="5"/>
        <v/>
      </c>
      <c r="AI42" s="461">
        <f t="shared" si="6"/>
        <v>0</v>
      </c>
      <c r="AJ42" s="462">
        <f t="shared" si="7"/>
        <v>0</v>
      </c>
      <c r="AK42" s="463">
        <f t="shared" si="8"/>
        <v>0</v>
      </c>
      <c r="AL42" s="464">
        <f t="shared" si="9"/>
        <v>0</v>
      </c>
      <c r="AM42" s="465">
        <f t="shared" si="10"/>
        <v>0</v>
      </c>
      <c r="AN42" s="466">
        <f t="shared" si="11"/>
        <v>0</v>
      </c>
      <c r="AO42" s="11"/>
    </row>
    <row r="43" spans="1:41" x14ac:dyDescent="0.2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57"/>
      <c r="P43" s="210"/>
      <c r="Q43" s="210"/>
      <c r="R43" s="210"/>
      <c r="S43" s="210"/>
      <c r="T43" s="210"/>
      <c r="U43" s="210"/>
      <c r="V43" s="210"/>
      <c r="W43" s="210"/>
      <c r="X43" s="210"/>
      <c r="Y43" s="210"/>
      <c r="Z43" s="210"/>
      <c r="AA43" s="210">
        <f t="shared" si="1"/>
        <v>0</v>
      </c>
      <c r="AB43" s="458" t="str">
        <f t="shared" si="2"/>
        <v/>
      </c>
      <c r="AC43" s="528"/>
      <c r="AD43" s="210"/>
      <c r="AE43" s="458" t="str">
        <f t="shared" si="3"/>
        <v/>
      </c>
      <c r="AF43" s="460">
        <f t="shared" si="4"/>
        <v>0</v>
      </c>
      <c r="AG43" s="210"/>
      <c r="AH43" s="458" t="str">
        <f t="shared" si="5"/>
        <v/>
      </c>
      <c r="AI43" s="461">
        <f t="shared" si="6"/>
        <v>0</v>
      </c>
      <c r="AJ43" s="462">
        <f t="shared" si="7"/>
        <v>0</v>
      </c>
      <c r="AK43" s="463">
        <f t="shared" si="8"/>
        <v>0</v>
      </c>
      <c r="AL43" s="464">
        <f t="shared" si="9"/>
        <v>0</v>
      </c>
      <c r="AM43" s="465">
        <f t="shared" si="10"/>
        <v>0</v>
      </c>
      <c r="AN43" s="466">
        <f t="shared" si="11"/>
        <v>0</v>
      </c>
      <c r="AO43" s="11"/>
    </row>
    <row r="44" spans="1:41" x14ac:dyDescent="0.2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57"/>
      <c r="P44" s="210"/>
      <c r="Q44" s="210"/>
      <c r="R44" s="210"/>
      <c r="S44" s="210"/>
      <c r="T44" s="210"/>
      <c r="U44" s="210"/>
      <c r="V44" s="210"/>
      <c r="W44" s="210"/>
      <c r="X44" s="210"/>
      <c r="Y44" s="210"/>
      <c r="Z44" s="210"/>
      <c r="AA44" s="210">
        <f t="shared" si="1"/>
        <v>0</v>
      </c>
      <c r="AB44" s="458" t="str">
        <f t="shared" si="2"/>
        <v/>
      </c>
      <c r="AC44" s="528"/>
      <c r="AD44" s="210"/>
      <c r="AE44" s="458" t="str">
        <f t="shared" si="3"/>
        <v/>
      </c>
      <c r="AF44" s="460">
        <f t="shared" si="4"/>
        <v>0</v>
      </c>
      <c r="AG44" s="210"/>
      <c r="AH44" s="458" t="str">
        <f t="shared" si="5"/>
        <v/>
      </c>
      <c r="AI44" s="461">
        <f t="shared" si="6"/>
        <v>0</v>
      </c>
      <c r="AJ44" s="462">
        <f t="shared" si="7"/>
        <v>0</v>
      </c>
      <c r="AK44" s="463">
        <f t="shared" si="8"/>
        <v>0</v>
      </c>
      <c r="AL44" s="464">
        <f t="shared" si="9"/>
        <v>0</v>
      </c>
      <c r="AM44" s="465">
        <f t="shared" si="10"/>
        <v>0</v>
      </c>
      <c r="AN44" s="466">
        <f t="shared" si="11"/>
        <v>0</v>
      </c>
      <c r="AO44" s="11"/>
    </row>
    <row r="45" spans="1:41" x14ac:dyDescent="0.2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57"/>
      <c r="P45" s="210"/>
      <c r="Q45" s="210"/>
      <c r="R45" s="210"/>
      <c r="S45" s="210"/>
      <c r="T45" s="210"/>
      <c r="U45" s="210"/>
      <c r="V45" s="210"/>
      <c r="W45" s="210"/>
      <c r="X45" s="210"/>
      <c r="Y45" s="210"/>
      <c r="Z45" s="210"/>
      <c r="AA45" s="210">
        <f t="shared" si="1"/>
        <v>0</v>
      </c>
      <c r="AB45" s="458" t="str">
        <f t="shared" si="2"/>
        <v/>
      </c>
      <c r="AC45" s="528"/>
      <c r="AD45" s="210"/>
      <c r="AE45" s="458" t="str">
        <f t="shared" si="3"/>
        <v/>
      </c>
      <c r="AF45" s="460">
        <f t="shared" si="4"/>
        <v>0</v>
      </c>
      <c r="AG45" s="210"/>
      <c r="AH45" s="458" t="str">
        <f t="shared" si="5"/>
        <v/>
      </c>
      <c r="AI45" s="461">
        <f t="shared" si="6"/>
        <v>0</v>
      </c>
      <c r="AJ45" s="462">
        <f t="shared" si="7"/>
        <v>0</v>
      </c>
      <c r="AK45" s="463">
        <f t="shared" si="8"/>
        <v>0</v>
      </c>
      <c r="AL45" s="464">
        <f t="shared" si="9"/>
        <v>0</v>
      </c>
      <c r="AM45" s="465">
        <f t="shared" si="10"/>
        <v>0</v>
      </c>
      <c r="AN45" s="466">
        <f t="shared" si="11"/>
        <v>0</v>
      </c>
      <c r="AO45" s="11"/>
    </row>
    <row r="46" spans="1:41" x14ac:dyDescent="0.2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67"/>
      <c r="P46" s="216"/>
      <c r="Q46" s="216"/>
      <c r="R46" s="216"/>
      <c r="S46" s="216"/>
      <c r="T46" s="216"/>
      <c r="U46" s="216"/>
      <c r="V46" s="216"/>
      <c r="W46" s="216"/>
      <c r="X46" s="216"/>
      <c r="Y46" s="216"/>
      <c r="Z46" s="216"/>
      <c r="AA46" s="216">
        <f t="shared" si="1"/>
        <v>0</v>
      </c>
      <c r="AB46" s="468" t="str">
        <f t="shared" si="2"/>
        <v/>
      </c>
      <c r="AC46" s="459"/>
      <c r="AD46" s="216"/>
      <c r="AE46" s="468" t="str">
        <f t="shared" si="3"/>
        <v/>
      </c>
      <c r="AF46" s="469">
        <f t="shared" si="4"/>
        <v>0</v>
      </c>
      <c r="AG46" s="216"/>
      <c r="AH46" s="468" t="str">
        <f t="shared" si="5"/>
        <v/>
      </c>
      <c r="AI46" s="470">
        <f t="shared" si="6"/>
        <v>0</v>
      </c>
      <c r="AJ46" s="471">
        <f t="shared" si="7"/>
        <v>0</v>
      </c>
      <c r="AK46" s="472">
        <f t="shared" si="8"/>
        <v>0</v>
      </c>
      <c r="AL46" s="473">
        <f t="shared" si="9"/>
        <v>0</v>
      </c>
      <c r="AM46" s="474">
        <f t="shared" si="10"/>
        <v>0</v>
      </c>
      <c r="AN46" s="475">
        <f t="shared" si="11"/>
        <v>0</v>
      </c>
      <c r="AO46" s="11"/>
    </row>
    <row r="47" spans="1:41" x14ac:dyDescent="0.2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76"/>
      <c r="P47" s="223"/>
      <c r="Q47" s="223"/>
      <c r="R47" s="223"/>
      <c r="S47" s="223"/>
      <c r="T47" s="223"/>
      <c r="U47" s="223"/>
      <c r="V47" s="223"/>
      <c r="W47" s="223"/>
      <c r="X47" s="223"/>
      <c r="Y47" s="223"/>
      <c r="Z47" s="223"/>
      <c r="AA47" s="223">
        <f t="shared" si="1"/>
        <v>0</v>
      </c>
      <c r="AB47" s="224" t="str">
        <f t="shared" si="2"/>
        <v/>
      </c>
      <c r="AC47" s="225"/>
      <c r="AD47" s="223"/>
      <c r="AE47" s="224" t="str">
        <f t="shared" si="3"/>
        <v/>
      </c>
      <c r="AF47" s="226">
        <f t="shared" si="4"/>
        <v>0</v>
      </c>
      <c r="AG47" s="223"/>
      <c r="AH47" s="224" t="str">
        <f t="shared" si="5"/>
        <v/>
      </c>
      <c r="AI47" s="477">
        <f t="shared" si="6"/>
        <v>0</v>
      </c>
      <c r="AJ47" s="227">
        <f t="shared" si="7"/>
        <v>0</v>
      </c>
      <c r="AK47" s="228">
        <f t="shared" si="8"/>
        <v>0</v>
      </c>
      <c r="AL47" s="230">
        <f t="shared" si="9"/>
        <v>0</v>
      </c>
      <c r="AM47" s="427">
        <f t="shared" si="10"/>
        <v>0</v>
      </c>
      <c r="AN47" s="478">
        <f t="shared" si="11"/>
        <v>0</v>
      </c>
      <c r="AO47" s="11"/>
    </row>
    <row r="48" spans="1:41" x14ac:dyDescent="0.2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39"/>
      <c r="Q48" s="239"/>
      <c r="R48" s="239"/>
      <c r="S48" s="239"/>
      <c r="T48" s="239"/>
      <c r="U48" s="239"/>
      <c r="V48" s="239"/>
      <c r="W48" s="239"/>
      <c r="X48" s="239"/>
      <c r="Y48" s="239"/>
      <c r="Z48" s="239"/>
      <c r="AA48" s="239">
        <f t="shared" si="1"/>
        <v>0</v>
      </c>
      <c r="AB48" s="240" t="str">
        <f t="shared" si="2"/>
        <v/>
      </c>
      <c r="AC48" s="481"/>
      <c r="AD48" s="239"/>
      <c r="AE48" s="240" t="str">
        <f t="shared" si="3"/>
        <v/>
      </c>
      <c r="AF48" s="241">
        <f t="shared" si="4"/>
        <v>0</v>
      </c>
      <c r="AG48" s="239"/>
      <c r="AH48" s="240" t="str">
        <f t="shared" si="5"/>
        <v/>
      </c>
      <c r="AI48" s="531">
        <f t="shared" si="6"/>
        <v>0</v>
      </c>
      <c r="AJ48" s="532">
        <f t="shared" si="7"/>
        <v>0</v>
      </c>
      <c r="AK48" s="533">
        <f t="shared" si="8"/>
        <v>0</v>
      </c>
      <c r="AL48" s="534">
        <f t="shared" si="9"/>
        <v>0</v>
      </c>
      <c r="AM48" s="535">
        <f t="shared" si="10"/>
        <v>0</v>
      </c>
      <c r="AN48" s="536">
        <f t="shared" si="11"/>
        <v>0</v>
      </c>
      <c r="AO48" s="11"/>
    </row>
    <row r="49" spans="1:41" x14ac:dyDescent="0.2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76"/>
      <c r="P49" s="223"/>
      <c r="Q49" s="223"/>
      <c r="R49" s="223"/>
      <c r="S49" s="223"/>
      <c r="T49" s="223"/>
      <c r="U49" s="223"/>
      <c r="V49" s="223"/>
      <c r="W49" s="223"/>
      <c r="X49" s="223"/>
      <c r="Y49" s="223"/>
      <c r="Z49" s="223"/>
      <c r="AA49" s="223">
        <f t="shared" si="1"/>
        <v>0</v>
      </c>
      <c r="AB49" s="224" t="str">
        <f t="shared" si="2"/>
        <v/>
      </c>
      <c r="AC49" s="225"/>
      <c r="AD49" s="223"/>
      <c r="AE49" s="224" t="str">
        <f t="shared" si="3"/>
        <v/>
      </c>
      <c r="AF49" s="226">
        <f t="shared" si="4"/>
        <v>0</v>
      </c>
      <c r="AG49" s="223"/>
      <c r="AH49" s="224" t="str">
        <f t="shared" si="5"/>
        <v/>
      </c>
      <c r="AI49" s="477">
        <f t="shared" si="6"/>
        <v>0</v>
      </c>
      <c r="AJ49" s="227">
        <f t="shared" si="7"/>
        <v>0</v>
      </c>
      <c r="AK49" s="228">
        <f t="shared" si="8"/>
        <v>0</v>
      </c>
      <c r="AL49" s="230">
        <f t="shared" si="9"/>
        <v>0</v>
      </c>
      <c r="AM49" s="427">
        <f t="shared" si="10"/>
        <v>0</v>
      </c>
      <c r="AN49" s="478">
        <f t="shared" si="11"/>
        <v>0</v>
      </c>
      <c r="AO49" s="11"/>
    </row>
    <row r="50" spans="1:41" x14ac:dyDescent="0.25">
      <c r="A50" s="65" t="s">
        <v>2</v>
      </c>
      <c r="B50" s="66" t="str">
        <f>IF(_epmOfflineCondition_,"'Venue3'!$B$2:$B$10",_xll.EVRNG($B$2:$B$10))</f>
        <v>'Venue3'!$B$2:$B$10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79"/>
      <c r="P50" s="232"/>
      <c r="Q50" s="232"/>
      <c r="R50" s="232"/>
      <c r="S50" s="232"/>
      <c r="T50" s="232"/>
      <c r="U50" s="232"/>
      <c r="V50" s="232"/>
      <c r="W50" s="232"/>
      <c r="X50" s="232"/>
      <c r="Y50" s="232"/>
      <c r="Z50" s="232"/>
      <c r="AA50" s="232" t="str">
        <f t="shared" si="1"/>
        <v/>
      </c>
      <c r="AB50" s="480" t="str">
        <f t="shared" si="2"/>
        <v/>
      </c>
      <c r="AC50" s="529"/>
      <c r="AD50" s="232"/>
      <c r="AE50" s="480" t="str">
        <f t="shared" si="3"/>
        <v/>
      </c>
      <c r="AF50" s="482" t="str">
        <f t="shared" si="4"/>
        <v/>
      </c>
      <c r="AG50" s="232"/>
      <c r="AH50" s="480" t="str">
        <f t="shared" si="5"/>
        <v/>
      </c>
      <c r="AI50" s="483" t="str">
        <f t="shared" si="6"/>
        <v/>
      </c>
      <c r="AJ50" s="235">
        <f t="shared" si="7"/>
        <v>0</v>
      </c>
      <c r="AK50" s="236">
        <f t="shared" si="8"/>
        <v>0</v>
      </c>
      <c r="AL50" s="238">
        <f t="shared" si="9"/>
        <v>0</v>
      </c>
      <c r="AM50" s="429">
        <f t="shared" si="10"/>
        <v>0</v>
      </c>
      <c r="AN50" s="484">
        <f t="shared" si="11"/>
        <v>0</v>
      </c>
      <c r="AO50" s="11"/>
    </row>
    <row r="51" spans="1:41" x14ac:dyDescent="0.25">
      <c r="A51" s="65" t="s">
        <v>3</v>
      </c>
      <c r="B51" s="66" t="str">
        <f>IF(_epmOfflineCondition_,"'Venue3'!$O$16:$AN$18",_xll.EVRNG($O$16:$AN$18))</f>
        <v>'Venue3'!$O$16:$AN$18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57"/>
      <c r="P51" s="210"/>
      <c r="Q51" s="210"/>
      <c r="R51" s="210"/>
      <c r="S51" s="210"/>
      <c r="T51" s="210"/>
      <c r="U51" s="210"/>
      <c r="V51" s="210"/>
      <c r="W51" s="210"/>
      <c r="X51" s="210"/>
      <c r="Y51" s="210"/>
      <c r="Z51" s="210"/>
      <c r="AA51" s="210">
        <f t="shared" si="1"/>
        <v>0</v>
      </c>
      <c r="AB51" s="458" t="str">
        <f t="shared" si="2"/>
        <v/>
      </c>
      <c r="AC51" s="528"/>
      <c r="AD51" s="210"/>
      <c r="AE51" s="458" t="str">
        <f t="shared" si="3"/>
        <v/>
      </c>
      <c r="AF51" s="460">
        <f t="shared" si="4"/>
        <v>0</v>
      </c>
      <c r="AG51" s="210"/>
      <c r="AH51" s="458" t="str">
        <f t="shared" si="5"/>
        <v/>
      </c>
      <c r="AI51" s="461">
        <f t="shared" si="6"/>
        <v>0</v>
      </c>
      <c r="AJ51" s="462">
        <f t="shared" si="7"/>
        <v>0</v>
      </c>
      <c r="AK51" s="463">
        <f t="shared" si="8"/>
        <v>0</v>
      </c>
      <c r="AL51" s="464">
        <f t="shared" si="9"/>
        <v>0</v>
      </c>
      <c r="AM51" s="465">
        <f t="shared" si="10"/>
        <v>0</v>
      </c>
      <c r="AN51" s="466">
        <f t="shared" si="11"/>
        <v>0</v>
      </c>
      <c r="AO51" s="11"/>
    </row>
    <row r="52" spans="1:41" x14ac:dyDescent="0.25">
      <c r="A52" s="65" t="s">
        <v>4</v>
      </c>
      <c r="B52" s="66" t="str">
        <f>IF(_epmOfflineCondition_,"'Venue3'!$H$62:$H$70",_xll.EVRNG(H62:H70))</f>
        <v>'Venue3'!$H$62:$H$70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57"/>
      <c r="P52" s="210"/>
      <c r="Q52" s="210"/>
      <c r="R52" s="210"/>
      <c r="S52" s="210"/>
      <c r="T52" s="210"/>
      <c r="U52" s="210"/>
      <c r="V52" s="210"/>
      <c r="W52" s="210"/>
      <c r="X52" s="210"/>
      <c r="Y52" s="210"/>
      <c r="Z52" s="210"/>
      <c r="AA52" s="210">
        <f t="shared" si="1"/>
        <v>0</v>
      </c>
      <c r="AB52" s="458" t="str">
        <f t="shared" si="2"/>
        <v/>
      </c>
      <c r="AC52" s="528"/>
      <c r="AD52" s="210"/>
      <c r="AE52" s="458" t="str">
        <f t="shared" si="3"/>
        <v/>
      </c>
      <c r="AF52" s="460">
        <f t="shared" si="4"/>
        <v>0</v>
      </c>
      <c r="AG52" s="210"/>
      <c r="AH52" s="458" t="str">
        <f t="shared" si="5"/>
        <v/>
      </c>
      <c r="AI52" s="461">
        <f t="shared" si="6"/>
        <v>0</v>
      </c>
      <c r="AJ52" s="462">
        <f t="shared" si="7"/>
        <v>0</v>
      </c>
      <c r="AK52" s="463">
        <f t="shared" si="8"/>
        <v>0</v>
      </c>
      <c r="AL52" s="464">
        <f t="shared" si="9"/>
        <v>0</v>
      </c>
      <c r="AM52" s="465">
        <f t="shared" si="10"/>
        <v>0</v>
      </c>
      <c r="AN52" s="466">
        <f t="shared" si="11"/>
        <v>0</v>
      </c>
      <c r="AO52" s="11"/>
    </row>
    <row r="53" spans="1:41" x14ac:dyDescent="0.2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57"/>
      <c r="P53" s="210"/>
      <c r="Q53" s="210"/>
      <c r="R53" s="210"/>
      <c r="S53" s="210"/>
      <c r="T53" s="210"/>
      <c r="U53" s="210"/>
      <c r="V53" s="210"/>
      <c r="W53" s="210"/>
      <c r="X53" s="210"/>
      <c r="Y53" s="210"/>
      <c r="Z53" s="210"/>
      <c r="AA53" s="210">
        <f t="shared" si="1"/>
        <v>0</v>
      </c>
      <c r="AB53" s="458" t="str">
        <f t="shared" si="2"/>
        <v/>
      </c>
      <c r="AC53" s="528"/>
      <c r="AD53" s="210"/>
      <c r="AE53" s="458" t="str">
        <f t="shared" si="3"/>
        <v/>
      </c>
      <c r="AF53" s="460">
        <f t="shared" si="4"/>
        <v>0</v>
      </c>
      <c r="AG53" s="210"/>
      <c r="AH53" s="458" t="str">
        <f t="shared" si="5"/>
        <v/>
      </c>
      <c r="AI53" s="461">
        <f t="shared" si="6"/>
        <v>0</v>
      </c>
      <c r="AJ53" s="462">
        <f t="shared" si="7"/>
        <v>0</v>
      </c>
      <c r="AK53" s="463">
        <f t="shared" si="8"/>
        <v>0</v>
      </c>
      <c r="AL53" s="464">
        <f t="shared" si="9"/>
        <v>0</v>
      </c>
      <c r="AM53" s="465">
        <f t="shared" si="10"/>
        <v>0</v>
      </c>
      <c r="AN53" s="466">
        <f t="shared" si="11"/>
        <v>0</v>
      </c>
      <c r="AO53" s="11"/>
    </row>
    <row r="54" spans="1:41" x14ac:dyDescent="0.2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57"/>
      <c r="P54" s="210"/>
      <c r="Q54" s="210"/>
      <c r="R54" s="210"/>
      <c r="S54" s="210"/>
      <c r="T54" s="210"/>
      <c r="U54" s="210"/>
      <c r="V54" s="210"/>
      <c r="W54" s="210"/>
      <c r="X54" s="210"/>
      <c r="Y54" s="210"/>
      <c r="Z54" s="210"/>
      <c r="AA54" s="210">
        <f t="shared" si="1"/>
        <v>0</v>
      </c>
      <c r="AB54" s="458" t="str">
        <f t="shared" si="2"/>
        <v/>
      </c>
      <c r="AC54" s="528"/>
      <c r="AD54" s="210"/>
      <c r="AE54" s="458" t="str">
        <f t="shared" si="3"/>
        <v/>
      </c>
      <c r="AF54" s="460">
        <f t="shared" si="4"/>
        <v>0</v>
      </c>
      <c r="AG54" s="210"/>
      <c r="AH54" s="458" t="str">
        <f t="shared" si="5"/>
        <v/>
      </c>
      <c r="AI54" s="461">
        <f t="shared" si="6"/>
        <v>0</v>
      </c>
      <c r="AJ54" s="462">
        <f t="shared" si="7"/>
        <v>0</v>
      </c>
      <c r="AK54" s="463">
        <f t="shared" si="8"/>
        <v>0</v>
      </c>
      <c r="AL54" s="464">
        <f t="shared" si="9"/>
        <v>0</v>
      </c>
      <c r="AM54" s="465">
        <f t="shared" si="10"/>
        <v>0</v>
      </c>
      <c r="AN54" s="466">
        <f t="shared" si="11"/>
        <v>0</v>
      </c>
      <c r="AO54" s="11"/>
    </row>
    <row r="55" spans="1:41" x14ac:dyDescent="0.25">
      <c r="A55" s="65" t="s">
        <v>7</v>
      </c>
      <c r="B55" s="66" t="str">
        <f>IF(_epmOfflineCondition_,"'Venue3'!$A$69:$F$77",_xll.EVRNG(A69:F77))</f>
        <v>'Venue3'!$A$69:$F$77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57"/>
      <c r="P55" s="210"/>
      <c r="Q55" s="210"/>
      <c r="R55" s="210"/>
      <c r="S55" s="210"/>
      <c r="T55" s="210"/>
      <c r="U55" s="210"/>
      <c r="V55" s="210"/>
      <c r="W55" s="210"/>
      <c r="X55" s="210"/>
      <c r="Y55" s="210"/>
      <c r="Z55" s="210"/>
      <c r="AA55" s="210">
        <f t="shared" si="1"/>
        <v>0</v>
      </c>
      <c r="AB55" s="458" t="str">
        <f t="shared" si="2"/>
        <v/>
      </c>
      <c r="AC55" s="528"/>
      <c r="AD55" s="210"/>
      <c r="AE55" s="458" t="str">
        <f t="shared" si="3"/>
        <v/>
      </c>
      <c r="AF55" s="460">
        <f t="shared" si="4"/>
        <v>0</v>
      </c>
      <c r="AG55" s="210"/>
      <c r="AH55" s="458" t="str">
        <f t="shared" si="5"/>
        <v/>
      </c>
      <c r="AI55" s="461">
        <f t="shared" si="6"/>
        <v>0</v>
      </c>
      <c r="AJ55" s="462">
        <f t="shared" si="7"/>
        <v>0</v>
      </c>
      <c r="AK55" s="463">
        <f t="shared" si="8"/>
        <v>0</v>
      </c>
      <c r="AL55" s="464">
        <f t="shared" si="9"/>
        <v>0</v>
      </c>
      <c r="AM55" s="465">
        <f t="shared" si="10"/>
        <v>0</v>
      </c>
      <c r="AN55" s="466">
        <f t="shared" si="11"/>
        <v>0</v>
      </c>
      <c r="AO55" s="11"/>
    </row>
    <row r="56" spans="1:41" x14ac:dyDescent="0.25">
      <c r="A56" s="65" t="s">
        <v>47</v>
      </c>
      <c r="B56" s="66" t="str">
        <f>IF(_epmOfflineCondition_,"'Venue3'!$A$125:$B$146",_xll.EVRNG($A$125:$B$146))</f>
        <v>'Venue3'!$A$125:$B$146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67"/>
      <c r="P56" s="216"/>
      <c r="Q56" s="216"/>
      <c r="R56" s="216"/>
      <c r="S56" s="216"/>
      <c r="T56" s="216"/>
      <c r="U56" s="216"/>
      <c r="V56" s="216"/>
      <c r="W56" s="216"/>
      <c r="X56" s="216"/>
      <c r="Y56" s="216"/>
      <c r="Z56" s="216"/>
      <c r="AA56" s="216">
        <f t="shared" si="1"/>
        <v>0</v>
      </c>
      <c r="AB56" s="468" t="str">
        <f t="shared" si="2"/>
        <v/>
      </c>
      <c r="AC56" s="459"/>
      <c r="AD56" s="216"/>
      <c r="AE56" s="468" t="str">
        <f t="shared" si="3"/>
        <v/>
      </c>
      <c r="AF56" s="469">
        <f t="shared" si="4"/>
        <v>0</v>
      </c>
      <c r="AG56" s="216"/>
      <c r="AH56" s="468" t="str">
        <f t="shared" si="5"/>
        <v/>
      </c>
      <c r="AI56" s="470">
        <f t="shared" si="6"/>
        <v>0</v>
      </c>
      <c r="AJ56" s="471">
        <f t="shared" si="7"/>
        <v>0</v>
      </c>
      <c r="AK56" s="472">
        <f t="shared" si="8"/>
        <v>0</v>
      </c>
      <c r="AL56" s="473">
        <f t="shared" si="9"/>
        <v>0</v>
      </c>
      <c r="AM56" s="474">
        <f t="shared" si="10"/>
        <v>0</v>
      </c>
      <c r="AN56" s="475">
        <f t="shared" si="11"/>
        <v>0</v>
      </c>
      <c r="AO56" s="11"/>
    </row>
    <row r="57" spans="1:41" x14ac:dyDescent="0.2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85"/>
      <c r="P57" s="242"/>
      <c r="Q57" s="242"/>
      <c r="R57" s="242"/>
      <c r="S57" s="242"/>
      <c r="T57" s="242"/>
      <c r="U57" s="242"/>
      <c r="V57" s="242"/>
      <c r="W57" s="242"/>
      <c r="X57" s="242"/>
      <c r="Y57" s="242"/>
      <c r="Z57" s="242"/>
      <c r="AA57" s="242">
        <f t="shared" si="1"/>
        <v>0</v>
      </c>
      <c r="AB57" s="243" t="str">
        <f t="shared" si="2"/>
        <v/>
      </c>
      <c r="AC57" s="244"/>
      <c r="AD57" s="242"/>
      <c r="AE57" s="243" t="str">
        <f t="shared" si="3"/>
        <v/>
      </c>
      <c r="AF57" s="245">
        <f t="shared" si="4"/>
        <v>0</v>
      </c>
      <c r="AG57" s="242"/>
      <c r="AH57" s="243" t="str">
        <f t="shared" si="5"/>
        <v/>
      </c>
      <c r="AI57" s="486">
        <f t="shared" si="6"/>
        <v>0</v>
      </c>
      <c r="AJ57" s="246">
        <f t="shared" si="7"/>
        <v>0</v>
      </c>
      <c r="AK57" s="247">
        <f t="shared" si="8"/>
        <v>0</v>
      </c>
      <c r="AL57" s="249">
        <f t="shared" si="9"/>
        <v>0</v>
      </c>
      <c r="AM57" s="431">
        <f t="shared" si="10"/>
        <v>0</v>
      </c>
      <c r="AN57" s="487">
        <f t="shared" si="11"/>
        <v>0</v>
      </c>
      <c r="AO57" s="11"/>
    </row>
    <row r="58" spans="1:41" x14ac:dyDescent="0.2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76"/>
      <c r="P58" s="223"/>
      <c r="Q58" s="223"/>
      <c r="R58" s="223"/>
      <c r="S58" s="223"/>
      <c r="T58" s="223"/>
      <c r="U58" s="223"/>
      <c r="V58" s="223"/>
      <c r="W58" s="223"/>
      <c r="X58" s="223"/>
      <c r="Y58" s="223"/>
      <c r="Z58" s="223"/>
      <c r="AA58" s="223">
        <f t="shared" si="1"/>
        <v>0</v>
      </c>
      <c r="AB58" s="224" t="str">
        <f t="shared" si="2"/>
        <v/>
      </c>
      <c r="AC58" s="225"/>
      <c r="AD58" s="223"/>
      <c r="AE58" s="224" t="str">
        <f t="shared" si="3"/>
        <v/>
      </c>
      <c r="AF58" s="226">
        <f t="shared" si="4"/>
        <v>0</v>
      </c>
      <c r="AG58" s="223"/>
      <c r="AH58" s="224" t="str">
        <f t="shared" si="5"/>
        <v/>
      </c>
      <c r="AI58" s="477">
        <f t="shared" si="6"/>
        <v>0</v>
      </c>
      <c r="AJ58" s="227">
        <f t="shared" si="7"/>
        <v>0</v>
      </c>
      <c r="AK58" s="228">
        <f t="shared" si="8"/>
        <v>0</v>
      </c>
      <c r="AL58" s="230">
        <f t="shared" si="9"/>
        <v>0</v>
      </c>
      <c r="AM58" s="427">
        <f t="shared" si="10"/>
        <v>0</v>
      </c>
      <c r="AN58" s="478">
        <f t="shared" si="11"/>
        <v>0</v>
      </c>
      <c r="AO58" s="11"/>
    </row>
    <row r="59" spans="1:41" x14ac:dyDescent="0.2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2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2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2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57"/>
      <c r="P62" s="210"/>
      <c r="Q62" s="210"/>
      <c r="R62" s="210"/>
      <c r="S62" s="210"/>
      <c r="T62" s="210"/>
      <c r="U62" s="210"/>
      <c r="V62" s="210"/>
      <c r="W62" s="210"/>
      <c r="X62" s="210"/>
      <c r="Y62" s="210"/>
      <c r="Z62" s="210"/>
      <c r="AA62" s="210">
        <f t="shared" ref="AA62:AA70" si="13">IF($I62="B1","",SUM(O62:Z62))</f>
        <v>0</v>
      </c>
      <c r="AB62" s="458" t="str">
        <f>IF(_epmOfflineCondition_,"",IF(AA62=0,"",IFERROR(AA62/_xll.EVGTS($B$1,1,_xll.EVPRO($B$1,$H62,"COSBASIS"),$B$3,$B$5,$B$6,$B$7,$B$9,AA$16,AA$17,AA$11),"")))</f>
        <v/>
      </c>
      <c r="AC62" s="528"/>
      <c r="AD62" s="210"/>
      <c r="AE62" s="458" t="str">
        <f>IF(_epmOfflineCondition_,"",IF(AD62=0,"",IFERROR(AD62/_xll.EVGTS($B$1,1,_xll.EVPRO($B$1,$H62,"COSBASIS"),$B$3,$B$5,$B$6,$B$7,$B$9,AD$16,AD$17,AD$18),"")))</f>
        <v/>
      </c>
      <c r="AF62" s="460">
        <f t="shared" ref="AF62:AF72" si="14">IF(AND($AA62="",AD62=""),"",$AA62-AD62)</f>
        <v>0</v>
      </c>
      <c r="AG62" s="210"/>
      <c r="AH62" s="458" t="str">
        <f>IF(_epmOfflineCondition_,"",IF(AG62=0,"",IFERROR(AG62/_xll.EVGTS($B$1,1,_xll.EVPRO($B$1,$H62,"COSBASIS"),$B$3,$B$5,$B$6,$B$7,$B$9,AG$16,AG$17,AG$18),"")))</f>
        <v/>
      </c>
      <c r="AI62" s="461">
        <f t="shared" ref="AI62:AI72" si="15">IF(AND($AA62="",AG62=""),"",$AA62-AG62)</f>
        <v>0</v>
      </c>
      <c r="AJ62" s="462">
        <f t="shared" ref="AJ62:AJ70" si="16">IFERROR(AA62/AA$20,0)</f>
        <v>0</v>
      </c>
      <c r="AK62" s="463">
        <f t="shared" ref="AK62:AK70" si="17">IFERROR(AD62/AD$20,0)</f>
        <v>0</v>
      </c>
      <c r="AL62" s="464">
        <f t="shared" ref="AL62:AL70" si="18">IFERROR(AG62/AG$20,0)</f>
        <v>0</v>
      </c>
      <c r="AM62" s="465">
        <f t="shared" ref="AM62:AM70" si="19">+IFERROR(ROUND(($AB62-AE62)*100,2)&amp;" pts.",0)</f>
        <v>0</v>
      </c>
      <c r="AN62" s="466">
        <f t="shared" ref="AN62:AN70" si="20">+IFERROR(ROUND(($AB62-AH62)*100,2)&amp;" pts.",0)</f>
        <v>0</v>
      </c>
      <c r="AO62" s="11"/>
    </row>
    <row r="63" spans="1:41" x14ac:dyDescent="0.2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67"/>
      <c r="P63" s="216"/>
      <c r="Q63" s="216"/>
      <c r="R63" s="216"/>
      <c r="S63" s="216"/>
      <c r="T63" s="216"/>
      <c r="U63" s="216"/>
      <c r="V63" s="216"/>
      <c r="W63" s="216"/>
      <c r="X63" s="216"/>
      <c r="Y63" s="216"/>
      <c r="Z63" s="216"/>
      <c r="AA63" s="216">
        <f t="shared" si="13"/>
        <v>0</v>
      </c>
      <c r="AB63" s="468" t="str">
        <f>IF(_epmOfflineCondition_,"",IF(AA63=0,"",IFERROR(AA63/_xll.EVGTS($B$1,1,_xll.EVPRO($B$1,$H63,"COSBASIS"),$B$3,$B$5,$B$6,$B$7,$B$9,AA$16,AA$17,AA$11),"")))</f>
        <v/>
      </c>
      <c r="AC63" s="459"/>
      <c r="AD63" s="216"/>
      <c r="AE63" s="468" t="str">
        <f>IF(_epmOfflineCondition_,"",IF(AD63=0,"",IFERROR(AD63/_xll.EVGTS($B$1,1,_xll.EVPRO($B$1,$H63,"COSBASIS"),$B$3,$B$5,$B$6,$B$7,$B$9,AD$16,AD$17,AD$18),"")))</f>
        <v/>
      </c>
      <c r="AF63" s="469">
        <f t="shared" si="14"/>
        <v>0</v>
      </c>
      <c r="AG63" s="216"/>
      <c r="AH63" s="468" t="str">
        <f>IF(_epmOfflineCondition_,"",IF(AG63=0,"",IFERROR(AG63/_xll.EVGTS($B$1,1,_xll.EVPRO($B$1,$H63,"COSBASIS"),$B$3,$B$5,$B$6,$B$7,$B$9,AG$16,AG$17,AG$18),"")))</f>
        <v/>
      </c>
      <c r="AI63" s="470">
        <f t="shared" si="15"/>
        <v>0</v>
      </c>
      <c r="AJ63" s="471">
        <f t="shared" si="16"/>
        <v>0</v>
      </c>
      <c r="AK63" s="472">
        <f t="shared" si="17"/>
        <v>0</v>
      </c>
      <c r="AL63" s="473">
        <f t="shared" si="18"/>
        <v>0</v>
      </c>
      <c r="AM63" s="474">
        <f t="shared" si="19"/>
        <v>0</v>
      </c>
      <c r="AN63" s="475">
        <f t="shared" si="20"/>
        <v>0</v>
      </c>
      <c r="AO63" s="11"/>
    </row>
    <row r="64" spans="1:41" x14ac:dyDescent="0.2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76"/>
      <c r="P64" s="223"/>
      <c r="Q64" s="223"/>
      <c r="R64" s="223"/>
      <c r="S64" s="223"/>
      <c r="T64" s="223"/>
      <c r="U64" s="223"/>
      <c r="V64" s="223"/>
      <c r="W64" s="223"/>
      <c r="X64" s="223"/>
      <c r="Y64" s="223"/>
      <c r="Z64" s="223"/>
      <c r="AA64" s="223">
        <f t="shared" si="13"/>
        <v>0</v>
      </c>
      <c r="AB64" s="224" t="str">
        <f>IF(_epmOfflineCondition_,"",IF(AA64=0,"",IFERROR(AA64/_xll.EVGTS($B$1,1,_xll.EVPRO($B$1,$H64,"COSBASIS"),$B$3,$B$5,$B$6,$B$7,$B$9,AA$16,AA$17,AA$11),"")))</f>
        <v/>
      </c>
      <c r="AC64" s="225"/>
      <c r="AD64" s="223"/>
      <c r="AE64" s="224" t="str">
        <f>IF(_epmOfflineCondition_,"",IF(AD64=0,"",IFERROR(AD64/_xll.EVGTS($B$1,1,_xll.EVPRO($B$1,$H64,"COSBASIS"),$B$3,$B$5,$B$6,$B$7,$B$9,AD$16,AD$17,AD$18),"")))</f>
        <v/>
      </c>
      <c r="AF64" s="226">
        <f t="shared" si="14"/>
        <v>0</v>
      </c>
      <c r="AG64" s="223"/>
      <c r="AH64" s="224" t="str">
        <f>IF(_epmOfflineCondition_,"",IF(AG64=0,"",IFERROR(AG64/_xll.EVGTS($B$1,1,_xll.EVPRO($B$1,$H64,"COSBASIS"),$B$3,$B$5,$B$6,$B$7,$B$9,AG$16,AG$17,AG$18),"")))</f>
        <v/>
      </c>
      <c r="AI64" s="477">
        <f t="shared" si="15"/>
        <v>0</v>
      </c>
      <c r="AJ64" s="227">
        <f t="shared" si="16"/>
        <v>0</v>
      </c>
      <c r="AK64" s="228">
        <f t="shared" si="17"/>
        <v>0</v>
      </c>
      <c r="AL64" s="230">
        <f t="shared" si="18"/>
        <v>0</v>
      </c>
      <c r="AM64" s="427">
        <f t="shared" si="19"/>
        <v>0</v>
      </c>
      <c r="AN64" s="478">
        <f t="shared" si="20"/>
        <v>0</v>
      </c>
      <c r="AO64" s="11"/>
    </row>
    <row r="65" spans="1:41" x14ac:dyDescent="0.2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79"/>
      <c r="P65" s="232"/>
      <c r="Q65" s="232"/>
      <c r="R65" s="232"/>
      <c r="S65" s="232"/>
      <c r="T65" s="232"/>
      <c r="U65" s="232"/>
      <c r="V65" s="232"/>
      <c r="W65" s="232"/>
      <c r="X65" s="232"/>
      <c r="Y65" s="232"/>
      <c r="Z65" s="232"/>
      <c r="AA65" s="232" t="str">
        <f t="shared" si="13"/>
        <v/>
      </c>
      <c r="AB65" s="480" t="str">
        <f>IF(_epmOfflineCondition_,"",IF(AA65=0,"",IFERROR(AA65/_xll.EVGTS($B$1,1,_xll.EVPRO($B$1,$H65,"COSBASIS"),$B$3,$B$5,$B$6,$B$7,$B$9,AA$16,AA$17,AA$11),"")))</f>
        <v/>
      </c>
      <c r="AC65" s="529"/>
      <c r="AD65" s="232"/>
      <c r="AE65" s="480" t="str">
        <f>IF(_epmOfflineCondition_,"",IF(AD65=0,"",IFERROR(AD65/_xll.EVGTS($B$1,1,_xll.EVPRO($B$1,$H65,"COSBASIS"),$B$3,$B$5,$B$6,$B$7,$B$9,AD$16,AD$17,AD$18),"")))</f>
        <v/>
      </c>
      <c r="AF65" s="482" t="str">
        <f t="shared" si="14"/>
        <v/>
      </c>
      <c r="AG65" s="232"/>
      <c r="AH65" s="480" t="str">
        <f>IF(_epmOfflineCondition_,"",IF(AG65=0,"",IFERROR(AG65/_xll.EVGTS($B$1,1,_xll.EVPRO($B$1,$H65,"COSBASIS"),$B$3,$B$5,$B$6,$B$7,$B$9,AG$16,AG$17,AG$18),"")))</f>
        <v/>
      </c>
      <c r="AI65" s="483" t="str">
        <f t="shared" si="15"/>
        <v/>
      </c>
      <c r="AJ65" s="235">
        <f t="shared" si="16"/>
        <v>0</v>
      </c>
      <c r="AK65" s="236">
        <f t="shared" si="17"/>
        <v>0</v>
      </c>
      <c r="AL65" s="238">
        <f t="shared" si="18"/>
        <v>0</v>
      </c>
      <c r="AM65" s="429">
        <f t="shared" si="19"/>
        <v>0</v>
      </c>
      <c r="AN65" s="484">
        <f t="shared" si="20"/>
        <v>0</v>
      </c>
      <c r="AO65" s="11"/>
    </row>
    <row r="66" spans="1:41" x14ac:dyDescent="0.2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57"/>
      <c r="P66" s="210"/>
      <c r="Q66" s="210"/>
      <c r="R66" s="210"/>
      <c r="S66" s="210"/>
      <c r="T66" s="210"/>
      <c r="U66" s="210"/>
      <c r="V66" s="210"/>
      <c r="W66" s="210"/>
      <c r="X66" s="210"/>
      <c r="Y66" s="210"/>
      <c r="Z66" s="210"/>
      <c r="AA66" s="210">
        <f t="shared" si="13"/>
        <v>0</v>
      </c>
      <c r="AB66" s="458" t="str">
        <f>IF(_epmOfflineCondition_,"",IF(AA66=0,"",IFERROR(AA66/_xll.EVGTS($B$1,1,_xll.EVPRO($B$1,$H66,"COSBASIS"),$B$3,$B$5,$B$6,$B$7,$B$9,AA$16,AA$17,AA$11),"")))</f>
        <v/>
      </c>
      <c r="AC66" s="528"/>
      <c r="AD66" s="210"/>
      <c r="AE66" s="458" t="str">
        <f>IF(_epmOfflineCondition_,"",IF(AD66=0,"",IFERROR(AD66/_xll.EVGTS($B$1,1,_xll.EVPRO($B$1,$H66,"COSBASIS"),$B$3,$B$5,$B$6,$B$7,$B$9,AD$16,AD$17,AD$18),"")))</f>
        <v/>
      </c>
      <c r="AF66" s="460">
        <f t="shared" si="14"/>
        <v>0</v>
      </c>
      <c r="AG66" s="210"/>
      <c r="AH66" s="458" t="str">
        <f>IF(_epmOfflineCondition_,"",IF(AG66=0,"",IFERROR(AG66/_xll.EVGTS($B$1,1,_xll.EVPRO($B$1,$H66,"COSBASIS"),$B$3,$B$5,$B$6,$B$7,$B$9,AG$16,AG$17,AG$18),"")))</f>
        <v/>
      </c>
      <c r="AI66" s="461">
        <f t="shared" si="15"/>
        <v>0</v>
      </c>
      <c r="AJ66" s="462">
        <f t="shared" si="16"/>
        <v>0</v>
      </c>
      <c r="AK66" s="463">
        <f t="shared" si="17"/>
        <v>0</v>
      </c>
      <c r="AL66" s="464">
        <f t="shared" si="18"/>
        <v>0</v>
      </c>
      <c r="AM66" s="465">
        <f t="shared" si="19"/>
        <v>0</v>
      </c>
      <c r="AN66" s="466">
        <f t="shared" si="20"/>
        <v>0</v>
      </c>
      <c r="AO66" s="11"/>
    </row>
    <row r="67" spans="1:41" x14ac:dyDescent="0.2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57"/>
      <c r="P67" s="210"/>
      <c r="Q67" s="210"/>
      <c r="R67" s="210"/>
      <c r="S67" s="210"/>
      <c r="T67" s="210"/>
      <c r="U67" s="210"/>
      <c r="V67" s="210"/>
      <c r="W67" s="210"/>
      <c r="X67" s="210"/>
      <c r="Y67" s="210"/>
      <c r="Z67" s="210"/>
      <c r="AA67" s="210">
        <f t="shared" si="13"/>
        <v>0</v>
      </c>
      <c r="AB67" s="458" t="str">
        <f>IF(_epmOfflineCondition_,"",IF(AA67=0,"",IFERROR(AA67/_xll.EVGTS($B$1,1,_xll.EVPRO($B$1,$H67,"COSBASIS"),$B$3,$B$5,$B$6,$B$7,$B$9,AA$16,AA$17,AA$11),"")))</f>
        <v/>
      </c>
      <c r="AC67" s="528"/>
      <c r="AD67" s="210"/>
      <c r="AE67" s="458" t="str">
        <f>IF(_epmOfflineCondition_,"",IF(AD67=0,"",IFERROR(AD67/_xll.EVGTS($B$1,1,_xll.EVPRO($B$1,$H67,"COSBASIS"),$B$3,$B$5,$B$6,$B$7,$B$9,AD$16,AD$17,AD$18),"")))</f>
        <v/>
      </c>
      <c r="AF67" s="460">
        <f t="shared" si="14"/>
        <v>0</v>
      </c>
      <c r="AG67" s="210"/>
      <c r="AH67" s="458" t="str">
        <f>IF(_epmOfflineCondition_,"",IF(AG67=0,"",IFERROR(AG67/_xll.EVGTS($B$1,1,_xll.EVPRO($B$1,$H67,"COSBASIS"),$B$3,$B$5,$B$6,$B$7,$B$9,AG$16,AG$17,AG$18),"")))</f>
        <v/>
      </c>
      <c r="AI67" s="461">
        <f t="shared" si="15"/>
        <v>0</v>
      </c>
      <c r="AJ67" s="462">
        <f t="shared" si="16"/>
        <v>0</v>
      </c>
      <c r="AK67" s="463">
        <f t="shared" si="17"/>
        <v>0</v>
      </c>
      <c r="AL67" s="464">
        <f t="shared" si="18"/>
        <v>0</v>
      </c>
      <c r="AM67" s="465">
        <f t="shared" si="19"/>
        <v>0</v>
      </c>
      <c r="AN67" s="466">
        <f t="shared" si="20"/>
        <v>0</v>
      </c>
      <c r="AO67" s="11"/>
    </row>
    <row r="68" spans="1:41" x14ac:dyDescent="0.2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67"/>
      <c r="P68" s="216"/>
      <c r="Q68" s="216"/>
      <c r="R68" s="216"/>
      <c r="S68" s="216"/>
      <c r="T68" s="216"/>
      <c r="U68" s="216"/>
      <c r="V68" s="216"/>
      <c r="W68" s="216"/>
      <c r="X68" s="216"/>
      <c r="Y68" s="216"/>
      <c r="Z68" s="216"/>
      <c r="AA68" s="216">
        <f t="shared" si="13"/>
        <v>0</v>
      </c>
      <c r="AB68" s="468" t="str">
        <f>IF(_epmOfflineCondition_,"",IF(AA68=0,"",IFERROR(AA68/_xll.EVGTS($B$1,1,_xll.EVPRO($B$1,$H68,"COSBASIS"),$B$3,$B$5,$B$6,$B$7,$B$9,AA$16,AA$17,AA$11),"")))</f>
        <v/>
      </c>
      <c r="AC68" s="459"/>
      <c r="AD68" s="216"/>
      <c r="AE68" s="468" t="str">
        <f>IF(_epmOfflineCondition_,"",IF(AD68=0,"",IFERROR(AD68/_xll.EVGTS($B$1,1,_xll.EVPRO($B$1,$H68,"COSBASIS"),$B$3,$B$5,$B$6,$B$7,$B$9,AD$16,AD$17,AD$18),"")))</f>
        <v/>
      </c>
      <c r="AF68" s="469">
        <f t="shared" si="14"/>
        <v>0</v>
      </c>
      <c r="AG68" s="216"/>
      <c r="AH68" s="468" t="str">
        <f>IF(_epmOfflineCondition_,"",IF(AG68=0,"",IFERROR(AG68/_xll.EVGTS($B$1,1,_xll.EVPRO($B$1,$H68,"COSBASIS"),$B$3,$B$5,$B$6,$B$7,$B$9,AG$16,AG$17,AG$18),"")))</f>
        <v/>
      </c>
      <c r="AI68" s="470">
        <f t="shared" si="15"/>
        <v>0</v>
      </c>
      <c r="AJ68" s="471">
        <f t="shared" si="16"/>
        <v>0</v>
      </c>
      <c r="AK68" s="472">
        <f t="shared" si="17"/>
        <v>0</v>
      </c>
      <c r="AL68" s="473">
        <f t="shared" si="18"/>
        <v>0</v>
      </c>
      <c r="AM68" s="474">
        <f t="shared" si="19"/>
        <v>0</v>
      </c>
      <c r="AN68" s="475">
        <f t="shared" si="20"/>
        <v>0</v>
      </c>
      <c r="AO68" s="11"/>
    </row>
    <row r="69" spans="1:41" x14ac:dyDescent="0.2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85"/>
      <c r="P69" s="242"/>
      <c r="Q69" s="242"/>
      <c r="R69" s="242"/>
      <c r="S69" s="242"/>
      <c r="T69" s="242"/>
      <c r="U69" s="242"/>
      <c r="V69" s="242"/>
      <c r="W69" s="242"/>
      <c r="X69" s="242"/>
      <c r="Y69" s="242"/>
      <c r="Z69" s="242"/>
      <c r="AA69" s="242">
        <f t="shared" si="13"/>
        <v>0</v>
      </c>
      <c r="AB69" s="243" t="str">
        <f>IF(_epmOfflineCondition_,"",IF(AA69=0,"",IFERROR(AA69/_xll.EVGTS($B$1,1,_xll.EVPRO($B$1,$H69,"COSBASIS"),$B$3,$B$5,$B$6,$B$7,$B$9,AA$16,AA$17,AA$11),"")))</f>
        <v/>
      </c>
      <c r="AC69" s="244"/>
      <c r="AD69" s="242"/>
      <c r="AE69" s="243" t="str">
        <f>IF(_epmOfflineCondition_,"",IF(AD69=0,"",IFERROR(AD69/_xll.EVGTS($B$1,1,_xll.EVPRO($B$1,$H69,"COSBASIS"),$B$3,$B$5,$B$6,$B$7,$B$9,AD$16,AD$17,AD$18),"")))</f>
        <v/>
      </c>
      <c r="AF69" s="245">
        <f t="shared" si="14"/>
        <v>0</v>
      </c>
      <c r="AG69" s="242"/>
      <c r="AH69" s="243" t="str">
        <f>IF(_epmOfflineCondition_,"",IF(AG69=0,"",IFERROR(AG69/_xll.EVGTS($B$1,1,_xll.EVPRO($B$1,$H69,"COSBASIS"),$B$3,$B$5,$B$6,$B$7,$B$9,AG$16,AG$17,AG$18),"")))</f>
        <v/>
      </c>
      <c r="AI69" s="486">
        <f t="shared" si="15"/>
        <v>0</v>
      </c>
      <c r="AJ69" s="246">
        <f t="shared" si="16"/>
        <v>0</v>
      </c>
      <c r="AK69" s="247">
        <f t="shared" si="17"/>
        <v>0</v>
      </c>
      <c r="AL69" s="249">
        <f t="shared" si="18"/>
        <v>0</v>
      </c>
      <c r="AM69" s="431">
        <f t="shared" si="19"/>
        <v>0</v>
      </c>
      <c r="AN69" s="487">
        <f t="shared" si="20"/>
        <v>0</v>
      </c>
      <c r="AO69" s="11"/>
    </row>
    <row r="70" spans="1:41" x14ac:dyDescent="0.2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76"/>
      <c r="P70" s="223"/>
      <c r="Q70" s="223"/>
      <c r="R70" s="223"/>
      <c r="S70" s="223"/>
      <c r="T70" s="223"/>
      <c r="U70" s="223"/>
      <c r="V70" s="223"/>
      <c r="W70" s="223"/>
      <c r="X70" s="223"/>
      <c r="Y70" s="223"/>
      <c r="Z70" s="223"/>
      <c r="AA70" s="223">
        <f t="shared" si="13"/>
        <v>0</v>
      </c>
      <c r="AB70" s="224" t="str">
        <f>IF(_epmOfflineCondition_,"",IF(AA70=0,"",IFERROR(AA70/_xll.EVGTS($B$1,1,_xll.EVPRO($B$1,$H70,"COSBASIS"),$B$3,$B$5,$B$6,$B$7,$B$9,AA$16,AA$17,AA$11),"")))</f>
        <v/>
      </c>
      <c r="AC70" s="225"/>
      <c r="AD70" s="223"/>
      <c r="AE70" s="224" t="str">
        <f>IF(_epmOfflineCondition_,"",IF(AD70=0,"",IFERROR(AD70/_xll.EVGTS($B$1,1,_xll.EVPRO($B$1,$H70,"COSBASIS"),$B$3,$B$5,$B$6,$B$7,$B$9,AD$16,AD$17,AD$18),"")))</f>
        <v/>
      </c>
      <c r="AF70" s="226">
        <f t="shared" si="14"/>
        <v>0</v>
      </c>
      <c r="AG70" s="223"/>
      <c r="AH70" s="224" t="str">
        <f>IF(_epmOfflineCondition_,"",IF(AG70=0,"",IFERROR(AG70/_xll.EVGTS($B$1,1,_xll.EVPRO($B$1,$H70,"COSBASIS"),$B$3,$B$5,$B$6,$B$7,$B$9,AG$16,AG$17,AG$18),"")))</f>
        <v/>
      </c>
      <c r="AI70" s="477">
        <f t="shared" si="15"/>
        <v>0</v>
      </c>
      <c r="AJ70" s="227">
        <f t="shared" si="16"/>
        <v>0</v>
      </c>
      <c r="AK70" s="228">
        <f t="shared" si="17"/>
        <v>0</v>
      </c>
      <c r="AL70" s="230">
        <f t="shared" si="18"/>
        <v>0</v>
      </c>
      <c r="AM70" s="427">
        <f t="shared" si="19"/>
        <v>0</v>
      </c>
      <c r="AN70" s="478">
        <f t="shared" si="20"/>
        <v>0</v>
      </c>
      <c r="AO70" s="11"/>
    </row>
    <row r="71" spans="1:41" x14ac:dyDescent="0.2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2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388">
        <f>IFERROR(AA72/AA$20,0)</f>
        <v>0</v>
      </c>
      <c r="AK72" s="389">
        <f>IFERROR(AD72/AD$20,0)</f>
        <v>0</v>
      </c>
      <c r="AL72" s="390">
        <f>IFERROR(AG72/AG$20,0)</f>
        <v>0</v>
      </c>
      <c r="AM72" s="391">
        <f>+IFERROR(ROUND(($AB72-AE72)*100,2)&amp;" pts.",0)</f>
        <v>0</v>
      </c>
      <c r="AN72" s="544">
        <f>+IFERROR(ROUND(($AB72-AH72)*100,2)&amp;" pts.",0)</f>
        <v>0</v>
      </c>
      <c r="AO72" s="11"/>
    </row>
    <row r="73" spans="1:41" x14ac:dyDescent="0.2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2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2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2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31"/>
      <c r="P76" s="231"/>
      <c r="Q76" s="231"/>
      <c r="R76" s="231"/>
      <c r="S76" s="231"/>
      <c r="T76" s="231"/>
      <c r="U76" s="231"/>
      <c r="V76" s="231"/>
      <c r="W76" s="231"/>
      <c r="X76" s="231"/>
      <c r="Y76" s="231"/>
      <c r="Z76" s="231"/>
      <c r="AA76" s="210">
        <f>IF($I76="B1","",SUM(O76:Z76))</f>
        <v>0</v>
      </c>
      <c r="AB76" s="233" t="str">
        <f>IF(AA76=0,"",IFERROR(AA76/AA$19,""))</f>
        <v/>
      </c>
      <c r="AC76" s="140"/>
      <c r="AD76" s="231"/>
      <c r="AE76" s="233" t="str">
        <f>IF(AD76=0,"",IFERROR(AD76/AD$19,""))</f>
        <v/>
      </c>
      <c r="AF76" s="234">
        <f>IF(AND($AA76="",AD76=""),"",$AA76-AD76)</f>
        <v>0</v>
      </c>
      <c r="AG76" s="231"/>
      <c r="AH76" s="233" t="str">
        <f>IF(AG76=0,"",IFERROR(AG76/AG$19,""))</f>
        <v/>
      </c>
      <c r="AI76" s="234">
        <f>IF(AND($AA76="",AG76=""),"",$AA76-AG76)</f>
        <v>0</v>
      </c>
      <c r="AJ76" s="462">
        <f>IFERROR(AA76/AA$20,0)</f>
        <v>0</v>
      </c>
      <c r="AK76" s="463">
        <f>IFERROR(AD76/AD$20,0)</f>
        <v>0</v>
      </c>
      <c r="AL76" s="464">
        <f>IFERROR(AG76/AG$20,0)</f>
        <v>0</v>
      </c>
      <c r="AM76" s="465">
        <f>+IFERROR(ROUND(($AB76-AE76)*100,2)&amp;" pts.",0)</f>
        <v>0</v>
      </c>
      <c r="AN76" s="466">
        <f>+IFERROR(ROUND(($AB76-AH76)*100,2)&amp;" pts.",0)</f>
        <v>0</v>
      </c>
      <c r="AO76" s="11"/>
    </row>
    <row r="77" spans="1:41" hidden="1" x14ac:dyDescent="0.2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31"/>
      <c r="P77" s="231"/>
      <c r="Q77" s="231"/>
      <c r="R77" s="231"/>
      <c r="S77" s="231"/>
      <c r="T77" s="231"/>
      <c r="U77" s="231"/>
      <c r="V77" s="231"/>
      <c r="W77" s="231"/>
      <c r="X77" s="231"/>
      <c r="Y77" s="231"/>
      <c r="Z77" s="231"/>
      <c r="AA77" s="210">
        <f>IF($I77="B1","",SUM(O77:Z77))</f>
        <v>0</v>
      </c>
      <c r="AB77" s="233" t="str">
        <f>IF(AA77=0,"",IFERROR(AA77/AA$19,""))</f>
        <v/>
      </c>
      <c r="AC77" s="140"/>
      <c r="AD77" s="231"/>
      <c r="AE77" s="233" t="str">
        <f>IF(AD77=0,"",IFERROR(AD77/AD$19,""))</f>
        <v/>
      </c>
      <c r="AF77" s="234">
        <f>IF(AND($AA77="",AD77=""),"",$AA77-AD77)</f>
        <v>0</v>
      </c>
      <c r="AG77" s="231"/>
      <c r="AH77" s="233" t="str">
        <f>IF(AG77=0,"",IFERROR(AG77/AG$19,""))</f>
        <v/>
      </c>
      <c r="AI77" s="234">
        <f>IF(AND($AA77="",AG77=""),"",$AA77-AG77)</f>
        <v>0</v>
      </c>
      <c r="AJ77" s="462">
        <f>IFERROR(AA77/AA$20,0)</f>
        <v>0</v>
      </c>
      <c r="AK77" s="463">
        <f>IFERROR(AD77/AD$20,0)</f>
        <v>0</v>
      </c>
      <c r="AL77" s="464">
        <f>IFERROR(AG77/AG$20,0)</f>
        <v>0</v>
      </c>
      <c r="AM77" s="465">
        <f>+IFERROR(ROUND(($AB77-AE77)*100,2)&amp;" pts.",0)</f>
        <v>0</v>
      </c>
      <c r="AN77" s="466">
        <f>+IFERROR(ROUND(($AB77-AH77)*100,2)&amp;" pts.",0)</f>
        <v>0</v>
      </c>
      <c r="AO77" s="11"/>
    </row>
    <row r="78" spans="1:41" x14ac:dyDescent="0.2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2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39"/>
      <c r="P79" s="239"/>
      <c r="Q79" s="239"/>
      <c r="R79" s="239"/>
      <c r="S79" s="239"/>
      <c r="T79" s="239"/>
      <c r="U79" s="239"/>
      <c r="V79" s="239"/>
      <c r="W79" s="239"/>
      <c r="X79" s="239"/>
      <c r="Y79" s="239"/>
      <c r="Z79" s="239"/>
      <c r="AA79" s="216">
        <f>IF($I79="B1","",SUM(O79:Z79))</f>
        <v>0</v>
      </c>
      <c r="AB79" s="240" t="str">
        <f>IF(AA79=0,"",IFERROR(AA79/AA$19,""))</f>
        <v/>
      </c>
      <c r="AC79" s="140"/>
      <c r="AD79" s="239"/>
      <c r="AE79" s="240" t="str">
        <f>IF(AD79=0,"",IFERROR(AD79/AD$19,""))</f>
        <v/>
      </c>
      <c r="AF79" s="241">
        <f>IF(AND($AA79="",AD79=""),"",$AA79-AD79)</f>
        <v>0</v>
      </c>
      <c r="AG79" s="239"/>
      <c r="AH79" s="240" t="str">
        <f>IF(AG79=0,"",IFERROR(AG79/AG$19,""))</f>
        <v/>
      </c>
      <c r="AI79" s="241">
        <f>IF(AND($AA79="",AG79=""),"",$AA79-AG79)</f>
        <v>0</v>
      </c>
      <c r="AJ79" s="471">
        <f>IFERROR(AA79/AA$20,0)</f>
        <v>0</v>
      </c>
      <c r="AK79" s="472">
        <f>IFERROR(AD79/AD$20,0)</f>
        <v>0</v>
      </c>
      <c r="AL79" s="473">
        <f>IFERROR(AG79/AG$20,0)</f>
        <v>0</v>
      </c>
      <c r="AM79" s="474">
        <f>+IFERROR(ROUND(($AB79-AE79)*100,2)&amp;" pts.",0)</f>
        <v>0</v>
      </c>
      <c r="AN79" s="475">
        <f>+IFERROR(ROUND(($AB79-AH79)*100,2)&amp;" pts.",0)</f>
        <v>0</v>
      </c>
      <c r="AO79" s="11"/>
    </row>
    <row r="80" spans="1:41" hidden="1" x14ac:dyDescent="0.2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39"/>
      <c r="P80" s="239"/>
      <c r="Q80" s="239"/>
      <c r="R80" s="239"/>
      <c r="S80" s="239"/>
      <c r="T80" s="239"/>
      <c r="U80" s="239"/>
      <c r="V80" s="239"/>
      <c r="W80" s="239"/>
      <c r="X80" s="239"/>
      <c r="Y80" s="239"/>
      <c r="Z80" s="239"/>
      <c r="AA80" s="216">
        <f>IF($I80="B1","",SUM(O80:Z80))</f>
        <v>0</v>
      </c>
      <c r="AB80" s="240" t="str">
        <f>IF(AA80=0,"",IFERROR(AA80/AA$19,""))</f>
        <v/>
      </c>
      <c r="AC80" s="140"/>
      <c r="AD80" s="239"/>
      <c r="AE80" s="240" t="str">
        <f>IF(AD80=0,"",IFERROR(AD80/AD$19,""))</f>
        <v/>
      </c>
      <c r="AF80" s="241">
        <f>IF(AND($AA80="",AD80=""),"",$AA80-AD80)</f>
        <v>0</v>
      </c>
      <c r="AG80" s="239"/>
      <c r="AH80" s="240" t="str">
        <f>IF(AG80=0,"",IFERROR(AG80/AG$19,""))</f>
        <v/>
      </c>
      <c r="AI80" s="241">
        <f>IF(AND($AA80="",AG80=""),"",$AA80-AG80)</f>
        <v>0</v>
      </c>
      <c r="AJ80" s="471">
        <f>IFERROR(AA80/AA$20,0)</f>
        <v>0</v>
      </c>
      <c r="AK80" s="472">
        <f>IFERROR(AD80/AD$20,0)</f>
        <v>0</v>
      </c>
      <c r="AL80" s="473">
        <f>IFERROR(AG80/AG$20,0)</f>
        <v>0</v>
      </c>
      <c r="AM80" s="474">
        <f>+IFERROR(ROUND(($AB80-AE80)*100,2)&amp;" pts.",0)</f>
        <v>0</v>
      </c>
      <c r="AN80" s="475">
        <f>+IFERROR(ROUND(($AB80-AH80)*100,2)&amp;" pts.",0)</f>
        <v>0</v>
      </c>
      <c r="AO80" s="11"/>
    </row>
    <row r="81" spans="1:41" x14ac:dyDescent="0.2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2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25">
      <c r="A83" s="65" t="s">
        <v>2</v>
      </c>
      <c r="B83" s="66" t="str">
        <f>IF(_epmOfflineCondition_,"'Venue3'!$B$2:$B$10",_xll.EVRNG($B$2:$B$10))</f>
        <v>'Venue3'!$B$2:$B$10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38"/>
      <c r="P83" s="138"/>
      <c r="Q83" s="138"/>
      <c r="R83" s="138"/>
      <c r="S83" s="138"/>
      <c r="T83" s="138"/>
      <c r="U83" s="138"/>
      <c r="V83" s="138"/>
      <c r="W83" s="138"/>
      <c r="X83" s="138"/>
      <c r="Y83" s="138"/>
      <c r="Z83" s="138"/>
      <c r="AA83" s="210">
        <f>IF($I83="B1","",SUM(O83:Z83))</f>
        <v>0</v>
      </c>
      <c r="AB83" s="142" t="str">
        <f>IF(AA83=0,"",IFERROR(AA83/AA$19,""))</f>
        <v/>
      </c>
      <c r="AC83" s="140"/>
      <c r="AD83" s="138"/>
      <c r="AE83" s="142" t="str">
        <f>IF(AD83=0,"",IFERROR(AD83/AD$19,""))</f>
        <v/>
      </c>
      <c r="AF83" s="141">
        <f>IF(AND($AA83="",AD83=""),"",$AA83-AD83)</f>
        <v>0</v>
      </c>
      <c r="AG83" s="138"/>
      <c r="AH83" s="142" t="str">
        <f>IF(AG83=0,"",IFERROR(AG83/AG$19,""))</f>
        <v/>
      </c>
      <c r="AI83" s="141">
        <f>IF(AND($AA83="",AG83=""),"",$AA83-AG83)</f>
        <v>0</v>
      </c>
      <c r="AJ83" s="462">
        <f>IFERROR(AA83/AA$20,0)</f>
        <v>0</v>
      </c>
      <c r="AK83" s="463">
        <f>IFERROR(AD83/AD$20,0)</f>
        <v>0</v>
      </c>
      <c r="AL83" s="464">
        <f>IFERROR(AG83/AG$20,0)</f>
        <v>0</v>
      </c>
      <c r="AM83" s="465">
        <f>+IFERROR(ROUND(($AB83-AE83)*100,2)&amp;" pts.",0)</f>
        <v>0</v>
      </c>
      <c r="AN83" s="466">
        <f>+IFERROR(ROUND(($AB83-AH83)*100,2)&amp;" pts.",0)</f>
        <v>0</v>
      </c>
      <c r="AO83" s="11"/>
    </row>
    <row r="84" spans="1:41" hidden="1" x14ac:dyDescent="0.25">
      <c r="A84" s="65" t="s">
        <v>3</v>
      </c>
      <c r="B84" s="66" t="str">
        <f>IF(_epmOfflineCondition_,"'Venue3'!$O$16:$AN$18",_xll.EVRNG($O$16:$AN$18))</f>
        <v>'Venue3'!$O$16:$AN$18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38"/>
      <c r="P84" s="138"/>
      <c r="Q84" s="138"/>
      <c r="R84" s="138"/>
      <c r="S84" s="138"/>
      <c r="T84" s="138"/>
      <c r="U84" s="138"/>
      <c r="V84" s="138"/>
      <c r="W84" s="138"/>
      <c r="X84" s="138"/>
      <c r="Y84" s="138"/>
      <c r="Z84" s="138"/>
      <c r="AA84" s="210">
        <f>IF($I84="B1","",SUM(O84:Z84))</f>
        <v>0</v>
      </c>
      <c r="AB84" s="142" t="str">
        <f>IF(AA84=0,"",IFERROR(AA84/AA$19,""))</f>
        <v/>
      </c>
      <c r="AC84" s="140"/>
      <c r="AD84" s="138"/>
      <c r="AE84" s="142" t="str">
        <f>IF(AD84=0,"",IFERROR(AD84/AD$19,""))</f>
        <v/>
      </c>
      <c r="AF84" s="141">
        <f>IF(AND($AA84="",AD84=""),"",$AA84-AD84)</f>
        <v>0</v>
      </c>
      <c r="AG84" s="138"/>
      <c r="AH84" s="142" t="str">
        <f>IF(AG84=0,"",IFERROR(AG84/AG$19,""))</f>
        <v/>
      </c>
      <c r="AI84" s="141">
        <f>IF(AND($AA84="",AG84=""),"",$AA84-AG84)</f>
        <v>0</v>
      </c>
      <c r="AJ84" s="462">
        <f>IFERROR(AA84/AA$20,0)</f>
        <v>0</v>
      </c>
      <c r="AK84" s="463">
        <f>IFERROR(AD84/AD$20,0)</f>
        <v>0</v>
      </c>
      <c r="AL84" s="464">
        <f>IFERROR(AG84/AG$20,0)</f>
        <v>0</v>
      </c>
      <c r="AM84" s="465">
        <f>+IFERROR(ROUND(($AB84-AE84)*100,2)&amp;" pts.",0)</f>
        <v>0</v>
      </c>
      <c r="AN84" s="466">
        <f>+IFERROR(ROUND(($AB84-AH84)*100,2)&amp;" pts.",0)</f>
        <v>0</v>
      </c>
      <c r="AO84" s="11"/>
    </row>
    <row r="85" spans="1:41" x14ac:dyDescent="0.25">
      <c r="A85" s="65" t="s">
        <v>4</v>
      </c>
      <c r="B85" s="66" t="str">
        <f>IF(_epmOfflineCondition_,"'Venue3'!$H$76:$H$77,'Venue3'!$H$79:$H$80,'Venue3'!$H$83:$H$84",_xll.EVRNG(H76:H77,H79:H80,H83:H84))</f>
        <v>'Venue3'!$H$76:$H$77,'Venue3'!$H$79:$H$80,'Venue3'!$H$83:$H$84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0"/>
      <c r="P85" s="150"/>
      <c r="Q85" s="150"/>
      <c r="R85" s="150"/>
      <c r="S85" s="150"/>
      <c r="T85" s="150"/>
      <c r="U85" s="150"/>
      <c r="V85" s="150"/>
      <c r="W85" s="150"/>
      <c r="X85" s="150"/>
      <c r="Y85" s="150"/>
      <c r="Z85" s="150"/>
      <c r="AA85" s="150">
        <f>IF($I85="B1","",SUM(O85:Z85))</f>
        <v>0</v>
      </c>
      <c r="AB85" s="151" t="str">
        <f>IF(AA85=0,"",IFERROR(AA85/AA$19,""))</f>
        <v/>
      </c>
      <c r="AC85" s="140"/>
      <c r="AD85" s="150"/>
      <c r="AE85" s="151" t="str">
        <f>IF(AD85=0,"",IFERROR(AD85/AD$19,""))</f>
        <v/>
      </c>
      <c r="AF85" s="152">
        <f>IF(AND($AA85="",AD85=""),"",$AA85-AD85)</f>
        <v>0</v>
      </c>
      <c r="AG85" s="150"/>
      <c r="AH85" s="151" t="str">
        <f>IF(AG85=0,"",IFERROR(AG85/AG$19,""))</f>
        <v/>
      </c>
      <c r="AI85" s="152">
        <f>IF(AND($AA85="",AG85=""),"",$AA85-AG85)</f>
        <v>0</v>
      </c>
      <c r="AJ85" s="558">
        <f>IFERROR(AA85/AA$20,0)</f>
        <v>0</v>
      </c>
      <c r="AK85" s="559">
        <f>IFERROR(AD85/AD$20,0)</f>
        <v>0</v>
      </c>
      <c r="AL85" s="560">
        <f>IFERROR(AG85/AG$20,0)</f>
        <v>0</v>
      </c>
      <c r="AM85" s="561">
        <f>+IFERROR(ROUND(($AB85-AE85)*100,2)&amp;" pts.",0)</f>
        <v>0</v>
      </c>
      <c r="AN85" s="562">
        <f>+IFERROR(ROUND(($AB85-AH85)*100,2)&amp;" pts.",0)</f>
        <v>0</v>
      </c>
      <c r="AO85" s="11"/>
    </row>
    <row r="86" spans="1:41" x14ac:dyDescent="0.2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2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42"/>
      <c r="P87" s="242"/>
      <c r="Q87" s="242"/>
      <c r="R87" s="242"/>
      <c r="S87" s="242"/>
      <c r="T87" s="242"/>
      <c r="U87" s="242"/>
      <c r="V87" s="242"/>
      <c r="W87" s="242"/>
      <c r="X87" s="242"/>
      <c r="Y87" s="242"/>
      <c r="Z87" s="242"/>
      <c r="AA87" s="242">
        <f>IF($I87="B1","",SUM(O87:Z87))</f>
        <v>0</v>
      </c>
      <c r="AB87" s="243" t="str">
        <f>IF(AA87=0,"",IFERROR(AA87/AA$19,""))</f>
        <v/>
      </c>
      <c r="AC87" s="140"/>
      <c r="AD87" s="242"/>
      <c r="AE87" s="243" t="str">
        <f>IF(AD87=0,"",IFERROR(AD87/AD$19,""))</f>
        <v/>
      </c>
      <c r="AF87" s="254">
        <f>IF(AND($AA87="",AD87=""),"",$AA87-AD87)</f>
        <v>0</v>
      </c>
      <c r="AG87" s="255"/>
      <c r="AH87" s="256" t="str">
        <f>IF(AG87=0,"",IFERROR(AG87/AG$19,""))</f>
        <v/>
      </c>
      <c r="AI87" s="254">
        <f>IF(AND($AA87="",AG87=""),"",$AA87-AG87)</f>
        <v>0</v>
      </c>
      <c r="AJ87" s="246">
        <f>IFERROR(AA87/AA$20,0)</f>
        <v>0</v>
      </c>
      <c r="AK87" s="247">
        <f>IFERROR(AD87/AD$20,0)</f>
        <v>0</v>
      </c>
      <c r="AL87" s="249">
        <f>IFERROR(AG87/AG$20,0)</f>
        <v>0</v>
      </c>
      <c r="AM87" s="431">
        <f>+IFERROR(ROUND(($AB87-AE87)*100,2)&amp;" pts.",0)</f>
        <v>0</v>
      </c>
      <c r="AN87" s="487">
        <f>+IFERROR(ROUND(($AB87-AH87)*100,2)&amp;" pts.",0)</f>
        <v>0</v>
      </c>
      <c r="AO87" s="11"/>
    </row>
    <row r="88" spans="1:41" ht="15.75" thickBot="1" x14ac:dyDescent="0.3">
      <c r="A88" s="65" t="s">
        <v>7</v>
      </c>
      <c r="B88" s="66" t="str">
        <f>IF(_epmOfflineCondition_,"'Venue3'!$A$102:$F$108",_xll.EVRNG(A102:F108))</f>
        <v>'Venue3'!$A$102:$F$108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5"/>
      <c r="P88" s="165"/>
      <c r="Q88" s="165"/>
      <c r="R88" s="165"/>
      <c r="S88" s="165"/>
      <c r="T88" s="165"/>
      <c r="U88" s="165"/>
      <c r="V88" s="165"/>
      <c r="W88" s="165"/>
      <c r="X88" s="165"/>
      <c r="Y88" s="165"/>
      <c r="Z88" s="165"/>
      <c r="AA88" s="165">
        <f>IF($I88="B1","",SUM(O88:Z88))</f>
        <v>0</v>
      </c>
      <c r="AB88" s="166" t="str">
        <f>IF(AA88=0,"",IFERROR(AA88/AA$19,""))</f>
        <v/>
      </c>
      <c r="AC88" s="140"/>
      <c r="AD88" s="165"/>
      <c r="AE88" s="166" t="str">
        <f>IF(AD88=0,"",IFERROR(AD88/AD$19,""))</f>
        <v/>
      </c>
      <c r="AF88" s="167">
        <f>IF(AND($AA88="",AD88=""),"",$AA88-AD88)</f>
        <v>0</v>
      </c>
      <c r="AG88" s="165"/>
      <c r="AH88" s="166" t="str">
        <f>IF(AG88=0,"",IFERROR(AG88/AG$19,""))</f>
        <v/>
      </c>
      <c r="AI88" s="167">
        <f>IF(AND($AA88="",AG88=""),"",$AA88-AG88)</f>
        <v>0</v>
      </c>
      <c r="AJ88" s="452">
        <f>IFERROR(AA88/AA$20,0)</f>
        <v>0</v>
      </c>
      <c r="AK88" s="453">
        <f>IFERROR(AD88/AD$20,0)</f>
        <v>0</v>
      </c>
      <c r="AL88" s="454">
        <f>IFERROR(AG88/AG$20,0)</f>
        <v>0</v>
      </c>
      <c r="AM88" s="455">
        <f>+IFERROR(ROUND(($AB88-AE88)*100,2)&amp;" pts.",0)</f>
        <v>0</v>
      </c>
      <c r="AN88" s="548">
        <f>+IFERROR(ROUND(($AB88-AH88)*100,2)&amp;" pts.",0)</f>
        <v>0</v>
      </c>
      <c r="AO88" s="11"/>
    </row>
    <row r="89" spans="1:41" ht="15.75" thickTop="1" x14ac:dyDescent="0.25">
      <c r="A89" s="65" t="s">
        <v>47</v>
      </c>
      <c r="B89" s="66" t="str">
        <f>IF(_epmOfflineCondition_,"'Venue3'!$A$125:$B$146",_xll.EVRNG($A$125:$B$146))</f>
        <v>'Venue3'!$A$125:$B$146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2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2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2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2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5" t="s">
        <v>2</v>
      </c>
      <c r="B114" s="66" t="str">
        <f>IF(_epmOfflineCondition_,"'Venue3'!$B$2:$B$10",_xll.EVRNG($B$2:$B$10))</f>
        <v>'Venue3'!$B$2:$B$10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3</v>
      </c>
      <c r="B115" s="66" t="str">
        <f>IF(_epmOfflineCondition_,"'Venue3'!$O$16:$AN$18",_xll.EVRNG($O$16:$AN$18))</f>
        <v>'Venue3'!$O$16:$AN$18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4</v>
      </c>
      <c r="B116" s="66" t="str">
        <f>IF(_epmOfflineCondition_,"'Venue3'!$H$85:$H$88",_xll.EVRNG(H85:H88))</f>
        <v>'Venue3'!$H$85:$H$88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47</v>
      </c>
      <c r="B120" s="66" t="str">
        <f>IF(_epmOfflineCondition_,"'Venue3'!$A$125:$B$146",_xll.EVRNG($A$125:$B$146))</f>
        <v>'Venue3'!$A$125:$B$146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2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bfC9LmneoHiSrNGEEMFI+a5UC+HxuLEdDlM1R69PYMepu8eva7x7vXyoqHO4BEjHiFZf9lYdVWD0DlRwye+3Jw==" saltValue="H5g/djyXHAiCgifUscuVvA==" spinCount="100000" sheet="1" scenarios="1"/>
  <mergeCells count="2">
    <mergeCell ref="AD31:AE31"/>
    <mergeCell ref="AG31:AH31"/>
  </mergeCells>
  <dataValidations count="2">
    <dataValidation type="list" allowBlank="1" sqref="B29 B95 B62" xr:uid="{00000000-0002-0000-0B00-000000000000}">
      <formula1>"SELF,ALL,BAS,DEP,BASMEMBERS,MEMBERS,NOEXPAND,GDEP"</formula1>
    </dataValidation>
    <dataValidation type="list" allowBlank="1" sqref="B28 B94 B61" xr:uid="{00000000-0002-0000-0B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tabColor theme="6" tint="0.39997558519241921"/>
    <pageSetUpPr fitToPage="1"/>
  </sheetPr>
  <dimension ref="A1:AI211"/>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t="str">
        <f>Venue3!N1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732</v>
      </c>
      <c r="C6" s="11" t="str">
        <f>IF(_epmOfflineCondition_,"Venue 3",_xll.EVDES(B6,$B$1))</f>
        <v>Venue 3</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IF(_epmOfflineCondition_,"'Venue3_KPI'!$B$2:$B$10",_xll.EVRNG($B$2:$B$10))</f>
        <v>'Venue3_KPI'!$B$2:$B$10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IF(_epmOfflineCondition_,"'Venue3_KPI'!$O$16:$AI$18",_xll.EVRNG(O16:AI18))</f>
        <v>'Venue3_KPI'!$O$16:$AI$18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IF(_epmOfflineCondition_,"'Venue3_KPI'!$H$35:$H$146",_xll.EVRNG(H35:H146))</f>
        <v>'Venue3_KPI'!$H$35:$H$146</v>
      </c>
      <c r="C19" s="11"/>
      <c r="D19" s="11"/>
      <c r="E19" s="11"/>
      <c r="F19" s="11"/>
      <c r="G19" s="67" t="str">
        <f>$B$6</f>
        <v>D2142</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25">
      <c r="A20" s="65" t="s">
        <v>5</v>
      </c>
      <c r="B20" s="66"/>
      <c r="C20" s="11"/>
      <c r="D20" s="11"/>
      <c r="E20" s="11"/>
      <c r="F20" s="11"/>
      <c r="G20" s="67" t="str">
        <f>$B$6</f>
        <v>D2142</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IF(_epmOfflineCondition_,"'Venue3_KPI'!$A$37:$B$58",_xll.EVRNG($A$37:$B$58))</f>
        <v>'Venue3_KPI'!$A$37:$B$58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IF(_epmOfflineCondition_,"Venue 3 Department",IF($N$1="",IF(_xll.EVDES(B6,$B$1)="#NODATA","",_xll.EVDES(B6,$B$1)&amp;" Department"),$N$1))</f>
        <v>Venue 3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c r="P35" s="138"/>
      <c r="Q35" s="138"/>
      <c r="R35" s="138"/>
      <c r="S35" s="138"/>
      <c r="T35" s="138"/>
      <c r="U35" s="138"/>
      <c r="V35" s="138"/>
      <c r="W35" s="138"/>
      <c r="X35" s="138"/>
      <c r="Y35" s="138"/>
      <c r="Z35" s="138"/>
      <c r="AA35" s="138">
        <f t="shared" ref="AA35:AA41" si="0">SUM(O35:Z35)</f>
        <v>0</v>
      </c>
      <c r="AB35" s="142" t="str">
        <f>IF(AA35=0,"",IFERROR(AA35/AA$19,""))</f>
        <v/>
      </c>
      <c r="AC35" s="140"/>
      <c r="AD35" s="138"/>
      <c r="AE35" s="142" t="str">
        <f>IF(AD35=0,"",IFERROR(AD35/AD$19,""))</f>
        <v/>
      </c>
      <c r="AF35" s="141">
        <f t="shared" ref="AF35:AF42" si="1">IF(AND($AA35="",AD35=""),"",$AA35-AD35)</f>
        <v>0</v>
      </c>
      <c r="AG35" s="138"/>
      <c r="AH35" s="142" t="str">
        <f>IF(AG35=0,"",IFERROR(AG35/AG$19,""))</f>
        <v/>
      </c>
      <c r="AI35" s="141">
        <f t="shared" ref="AI35:AI42" si="2">IF(AND($AA35="",AG35=""),"",$AA35-AG35)</f>
        <v>0</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c r="P36" s="138"/>
      <c r="Q36" s="138"/>
      <c r="R36" s="138"/>
      <c r="S36" s="138"/>
      <c r="T36" s="138"/>
      <c r="U36" s="138"/>
      <c r="V36" s="138"/>
      <c r="W36" s="138"/>
      <c r="X36" s="138"/>
      <c r="Y36" s="138"/>
      <c r="Z36" s="138"/>
      <c r="AA36" s="138">
        <f t="shared" si="0"/>
        <v>0</v>
      </c>
      <c r="AB36" s="142" t="str">
        <f>IF(AA36=0,"",IFERROR(AA36/AA$19,""))</f>
        <v/>
      </c>
      <c r="AC36" s="140"/>
      <c r="AD36" s="138"/>
      <c r="AE36" s="142" t="str">
        <f>IF(AD36=0,"",IFERROR(AD36/AD$19,""))</f>
        <v/>
      </c>
      <c r="AF36" s="141">
        <f t="shared" si="1"/>
        <v>0</v>
      </c>
      <c r="AG36" s="138"/>
      <c r="AH36" s="142" t="str">
        <f>IF(AG36=0,"",IFERROR(AG36/AG$19,""))</f>
        <v/>
      </c>
      <c r="AI36" s="141">
        <f t="shared" si="2"/>
        <v>0</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c r="P37" s="138"/>
      <c r="Q37" s="138"/>
      <c r="R37" s="138"/>
      <c r="S37" s="138"/>
      <c r="T37" s="138"/>
      <c r="U37" s="138"/>
      <c r="V37" s="138"/>
      <c r="W37" s="138"/>
      <c r="X37" s="138"/>
      <c r="Y37" s="138"/>
      <c r="Z37" s="138"/>
      <c r="AA37" s="138">
        <f t="shared" si="0"/>
        <v>0</v>
      </c>
      <c r="AB37" s="142" t="str">
        <f>IF(AA37=0,"",IFERROR(AA37/AA$19,""))</f>
        <v/>
      </c>
      <c r="AC37" s="140"/>
      <c r="AD37" s="138"/>
      <c r="AE37" s="142" t="str">
        <f>IF(AD37=0,"",IFERROR(AD37/AD$19,""))</f>
        <v/>
      </c>
      <c r="AF37" s="141">
        <f t="shared" si="1"/>
        <v>0</v>
      </c>
      <c r="AG37" s="138"/>
      <c r="AH37" s="142" t="str">
        <f>IF(AG37=0,"",IFERROR(AG37/AG$19,""))</f>
        <v/>
      </c>
      <c r="AI37" s="141">
        <f t="shared" si="2"/>
        <v>0</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c r="P38" s="215"/>
      <c r="Q38" s="215"/>
      <c r="R38" s="215"/>
      <c r="S38" s="215"/>
      <c r="T38" s="215"/>
      <c r="U38" s="215"/>
      <c r="V38" s="215"/>
      <c r="W38" s="215"/>
      <c r="X38" s="215"/>
      <c r="Y38" s="215"/>
      <c r="Z38" s="215"/>
      <c r="AA38" s="215">
        <f t="shared" si="0"/>
        <v>0</v>
      </c>
      <c r="AB38" s="217" t="str">
        <f>IF(AA38=0,"",IFERROR(AA38/AA$19,""))</f>
        <v/>
      </c>
      <c r="AC38" s="140"/>
      <c r="AD38" s="215"/>
      <c r="AE38" s="217" t="str">
        <f>IF(AD38=0,"",IFERROR(AD38/AD$19,""))</f>
        <v/>
      </c>
      <c r="AF38" s="218">
        <f t="shared" si="1"/>
        <v>0</v>
      </c>
      <c r="AG38" s="215"/>
      <c r="AH38" s="217" t="str">
        <f>IF(AG38=0,"",IFERROR(AG38/AG$19,""))</f>
        <v/>
      </c>
      <c r="AI38" s="218">
        <f t="shared" si="2"/>
        <v>0</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c r="P39" s="162"/>
      <c r="Q39" s="162"/>
      <c r="R39" s="162"/>
      <c r="S39" s="162"/>
      <c r="T39" s="162"/>
      <c r="U39" s="162"/>
      <c r="V39" s="162"/>
      <c r="W39" s="162"/>
      <c r="X39" s="162"/>
      <c r="Y39" s="162"/>
      <c r="Z39" s="162"/>
      <c r="AA39" s="162">
        <f t="shared" si="0"/>
        <v>0</v>
      </c>
      <c r="AB39" s="163" t="str">
        <f>IF(AA39=0,"",IFERROR(AA39/AA$19,""))</f>
        <v/>
      </c>
      <c r="AC39" s="140"/>
      <c r="AD39" s="162"/>
      <c r="AE39" s="163" t="str">
        <f>IF(AD39=0,"",IFERROR(AD39/AD$19,""))</f>
        <v/>
      </c>
      <c r="AF39" s="164">
        <f t="shared" si="1"/>
        <v>0</v>
      </c>
      <c r="AG39" s="162"/>
      <c r="AH39" s="163" t="str">
        <f>IF(AG39=0,"",IFERROR(AG39/AG$19,""))</f>
        <v/>
      </c>
      <c r="AI39" s="164">
        <f t="shared" si="2"/>
        <v>0</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c r="P40" s="231"/>
      <c r="Q40" s="231"/>
      <c r="R40" s="231"/>
      <c r="S40" s="231"/>
      <c r="T40" s="231"/>
      <c r="U40" s="231"/>
      <c r="V40" s="231"/>
      <c r="W40" s="231"/>
      <c r="X40" s="231"/>
      <c r="Y40" s="231"/>
      <c r="Z40" s="231"/>
      <c r="AA40" s="231">
        <f t="shared" si="0"/>
        <v>0</v>
      </c>
      <c r="AB40" s="233"/>
      <c r="AC40" s="140"/>
      <c r="AD40" s="231"/>
      <c r="AE40" s="233"/>
      <c r="AF40" s="234">
        <f t="shared" si="1"/>
        <v>0</v>
      </c>
      <c r="AG40" s="231"/>
      <c r="AH40" s="233"/>
      <c r="AI40" s="234">
        <f t="shared" si="2"/>
        <v>0</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c r="P41" s="231"/>
      <c r="Q41" s="231"/>
      <c r="R41" s="231"/>
      <c r="S41" s="231"/>
      <c r="T41" s="231"/>
      <c r="U41" s="231"/>
      <c r="V41" s="231"/>
      <c r="W41" s="231"/>
      <c r="X41" s="231"/>
      <c r="Y41" s="231"/>
      <c r="Z41" s="231"/>
      <c r="AA41" s="231">
        <f t="shared" si="0"/>
        <v>0</v>
      </c>
      <c r="AB41" s="233" t="str">
        <f>IF(AA41=0,"",IFERROR(AA41/AA$87,""))</f>
        <v/>
      </c>
      <c r="AC41" s="140"/>
      <c r="AD41" s="231"/>
      <c r="AE41" s="233" t="str">
        <f>IF(AD41=0,"",IFERROR(AD41/AD$87,""))</f>
        <v/>
      </c>
      <c r="AF41" s="234">
        <f t="shared" si="1"/>
        <v>0</v>
      </c>
      <c r="AG41" s="231"/>
      <c r="AH41" s="233" t="str">
        <f>IF(AG41=0,"",IFERROR(AG41/AG$87,""))</f>
        <v/>
      </c>
      <c r="AI41" s="234">
        <f t="shared" si="2"/>
        <v>0</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2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5"/>
      <c r="AG43" s="497">
        <f>ROUND(IFERROR(AG39/AG41,0),2)</f>
        <v>0</v>
      </c>
      <c r="AH43" s="498"/>
      <c r="AI43" s="155"/>
    </row>
    <row r="44" spans="1:35" x14ac:dyDescent="0.2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c r="P45" s="138"/>
      <c r="Q45" s="138"/>
      <c r="R45" s="138"/>
      <c r="S45" s="138"/>
      <c r="T45" s="138"/>
      <c r="U45" s="138"/>
      <c r="V45" s="138"/>
      <c r="W45" s="138"/>
      <c r="X45" s="138"/>
      <c r="Y45" s="138"/>
      <c r="Z45" s="138"/>
      <c r="AA45" s="138">
        <f t="shared" ref="AA45:AA51" si="5">SUM(O45:Z45)</f>
        <v>0</v>
      </c>
      <c r="AB45" s="142" t="str">
        <f>IF(AA45=0,"",IFERROR(AA45/AA$19,""))</f>
        <v/>
      </c>
      <c r="AC45" s="140"/>
      <c r="AD45" s="138"/>
      <c r="AE45" s="142" t="str">
        <f>IF(AD45=0,"",IFERROR(AD45/AD$19,""))</f>
        <v/>
      </c>
      <c r="AF45" s="141">
        <f t="shared" ref="AF45:AF52" si="6">IF(AND($AA45="",AD45=""),"",$AA45-AD45)</f>
        <v>0</v>
      </c>
      <c r="AG45" s="138"/>
      <c r="AH45" s="142" t="str">
        <f>IF(AG45=0,"",IFERROR(AG45/AG$19,""))</f>
        <v/>
      </c>
      <c r="AI45" s="141">
        <f t="shared" ref="AI45:AI52" si="7">IF(AND($AA45="",AG45=""),"",$AA45-AG45)</f>
        <v>0</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c r="P46" s="138"/>
      <c r="Q46" s="138"/>
      <c r="R46" s="138"/>
      <c r="S46" s="138"/>
      <c r="T46" s="138"/>
      <c r="U46" s="138"/>
      <c r="V46" s="138"/>
      <c r="W46" s="138"/>
      <c r="X46" s="138"/>
      <c r="Y46" s="138"/>
      <c r="Z46" s="138"/>
      <c r="AA46" s="138">
        <f t="shared" si="5"/>
        <v>0</v>
      </c>
      <c r="AB46" s="142" t="str">
        <f>IF(AA46=0,"",IFERROR(AA46/AA$19,""))</f>
        <v/>
      </c>
      <c r="AC46" s="140"/>
      <c r="AD46" s="138"/>
      <c r="AE46" s="142" t="str">
        <f>IF(AD46=0,"",IFERROR(AD46/AD$19,""))</f>
        <v/>
      </c>
      <c r="AF46" s="141">
        <f t="shared" si="6"/>
        <v>0</v>
      </c>
      <c r="AG46" s="138"/>
      <c r="AH46" s="142" t="str">
        <f>IF(AG46=0,"",IFERROR(AG46/AG$19,""))</f>
        <v/>
      </c>
      <c r="AI46" s="141">
        <f t="shared" si="7"/>
        <v>0</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c r="P47" s="138"/>
      <c r="Q47" s="138"/>
      <c r="R47" s="138"/>
      <c r="S47" s="138"/>
      <c r="T47" s="138"/>
      <c r="U47" s="138"/>
      <c r="V47" s="138"/>
      <c r="W47" s="138"/>
      <c r="X47" s="138"/>
      <c r="Y47" s="138"/>
      <c r="Z47" s="138"/>
      <c r="AA47" s="138">
        <f t="shared" si="5"/>
        <v>0</v>
      </c>
      <c r="AB47" s="142" t="str">
        <f>IF(AA47=0,"",IFERROR(AA47/AA$19,""))</f>
        <v/>
      </c>
      <c r="AC47" s="140"/>
      <c r="AD47" s="138"/>
      <c r="AE47" s="142" t="str">
        <f>IF(AD47=0,"",IFERROR(AD47/AD$19,""))</f>
        <v/>
      </c>
      <c r="AF47" s="141">
        <f t="shared" si="6"/>
        <v>0</v>
      </c>
      <c r="AG47" s="138"/>
      <c r="AH47" s="142" t="str">
        <f>IF(AG47=0,"",IFERROR(AG47/AG$19,""))</f>
        <v/>
      </c>
      <c r="AI47" s="141">
        <f t="shared" si="7"/>
        <v>0</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c r="P48" s="215"/>
      <c r="Q48" s="215"/>
      <c r="R48" s="215"/>
      <c r="S48" s="215"/>
      <c r="T48" s="215"/>
      <c r="U48" s="215"/>
      <c r="V48" s="215"/>
      <c r="W48" s="215"/>
      <c r="X48" s="215"/>
      <c r="Y48" s="215"/>
      <c r="Z48" s="215"/>
      <c r="AA48" s="215">
        <f t="shared" si="5"/>
        <v>0</v>
      </c>
      <c r="AB48" s="217" t="str">
        <f>IF(AA48=0,"",IFERROR(AA48/AA$19,""))</f>
        <v/>
      </c>
      <c r="AC48" s="140"/>
      <c r="AD48" s="215"/>
      <c r="AE48" s="217" t="str">
        <f>IF(AD48=0,"",IFERROR(AD48/AD$19,""))</f>
        <v/>
      </c>
      <c r="AF48" s="218">
        <f t="shared" si="6"/>
        <v>0</v>
      </c>
      <c r="AG48" s="215"/>
      <c r="AH48" s="217" t="str">
        <f>IF(AG48=0,"",IFERROR(AG48/AG$19,""))</f>
        <v/>
      </c>
      <c r="AI48" s="218">
        <f t="shared" si="7"/>
        <v>0</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c r="P49" s="162"/>
      <c r="Q49" s="162"/>
      <c r="R49" s="162"/>
      <c r="S49" s="162"/>
      <c r="T49" s="162"/>
      <c r="U49" s="162"/>
      <c r="V49" s="162"/>
      <c r="W49" s="162"/>
      <c r="X49" s="162"/>
      <c r="Y49" s="162"/>
      <c r="Z49" s="162"/>
      <c r="AA49" s="162">
        <f t="shared" si="5"/>
        <v>0</v>
      </c>
      <c r="AB49" s="163" t="str">
        <f>IF(AA49=0,"",IFERROR(AA49/AA$19,""))</f>
        <v/>
      </c>
      <c r="AC49" s="140"/>
      <c r="AD49" s="162"/>
      <c r="AE49" s="163" t="str">
        <f>IF(AD49=0,"",IFERROR(AD49/AD$19,""))</f>
        <v/>
      </c>
      <c r="AF49" s="164">
        <f t="shared" si="6"/>
        <v>0</v>
      </c>
      <c r="AG49" s="162"/>
      <c r="AH49" s="163" t="str">
        <f>IF(AG49=0,"",IFERROR(AG49/AG$19,""))</f>
        <v/>
      </c>
      <c r="AI49" s="164">
        <f t="shared" si="7"/>
        <v>0</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c r="P50" s="231"/>
      <c r="Q50" s="231"/>
      <c r="R50" s="231"/>
      <c r="S50" s="231"/>
      <c r="T50" s="231"/>
      <c r="U50" s="231"/>
      <c r="V50" s="231"/>
      <c r="W50" s="231"/>
      <c r="X50" s="231"/>
      <c r="Y50" s="231"/>
      <c r="Z50" s="231"/>
      <c r="AA50" s="231">
        <f t="shared" si="5"/>
        <v>0</v>
      </c>
      <c r="AB50" s="233"/>
      <c r="AC50" s="140"/>
      <c r="AD50" s="231"/>
      <c r="AE50" s="233"/>
      <c r="AF50" s="234">
        <f t="shared" si="6"/>
        <v>0</v>
      </c>
      <c r="AG50" s="231"/>
      <c r="AH50" s="233"/>
      <c r="AI50" s="234">
        <f t="shared" si="7"/>
        <v>0</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c r="P51" s="231"/>
      <c r="Q51" s="231"/>
      <c r="R51" s="231"/>
      <c r="S51" s="231"/>
      <c r="T51" s="231"/>
      <c r="U51" s="231"/>
      <c r="V51" s="231"/>
      <c r="W51" s="231"/>
      <c r="X51" s="231"/>
      <c r="Y51" s="231"/>
      <c r="Z51" s="231"/>
      <c r="AA51" s="231">
        <f t="shared" si="5"/>
        <v>0</v>
      </c>
      <c r="AB51" s="233" t="str">
        <f>IF(AA51=0,"",IFERROR(AA51/AA$87,""))</f>
        <v/>
      </c>
      <c r="AC51" s="140"/>
      <c r="AD51" s="231"/>
      <c r="AE51" s="233" t="str">
        <f>IF(AD51=0,"",IFERROR(AD51/AD$87,""))</f>
        <v/>
      </c>
      <c r="AF51" s="234">
        <f t="shared" si="6"/>
        <v>0</v>
      </c>
      <c r="AG51" s="231"/>
      <c r="AH51" s="233" t="str">
        <f>IF(AG51=0,"",IFERROR(AG51/AG$87,""))</f>
        <v/>
      </c>
      <c r="AI51" s="234">
        <f t="shared" si="7"/>
        <v>0</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2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5"/>
      <c r="AG53" s="497">
        <f>ROUND(IFERROR(AG49/AG51,0),2)</f>
        <v>0</v>
      </c>
      <c r="AH53" s="498"/>
      <c r="AI53" s="155"/>
    </row>
    <row r="54" spans="1:35" x14ac:dyDescent="0.2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c r="P55" s="138"/>
      <c r="Q55" s="138"/>
      <c r="R55" s="138"/>
      <c r="S55" s="138"/>
      <c r="T55" s="138"/>
      <c r="U55" s="138"/>
      <c r="V55" s="138"/>
      <c r="W55" s="138"/>
      <c r="X55" s="138"/>
      <c r="Y55" s="138"/>
      <c r="Z55" s="138"/>
      <c r="AA55" s="138">
        <f t="shared" ref="AA55:AA61" si="10">SUM(O55:Z55)</f>
        <v>0</v>
      </c>
      <c r="AB55" s="142" t="str">
        <f>IF(AA55=0,"",IFERROR(AA55/AA$19,""))</f>
        <v/>
      </c>
      <c r="AC55" s="140"/>
      <c r="AD55" s="138"/>
      <c r="AE55" s="142" t="str">
        <f>IF(AD55=0,"",IFERROR(AD55/AD$19,""))</f>
        <v/>
      </c>
      <c r="AF55" s="141">
        <f t="shared" ref="AF55:AF62" si="11">IF(AND($AA55="",AD55=""),"",$AA55-AD55)</f>
        <v>0</v>
      </c>
      <c r="AG55" s="138"/>
      <c r="AH55" s="142" t="str">
        <f>IF(AG55=0,"",IFERROR(AG55/AG$19,""))</f>
        <v/>
      </c>
      <c r="AI55" s="141">
        <f t="shared" ref="AI55:AI62" si="12">IF(AND($AA55="",AG55=""),"",$AA55-AG55)</f>
        <v>0</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c r="P56" s="138"/>
      <c r="Q56" s="138"/>
      <c r="R56" s="138"/>
      <c r="S56" s="138"/>
      <c r="T56" s="138"/>
      <c r="U56" s="138"/>
      <c r="V56" s="138"/>
      <c r="W56" s="138"/>
      <c r="X56" s="138"/>
      <c r="Y56" s="138"/>
      <c r="Z56" s="138"/>
      <c r="AA56" s="138">
        <f t="shared" si="10"/>
        <v>0</v>
      </c>
      <c r="AB56" s="142" t="str">
        <f>IF(AA56=0,"",IFERROR(AA56/AA$19,""))</f>
        <v/>
      </c>
      <c r="AC56" s="140"/>
      <c r="AD56" s="138"/>
      <c r="AE56" s="142" t="str">
        <f>IF(AD56=0,"",IFERROR(AD56/AD$19,""))</f>
        <v/>
      </c>
      <c r="AF56" s="141">
        <f t="shared" si="11"/>
        <v>0</v>
      </c>
      <c r="AG56" s="138"/>
      <c r="AH56" s="142" t="str">
        <f>IF(AG56=0,"",IFERROR(AG56/AG$19,""))</f>
        <v/>
      </c>
      <c r="AI56" s="141">
        <f t="shared" si="12"/>
        <v>0</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c r="P57" s="138"/>
      <c r="Q57" s="138"/>
      <c r="R57" s="138"/>
      <c r="S57" s="138"/>
      <c r="T57" s="138"/>
      <c r="U57" s="138"/>
      <c r="V57" s="138"/>
      <c r="W57" s="138"/>
      <c r="X57" s="138"/>
      <c r="Y57" s="138"/>
      <c r="Z57" s="138"/>
      <c r="AA57" s="138">
        <f t="shared" si="10"/>
        <v>0</v>
      </c>
      <c r="AB57" s="142" t="str">
        <f>IF(AA57=0,"",IFERROR(AA57/AA$19,""))</f>
        <v/>
      </c>
      <c r="AC57" s="140"/>
      <c r="AD57" s="138"/>
      <c r="AE57" s="142" t="str">
        <f>IF(AD57=0,"",IFERROR(AD57/AD$19,""))</f>
        <v/>
      </c>
      <c r="AF57" s="141">
        <f t="shared" si="11"/>
        <v>0</v>
      </c>
      <c r="AG57" s="138"/>
      <c r="AH57" s="142" t="str">
        <f>IF(AG57=0,"",IFERROR(AG57/AG$19,""))</f>
        <v/>
      </c>
      <c r="AI57" s="141">
        <f t="shared" si="12"/>
        <v>0</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c r="P58" s="215"/>
      <c r="Q58" s="215"/>
      <c r="R58" s="215"/>
      <c r="S58" s="215"/>
      <c r="T58" s="215"/>
      <c r="U58" s="215"/>
      <c r="V58" s="215"/>
      <c r="W58" s="215"/>
      <c r="X58" s="215"/>
      <c r="Y58" s="215"/>
      <c r="Z58" s="215"/>
      <c r="AA58" s="215">
        <f t="shared" si="10"/>
        <v>0</v>
      </c>
      <c r="AB58" s="217" t="str">
        <f>IF(AA58=0,"",IFERROR(AA58/AA$19,""))</f>
        <v/>
      </c>
      <c r="AC58" s="140"/>
      <c r="AD58" s="215"/>
      <c r="AE58" s="217" t="str">
        <f>IF(AD58=0,"",IFERROR(AD58/AD$19,""))</f>
        <v/>
      </c>
      <c r="AF58" s="218">
        <f t="shared" si="11"/>
        <v>0</v>
      </c>
      <c r="AG58" s="215"/>
      <c r="AH58" s="217" t="str">
        <f>IF(AG58=0,"",IFERROR(AG58/AG$19,""))</f>
        <v/>
      </c>
      <c r="AI58" s="218">
        <f t="shared" si="12"/>
        <v>0</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c r="P59" s="162"/>
      <c r="Q59" s="162"/>
      <c r="R59" s="162"/>
      <c r="S59" s="162"/>
      <c r="T59" s="162"/>
      <c r="U59" s="162"/>
      <c r="V59" s="162"/>
      <c r="W59" s="162"/>
      <c r="X59" s="162"/>
      <c r="Y59" s="162"/>
      <c r="Z59" s="162"/>
      <c r="AA59" s="162">
        <f t="shared" si="10"/>
        <v>0</v>
      </c>
      <c r="AB59" s="163" t="str">
        <f>IF(AA59=0,"",IFERROR(AA59/AA$19,""))</f>
        <v/>
      </c>
      <c r="AC59" s="140"/>
      <c r="AD59" s="162"/>
      <c r="AE59" s="163" t="str">
        <f>IF(AD59=0,"",IFERROR(AD59/AD$19,""))</f>
        <v/>
      </c>
      <c r="AF59" s="164">
        <f t="shared" si="11"/>
        <v>0</v>
      </c>
      <c r="AG59" s="162"/>
      <c r="AH59" s="163" t="str">
        <f>IF(AG59=0,"",IFERROR(AG59/AG$19,""))</f>
        <v/>
      </c>
      <c r="AI59" s="164">
        <f t="shared" si="12"/>
        <v>0</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c r="P60" s="231"/>
      <c r="Q60" s="231"/>
      <c r="R60" s="231"/>
      <c r="S60" s="231"/>
      <c r="T60" s="231"/>
      <c r="U60" s="231"/>
      <c r="V60" s="231"/>
      <c r="W60" s="231"/>
      <c r="X60" s="231"/>
      <c r="Y60" s="231"/>
      <c r="Z60" s="231"/>
      <c r="AA60" s="231">
        <f t="shared" si="10"/>
        <v>0</v>
      </c>
      <c r="AB60" s="233"/>
      <c r="AC60" s="140"/>
      <c r="AD60" s="231"/>
      <c r="AE60" s="233"/>
      <c r="AF60" s="234">
        <f t="shared" si="11"/>
        <v>0</v>
      </c>
      <c r="AG60" s="231"/>
      <c r="AH60" s="233"/>
      <c r="AI60" s="234">
        <f t="shared" si="12"/>
        <v>0</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c r="P61" s="231"/>
      <c r="Q61" s="231"/>
      <c r="R61" s="231"/>
      <c r="S61" s="231"/>
      <c r="T61" s="231"/>
      <c r="U61" s="231"/>
      <c r="V61" s="231"/>
      <c r="W61" s="231"/>
      <c r="X61" s="231"/>
      <c r="Y61" s="231"/>
      <c r="Z61" s="231"/>
      <c r="AA61" s="231">
        <f t="shared" si="10"/>
        <v>0</v>
      </c>
      <c r="AB61" s="233" t="str">
        <f>IF(AA61=0,"",IFERROR(AA61/AA$87,""))</f>
        <v/>
      </c>
      <c r="AC61" s="140"/>
      <c r="AD61" s="231"/>
      <c r="AE61" s="233" t="str">
        <f>IF(AD61=0,"",IFERROR(AD61/AD$87,""))</f>
        <v/>
      </c>
      <c r="AF61" s="234">
        <f t="shared" si="11"/>
        <v>0</v>
      </c>
      <c r="AG61" s="231"/>
      <c r="AH61" s="233" t="str">
        <f>IF(AG61=0,"",IFERROR(AG61/AG$87,""))</f>
        <v/>
      </c>
      <c r="AI61" s="234">
        <f t="shared" si="12"/>
        <v>0</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2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5"/>
      <c r="AG63" s="497">
        <f>ROUND(IFERROR(AG59/AG61,0),2)</f>
        <v>0</v>
      </c>
      <c r="AH63" s="498"/>
      <c r="AI63" s="155"/>
    </row>
    <row r="64" spans="1:35" x14ac:dyDescent="0.2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38"/>
      <c r="P65" s="138"/>
      <c r="Q65" s="138"/>
      <c r="R65" s="138"/>
      <c r="S65" s="138"/>
      <c r="T65" s="138"/>
      <c r="U65" s="138"/>
      <c r="V65" s="138"/>
      <c r="W65" s="138"/>
      <c r="X65" s="138"/>
      <c r="Y65" s="138"/>
      <c r="Z65" s="138"/>
      <c r="AA65" s="138">
        <f t="shared" ref="AA65:AA71" si="15">SUM(O65:Z65)</f>
        <v>0</v>
      </c>
      <c r="AB65" s="142" t="str">
        <f>IF(AA65=0,"",IFERROR(AA65/AA$19,""))</f>
        <v/>
      </c>
      <c r="AC65" s="140"/>
      <c r="AD65" s="138"/>
      <c r="AE65" s="142" t="str">
        <f>IF(AD65=0,"",IFERROR(AD65/AD$19,""))</f>
        <v/>
      </c>
      <c r="AF65" s="141">
        <f t="shared" ref="AF65:AF72" si="16">IF(AND($AA65="",AD65=""),"",$AA65-AD65)</f>
        <v>0</v>
      </c>
      <c r="AG65" s="138"/>
      <c r="AH65" s="142" t="str">
        <f>IF(AG65=0,"",IFERROR(AG65/AG$19,""))</f>
        <v/>
      </c>
      <c r="AI65" s="141">
        <f t="shared" ref="AI65:AI72" si="17">IF(AND($AA65="",AG65=""),"",$AA65-AG65)</f>
        <v>0</v>
      </c>
    </row>
    <row r="66" spans="1:35" x14ac:dyDescent="0.2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38"/>
      <c r="P66" s="138"/>
      <c r="Q66" s="138"/>
      <c r="R66" s="138"/>
      <c r="S66" s="138"/>
      <c r="T66" s="138"/>
      <c r="U66" s="138"/>
      <c r="V66" s="138"/>
      <c r="W66" s="138"/>
      <c r="X66" s="138"/>
      <c r="Y66" s="138"/>
      <c r="Z66" s="138"/>
      <c r="AA66" s="138">
        <f t="shared" si="15"/>
        <v>0</v>
      </c>
      <c r="AB66" s="142" t="str">
        <f>IF(AA66=0,"",IFERROR(AA66/AA$19,""))</f>
        <v/>
      </c>
      <c r="AC66" s="140"/>
      <c r="AD66" s="138"/>
      <c r="AE66" s="142" t="str">
        <f>IF(AD66=0,"",IFERROR(AD66/AD$19,""))</f>
        <v/>
      </c>
      <c r="AF66" s="141">
        <f t="shared" si="16"/>
        <v>0</v>
      </c>
      <c r="AG66" s="138"/>
      <c r="AH66" s="142" t="str">
        <f>IF(AG66=0,"",IFERROR(AG66/AG$19,""))</f>
        <v/>
      </c>
      <c r="AI66" s="141">
        <f t="shared" si="17"/>
        <v>0</v>
      </c>
    </row>
    <row r="67" spans="1:35" x14ac:dyDescent="0.2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38"/>
      <c r="P67" s="138"/>
      <c r="Q67" s="138"/>
      <c r="R67" s="138"/>
      <c r="S67" s="138"/>
      <c r="T67" s="138"/>
      <c r="U67" s="138"/>
      <c r="V67" s="138"/>
      <c r="W67" s="138"/>
      <c r="X67" s="138"/>
      <c r="Y67" s="138"/>
      <c r="Z67" s="138"/>
      <c r="AA67" s="138">
        <f t="shared" si="15"/>
        <v>0</v>
      </c>
      <c r="AB67" s="142" t="str">
        <f>IF(AA67=0,"",IFERROR(AA67/AA$19,""))</f>
        <v/>
      </c>
      <c r="AC67" s="140"/>
      <c r="AD67" s="138"/>
      <c r="AE67" s="142" t="str">
        <f>IF(AD67=0,"",IFERROR(AD67/AD$19,""))</f>
        <v/>
      </c>
      <c r="AF67" s="141">
        <f t="shared" si="16"/>
        <v>0</v>
      </c>
      <c r="AG67" s="138"/>
      <c r="AH67" s="142" t="str">
        <f>IF(AG67=0,"",IFERROR(AG67/AG$19,""))</f>
        <v/>
      </c>
      <c r="AI67" s="141">
        <f t="shared" si="17"/>
        <v>0</v>
      </c>
    </row>
    <row r="68" spans="1:35" x14ac:dyDescent="0.2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5"/>
      <c r="P68" s="215"/>
      <c r="Q68" s="215"/>
      <c r="R68" s="215"/>
      <c r="S68" s="215"/>
      <c r="T68" s="215"/>
      <c r="U68" s="215"/>
      <c r="V68" s="215"/>
      <c r="W68" s="215"/>
      <c r="X68" s="215"/>
      <c r="Y68" s="215"/>
      <c r="Z68" s="215"/>
      <c r="AA68" s="215">
        <f t="shared" si="15"/>
        <v>0</v>
      </c>
      <c r="AB68" s="217" t="str">
        <f>IF(AA68=0,"",IFERROR(AA68/AA$19,""))</f>
        <v/>
      </c>
      <c r="AC68" s="140"/>
      <c r="AD68" s="215"/>
      <c r="AE68" s="217" t="str">
        <f>IF(AD68=0,"",IFERROR(AD68/AD$19,""))</f>
        <v/>
      </c>
      <c r="AF68" s="218">
        <f t="shared" si="16"/>
        <v>0</v>
      </c>
      <c r="AG68" s="215"/>
      <c r="AH68" s="217" t="str">
        <f>IF(AG68=0,"",IFERROR(AG68/AG$19,""))</f>
        <v/>
      </c>
      <c r="AI68" s="218">
        <f t="shared" si="17"/>
        <v>0</v>
      </c>
    </row>
    <row r="69" spans="1:35" x14ac:dyDescent="0.2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2"/>
      <c r="P69" s="162"/>
      <c r="Q69" s="162"/>
      <c r="R69" s="162"/>
      <c r="S69" s="162"/>
      <c r="T69" s="162"/>
      <c r="U69" s="162"/>
      <c r="V69" s="162"/>
      <c r="W69" s="162"/>
      <c r="X69" s="162"/>
      <c r="Y69" s="162"/>
      <c r="Z69" s="162"/>
      <c r="AA69" s="162">
        <f t="shared" si="15"/>
        <v>0</v>
      </c>
      <c r="AB69" s="163" t="str">
        <f>IF(AA69=0,"",IFERROR(AA69/AA$19,""))</f>
        <v/>
      </c>
      <c r="AC69" s="140"/>
      <c r="AD69" s="162"/>
      <c r="AE69" s="163" t="str">
        <f>IF(AD69=0,"",IFERROR(AD69/AD$19,""))</f>
        <v/>
      </c>
      <c r="AF69" s="164">
        <f t="shared" si="16"/>
        <v>0</v>
      </c>
      <c r="AG69" s="162"/>
      <c r="AH69" s="163" t="str">
        <f>IF(AG69=0,"",IFERROR(AG69/AG$19,""))</f>
        <v/>
      </c>
      <c r="AI69" s="164">
        <f t="shared" si="17"/>
        <v>0</v>
      </c>
    </row>
    <row r="70" spans="1:35" x14ac:dyDescent="0.2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31"/>
      <c r="P70" s="231"/>
      <c r="Q70" s="231"/>
      <c r="R70" s="231"/>
      <c r="S70" s="231"/>
      <c r="T70" s="231"/>
      <c r="U70" s="231"/>
      <c r="V70" s="231"/>
      <c r="W70" s="231"/>
      <c r="X70" s="231"/>
      <c r="Y70" s="231"/>
      <c r="Z70" s="231"/>
      <c r="AA70" s="231">
        <f t="shared" si="15"/>
        <v>0</v>
      </c>
      <c r="AB70" s="233"/>
      <c r="AC70" s="140"/>
      <c r="AD70" s="231"/>
      <c r="AE70" s="233"/>
      <c r="AF70" s="234">
        <f t="shared" si="16"/>
        <v>0</v>
      </c>
      <c r="AG70" s="231"/>
      <c r="AH70" s="233"/>
      <c r="AI70" s="234">
        <f t="shared" si="17"/>
        <v>0</v>
      </c>
    </row>
    <row r="71" spans="1:35" x14ac:dyDescent="0.2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31"/>
      <c r="P71" s="231"/>
      <c r="Q71" s="231"/>
      <c r="R71" s="231"/>
      <c r="S71" s="231"/>
      <c r="T71" s="231"/>
      <c r="U71" s="231"/>
      <c r="V71" s="231"/>
      <c r="W71" s="231"/>
      <c r="X71" s="231"/>
      <c r="Y71" s="231"/>
      <c r="Z71" s="231"/>
      <c r="AA71" s="231">
        <f t="shared" si="15"/>
        <v>0</v>
      </c>
      <c r="AB71" s="233" t="str">
        <f>IF(AA71=0,"",IFERROR(AA71/AA$87,""))</f>
        <v/>
      </c>
      <c r="AC71" s="140"/>
      <c r="AD71" s="231"/>
      <c r="AE71" s="233" t="str">
        <f>IF(AD71=0,"",IFERROR(AD71/AD$87,""))</f>
        <v/>
      </c>
      <c r="AF71" s="234">
        <f t="shared" si="16"/>
        <v>0</v>
      </c>
      <c r="AG71" s="231"/>
      <c r="AH71" s="233" t="str">
        <f>IF(AG71=0,"",IFERROR(AG71/AG$87,""))</f>
        <v/>
      </c>
      <c r="AI71" s="234">
        <f t="shared" si="17"/>
        <v>0</v>
      </c>
    </row>
    <row r="72" spans="1:35" x14ac:dyDescent="0.2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2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5"/>
      <c r="AG73" s="497">
        <f>ROUND(IFERROR(AG69/AG71,0),2)</f>
        <v>0</v>
      </c>
      <c r="AH73" s="498"/>
      <c r="AI73" s="155"/>
    </row>
    <row r="74" spans="1:35" x14ac:dyDescent="0.2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2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38"/>
      <c r="P75" s="138"/>
      <c r="Q75" s="138"/>
      <c r="R75" s="138"/>
      <c r="S75" s="138"/>
      <c r="T75" s="138"/>
      <c r="U75" s="138"/>
      <c r="V75" s="138"/>
      <c r="W75" s="138"/>
      <c r="X75" s="138"/>
      <c r="Y75" s="138"/>
      <c r="Z75" s="138"/>
      <c r="AA75" s="138">
        <f t="shared" ref="AA75:AA80" si="20">SUM(O75:Z75)</f>
        <v>0</v>
      </c>
      <c r="AB75" s="142" t="str">
        <f>IF(AA75=0,"",IFERROR(AA75/AA$19,""))</f>
        <v/>
      </c>
      <c r="AC75" s="140"/>
      <c r="AD75" s="138"/>
      <c r="AE75" s="142" t="str">
        <f>IF(AD75=0,"",IFERROR(AD75/AD$19,""))</f>
        <v/>
      </c>
      <c r="AF75" s="141">
        <f t="shared" ref="AF75:AF81" si="21">IF(AND($AA75="",AD75=""),"",$AA75-AD75)</f>
        <v>0</v>
      </c>
      <c r="AG75" s="138"/>
      <c r="AH75" s="142" t="str">
        <f>IF(AG75=0,"",IFERROR(AG75/AG$19,""))</f>
        <v/>
      </c>
      <c r="AI75" s="141">
        <f t="shared" ref="AI75:AI81" si="22">IF(AND($AA75="",AG75=""),"",$AA75-AG75)</f>
        <v>0</v>
      </c>
    </row>
    <row r="76" spans="1:35" x14ac:dyDescent="0.2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38"/>
      <c r="P76" s="138"/>
      <c r="Q76" s="138"/>
      <c r="R76" s="138"/>
      <c r="S76" s="138"/>
      <c r="T76" s="138"/>
      <c r="U76" s="138"/>
      <c r="V76" s="138"/>
      <c r="W76" s="138"/>
      <c r="X76" s="138"/>
      <c r="Y76" s="138"/>
      <c r="Z76" s="138"/>
      <c r="AA76" s="138">
        <f t="shared" si="20"/>
        <v>0</v>
      </c>
      <c r="AB76" s="142" t="str">
        <f>IF(AA76=0,"",IFERROR(AA76/AA$19,""))</f>
        <v/>
      </c>
      <c r="AC76" s="140"/>
      <c r="AD76" s="138"/>
      <c r="AE76" s="142" t="str">
        <f>IF(AD76=0,"",IFERROR(AD76/AD$19,""))</f>
        <v/>
      </c>
      <c r="AF76" s="141">
        <f t="shared" si="21"/>
        <v>0</v>
      </c>
      <c r="AG76" s="138"/>
      <c r="AH76" s="142" t="str">
        <f>IF(AG76=0,"",IFERROR(AG76/AG$19,""))</f>
        <v/>
      </c>
      <c r="AI76" s="141">
        <f t="shared" si="22"/>
        <v>0</v>
      </c>
    </row>
    <row r="77" spans="1:35" x14ac:dyDescent="0.2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38"/>
      <c r="P77" s="138"/>
      <c r="Q77" s="138"/>
      <c r="R77" s="138"/>
      <c r="S77" s="138"/>
      <c r="T77" s="138"/>
      <c r="U77" s="138"/>
      <c r="V77" s="138"/>
      <c r="W77" s="138"/>
      <c r="X77" s="138"/>
      <c r="Y77" s="138"/>
      <c r="Z77" s="138"/>
      <c r="AA77" s="138">
        <f t="shared" si="20"/>
        <v>0</v>
      </c>
      <c r="AB77" s="142" t="str">
        <f>IF(AA77=0,"",IFERROR(AA77/AA$19,""))</f>
        <v/>
      </c>
      <c r="AC77" s="140"/>
      <c r="AD77" s="138"/>
      <c r="AE77" s="142" t="str">
        <f>IF(AD77=0,"",IFERROR(AD77/AD$19,""))</f>
        <v/>
      </c>
      <c r="AF77" s="141">
        <f t="shared" si="21"/>
        <v>0</v>
      </c>
      <c r="AG77" s="138"/>
      <c r="AH77" s="142" t="str">
        <f>IF(AG77=0,"",IFERROR(AG77/AG$19,""))</f>
        <v/>
      </c>
      <c r="AI77" s="141">
        <f t="shared" si="22"/>
        <v>0</v>
      </c>
    </row>
    <row r="78" spans="1:35" x14ac:dyDescent="0.2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5"/>
      <c r="P78" s="215"/>
      <c r="Q78" s="215"/>
      <c r="R78" s="215"/>
      <c r="S78" s="215"/>
      <c r="T78" s="215"/>
      <c r="U78" s="215"/>
      <c r="V78" s="215"/>
      <c r="W78" s="215"/>
      <c r="X78" s="215"/>
      <c r="Y78" s="215"/>
      <c r="Z78" s="215"/>
      <c r="AA78" s="215">
        <f t="shared" si="20"/>
        <v>0</v>
      </c>
      <c r="AB78" s="217" t="str">
        <f>IF(AA78=0,"",IFERROR(AA78/AA$19,""))</f>
        <v/>
      </c>
      <c r="AC78" s="140"/>
      <c r="AD78" s="215"/>
      <c r="AE78" s="217" t="str">
        <f>IF(AD78=0,"",IFERROR(AD78/AD$19,""))</f>
        <v/>
      </c>
      <c r="AF78" s="218">
        <f t="shared" si="21"/>
        <v>0</v>
      </c>
      <c r="AG78" s="215"/>
      <c r="AH78" s="217" t="str">
        <f>IF(AG78=0,"",IFERROR(AG78/AG$19,""))</f>
        <v/>
      </c>
      <c r="AI78" s="218">
        <f t="shared" si="22"/>
        <v>0</v>
      </c>
    </row>
    <row r="79" spans="1:35" x14ac:dyDescent="0.2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2"/>
      <c r="P79" s="162"/>
      <c r="Q79" s="162"/>
      <c r="R79" s="162"/>
      <c r="S79" s="162"/>
      <c r="T79" s="162"/>
      <c r="U79" s="162"/>
      <c r="V79" s="162"/>
      <c r="W79" s="162"/>
      <c r="X79" s="162"/>
      <c r="Y79" s="162"/>
      <c r="Z79" s="162"/>
      <c r="AA79" s="162">
        <f t="shared" si="20"/>
        <v>0</v>
      </c>
      <c r="AB79" s="163" t="str">
        <f>IF(AA79=0,"",IFERROR(AA79/AA$19,""))</f>
        <v/>
      </c>
      <c r="AC79" s="140"/>
      <c r="AD79" s="162"/>
      <c r="AE79" s="163" t="str">
        <f>IF(AD79=0,"",IFERROR(AD79/AD$19,""))</f>
        <v/>
      </c>
      <c r="AF79" s="164">
        <f t="shared" si="21"/>
        <v>0</v>
      </c>
      <c r="AG79" s="162"/>
      <c r="AH79" s="163" t="str">
        <f>IF(AG79=0,"",IFERROR(AG79/AG$19,""))</f>
        <v/>
      </c>
      <c r="AI79" s="164">
        <f t="shared" si="22"/>
        <v>0</v>
      </c>
    </row>
    <row r="80" spans="1:35" x14ac:dyDescent="0.2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31"/>
      <c r="P80" s="231"/>
      <c r="Q80" s="231"/>
      <c r="R80" s="231"/>
      <c r="S80" s="231"/>
      <c r="T80" s="231"/>
      <c r="U80" s="231"/>
      <c r="V80" s="231"/>
      <c r="W80" s="231"/>
      <c r="X80" s="231"/>
      <c r="Y80" s="231"/>
      <c r="Z80" s="231"/>
      <c r="AA80" s="231">
        <f t="shared" si="20"/>
        <v>0</v>
      </c>
      <c r="AB80" s="233" t="str">
        <f>IF(AA80=0,"",IFERROR(AA80/AA$87,""))</f>
        <v/>
      </c>
      <c r="AC80" s="140"/>
      <c r="AD80" s="231"/>
      <c r="AE80" s="233" t="str">
        <f>IF(AD80=0,"",IFERROR(AD80/AD$87,""))</f>
        <v/>
      </c>
      <c r="AF80" s="234">
        <f t="shared" si="21"/>
        <v>0</v>
      </c>
      <c r="AG80" s="231"/>
      <c r="AH80" s="233" t="str">
        <f>IF(AG80=0,"",IFERROR(AG80/AG$87,""))</f>
        <v/>
      </c>
      <c r="AI80" s="234">
        <f t="shared" si="22"/>
        <v>0</v>
      </c>
    </row>
    <row r="81" spans="1:35" x14ac:dyDescent="0.2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2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5"/>
      <c r="AG82" s="497">
        <f>ROUND(IFERROR(AG79/AG80,0),2)</f>
        <v>0</v>
      </c>
      <c r="AH82" s="498"/>
      <c r="AI82" s="155"/>
    </row>
    <row r="83" spans="1:35" x14ac:dyDescent="0.2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38"/>
      <c r="P83" s="138"/>
      <c r="Q83" s="138"/>
      <c r="R83" s="138"/>
      <c r="S83" s="138"/>
      <c r="T83" s="138"/>
      <c r="U83" s="138"/>
      <c r="V83" s="138"/>
      <c r="W83" s="138"/>
      <c r="X83" s="138"/>
      <c r="Y83" s="138"/>
      <c r="Z83" s="138"/>
      <c r="AA83" s="138">
        <f>SUM(O83:Z83)</f>
        <v>0</v>
      </c>
      <c r="AB83" s="142" t="str">
        <f>IF(AA83=0,"",IFERROR(AA83/AA$19,""))</f>
        <v/>
      </c>
      <c r="AC83" s="140"/>
      <c r="AD83" s="138"/>
      <c r="AE83" s="142" t="str">
        <f>IF(AD83=0,"",IFERROR(AD83/AD$19,""))</f>
        <v/>
      </c>
      <c r="AF83" s="141">
        <f>IF(AND($AA83="",AD83=""),"",$AA83-AD83)</f>
        <v>0</v>
      </c>
      <c r="AG83" s="138"/>
      <c r="AH83" s="142" t="str">
        <f>IF(AG83=0,"",IFERROR(AG83/AG$19,""))</f>
        <v/>
      </c>
      <c r="AI83" s="141">
        <f>IF(AND($AA83="",AG83=""),"",$AA83-AG83)</f>
        <v>0</v>
      </c>
    </row>
    <row r="84" spans="1:35" x14ac:dyDescent="0.2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2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2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2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2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25">
      <c r="A89" s="11"/>
      <c r="B89" s="11"/>
      <c r="C89" s="208"/>
      <c r="D89" s="11"/>
      <c r="E89" s="11"/>
      <c r="F89" s="11"/>
      <c r="G89" s="11"/>
      <c r="H89" s="185"/>
      <c r="I89" s="122"/>
      <c r="J89" s="122"/>
      <c r="K89" s="11"/>
      <c r="L89" s="90"/>
      <c r="M89" s="90"/>
      <c r="N89" s="90"/>
      <c r="O89" s="170"/>
      <c r="P89" s="171"/>
      <c r="Q89" s="171"/>
      <c r="R89" s="171"/>
      <c r="S89" s="171"/>
      <c r="T89" s="171"/>
      <c r="U89" s="171"/>
      <c r="V89" s="171"/>
      <c r="W89" s="171"/>
      <c r="X89" s="171"/>
      <c r="Y89" s="171"/>
      <c r="Z89" s="171"/>
      <c r="AA89" s="171"/>
      <c r="AB89" s="172"/>
      <c r="AC89" s="140"/>
      <c r="AD89" s="170"/>
      <c r="AE89" s="171"/>
      <c r="AF89" s="172"/>
      <c r="AG89" s="170"/>
      <c r="AH89" s="171"/>
      <c r="AI89" s="172"/>
    </row>
    <row r="90" spans="1:35" x14ac:dyDescent="0.25">
      <c r="A90" s="11"/>
      <c r="B90" s="11"/>
      <c r="C90" s="208"/>
      <c r="D90" s="11"/>
      <c r="E90" s="11"/>
      <c r="F90" s="11"/>
      <c r="G90" s="11"/>
      <c r="H90" s="185"/>
      <c r="I90" s="122"/>
      <c r="J90" s="122"/>
      <c r="K90" s="11"/>
      <c r="L90" s="90"/>
      <c r="M90" s="90"/>
      <c r="N90" s="53" t="s">
        <v>334</v>
      </c>
      <c r="O90" s="158"/>
      <c r="P90" s="159"/>
      <c r="Q90" s="159"/>
      <c r="R90" s="159"/>
      <c r="S90" s="159"/>
      <c r="T90" s="159"/>
      <c r="U90" s="159"/>
      <c r="V90" s="159"/>
      <c r="W90" s="159"/>
      <c r="X90" s="159"/>
      <c r="Y90" s="159"/>
      <c r="Z90" s="159"/>
      <c r="AA90" s="159"/>
      <c r="AB90" s="160"/>
      <c r="AC90" s="140"/>
      <c r="AD90" s="158"/>
      <c r="AE90" s="159"/>
      <c r="AF90" s="160"/>
      <c r="AG90" s="158"/>
      <c r="AH90" s="159"/>
      <c r="AI90" s="160"/>
    </row>
    <row r="91" spans="1:35" hidden="1" outlineLevel="1" x14ac:dyDescent="0.2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38"/>
      <c r="P91" s="138"/>
      <c r="Q91" s="138"/>
      <c r="R91" s="138"/>
      <c r="S91" s="138"/>
      <c r="T91" s="138"/>
      <c r="U91" s="138"/>
      <c r="V91" s="138"/>
      <c r="W91" s="138"/>
      <c r="X91" s="138"/>
      <c r="Y91" s="138"/>
      <c r="Z91" s="138"/>
      <c r="AA91" s="138">
        <f>SUM(O91:Z91)</f>
        <v>0</v>
      </c>
      <c r="AB91" s="142"/>
      <c r="AC91" s="140"/>
      <c r="AD91" s="138"/>
      <c r="AE91" s="142"/>
      <c r="AF91" s="141">
        <f>IF(AND($AA91="",AD91=""),"",$AA91-AD91)</f>
        <v>0</v>
      </c>
      <c r="AG91" s="138"/>
      <c r="AH91" s="142"/>
      <c r="AI91" s="141">
        <f>IF(AND($AA91="",AG91=""),"",$AA91-AG91)</f>
        <v>0</v>
      </c>
    </row>
    <row r="92" spans="1:35" hidden="1" outlineLevel="1" x14ac:dyDescent="0.2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38"/>
      <c r="P92" s="138"/>
      <c r="Q92" s="138"/>
      <c r="R92" s="138"/>
      <c r="S92" s="138"/>
      <c r="T92" s="138"/>
      <c r="U92" s="138"/>
      <c r="V92" s="138"/>
      <c r="W92" s="138"/>
      <c r="X92" s="138"/>
      <c r="Y92" s="138"/>
      <c r="Z92" s="138"/>
      <c r="AA92" s="138">
        <f>SUM(O92:Z92)</f>
        <v>0</v>
      </c>
      <c r="AB92" s="142"/>
      <c r="AC92" s="140"/>
      <c r="AD92" s="138"/>
      <c r="AE92" s="142"/>
      <c r="AF92" s="141">
        <f>IF(AND($AA92="",AD92=""),"",$AA92-AD92)</f>
        <v>0</v>
      </c>
      <c r="AG92" s="138"/>
      <c r="AH92" s="142"/>
      <c r="AI92" s="141">
        <f>IF(AND($AA92="",AG92=""),"",$AA92-AG92)</f>
        <v>0</v>
      </c>
    </row>
    <row r="93" spans="1:35" collapsed="1" x14ac:dyDescent="0.2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3" t="str">
        <f>IF(AND($AA93="",AD93=""),"",$AA93-AD93)</f>
        <v/>
      </c>
      <c r="AG93" s="510" t="str">
        <f>IFERROR(AG$87/AG91,"")</f>
        <v/>
      </c>
      <c r="AH93" s="511"/>
      <c r="AI93" s="213" t="str">
        <f>IF(AND($AA93="",AG93=""),"",$AA93-AG93)</f>
        <v/>
      </c>
    </row>
    <row r="94" spans="1:35" x14ac:dyDescent="0.2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3" t="str">
        <f>IF(AND($AA94="",AD94=""),"",$AA94-AD94)</f>
        <v/>
      </c>
      <c r="AG94" s="510" t="str">
        <f>IFERROR(AG$87/AG92,"")</f>
        <v/>
      </c>
      <c r="AH94" s="511"/>
      <c r="AI94" s="213" t="str">
        <f>IF(AND($AA94="",AG94=""),"",$AA94-AG94)</f>
        <v/>
      </c>
    </row>
    <row r="95" spans="1:35" x14ac:dyDescent="0.2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57"/>
      <c r="AC95" s="140"/>
      <c r="AD95" s="514"/>
      <c r="AE95" s="481"/>
      <c r="AF95" s="157"/>
      <c r="AG95" s="481"/>
      <c r="AH95" s="481"/>
      <c r="AI95" s="157"/>
    </row>
    <row r="96" spans="1:35" x14ac:dyDescent="0.25">
      <c r="A96" s="11"/>
      <c r="B96" s="11"/>
      <c r="C96" s="208"/>
      <c r="D96" s="11"/>
      <c r="E96" s="11"/>
      <c r="F96" s="11"/>
      <c r="G96" s="11"/>
      <c r="H96" s="185"/>
      <c r="I96" s="122"/>
      <c r="J96" s="122"/>
      <c r="K96" s="11"/>
      <c r="L96" s="90"/>
      <c r="M96" s="90"/>
      <c r="N96" s="53" t="s">
        <v>343</v>
      </c>
      <c r="O96" s="514"/>
      <c r="P96" s="481"/>
      <c r="Q96" s="481"/>
      <c r="R96" s="481"/>
      <c r="S96" s="481"/>
      <c r="T96" s="481"/>
      <c r="U96" s="481"/>
      <c r="V96" s="481"/>
      <c r="W96" s="481"/>
      <c r="X96" s="481"/>
      <c r="Y96" s="481"/>
      <c r="Z96" s="481"/>
      <c r="AA96" s="481"/>
      <c r="AB96" s="515"/>
      <c r="AC96" s="140"/>
      <c r="AD96" s="516"/>
      <c r="AE96" s="517"/>
      <c r="AF96" s="157"/>
      <c r="AG96" s="481"/>
      <c r="AH96" s="517"/>
      <c r="AI96" s="157"/>
    </row>
    <row r="97" spans="1:35" x14ac:dyDescent="0.25">
      <c r="A97" s="11"/>
      <c r="B97" s="11"/>
      <c r="C97" s="208"/>
      <c r="D97" s="11"/>
      <c r="E97" s="11"/>
      <c r="F97" s="11"/>
      <c r="G97" s="11"/>
      <c r="H97" s="185"/>
      <c r="I97" s="122"/>
      <c r="J97" s="122"/>
      <c r="K97" s="11"/>
      <c r="L97" s="90"/>
      <c r="M97" s="90"/>
      <c r="N97" s="53" t="s">
        <v>337</v>
      </c>
      <c r="O97" s="158"/>
      <c r="P97" s="159"/>
      <c r="Q97" s="159"/>
      <c r="R97" s="159"/>
      <c r="S97" s="159"/>
      <c r="T97" s="159"/>
      <c r="U97" s="159"/>
      <c r="V97" s="159"/>
      <c r="W97" s="159"/>
      <c r="X97" s="159"/>
      <c r="Y97" s="159"/>
      <c r="Z97" s="159"/>
      <c r="AA97" s="159"/>
      <c r="AB97" s="160"/>
      <c r="AC97" s="140"/>
      <c r="AD97" s="158"/>
      <c r="AE97" s="159"/>
      <c r="AF97" s="160"/>
      <c r="AG97" s="159"/>
      <c r="AH97" s="159"/>
      <c r="AI97" s="160"/>
    </row>
    <row r="98" spans="1:35" x14ac:dyDescent="0.2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38"/>
      <c r="P98" s="138"/>
      <c r="Q98" s="138"/>
      <c r="R98" s="138"/>
      <c r="S98" s="138"/>
      <c r="T98" s="138"/>
      <c r="U98" s="138"/>
      <c r="V98" s="138"/>
      <c r="W98" s="138"/>
      <c r="X98" s="138"/>
      <c r="Y98" s="138"/>
      <c r="Z98" s="138"/>
      <c r="AA98" s="138">
        <f t="shared" ref="AA98:AA103" si="27">SUM(O98:Z98)</f>
        <v>0</v>
      </c>
      <c r="AB98" s="142" t="str">
        <f t="shared" ref="AB98:AB103" si="28">IF(AA98=0,"",IFERROR(AA98/AA$19,""))</f>
        <v/>
      </c>
      <c r="AC98" s="140"/>
      <c r="AD98" s="138"/>
      <c r="AE98" s="142" t="str">
        <f t="shared" ref="AE98:AE103" si="29">IF(AD98=0,"",IFERROR(AD98/AD$19,""))</f>
        <v/>
      </c>
      <c r="AF98" s="141">
        <f t="shared" ref="AF98:AF103" si="30">IF(AND($AA98="",AD98=""),"",$AA98-AD98)</f>
        <v>0</v>
      </c>
      <c r="AG98" s="138"/>
      <c r="AH98" s="142" t="str">
        <f t="shared" ref="AH98:AH103" si="31">IF(AG98=0,"",IFERROR(AG98/AG$19,""))</f>
        <v/>
      </c>
      <c r="AI98" s="141">
        <f t="shared" ref="AI98:AI103" si="32">IF(AND($AA98="",AG98=""),"",$AA98-AG98)</f>
        <v>0</v>
      </c>
    </row>
    <row r="99" spans="1:35" x14ac:dyDescent="0.2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38"/>
      <c r="P99" s="138"/>
      <c r="Q99" s="138"/>
      <c r="R99" s="138"/>
      <c r="S99" s="138"/>
      <c r="T99" s="138"/>
      <c r="U99" s="138"/>
      <c r="V99" s="138"/>
      <c r="W99" s="138"/>
      <c r="X99" s="138"/>
      <c r="Y99" s="138"/>
      <c r="Z99" s="138"/>
      <c r="AA99" s="138">
        <f t="shared" si="27"/>
        <v>0</v>
      </c>
      <c r="AB99" s="142" t="str">
        <f t="shared" si="28"/>
        <v/>
      </c>
      <c r="AC99" s="140"/>
      <c r="AD99" s="138"/>
      <c r="AE99" s="142" t="str">
        <f t="shared" si="29"/>
        <v/>
      </c>
      <c r="AF99" s="141">
        <f t="shared" si="30"/>
        <v>0</v>
      </c>
      <c r="AG99" s="138"/>
      <c r="AH99" s="142" t="str">
        <f t="shared" si="31"/>
        <v/>
      </c>
      <c r="AI99" s="141">
        <f t="shared" si="32"/>
        <v>0</v>
      </c>
    </row>
    <row r="100" spans="1:35" x14ac:dyDescent="0.2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38"/>
      <c r="P100" s="138"/>
      <c r="Q100" s="138"/>
      <c r="R100" s="138"/>
      <c r="S100" s="138"/>
      <c r="T100" s="138"/>
      <c r="U100" s="138"/>
      <c r="V100" s="138"/>
      <c r="W100" s="138"/>
      <c r="X100" s="138"/>
      <c r="Y100" s="138"/>
      <c r="Z100" s="138"/>
      <c r="AA100" s="138">
        <f t="shared" si="27"/>
        <v>0</v>
      </c>
      <c r="AB100" s="142" t="str">
        <f t="shared" si="28"/>
        <v/>
      </c>
      <c r="AC100" s="140"/>
      <c r="AD100" s="138"/>
      <c r="AE100" s="142" t="str">
        <f t="shared" si="29"/>
        <v/>
      </c>
      <c r="AF100" s="141">
        <f t="shared" si="30"/>
        <v>0</v>
      </c>
      <c r="AG100" s="138"/>
      <c r="AH100" s="142" t="str">
        <f t="shared" si="31"/>
        <v/>
      </c>
      <c r="AI100" s="141">
        <f t="shared" si="32"/>
        <v>0</v>
      </c>
    </row>
    <row r="101" spans="1:35" x14ac:dyDescent="0.2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38"/>
      <c r="P101" s="138"/>
      <c r="Q101" s="138"/>
      <c r="R101" s="138"/>
      <c r="S101" s="138"/>
      <c r="T101" s="138"/>
      <c r="U101" s="138"/>
      <c r="V101" s="138"/>
      <c r="W101" s="138"/>
      <c r="X101" s="138"/>
      <c r="Y101" s="138"/>
      <c r="Z101" s="138"/>
      <c r="AA101" s="138">
        <f t="shared" si="27"/>
        <v>0</v>
      </c>
      <c r="AB101" s="142" t="str">
        <f t="shared" si="28"/>
        <v/>
      </c>
      <c r="AC101" s="140"/>
      <c r="AD101" s="138"/>
      <c r="AE101" s="142" t="str">
        <f t="shared" si="29"/>
        <v/>
      </c>
      <c r="AF101" s="141">
        <f t="shared" si="30"/>
        <v>0</v>
      </c>
      <c r="AG101" s="138"/>
      <c r="AH101" s="142" t="str">
        <f t="shared" si="31"/>
        <v/>
      </c>
      <c r="AI101" s="141">
        <f t="shared" si="32"/>
        <v>0</v>
      </c>
    </row>
    <row r="102" spans="1:35" x14ac:dyDescent="0.2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38"/>
      <c r="P102" s="138"/>
      <c r="Q102" s="138"/>
      <c r="R102" s="138"/>
      <c r="S102" s="138"/>
      <c r="T102" s="138"/>
      <c r="U102" s="138"/>
      <c r="V102" s="138"/>
      <c r="W102" s="138"/>
      <c r="X102" s="138"/>
      <c r="Y102" s="138"/>
      <c r="Z102" s="138"/>
      <c r="AA102" s="138">
        <f t="shared" si="27"/>
        <v>0</v>
      </c>
      <c r="AB102" s="142" t="str">
        <f t="shared" si="28"/>
        <v/>
      </c>
      <c r="AC102" s="140"/>
      <c r="AD102" s="138"/>
      <c r="AE102" s="142" t="str">
        <f t="shared" si="29"/>
        <v/>
      </c>
      <c r="AF102" s="141">
        <f t="shared" si="30"/>
        <v>0</v>
      </c>
      <c r="AG102" s="138"/>
      <c r="AH102" s="142" t="str">
        <f t="shared" si="31"/>
        <v/>
      </c>
      <c r="AI102" s="141">
        <f t="shared" si="32"/>
        <v>0</v>
      </c>
    </row>
    <row r="103" spans="1:35" x14ac:dyDescent="0.2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2"/>
      <c r="P103" s="162"/>
      <c r="Q103" s="162"/>
      <c r="R103" s="162"/>
      <c r="S103" s="162"/>
      <c r="T103" s="162"/>
      <c r="U103" s="162"/>
      <c r="V103" s="162"/>
      <c r="W103" s="162"/>
      <c r="X103" s="162"/>
      <c r="Y103" s="162"/>
      <c r="Z103" s="162"/>
      <c r="AA103" s="162">
        <f t="shared" si="27"/>
        <v>0</v>
      </c>
      <c r="AB103" s="163" t="str">
        <f t="shared" si="28"/>
        <v/>
      </c>
      <c r="AC103" s="140"/>
      <c r="AD103" s="162"/>
      <c r="AE103" s="163" t="str">
        <f t="shared" si="29"/>
        <v/>
      </c>
      <c r="AF103" s="164">
        <f t="shared" si="30"/>
        <v>0</v>
      </c>
      <c r="AG103" s="162"/>
      <c r="AH103" s="163" t="str">
        <f t="shared" si="31"/>
        <v/>
      </c>
      <c r="AI103" s="164">
        <f t="shared" si="32"/>
        <v>0</v>
      </c>
    </row>
    <row r="104" spans="1:35" x14ac:dyDescent="0.25">
      <c r="A104" s="11"/>
      <c r="B104" s="11"/>
      <c r="C104" s="208"/>
      <c r="D104" s="11"/>
      <c r="E104" s="11"/>
      <c r="F104" s="11"/>
      <c r="G104" s="11"/>
      <c r="H104" s="185"/>
      <c r="I104" s="122"/>
      <c r="J104" s="122"/>
      <c r="K104" s="11"/>
      <c r="L104" s="90"/>
      <c r="M104" s="90"/>
      <c r="N104" s="53"/>
      <c r="O104" s="170"/>
      <c r="P104" s="171"/>
      <c r="Q104" s="171"/>
      <c r="R104" s="171"/>
      <c r="S104" s="171"/>
      <c r="T104" s="171"/>
      <c r="U104" s="171"/>
      <c r="V104" s="171"/>
      <c r="W104" s="171"/>
      <c r="X104" s="171"/>
      <c r="Y104" s="171"/>
      <c r="Z104" s="171"/>
      <c r="AA104" s="171"/>
      <c r="AB104" s="172"/>
      <c r="AC104" s="140"/>
      <c r="AD104" s="170"/>
      <c r="AE104" s="171"/>
      <c r="AF104" s="172"/>
      <c r="AG104" s="170"/>
      <c r="AH104" s="171"/>
      <c r="AI104" s="172"/>
    </row>
    <row r="105" spans="1:35" x14ac:dyDescent="0.25">
      <c r="A105" s="11"/>
      <c r="B105" s="11"/>
      <c r="C105" s="208"/>
      <c r="D105" s="11"/>
      <c r="E105" s="11"/>
      <c r="F105" s="11"/>
      <c r="G105" s="11"/>
      <c r="H105" s="185"/>
      <c r="I105" s="122"/>
      <c r="J105" s="122"/>
      <c r="K105" s="11"/>
      <c r="L105" s="90"/>
      <c r="M105" s="90"/>
      <c r="N105" s="53" t="s">
        <v>339</v>
      </c>
      <c r="O105" s="158"/>
      <c r="P105" s="159"/>
      <c r="Q105" s="159"/>
      <c r="R105" s="159"/>
      <c r="S105" s="159"/>
      <c r="T105" s="159"/>
      <c r="U105" s="159"/>
      <c r="V105" s="159"/>
      <c r="W105" s="159"/>
      <c r="X105" s="159"/>
      <c r="Y105" s="159"/>
      <c r="Z105" s="159"/>
      <c r="AA105" s="159"/>
      <c r="AB105" s="160"/>
      <c r="AC105" s="140"/>
      <c r="AD105" s="158"/>
      <c r="AE105" s="159"/>
      <c r="AF105" s="160"/>
      <c r="AG105" s="158"/>
      <c r="AH105" s="159"/>
      <c r="AI105" s="160"/>
    </row>
    <row r="106" spans="1:35" x14ac:dyDescent="0.2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38"/>
      <c r="P106" s="138"/>
      <c r="Q106" s="138"/>
      <c r="R106" s="138"/>
      <c r="S106" s="138"/>
      <c r="T106" s="138"/>
      <c r="U106" s="138"/>
      <c r="V106" s="138"/>
      <c r="W106" s="138"/>
      <c r="X106" s="138"/>
      <c r="Y106" s="138"/>
      <c r="Z106" s="138"/>
      <c r="AA106" s="138">
        <f t="shared" ref="AA106:AA111" si="33">SUM(O106:Z106)</f>
        <v>0</v>
      </c>
      <c r="AB106" s="142" t="str">
        <f t="shared" ref="AB106:AB111" si="34">IF(AA106=0,"",IFERROR(AA106/AA$19,""))</f>
        <v/>
      </c>
      <c r="AC106" s="140"/>
      <c r="AD106" s="138"/>
      <c r="AE106" s="142" t="str">
        <f t="shared" ref="AE106:AE111" si="35">IF(AD106=0,"",IFERROR(AD106/AD$19,""))</f>
        <v/>
      </c>
      <c r="AF106" s="141">
        <f t="shared" ref="AF106:AF111" si="36">IF(AND($AA106="",AD106=""),"",$AA106-AD106)</f>
        <v>0</v>
      </c>
      <c r="AG106" s="138"/>
      <c r="AH106" s="142" t="str">
        <f t="shared" ref="AH106:AH111" si="37">IF(AG106=0,"",IFERROR(AG106/AG$19,""))</f>
        <v/>
      </c>
      <c r="AI106" s="141">
        <f t="shared" ref="AI106:AI111" si="38">IF(AND($AA106="",AG106=""),"",$AA106-AG106)</f>
        <v>0</v>
      </c>
    </row>
    <row r="107" spans="1:35" x14ac:dyDescent="0.2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38"/>
      <c r="P107" s="138"/>
      <c r="Q107" s="138"/>
      <c r="R107" s="138"/>
      <c r="S107" s="138"/>
      <c r="T107" s="138"/>
      <c r="U107" s="138"/>
      <c r="V107" s="138"/>
      <c r="W107" s="138"/>
      <c r="X107" s="138"/>
      <c r="Y107" s="138"/>
      <c r="Z107" s="138"/>
      <c r="AA107" s="138">
        <f t="shared" si="33"/>
        <v>0</v>
      </c>
      <c r="AB107" s="142" t="str">
        <f t="shared" si="34"/>
        <v/>
      </c>
      <c r="AC107" s="140"/>
      <c r="AD107" s="138"/>
      <c r="AE107" s="142" t="str">
        <f t="shared" si="35"/>
        <v/>
      </c>
      <c r="AF107" s="141">
        <f t="shared" si="36"/>
        <v>0</v>
      </c>
      <c r="AG107" s="138"/>
      <c r="AH107" s="142" t="str">
        <f t="shared" si="37"/>
        <v/>
      </c>
      <c r="AI107" s="141">
        <f t="shared" si="38"/>
        <v>0</v>
      </c>
    </row>
    <row r="108" spans="1:35" x14ac:dyDescent="0.2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38"/>
      <c r="P108" s="138"/>
      <c r="Q108" s="138"/>
      <c r="R108" s="138"/>
      <c r="S108" s="138"/>
      <c r="T108" s="138"/>
      <c r="U108" s="138"/>
      <c r="V108" s="138"/>
      <c r="W108" s="138"/>
      <c r="X108" s="138"/>
      <c r="Y108" s="138"/>
      <c r="Z108" s="138"/>
      <c r="AA108" s="138">
        <f t="shared" si="33"/>
        <v>0</v>
      </c>
      <c r="AB108" s="142" t="str">
        <f t="shared" si="34"/>
        <v/>
      </c>
      <c r="AC108" s="140"/>
      <c r="AD108" s="138"/>
      <c r="AE108" s="142" t="str">
        <f t="shared" si="35"/>
        <v/>
      </c>
      <c r="AF108" s="141">
        <f t="shared" si="36"/>
        <v>0</v>
      </c>
      <c r="AG108" s="138"/>
      <c r="AH108" s="142" t="str">
        <f t="shared" si="37"/>
        <v/>
      </c>
      <c r="AI108" s="141">
        <f t="shared" si="38"/>
        <v>0</v>
      </c>
    </row>
    <row r="109" spans="1:35" x14ac:dyDescent="0.2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38"/>
      <c r="P109" s="138"/>
      <c r="Q109" s="138"/>
      <c r="R109" s="138"/>
      <c r="S109" s="138"/>
      <c r="T109" s="138"/>
      <c r="U109" s="138"/>
      <c r="V109" s="138"/>
      <c r="W109" s="138"/>
      <c r="X109" s="138"/>
      <c r="Y109" s="138"/>
      <c r="Z109" s="138"/>
      <c r="AA109" s="138">
        <f t="shared" si="33"/>
        <v>0</v>
      </c>
      <c r="AB109" s="142" t="str">
        <f t="shared" si="34"/>
        <v/>
      </c>
      <c r="AC109" s="140"/>
      <c r="AD109" s="138"/>
      <c r="AE109" s="142" t="str">
        <f t="shared" si="35"/>
        <v/>
      </c>
      <c r="AF109" s="141">
        <f t="shared" si="36"/>
        <v>0</v>
      </c>
      <c r="AG109" s="138"/>
      <c r="AH109" s="142" t="str">
        <f t="shared" si="37"/>
        <v/>
      </c>
      <c r="AI109" s="141">
        <f t="shared" si="38"/>
        <v>0</v>
      </c>
    </row>
    <row r="110" spans="1:35" x14ac:dyDescent="0.2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38"/>
      <c r="P110" s="138"/>
      <c r="Q110" s="138"/>
      <c r="R110" s="138"/>
      <c r="S110" s="138"/>
      <c r="T110" s="138"/>
      <c r="U110" s="138"/>
      <c r="V110" s="138"/>
      <c r="W110" s="138"/>
      <c r="X110" s="138"/>
      <c r="Y110" s="138"/>
      <c r="Z110" s="138"/>
      <c r="AA110" s="138">
        <f t="shared" si="33"/>
        <v>0</v>
      </c>
      <c r="AB110" s="142" t="str">
        <f t="shared" si="34"/>
        <v/>
      </c>
      <c r="AC110" s="140"/>
      <c r="AD110" s="138"/>
      <c r="AE110" s="142" t="str">
        <f t="shared" si="35"/>
        <v/>
      </c>
      <c r="AF110" s="141">
        <f t="shared" si="36"/>
        <v>0</v>
      </c>
      <c r="AG110" s="138"/>
      <c r="AH110" s="142" t="str">
        <f t="shared" si="37"/>
        <v/>
      </c>
      <c r="AI110" s="141">
        <f t="shared" si="38"/>
        <v>0</v>
      </c>
    </row>
    <row r="111" spans="1:35" x14ac:dyDescent="0.2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2"/>
      <c r="P111" s="162"/>
      <c r="Q111" s="162"/>
      <c r="R111" s="162"/>
      <c r="S111" s="162"/>
      <c r="T111" s="162"/>
      <c r="U111" s="162"/>
      <c r="V111" s="162"/>
      <c r="W111" s="162"/>
      <c r="X111" s="162"/>
      <c r="Y111" s="162"/>
      <c r="Z111" s="162"/>
      <c r="AA111" s="162">
        <f t="shared" si="33"/>
        <v>0</v>
      </c>
      <c r="AB111" s="163" t="str">
        <f t="shared" si="34"/>
        <v/>
      </c>
      <c r="AC111" s="140"/>
      <c r="AD111" s="162"/>
      <c r="AE111" s="163" t="str">
        <f t="shared" si="35"/>
        <v/>
      </c>
      <c r="AF111" s="164">
        <f t="shared" si="36"/>
        <v>0</v>
      </c>
      <c r="AG111" s="162"/>
      <c r="AH111" s="163" t="str">
        <f t="shared" si="37"/>
        <v/>
      </c>
      <c r="AI111" s="164">
        <f t="shared" si="38"/>
        <v>0</v>
      </c>
    </row>
    <row r="112" spans="1:35" x14ac:dyDescent="0.25">
      <c r="A112" s="11"/>
      <c r="B112" s="11"/>
      <c r="C112" s="208"/>
      <c r="D112" s="11"/>
      <c r="E112" s="11"/>
      <c r="F112" s="11"/>
      <c r="G112" s="11"/>
      <c r="H112" s="185"/>
      <c r="I112" s="122"/>
      <c r="J112" s="122"/>
      <c r="K112" s="11"/>
      <c r="L112" s="90"/>
      <c r="M112" s="90"/>
      <c r="N112" s="53"/>
      <c r="O112" s="170"/>
      <c r="P112" s="171"/>
      <c r="Q112" s="171"/>
      <c r="R112" s="171"/>
      <c r="S112" s="171"/>
      <c r="T112" s="171"/>
      <c r="U112" s="171"/>
      <c r="V112" s="171"/>
      <c r="W112" s="171"/>
      <c r="X112" s="171"/>
      <c r="Y112" s="171"/>
      <c r="Z112" s="171"/>
      <c r="AA112" s="171"/>
      <c r="AB112" s="172"/>
      <c r="AC112" s="140"/>
      <c r="AD112" s="170"/>
      <c r="AE112" s="171"/>
      <c r="AF112" s="172"/>
      <c r="AG112" s="170"/>
      <c r="AH112" s="171"/>
      <c r="AI112" s="172"/>
    </row>
    <row r="113" spans="1:35" x14ac:dyDescent="0.25">
      <c r="A113" s="11"/>
      <c r="B113" s="11"/>
      <c r="C113" s="208"/>
      <c r="D113" s="11"/>
      <c r="E113" s="11"/>
      <c r="F113" s="11"/>
      <c r="G113" s="11"/>
      <c r="H113" s="185"/>
      <c r="I113" s="122"/>
      <c r="J113" s="122"/>
      <c r="K113" s="11"/>
      <c r="L113" s="90"/>
      <c r="M113" s="90"/>
      <c r="N113" s="53" t="s">
        <v>338</v>
      </c>
      <c r="O113" s="158"/>
      <c r="P113" s="159"/>
      <c r="Q113" s="159"/>
      <c r="R113" s="159"/>
      <c r="S113" s="159"/>
      <c r="T113" s="159"/>
      <c r="U113" s="159"/>
      <c r="V113" s="159"/>
      <c r="W113" s="159"/>
      <c r="X113" s="159"/>
      <c r="Y113" s="159"/>
      <c r="Z113" s="159"/>
      <c r="AA113" s="159"/>
      <c r="AB113" s="160"/>
      <c r="AC113" s="140"/>
      <c r="AD113" s="158"/>
      <c r="AE113" s="159"/>
      <c r="AF113" s="160"/>
      <c r="AG113" s="158"/>
      <c r="AH113" s="159"/>
      <c r="AI113" s="160"/>
    </row>
    <row r="114" spans="1:35" x14ac:dyDescent="0.2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38"/>
      <c r="P114" s="138"/>
      <c r="Q114" s="138"/>
      <c r="R114" s="138"/>
      <c r="S114" s="138"/>
      <c r="T114" s="138"/>
      <c r="U114" s="138"/>
      <c r="V114" s="138"/>
      <c r="W114" s="138"/>
      <c r="X114" s="138"/>
      <c r="Y114" s="138"/>
      <c r="Z114" s="138"/>
      <c r="AA114" s="138">
        <f t="shared" ref="AA114:AA119" si="39">SUM(O114:Z114)</f>
        <v>0</v>
      </c>
      <c r="AB114" s="142" t="str">
        <f t="shared" ref="AB114:AB119" si="40">IF(AA114=0,"",IFERROR(AA114/AA$19,""))</f>
        <v/>
      </c>
      <c r="AC114" s="140"/>
      <c r="AD114" s="138"/>
      <c r="AE114" s="142" t="str">
        <f t="shared" ref="AE114:AE119" si="41">IF(AD114=0,"",IFERROR(AD114/AD$19,""))</f>
        <v/>
      </c>
      <c r="AF114" s="141">
        <f t="shared" ref="AF114:AF119" si="42">IF(AND($AA114="",AD114=""),"",$AA114-AD114)</f>
        <v>0</v>
      </c>
      <c r="AG114" s="138"/>
      <c r="AH114" s="142" t="str">
        <f t="shared" ref="AH114:AH119" si="43">IF(AG114=0,"",IFERROR(AG114/AG$19,""))</f>
        <v/>
      </c>
      <c r="AI114" s="141">
        <f t="shared" ref="AI114:AI119" si="44">IF(AND($AA114="",AG114=""),"",$AA114-AG114)</f>
        <v>0</v>
      </c>
    </row>
    <row r="115" spans="1:35" x14ac:dyDescent="0.2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38"/>
      <c r="P115" s="138"/>
      <c r="Q115" s="138"/>
      <c r="R115" s="138"/>
      <c r="S115" s="138"/>
      <c r="T115" s="138"/>
      <c r="U115" s="138"/>
      <c r="V115" s="138"/>
      <c r="W115" s="138"/>
      <c r="X115" s="138"/>
      <c r="Y115" s="138"/>
      <c r="Z115" s="138"/>
      <c r="AA115" s="138">
        <f t="shared" si="39"/>
        <v>0</v>
      </c>
      <c r="AB115" s="142" t="str">
        <f t="shared" si="40"/>
        <v/>
      </c>
      <c r="AC115" s="140"/>
      <c r="AD115" s="138"/>
      <c r="AE115" s="142" t="str">
        <f t="shared" si="41"/>
        <v/>
      </c>
      <c r="AF115" s="141">
        <f t="shared" si="42"/>
        <v>0</v>
      </c>
      <c r="AG115" s="138"/>
      <c r="AH115" s="142" t="str">
        <f t="shared" si="43"/>
        <v/>
      </c>
      <c r="AI115" s="141">
        <f t="shared" si="44"/>
        <v>0</v>
      </c>
    </row>
    <row r="116" spans="1:35" x14ac:dyDescent="0.2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38"/>
      <c r="P116" s="138"/>
      <c r="Q116" s="138"/>
      <c r="R116" s="138"/>
      <c r="S116" s="138"/>
      <c r="T116" s="138"/>
      <c r="U116" s="138"/>
      <c r="V116" s="138"/>
      <c r="W116" s="138"/>
      <c r="X116" s="138"/>
      <c r="Y116" s="138"/>
      <c r="Z116" s="138"/>
      <c r="AA116" s="138">
        <f t="shared" si="39"/>
        <v>0</v>
      </c>
      <c r="AB116" s="142" t="str">
        <f t="shared" si="40"/>
        <v/>
      </c>
      <c r="AC116" s="140"/>
      <c r="AD116" s="138"/>
      <c r="AE116" s="142" t="str">
        <f t="shared" si="41"/>
        <v/>
      </c>
      <c r="AF116" s="141">
        <f t="shared" si="42"/>
        <v>0</v>
      </c>
      <c r="AG116" s="138"/>
      <c r="AH116" s="142" t="str">
        <f t="shared" si="43"/>
        <v/>
      </c>
      <c r="AI116" s="141">
        <f t="shared" si="44"/>
        <v>0</v>
      </c>
    </row>
    <row r="117" spans="1:35" x14ac:dyDescent="0.2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38"/>
      <c r="P117" s="138"/>
      <c r="Q117" s="138"/>
      <c r="R117" s="138"/>
      <c r="S117" s="138"/>
      <c r="T117" s="138"/>
      <c r="U117" s="138"/>
      <c r="V117" s="138"/>
      <c r="W117" s="138"/>
      <c r="X117" s="138"/>
      <c r="Y117" s="138"/>
      <c r="Z117" s="138"/>
      <c r="AA117" s="138">
        <f t="shared" si="39"/>
        <v>0</v>
      </c>
      <c r="AB117" s="142" t="str">
        <f t="shared" si="40"/>
        <v/>
      </c>
      <c r="AC117" s="140"/>
      <c r="AD117" s="138"/>
      <c r="AE117" s="142" t="str">
        <f t="shared" si="41"/>
        <v/>
      </c>
      <c r="AF117" s="141">
        <f t="shared" si="42"/>
        <v>0</v>
      </c>
      <c r="AG117" s="138"/>
      <c r="AH117" s="142" t="str">
        <f t="shared" si="43"/>
        <v/>
      </c>
      <c r="AI117" s="141">
        <f t="shared" si="44"/>
        <v>0</v>
      </c>
    </row>
    <row r="118" spans="1:35" x14ac:dyDescent="0.2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38"/>
      <c r="P118" s="138"/>
      <c r="Q118" s="138"/>
      <c r="R118" s="138"/>
      <c r="S118" s="138"/>
      <c r="T118" s="138"/>
      <c r="U118" s="138"/>
      <c r="V118" s="138"/>
      <c r="W118" s="138"/>
      <c r="X118" s="138"/>
      <c r="Y118" s="138"/>
      <c r="Z118" s="138"/>
      <c r="AA118" s="138">
        <f t="shared" si="39"/>
        <v>0</v>
      </c>
      <c r="AB118" s="142" t="str">
        <f t="shared" si="40"/>
        <v/>
      </c>
      <c r="AC118" s="140"/>
      <c r="AD118" s="138"/>
      <c r="AE118" s="142" t="str">
        <f t="shared" si="41"/>
        <v/>
      </c>
      <c r="AF118" s="141">
        <f t="shared" si="42"/>
        <v>0</v>
      </c>
      <c r="AG118" s="138"/>
      <c r="AH118" s="142" t="str">
        <f t="shared" si="43"/>
        <v/>
      </c>
      <c r="AI118" s="141">
        <f t="shared" si="44"/>
        <v>0</v>
      </c>
    </row>
    <row r="119" spans="1:35" x14ac:dyDescent="0.2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2"/>
      <c r="P119" s="162"/>
      <c r="Q119" s="162"/>
      <c r="R119" s="162"/>
      <c r="S119" s="162"/>
      <c r="T119" s="162"/>
      <c r="U119" s="162"/>
      <c r="V119" s="162"/>
      <c r="W119" s="162"/>
      <c r="X119" s="162"/>
      <c r="Y119" s="162"/>
      <c r="Z119" s="162"/>
      <c r="AA119" s="162">
        <f t="shared" si="39"/>
        <v>0</v>
      </c>
      <c r="AB119" s="163" t="str">
        <f t="shared" si="40"/>
        <v/>
      </c>
      <c r="AC119" s="140"/>
      <c r="AD119" s="162"/>
      <c r="AE119" s="163" t="str">
        <f t="shared" si="41"/>
        <v/>
      </c>
      <c r="AF119" s="164">
        <f t="shared" si="42"/>
        <v>0</v>
      </c>
      <c r="AG119" s="162"/>
      <c r="AH119" s="163" t="str">
        <f t="shared" si="43"/>
        <v/>
      </c>
      <c r="AI119" s="164">
        <f t="shared" si="44"/>
        <v>0</v>
      </c>
    </row>
    <row r="120" spans="1:35" x14ac:dyDescent="0.25">
      <c r="A120" s="11"/>
      <c r="B120" s="11"/>
      <c r="C120" s="208"/>
      <c r="D120" s="11"/>
      <c r="E120" s="11"/>
      <c r="F120" s="11"/>
      <c r="G120" s="11"/>
      <c r="H120" s="185"/>
      <c r="I120" s="122"/>
      <c r="J120" s="122"/>
      <c r="K120" s="11"/>
      <c r="L120" s="90"/>
      <c r="M120" s="90"/>
      <c r="N120" s="11"/>
      <c r="O120" s="170"/>
      <c r="P120" s="171"/>
      <c r="Q120" s="171"/>
      <c r="R120" s="171"/>
      <c r="S120" s="171"/>
      <c r="T120" s="171"/>
      <c r="U120" s="171"/>
      <c r="V120" s="171"/>
      <c r="W120" s="171"/>
      <c r="X120" s="171"/>
      <c r="Y120" s="171"/>
      <c r="Z120" s="171"/>
      <c r="AA120" s="171"/>
      <c r="AB120" s="172"/>
      <c r="AC120" s="140"/>
      <c r="AD120" s="170"/>
      <c r="AE120" s="171"/>
      <c r="AF120" s="172"/>
      <c r="AG120" s="170"/>
      <c r="AH120" s="171"/>
      <c r="AI120" s="172"/>
    </row>
    <row r="121" spans="1:35" x14ac:dyDescent="0.2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38">
        <f t="shared" ref="O121:Z121" si="45">O98+O106+O114</f>
        <v>0</v>
      </c>
      <c r="P121" s="138">
        <f t="shared" si="45"/>
        <v>0</v>
      </c>
      <c r="Q121" s="138">
        <f t="shared" si="45"/>
        <v>0</v>
      </c>
      <c r="R121" s="138">
        <f t="shared" si="45"/>
        <v>0</v>
      </c>
      <c r="S121" s="138">
        <f t="shared" si="45"/>
        <v>0</v>
      </c>
      <c r="T121" s="138">
        <f t="shared" si="45"/>
        <v>0</v>
      </c>
      <c r="U121" s="138">
        <f t="shared" si="45"/>
        <v>0</v>
      </c>
      <c r="V121" s="138">
        <f t="shared" si="45"/>
        <v>0</v>
      </c>
      <c r="W121" s="138">
        <f t="shared" si="45"/>
        <v>0</v>
      </c>
      <c r="X121" s="138">
        <f t="shared" si="45"/>
        <v>0</v>
      </c>
      <c r="Y121" s="138">
        <f t="shared" si="45"/>
        <v>0</v>
      </c>
      <c r="Z121" s="138">
        <f t="shared" si="45"/>
        <v>0</v>
      </c>
      <c r="AA121" s="138">
        <f t="shared" ref="AA121:AA126" si="46">SUM(O121:Z121)</f>
        <v>0</v>
      </c>
      <c r="AB121" s="142" t="str">
        <f t="shared" ref="AB121:AB126" si="47">IF(AA121=0,"",IFERROR(AA121/AA$19,""))</f>
        <v/>
      </c>
      <c r="AC121" s="140"/>
      <c r="AD121" s="138">
        <f>AD98+AD106+AD114</f>
        <v>0</v>
      </c>
      <c r="AE121" s="142" t="str">
        <f t="shared" ref="AE121:AE126" si="48">IF(AD121=0,"",IFERROR(AD121/AD$19,""))</f>
        <v/>
      </c>
      <c r="AF121" s="141">
        <f t="shared" ref="AF121:AF126" si="49">IF(AND($AA121="",AD121=""),"",$AA121-AD121)</f>
        <v>0</v>
      </c>
      <c r="AG121" s="138">
        <f>AG98+AG106+AG114</f>
        <v>0</v>
      </c>
      <c r="AH121" s="142" t="str">
        <f t="shared" ref="AH121:AH126" si="50">IF(AG121=0,"",IFERROR(AG121/AG$19,""))</f>
        <v/>
      </c>
      <c r="AI121" s="141">
        <f t="shared" ref="AI121:AI126" si="51">IF(AND($AA121="",AG121=""),"",$AA121-AG121)</f>
        <v>0</v>
      </c>
    </row>
    <row r="122" spans="1:35" x14ac:dyDescent="0.2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38">
        <f t="shared" ref="O122:Z122" si="52">O99+O107+O115</f>
        <v>0</v>
      </c>
      <c r="P122" s="138">
        <f t="shared" si="52"/>
        <v>0</v>
      </c>
      <c r="Q122" s="138">
        <f t="shared" si="52"/>
        <v>0</v>
      </c>
      <c r="R122" s="138">
        <f t="shared" si="52"/>
        <v>0</v>
      </c>
      <c r="S122" s="138">
        <f t="shared" si="52"/>
        <v>0</v>
      </c>
      <c r="T122" s="138">
        <f t="shared" si="52"/>
        <v>0</v>
      </c>
      <c r="U122" s="138">
        <f t="shared" si="52"/>
        <v>0</v>
      </c>
      <c r="V122" s="138">
        <f t="shared" si="52"/>
        <v>0</v>
      </c>
      <c r="W122" s="138">
        <f t="shared" si="52"/>
        <v>0</v>
      </c>
      <c r="X122" s="138">
        <f t="shared" si="52"/>
        <v>0</v>
      </c>
      <c r="Y122" s="138">
        <f t="shared" si="52"/>
        <v>0</v>
      </c>
      <c r="Z122" s="138">
        <f t="shared" si="52"/>
        <v>0</v>
      </c>
      <c r="AA122" s="138">
        <f t="shared" si="46"/>
        <v>0</v>
      </c>
      <c r="AB122" s="142" t="str">
        <f t="shared" si="47"/>
        <v/>
      </c>
      <c r="AC122" s="140"/>
      <c r="AD122" s="138">
        <f>AD99+AD107+AD115</f>
        <v>0</v>
      </c>
      <c r="AE122" s="142" t="str">
        <f t="shared" si="48"/>
        <v/>
      </c>
      <c r="AF122" s="141">
        <f t="shared" si="49"/>
        <v>0</v>
      </c>
      <c r="AG122" s="138">
        <f>AG99+AG107+AG115</f>
        <v>0</v>
      </c>
      <c r="AH122" s="142" t="str">
        <f t="shared" si="50"/>
        <v/>
      </c>
      <c r="AI122" s="141">
        <f t="shared" si="51"/>
        <v>0</v>
      </c>
    </row>
    <row r="123" spans="1:35" x14ac:dyDescent="0.2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38">
        <f t="shared" ref="O123:Z123" si="53">O100+O108+O116</f>
        <v>0</v>
      </c>
      <c r="P123" s="138">
        <f t="shared" si="53"/>
        <v>0</v>
      </c>
      <c r="Q123" s="138">
        <f t="shared" si="53"/>
        <v>0</v>
      </c>
      <c r="R123" s="138">
        <f t="shared" si="53"/>
        <v>0</v>
      </c>
      <c r="S123" s="138">
        <f t="shared" si="53"/>
        <v>0</v>
      </c>
      <c r="T123" s="138">
        <f t="shared" si="53"/>
        <v>0</v>
      </c>
      <c r="U123" s="138">
        <f t="shared" si="53"/>
        <v>0</v>
      </c>
      <c r="V123" s="138">
        <f t="shared" si="53"/>
        <v>0</v>
      </c>
      <c r="W123" s="138">
        <f t="shared" si="53"/>
        <v>0</v>
      </c>
      <c r="X123" s="138">
        <f t="shared" si="53"/>
        <v>0</v>
      </c>
      <c r="Y123" s="138">
        <f t="shared" si="53"/>
        <v>0</v>
      </c>
      <c r="Z123" s="138">
        <f t="shared" si="53"/>
        <v>0</v>
      </c>
      <c r="AA123" s="138">
        <f t="shared" si="46"/>
        <v>0</v>
      </c>
      <c r="AB123" s="142" t="str">
        <f t="shared" si="47"/>
        <v/>
      </c>
      <c r="AC123" s="140"/>
      <c r="AD123" s="138">
        <f>AD100+AD108+AD116</f>
        <v>0</v>
      </c>
      <c r="AE123" s="142" t="str">
        <f t="shared" si="48"/>
        <v/>
      </c>
      <c r="AF123" s="141">
        <f t="shared" si="49"/>
        <v>0</v>
      </c>
      <c r="AG123" s="138">
        <f>AG100+AG108+AG116</f>
        <v>0</v>
      </c>
      <c r="AH123" s="142" t="str">
        <f t="shared" si="50"/>
        <v/>
      </c>
      <c r="AI123" s="141">
        <f t="shared" si="51"/>
        <v>0</v>
      </c>
    </row>
    <row r="124" spans="1:35" x14ac:dyDescent="0.2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38">
        <f t="shared" ref="O124:Z124" si="54">O101+O109+O117</f>
        <v>0</v>
      </c>
      <c r="P124" s="138">
        <f t="shared" si="54"/>
        <v>0</v>
      </c>
      <c r="Q124" s="138">
        <f t="shared" si="54"/>
        <v>0</v>
      </c>
      <c r="R124" s="138">
        <f t="shared" si="54"/>
        <v>0</v>
      </c>
      <c r="S124" s="138">
        <f t="shared" si="54"/>
        <v>0</v>
      </c>
      <c r="T124" s="138">
        <f t="shared" si="54"/>
        <v>0</v>
      </c>
      <c r="U124" s="138">
        <f t="shared" si="54"/>
        <v>0</v>
      </c>
      <c r="V124" s="138">
        <f t="shared" si="54"/>
        <v>0</v>
      </c>
      <c r="W124" s="138">
        <f t="shared" si="54"/>
        <v>0</v>
      </c>
      <c r="X124" s="138">
        <f t="shared" si="54"/>
        <v>0</v>
      </c>
      <c r="Y124" s="138">
        <f t="shared" si="54"/>
        <v>0</v>
      </c>
      <c r="Z124" s="138">
        <f t="shared" si="54"/>
        <v>0</v>
      </c>
      <c r="AA124" s="138">
        <f t="shared" si="46"/>
        <v>0</v>
      </c>
      <c r="AB124" s="142" t="str">
        <f t="shared" si="47"/>
        <v/>
      </c>
      <c r="AC124" s="140"/>
      <c r="AD124" s="138">
        <f>AD101+AD109+AD117</f>
        <v>0</v>
      </c>
      <c r="AE124" s="142" t="str">
        <f t="shared" si="48"/>
        <v/>
      </c>
      <c r="AF124" s="141">
        <f t="shared" si="49"/>
        <v>0</v>
      </c>
      <c r="AG124" s="138">
        <f>AG101+AG109+AG117</f>
        <v>0</v>
      </c>
      <c r="AH124" s="142" t="str">
        <f t="shared" si="50"/>
        <v/>
      </c>
      <c r="AI124" s="141">
        <f t="shared" si="51"/>
        <v>0</v>
      </c>
    </row>
    <row r="125" spans="1:35" x14ac:dyDescent="0.2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38">
        <f t="shared" ref="O125:Z125" si="55">O102+O110+O118</f>
        <v>0</v>
      </c>
      <c r="P125" s="138">
        <f t="shared" si="55"/>
        <v>0</v>
      </c>
      <c r="Q125" s="138">
        <f t="shared" si="55"/>
        <v>0</v>
      </c>
      <c r="R125" s="138">
        <f t="shared" si="55"/>
        <v>0</v>
      </c>
      <c r="S125" s="138">
        <f t="shared" si="55"/>
        <v>0</v>
      </c>
      <c r="T125" s="138">
        <f t="shared" si="55"/>
        <v>0</v>
      </c>
      <c r="U125" s="138">
        <f t="shared" si="55"/>
        <v>0</v>
      </c>
      <c r="V125" s="138">
        <f t="shared" si="55"/>
        <v>0</v>
      </c>
      <c r="W125" s="138">
        <f t="shared" si="55"/>
        <v>0</v>
      </c>
      <c r="X125" s="138">
        <f t="shared" si="55"/>
        <v>0</v>
      </c>
      <c r="Y125" s="138">
        <f t="shared" si="55"/>
        <v>0</v>
      </c>
      <c r="Z125" s="138">
        <f t="shared" si="55"/>
        <v>0</v>
      </c>
      <c r="AA125" s="138">
        <f t="shared" si="46"/>
        <v>0</v>
      </c>
      <c r="AB125" s="142" t="str">
        <f t="shared" si="47"/>
        <v/>
      </c>
      <c r="AC125" s="140"/>
      <c r="AD125" s="138">
        <f>AD102+AD110+AD118</f>
        <v>0</v>
      </c>
      <c r="AE125" s="142" t="str">
        <f t="shared" si="48"/>
        <v/>
      </c>
      <c r="AF125" s="141">
        <f t="shared" si="49"/>
        <v>0</v>
      </c>
      <c r="AG125" s="138">
        <f>AG102+AG110+AG118</f>
        <v>0</v>
      </c>
      <c r="AH125" s="142" t="str">
        <f t="shared" si="50"/>
        <v/>
      </c>
      <c r="AI125" s="141">
        <f t="shared" si="51"/>
        <v>0</v>
      </c>
    </row>
    <row r="126" spans="1:35" x14ac:dyDescent="0.2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2">
        <f t="shared" ref="O126:Z126" si="56">SUM(O121:O125)</f>
        <v>0</v>
      </c>
      <c r="P126" s="162">
        <f t="shared" si="56"/>
        <v>0</v>
      </c>
      <c r="Q126" s="162">
        <f t="shared" si="56"/>
        <v>0</v>
      </c>
      <c r="R126" s="162">
        <f t="shared" si="56"/>
        <v>0</v>
      </c>
      <c r="S126" s="162">
        <f t="shared" si="56"/>
        <v>0</v>
      </c>
      <c r="T126" s="162">
        <f t="shared" si="56"/>
        <v>0</v>
      </c>
      <c r="U126" s="162">
        <f t="shared" si="56"/>
        <v>0</v>
      </c>
      <c r="V126" s="162">
        <f t="shared" si="56"/>
        <v>0</v>
      </c>
      <c r="W126" s="162">
        <f t="shared" si="56"/>
        <v>0</v>
      </c>
      <c r="X126" s="162">
        <f t="shared" si="56"/>
        <v>0</v>
      </c>
      <c r="Y126" s="162">
        <f t="shared" si="56"/>
        <v>0</v>
      </c>
      <c r="Z126" s="162">
        <f t="shared" si="56"/>
        <v>0</v>
      </c>
      <c r="AA126" s="162">
        <f t="shared" si="46"/>
        <v>0</v>
      </c>
      <c r="AB126" s="163" t="str">
        <f t="shared" si="47"/>
        <v/>
      </c>
      <c r="AC126" s="140"/>
      <c r="AD126" s="162">
        <f>SUM(AD121:AD125)</f>
        <v>0</v>
      </c>
      <c r="AE126" s="163" t="str">
        <f t="shared" si="48"/>
        <v/>
      </c>
      <c r="AF126" s="164">
        <f t="shared" si="49"/>
        <v>0</v>
      </c>
      <c r="AG126" s="162">
        <f>SUM(AG121:AG125)</f>
        <v>0</v>
      </c>
      <c r="AH126" s="163" t="str">
        <f t="shared" si="50"/>
        <v/>
      </c>
      <c r="AI126" s="164">
        <f t="shared" si="51"/>
        <v>0</v>
      </c>
    </row>
    <row r="127" spans="1:35" x14ac:dyDescent="0.2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2"/>
      <c r="AC127" s="140"/>
      <c r="AD127" s="511">
        <f>AD103+AD111+AD119-AD126</f>
        <v>0</v>
      </c>
      <c r="AE127" s="142"/>
      <c r="AF127" s="138"/>
      <c r="AG127" s="511">
        <f>AG103+AG111+AG119-AG126</f>
        <v>0</v>
      </c>
      <c r="AH127" s="142"/>
      <c r="AI127" s="138"/>
    </row>
    <row r="128" spans="1:35" x14ac:dyDescent="0.25">
      <c r="A128" s="11"/>
      <c r="B128" s="11"/>
      <c r="C128" s="208"/>
      <c r="D128" s="11"/>
      <c r="E128" s="11"/>
      <c r="F128" s="11"/>
      <c r="G128" s="11"/>
      <c r="H128" s="185"/>
      <c r="I128" s="122"/>
      <c r="J128" s="122"/>
      <c r="K128" s="11"/>
      <c r="L128" s="11"/>
      <c r="M128" s="11"/>
      <c r="N128" s="11"/>
      <c r="O128" s="170"/>
      <c r="P128" s="171"/>
      <c r="Q128" s="171"/>
      <c r="R128" s="171"/>
      <c r="S128" s="171"/>
      <c r="T128" s="171"/>
      <c r="U128" s="171"/>
      <c r="V128" s="171"/>
      <c r="W128" s="171"/>
      <c r="X128" s="171"/>
      <c r="Y128" s="171"/>
      <c r="Z128" s="171"/>
      <c r="AA128" s="171"/>
      <c r="AB128" s="172"/>
      <c r="AC128" s="140"/>
      <c r="AD128" s="170"/>
      <c r="AE128" s="171"/>
      <c r="AF128" s="172"/>
      <c r="AG128" s="170"/>
      <c r="AH128" s="171"/>
      <c r="AI128" s="172"/>
    </row>
    <row r="129" spans="1:35" ht="15.75" x14ac:dyDescent="0.2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2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38"/>
      <c r="P130" s="138"/>
      <c r="Q130" s="138"/>
      <c r="R130" s="138"/>
      <c r="S130" s="138"/>
      <c r="T130" s="138"/>
      <c r="U130" s="138"/>
      <c r="V130" s="138"/>
      <c r="W130" s="138"/>
      <c r="X130" s="138"/>
      <c r="Y130" s="138"/>
      <c r="Z130" s="138"/>
      <c r="AA130" s="138">
        <f>SUM(O130:Z130)</f>
        <v>0</v>
      </c>
      <c r="AB130" s="458" t="str">
        <f>IF(_epmOfflineCondition_,"",IF(AA130=0,"",IFERROR(AA130/_xll.EVGTS($B$1,1,_xll.EVPRO($B$1,$H130,"COSBASIS"),$B$3,$B$5,$B$6,$B$7,$B$9,AA$16,AA$17,AA$11),"")))</f>
        <v/>
      </c>
      <c r="AC130" s="140"/>
      <c r="AD130" s="138"/>
      <c r="AE130" s="458" t="str">
        <f>IF(_epmOfflineCondition_,"",IF(AD130=0,"",IFERROR(AD130/_xll.EVGTS($B$1,1,_xll.EVPRO($B$1,$H130,"COSBASIS"),$B$3,$B$5,$B$6,$B$7,$B$9,AD$16,AD$17,AD$18),"")))</f>
        <v/>
      </c>
      <c r="AF130" s="141">
        <f t="shared" ref="AF130:AF141" si="58">IF(AND($AA130="",AD130=""),"",$AA130-AD130)</f>
        <v>0</v>
      </c>
      <c r="AG130" s="138"/>
      <c r="AH130" s="458" t="str">
        <f>IF(_epmOfflineCondition_,"",IF(AG130=0,"",IFERROR(AG130/_xll.EVGTS($B$1,1,_xll.EVPRO($B$1,$H130,"COSBASIS"),$B$3,$B$5,$B$6,$B$7,$B$9,AG$16,AG$17,AG$18),"")))</f>
        <v/>
      </c>
      <c r="AI130" s="141">
        <f t="shared" ref="AI130:AI141" si="59">IF(AND($AA130="",AG130=""),"",$AA130-AG130)</f>
        <v>0</v>
      </c>
    </row>
    <row r="131" spans="1:35" x14ac:dyDescent="0.2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58"/>
      <c r="AC131" s="140"/>
      <c r="AD131" s="508"/>
      <c r="AE131" s="458"/>
      <c r="AF131" s="521" t="str">
        <f t="shared" si="58"/>
        <v/>
      </c>
      <c r="AG131" s="508"/>
      <c r="AH131" s="458"/>
      <c r="AI131" s="521" t="str">
        <f t="shared" si="59"/>
        <v/>
      </c>
    </row>
    <row r="132" spans="1:35" x14ac:dyDescent="0.2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38"/>
      <c r="P132" s="138"/>
      <c r="Q132" s="138"/>
      <c r="R132" s="138"/>
      <c r="S132" s="138"/>
      <c r="T132" s="138"/>
      <c r="U132" s="138"/>
      <c r="V132" s="138"/>
      <c r="W132" s="138"/>
      <c r="X132" s="138"/>
      <c r="Y132" s="138"/>
      <c r="Z132" s="138"/>
      <c r="AA132" s="138">
        <f>SUM(O132:Z132)</f>
        <v>0</v>
      </c>
      <c r="AB132" s="458" t="str">
        <f>IF(_epmOfflineCondition_,"",IF(AA132=0,"",IFERROR(AA132/_xll.EVGTS($B$1,1,_xll.EVPRO($B$1,$H132,"COSBASIS"),$B$3,$B$5,$B$6,$B$7,$B$9,AA$16,AA$17,AA$11),"")))</f>
        <v/>
      </c>
      <c r="AC132" s="140"/>
      <c r="AD132" s="138"/>
      <c r="AE132" s="458" t="str">
        <f>IF(_epmOfflineCondition_,"",IF(AD132=0,"",IFERROR(AD132/_xll.EVGTS($B$1,1,_xll.EVPRO($B$1,$H132,"COSBASIS"),$B$3,$B$5,$B$6,$B$7,$B$9,AD$16,AD$17,AD$18),"")))</f>
        <v/>
      </c>
      <c r="AF132" s="141">
        <f t="shared" si="58"/>
        <v>0</v>
      </c>
      <c r="AG132" s="138"/>
      <c r="AH132" s="458" t="str">
        <f>IF(_epmOfflineCondition_,"",IF(AG132=0,"",IFERROR(AG132/_xll.EVGTS($B$1,1,_xll.EVPRO($B$1,$H132,"COSBASIS"),$B$3,$B$5,$B$6,$B$7,$B$9,AG$16,AG$17,AG$18),"")))</f>
        <v/>
      </c>
      <c r="AI132" s="141">
        <f t="shared" si="59"/>
        <v>0</v>
      </c>
    </row>
    <row r="133" spans="1:35" x14ac:dyDescent="0.2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58"/>
      <c r="AC133" s="140"/>
      <c r="AD133" s="508"/>
      <c r="AE133" s="458"/>
      <c r="AF133" s="521" t="str">
        <f t="shared" si="58"/>
        <v/>
      </c>
      <c r="AG133" s="508"/>
      <c r="AH133" s="458"/>
      <c r="AI133" s="521" t="str">
        <f t="shared" si="59"/>
        <v/>
      </c>
    </row>
    <row r="134" spans="1:35" x14ac:dyDescent="0.2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38"/>
      <c r="P134" s="138"/>
      <c r="Q134" s="138"/>
      <c r="R134" s="138"/>
      <c r="S134" s="138"/>
      <c r="T134" s="138"/>
      <c r="U134" s="138"/>
      <c r="V134" s="138"/>
      <c r="W134" s="138"/>
      <c r="X134" s="138"/>
      <c r="Y134" s="138"/>
      <c r="Z134" s="138"/>
      <c r="AA134" s="138">
        <f>SUM(O134:Z134)</f>
        <v>0</v>
      </c>
      <c r="AB134" s="458" t="str">
        <f>IF(_epmOfflineCondition_,"",IF(AA134=0,"",IFERROR(AA134/_xll.EVGTS($B$1,1,_xll.EVPRO($B$1,$H134,"COSBASIS"),$B$3,$B$5,$B$6,$B$7,$B$9,AA$16,AA$17,AA$11),"")))</f>
        <v/>
      </c>
      <c r="AC134" s="140"/>
      <c r="AD134" s="138"/>
      <c r="AE134" s="458" t="str">
        <f>IF(_epmOfflineCondition_,"",IF(AD134=0,"",IFERROR(AD134/_xll.EVGTS($B$1,1,_xll.EVPRO($B$1,$H134,"COSBASIS"),$B$3,$B$5,$B$6,$B$7,$B$9,AD$16,AD$17,AD$18),"")))</f>
        <v/>
      </c>
      <c r="AF134" s="141">
        <f t="shared" si="58"/>
        <v>0</v>
      </c>
      <c r="AG134" s="138"/>
      <c r="AH134" s="458" t="str">
        <f>IF(_epmOfflineCondition_,"",IF(AG134=0,"",IFERROR(AG134/_xll.EVGTS($B$1,1,_xll.EVPRO($B$1,$H134,"COSBASIS"),$B$3,$B$5,$B$6,$B$7,$B$9,AG$16,AG$17,AG$18),"")))</f>
        <v/>
      </c>
      <c r="AI134" s="141">
        <f t="shared" si="59"/>
        <v>0</v>
      </c>
    </row>
    <row r="135" spans="1:35" x14ac:dyDescent="0.2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58"/>
      <c r="AC135" s="140"/>
      <c r="AD135" s="508"/>
      <c r="AE135" s="458"/>
      <c r="AF135" s="521" t="str">
        <f t="shared" si="58"/>
        <v/>
      </c>
      <c r="AG135" s="508"/>
      <c r="AH135" s="458"/>
      <c r="AI135" s="521" t="str">
        <f t="shared" si="59"/>
        <v/>
      </c>
    </row>
    <row r="136" spans="1:35" x14ac:dyDescent="0.2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38"/>
      <c r="P136" s="138"/>
      <c r="Q136" s="138"/>
      <c r="R136" s="138"/>
      <c r="S136" s="138"/>
      <c r="T136" s="138"/>
      <c r="U136" s="138"/>
      <c r="V136" s="138"/>
      <c r="W136" s="138"/>
      <c r="X136" s="138"/>
      <c r="Y136" s="138"/>
      <c r="Z136" s="138"/>
      <c r="AA136" s="138">
        <f>SUM(O136:Z136)</f>
        <v>0</v>
      </c>
      <c r="AB136" s="458" t="str">
        <f>IF(_epmOfflineCondition_,"",IF(AA136=0,"",IFERROR(AA136/_xll.EVGTS($B$1,1,_xll.EVPRO($B$1,$H136,"COSBASIS"),$B$3,$B$5,$B$6,$B$7,$B$9,AA$16,AA$17,AA$11),"")))</f>
        <v/>
      </c>
      <c r="AC136" s="140"/>
      <c r="AD136" s="138"/>
      <c r="AE136" s="458" t="str">
        <f>IF(_epmOfflineCondition_,"",IF(AD136=0,"",IFERROR(AD136/_xll.EVGTS($B$1,1,_xll.EVPRO($B$1,$H136,"COSBASIS"),$B$3,$B$5,$B$6,$B$7,$B$9,AD$16,AD$17,AD$18),"")))</f>
        <v/>
      </c>
      <c r="AF136" s="141">
        <f t="shared" si="58"/>
        <v>0</v>
      </c>
      <c r="AG136" s="138"/>
      <c r="AH136" s="458" t="str">
        <f>IF(_epmOfflineCondition_,"",IF(AG136=0,"",IFERROR(AG136/_xll.EVGTS($B$1,1,_xll.EVPRO($B$1,$H136,"COSBASIS"),$B$3,$B$5,$B$6,$B$7,$B$9,AG$16,AG$17,AG$18),"")))</f>
        <v/>
      </c>
      <c r="AI136" s="141">
        <f t="shared" si="59"/>
        <v>0</v>
      </c>
    </row>
    <row r="137" spans="1:35" x14ac:dyDescent="0.2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58"/>
      <c r="AC137" s="140"/>
      <c r="AD137" s="508"/>
      <c r="AE137" s="458"/>
      <c r="AF137" s="521" t="str">
        <f t="shared" si="58"/>
        <v/>
      </c>
      <c r="AG137" s="508"/>
      <c r="AH137" s="458"/>
      <c r="AI137" s="521" t="str">
        <f t="shared" si="59"/>
        <v/>
      </c>
    </row>
    <row r="138" spans="1:35" x14ac:dyDescent="0.2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38"/>
      <c r="P138" s="138"/>
      <c r="Q138" s="138"/>
      <c r="R138" s="138"/>
      <c r="S138" s="138"/>
      <c r="T138" s="138"/>
      <c r="U138" s="138"/>
      <c r="V138" s="138"/>
      <c r="W138" s="138"/>
      <c r="X138" s="138"/>
      <c r="Y138" s="138"/>
      <c r="Z138" s="138"/>
      <c r="AA138" s="138">
        <f>SUM(O138:Z138)</f>
        <v>0</v>
      </c>
      <c r="AB138" s="458" t="str">
        <f>IF(_epmOfflineCondition_,"",IF(AA138=0,"",IFERROR(AA138/_xll.EVGTS($B$1,1,_xll.EVPRO($B$1,$H138,"COSBASIS"),$B$3,$B$5,$B$6,$B$7,$B$9,AA$16,AA$17,AA$11),"")))</f>
        <v/>
      </c>
      <c r="AC138" s="140"/>
      <c r="AD138" s="138"/>
      <c r="AE138" s="458" t="str">
        <f>IF(_epmOfflineCondition_,"",IF(AD138=0,"",IFERROR(AD138/_xll.EVGTS($B$1,1,_xll.EVPRO($B$1,$H138,"COSBASIS"),$B$3,$B$5,$B$6,$B$7,$B$9,AD$16,AD$17,AD$18),"")))</f>
        <v/>
      </c>
      <c r="AF138" s="141">
        <f t="shared" si="58"/>
        <v>0</v>
      </c>
      <c r="AG138" s="138"/>
      <c r="AH138" s="458" t="str">
        <f>IF(_epmOfflineCondition_,"",IF(AG138=0,"",IFERROR(AG138/_xll.EVGTS($B$1,1,_xll.EVPRO($B$1,$H138,"COSBASIS"),$B$3,$B$5,$B$6,$B$7,$B$9,AG$16,AG$17,AG$18),"")))</f>
        <v/>
      </c>
      <c r="AI138" s="141">
        <f t="shared" si="59"/>
        <v>0</v>
      </c>
    </row>
    <row r="139" spans="1:35" x14ac:dyDescent="0.2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58"/>
      <c r="AC139" s="140"/>
      <c r="AD139" s="508"/>
      <c r="AE139" s="458"/>
      <c r="AF139" s="521" t="str">
        <f t="shared" si="58"/>
        <v/>
      </c>
      <c r="AG139" s="508"/>
      <c r="AH139" s="458"/>
      <c r="AI139" s="521" t="str">
        <f t="shared" si="59"/>
        <v/>
      </c>
    </row>
    <row r="140" spans="1:35" x14ac:dyDescent="0.2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38"/>
      <c r="P140" s="138"/>
      <c r="Q140" s="138"/>
      <c r="R140" s="138"/>
      <c r="S140" s="138"/>
      <c r="T140" s="138"/>
      <c r="U140" s="138"/>
      <c r="V140" s="138"/>
      <c r="W140" s="138"/>
      <c r="X140" s="138"/>
      <c r="Y140" s="138"/>
      <c r="Z140" s="138"/>
      <c r="AA140" s="138">
        <f>SUM(O140:Z140)</f>
        <v>0</v>
      </c>
      <c r="AB140" s="458" t="str">
        <f>IF(_epmOfflineCondition_,"",IF(AA140=0,"",IFERROR(AA140/_xll.EVGTS($B$1,1,_xll.EVPRO($B$1,$H140,"COSBASIS"),$B$3,$B$5,$B$6,$B$7,$B$9,AA$16,AA$17,AA$11),"")))</f>
        <v/>
      </c>
      <c r="AC140" s="140"/>
      <c r="AD140" s="138"/>
      <c r="AE140" s="458" t="str">
        <f>IF(_epmOfflineCondition_,"",IF(AD140=0,"",IFERROR(AD140/_xll.EVGTS($B$1,1,_xll.EVPRO($B$1,$H140,"COSBASIS"),$B$3,$B$5,$B$6,$B$7,$B$9,AD$16,AD$17,AD$18),"")))</f>
        <v/>
      </c>
      <c r="AF140" s="141">
        <f t="shared" si="58"/>
        <v>0</v>
      </c>
      <c r="AG140" s="138"/>
      <c r="AH140" s="458" t="str">
        <f>IF(_epmOfflineCondition_,"",IF(AG140=0,"",IFERROR(AG140/_xll.EVGTS($B$1,1,_xll.EVPRO($B$1,$H140,"COSBASIS"),$B$3,$B$5,$B$6,$B$7,$B$9,AG$16,AG$17,AG$18),"")))</f>
        <v/>
      </c>
      <c r="AI140" s="141">
        <f t="shared" si="59"/>
        <v>0</v>
      </c>
    </row>
    <row r="141" spans="1:35" x14ac:dyDescent="0.2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58"/>
      <c r="AC141" s="140"/>
      <c r="AD141" s="508" t="str">
        <f>IFERROR(AD140/AD85,"")</f>
        <v/>
      </c>
      <c r="AE141" s="458"/>
      <c r="AF141" s="521" t="str">
        <f t="shared" si="58"/>
        <v/>
      </c>
      <c r="AG141" s="508" t="str">
        <f>IFERROR(AG140/AG85,"")</f>
        <v/>
      </c>
      <c r="AH141" s="458"/>
      <c r="AI141" s="521" t="str">
        <f t="shared" si="59"/>
        <v/>
      </c>
    </row>
    <row r="142" spans="1:35" x14ac:dyDescent="0.2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2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2"/>
      <c r="AC143" s="140"/>
      <c r="AD143" s="511">
        <f>AD39+AD49+AD59+AD69+AD79+AD83-AD85</f>
        <v>0</v>
      </c>
      <c r="AE143" s="142"/>
      <c r="AF143" s="138"/>
      <c r="AG143" s="511">
        <f>AG39+AG49+AG59+AG69+AG79+AG83-AG85</f>
        <v>0</v>
      </c>
      <c r="AH143" s="142"/>
      <c r="AI143" s="138"/>
    </row>
    <row r="144" spans="1:35" x14ac:dyDescent="0.2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2"/>
      <c r="AC144" s="140"/>
      <c r="AD144" s="511">
        <f>AD41+AD51+AD61+AD71+AD80-AD87</f>
        <v>0</v>
      </c>
      <c r="AE144" s="142"/>
      <c r="AF144" s="138"/>
      <c r="AG144" s="511">
        <f>AG41+AG51+AG61+AG71+AG80-AG87</f>
        <v>0</v>
      </c>
      <c r="AH144" s="142"/>
      <c r="AI144" s="138"/>
    </row>
    <row r="145" spans="1:35" x14ac:dyDescent="0.2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2"/>
      <c r="AC145" s="140"/>
      <c r="AD145" s="510" t="e">
        <f>IFERROR(AD$85/AD87,"")-AD88</f>
        <v>#VALUE!</v>
      </c>
      <c r="AE145" s="142"/>
      <c r="AF145" s="138"/>
      <c r="AG145" s="510" t="e">
        <f>IFERROR(AG$85/AG87,"")-AG88</f>
        <v>#VALUE!</v>
      </c>
      <c r="AH145" s="142"/>
      <c r="AI145" s="138"/>
    </row>
    <row r="146" spans="1:35" x14ac:dyDescent="0.2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2"/>
      <c r="AC146" s="140"/>
      <c r="AD146" s="511">
        <f>(AD130+AD132)-AD140</f>
        <v>0</v>
      </c>
      <c r="AE146" s="142"/>
      <c r="AF146" s="138"/>
      <c r="AG146" s="511">
        <f>(AG130+AG132)-AG140</f>
        <v>0</v>
      </c>
      <c r="AH146" s="142"/>
      <c r="AI146" s="138"/>
    </row>
    <row r="147" spans="1:35" x14ac:dyDescent="0.2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2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2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2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2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94zuWiFV4w2RCL3Di+LZO5Sqv+RTi3NXq5wSqvxejODrqNdK6ksMjSYiPYwt+exC5o/nNptk3JfZFYb1mCwGug==" saltValue="BO5s+5JAhkum99xIDKT3Fw==" spinCount="100000" sheet="1" scenarios="1"/>
  <mergeCells count="2">
    <mergeCell ref="AD31:AE31"/>
    <mergeCell ref="AG31:AH31"/>
  </mergeCells>
  <conditionalFormatting sqref="AD43 AF43:AG43 O43:AA43">
    <cfRule type="expression" dxfId="125" priority="15">
      <formula>ROUND(O42,2)&lt;&gt;ROUND(O43,2)</formula>
    </cfRule>
  </conditionalFormatting>
  <conditionalFormatting sqref="N43">
    <cfRule type="expression" dxfId="124" priority="14">
      <formula>$G43&lt;&gt;0</formula>
    </cfRule>
  </conditionalFormatting>
  <conditionalFormatting sqref="O53:AA53 AD53 AF53:AG53">
    <cfRule type="expression" dxfId="123" priority="13">
      <formula>ROUND(O52,2)&lt;&gt;ROUND(O53,2)</formula>
    </cfRule>
  </conditionalFormatting>
  <conditionalFormatting sqref="N53">
    <cfRule type="expression" dxfId="122" priority="12">
      <formula>$G53&lt;&gt;0</formula>
    </cfRule>
  </conditionalFormatting>
  <conditionalFormatting sqref="O63:AA63 AD63 AF63:AG63">
    <cfRule type="expression" dxfId="121" priority="11">
      <formula>ROUND(O62,2)&lt;&gt;ROUND(O63,2)</formula>
    </cfRule>
  </conditionalFormatting>
  <conditionalFormatting sqref="N63">
    <cfRule type="expression" dxfId="120" priority="10">
      <formula>$G63&lt;&gt;0</formula>
    </cfRule>
  </conditionalFormatting>
  <conditionalFormatting sqref="O73:AA73 AD73 AF73:AG73">
    <cfRule type="expression" dxfId="119" priority="9">
      <formula>ROUND(O72,2)&lt;&gt;ROUND(O73,2)</formula>
    </cfRule>
  </conditionalFormatting>
  <conditionalFormatting sqref="N73">
    <cfRule type="expression" dxfId="118" priority="8">
      <formula>$G73&lt;&gt;0</formula>
    </cfRule>
  </conditionalFormatting>
  <conditionalFormatting sqref="N82">
    <cfRule type="expression" dxfId="117" priority="7">
      <formula>$G82&lt;&gt;0</formula>
    </cfRule>
  </conditionalFormatting>
  <conditionalFormatting sqref="AD82 AF82:AG82 O82:AA82">
    <cfRule type="expression" dxfId="116" priority="6">
      <formula>ROUND(O81,2)&lt;&gt;ROUND(O82,2)</formula>
    </cfRule>
  </conditionalFormatting>
  <conditionalFormatting sqref="AI43">
    <cfRule type="expression" dxfId="115" priority="5">
      <formula>ROUND(AI42,2)&lt;&gt;ROUND(AI43,2)</formula>
    </cfRule>
  </conditionalFormatting>
  <conditionalFormatting sqref="AI53">
    <cfRule type="expression" dxfId="114" priority="4">
      <formula>ROUND(AI52,2)&lt;&gt;ROUND(AI53,2)</formula>
    </cfRule>
  </conditionalFormatting>
  <conditionalFormatting sqref="AI63">
    <cfRule type="expression" dxfId="113" priority="3">
      <formula>ROUND(AI62,2)&lt;&gt;ROUND(AI63,2)</formula>
    </cfRule>
  </conditionalFormatting>
  <conditionalFormatting sqref="AI73">
    <cfRule type="expression" dxfId="112" priority="2">
      <formula>ROUND(AI72,2)&lt;&gt;ROUND(AI73,2)</formula>
    </cfRule>
  </conditionalFormatting>
  <conditionalFormatting sqref="AI82">
    <cfRule type="expression" dxfId="111" priority="1">
      <formula>ROUND(AI81,2)&lt;&gt;ROUND(AI82,2)</formula>
    </cfRule>
  </conditionalFormatting>
  <dataValidations count="2">
    <dataValidation type="list" allowBlank="1" sqref="B29" xr:uid="{00000000-0002-0000-0C00-000000000000}">
      <formula1>"SELF,ALL,BAS,DEP,BASMEMBERS,MEMBERS,NOEXPAND,GDEP"</formula1>
    </dataValidation>
    <dataValidation type="list" allowBlank="1" sqref="B28" xr:uid="{00000000-0002-0000-0C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733</v>
      </c>
      <c r="C6" s="11" t="str">
        <f>IF(_epmOfflineCondition_,"Venue 4",_xll.EVDES(B6,$B$1))</f>
        <v>Venue 4</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IF(_epmOfflineCondition_,"'Venue4'!$B$2:$B$10",_xll.EVRNG($B$2:$B$10))</f>
        <v>'Venue4'!$B$2:$B$10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IF(_epmOfflineCondition_,"'Venue4'!$O$16:$AN$18",_xll.EVRNG($O$16:$AN$18))</f>
        <v>'Venue4'!$O$16:$AN$18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IF(_epmOfflineCondition_,"'Venue4'!$H$35:$H$58",_xll.EVRNG(H35:H58))</f>
        <v>'Venue4'!$H$35:$H$58</v>
      </c>
      <c r="C19" s="11"/>
      <c r="D19" s="11"/>
      <c r="E19" s="11"/>
      <c r="F19" s="11"/>
      <c r="G19" s="67" t="str">
        <f>$B$6</f>
        <v>D2145</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25">
      <c r="A20" s="65" t="s">
        <v>5</v>
      </c>
      <c r="B20" s="66"/>
      <c r="C20" s="11"/>
      <c r="D20" s="11"/>
      <c r="E20" s="11"/>
      <c r="F20" s="11"/>
      <c r="G20" s="67" t="str">
        <f>$B$6</f>
        <v>D2145</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IF(_epmOfflineCondition_,"'Venue4'!$A$36:$F$44",_xll.EVRNG(A36:F44))</f>
        <v>'Venue4'!$A$36:$F$44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IF(_epmOfflineCondition_,"'Venue4'!$A$125:$B$146",_xll.EVRNG($A$125:$B$146))</f>
        <v>'Venue4'!$A$125:$B$146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IF(_epmOfflineCondition_,"Venue 4 Department",IF($N$1="",IF(_xll.EVDES(B6,$B$1)="#NODATA","",_xll.EVDES(B6,$B$1)&amp;" Department"),$N$1))</f>
        <v>Venue 4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57"/>
      <c r="P35" s="210"/>
      <c r="Q35" s="210"/>
      <c r="R35" s="210"/>
      <c r="S35" s="210"/>
      <c r="T35" s="210"/>
      <c r="U35" s="210"/>
      <c r="V35" s="210"/>
      <c r="W35" s="210"/>
      <c r="X35" s="210"/>
      <c r="Y35" s="210"/>
      <c r="Z35" s="210"/>
      <c r="AA35" s="210">
        <f t="shared" ref="AA35:AA58" si="1">IF($I35="B1","",SUM(O35:Z35))</f>
        <v>0</v>
      </c>
      <c r="AB35" s="458" t="str">
        <f t="shared" ref="AB35:AB58" si="2">IF(AA35=0,"",IFERROR(AA35/AA$19,""))</f>
        <v/>
      </c>
      <c r="AC35" s="528"/>
      <c r="AD35" s="210"/>
      <c r="AE35" s="458" t="str">
        <f t="shared" ref="AE35:AE58" si="3">IF(AD35=0,"",IFERROR(AD35/AD$19,""))</f>
        <v/>
      </c>
      <c r="AF35" s="460">
        <f t="shared" ref="AF35:AF58" si="4">IF(AND($AA35="",AD35=""),"",$AA35-AD35)</f>
        <v>0</v>
      </c>
      <c r="AG35" s="210"/>
      <c r="AH35" s="458" t="str">
        <f t="shared" ref="AH35:AH58" si="5">IF(AG35=0,"",IFERROR(AG35/AG$19,""))</f>
        <v/>
      </c>
      <c r="AI35" s="461">
        <f t="shared" ref="AI35:AI58" si="6">IF(AND($AA35="",AG35=""),"",$AA35-AG35)</f>
        <v>0</v>
      </c>
      <c r="AJ35" s="462">
        <f t="shared" ref="AJ35:AJ58" si="7">IFERROR(AA35/AA$20,0)</f>
        <v>0</v>
      </c>
      <c r="AK35" s="463">
        <f t="shared" ref="AK35:AK58" si="8">IFERROR(AD35/AD$20,0)</f>
        <v>0</v>
      </c>
      <c r="AL35" s="464">
        <f t="shared" ref="AL35:AL58" si="9">IFERROR(AG35/AG$20,0)</f>
        <v>0</v>
      </c>
      <c r="AM35" s="465">
        <f t="shared" ref="AM35:AM58" si="10">+IFERROR(ROUND(($AB35-AE35)*100,2)&amp;" pts.",0)</f>
        <v>0</v>
      </c>
      <c r="AN35" s="466">
        <f t="shared" ref="AN35:AN58" si="11">+IFERROR(ROUND(($AB35-AH35)*100,2)&amp;" pts.",0)</f>
        <v>0</v>
      </c>
      <c r="AO35" s="11"/>
    </row>
    <row r="36" spans="1:41" x14ac:dyDescent="0.2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57"/>
      <c r="P36" s="210"/>
      <c r="Q36" s="210"/>
      <c r="R36" s="210"/>
      <c r="S36" s="210"/>
      <c r="T36" s="210"/>
      <c r="U36" s="210"/>
      <c r="V36" s="210"/>
      <c r="W36" s="210"/>
      <c r="X36" s="210"/>
      <c r="Y36" s="210"/>
      <c r="Z36" s="210"/>
      <c r="AA36" s="210">
        <f t="shared" si="1"/>
        <v>0</v>
      </c>
      <c r="AB36" s="458" t="str">
        <f t="shared" si="2"/>
        <v/>
      </c>
      <c r="AC36" s="528"/>
      <c r="AD36" s="210"/>
      <c r="AE36" s="458" t="str">
        <f t="shared" si="3"/>
        <v/>
      </c>
      <c r="AF36" s="460">
        <f t="shared" si="4"/>
        <v>0</v>
      </c>
      <c r="AG36" s="210"/>
      <c r="AH36" s="458" t="str">
        <f t="shared" si="5"/>
        <v/>
      </c>
      <c r="AI36" s="461">
        <f t="shared" si="6"/>
        <v>0</v>
      </c>
      <c r="AJ36" s="462">
        <f t="shared" si="7"/>
        <v>0</v>
      </c>
      <c r="AK36" s="463">
        <f t="shared" si="8"/>
        <v>0</v>
      </c>
      <c r="AL36" s="464">
        <f t="shared" si="9"/>
        <v>0</v>
      </c>
      <c r="AM36" s="465">
        <f t="shared" si="10"/>
        <v>0</v>
      </c>
      <c r="AN36" s="466">
        <f t="shared" si="11"/>
        <v>0</v>
      </c>
      <c r="AO36" s="11"/>
    </row>
    <row r="37" spans="1:41" x14ac:dyDescent="0.2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57"/>
      <c r="P37" s="210"/>
      <c r="Q37" s="210"/>
      <c r="R37" s="210"/>
      <c r="S37" s="210"/>
      <c r="T37" s="210"/>
      <c r="U37" s="210"/>
      <c r="V37" s="210"/>
      <c r="W37" s="210"/>
      <c r="X37" s="210"/>
      <c r="Y37" s="210"/>
      <c r="Z37" s="210"/>
      <c r="AA37" s="210">
        <f t="shared" si="1"/>
        <v>0</v>
      </c>
      <c r="AB37" s="458" t="str">
        <f t="shared" si="2"/>
        <v/>
      </c>
      <c r="AC37" s="528"/>
      <c r="AD37" s="210"/>
      <c r="AE37" s="458" t="str">
        <f t="shared" si="3"/>
        <v/>
      </c>
      <c r="AF37" s="460">
        <f t="shared" si="4"/>
        <v>0</v>
      </c>
      <c r="AG37" s="210"/>
      <c r="AH37" s="458" t="str">
        <f t="shared" si="5"/>
        <v/>
      </c>
      <c r="AI37" s="461">
        <f t="shared" si="6"/>
        <v>0</v>
      </c>
      <c r="AJ37" s="462">
        <f t="shared" si="7"/>
        <v>0</v>
      </c>
      <c r="AK37" s="463">
        <f t="shared" si="8"/>
        <v>0</v>
      </c>
      <c r="AL37" s="464">
        <f t="shared" si="9"/>
        <v>0</v>
      </c>
      <c r="AM37" s="465">
        <f t="shared" si="10"/>
        <v>0</v>
      </c>
      <c r="AN37" s="466">
        <f t="shared" si="11"/>
        <v>0</v>
      </c>
      <c r="AO37" s="11"/>
    </row>
    <row r="38" spans="1:41" x14ac:dyDescent="0.2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57"/>
      <c r="P38" s="210"/>
      <c r="Q38" s="210"/>
      <c r="R38" s="210"/>
      <c r="S38" s="210"/>
      <c r="T38" s="210"/>
      <c r="U38" s="210"/>
      <c r="V38" s="210"/>
      <c r="W38" s="210"/>
      <c r="X38" s="210"/>
      <c r="Y38" s="210"/>
      <c r="Z38" s="210"/>
      <c r="AA38" s="210">
        <f t="shared" si="1"/>
        <v>0</v>
      </c>
      <c r="AB38" s="458" t="str">
        <f t="shared" si="2"/>
        <v/>
      </c>
      <c r="AC38" s="528"/>
      <c r="AD38" s="210"/>
      <c r="AE38" s="458" t="str">
        <f t="shared" si="3"/>
        <v/>
      </c>
      <c r="AF38" s="460">
        <f t="shared" si="4"/>
        <v>0</v>
      </c>
      <c r="AG38" s="210"/>
      <c r="AH38" s="458" t="str">
        <f t="shared" si="5"/>
        <v/>
      </c>
      <c r="AI38" s="461">
        <f t="shared" si="6"/>
        <v>0</v>
      </c>
      <c r="AJ38" s="462">
        <f t="shared" si="7"/>
        <v>0</v>
      </c>
      <c r="AK38" s="463">
        <f t="shared" si="8"/>
        <v>0</v>
      </c>
      <c r="AL38" s="464">
        <f t="shared" si="9"/>
        <v>0</v>
      </c>
      <c r="AM38" s="465">
        <f t="shared" si="10"/>
        <v>0</v>
      </c>
      <c r="AN38" s="466">
        <f t="shared" si="11"/>
        <v>0</v>
      </c>
      <c r="AO38" s="11"/>
    </row>
    <row r="39" spans="1:41" x14ac:dyDescent="0.2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67"/>
      <c r="P39" s="216"/>
      <c r="Q39" s="216"/>
      <c r="R39" s="216"/>
      <c r="S39" s="216"/>
      <c r="T39" s="216"/>
      <c r="U39" s="216"/>
      <c r="V39" s="216"/>
      <c r="W39" s="216"/>
      <c r="X39" s="216"/>
      <c r="Y39" s="216"/>
      <c r="Z39" s="216"/>
      <c r="AA39" s="216">
        <f t="shared" si="1"/>
        <v>0</v>
      </c>
      <c r="AB39" s="468" t="str">
        <f t="shared" si="2"/>
        <v/>
      </c>
      <c r="AC39" s="459"/>
      <c r="AD39" s="216"/>
      <c r="AE39" s="468" t="str">
        <f t="shared" si="3"/>
        <v/>
      </c>
      <c r="AF39" s="469">
        <f t="shared" si="4"/>
        <v>0</v>
      </c>
      <c r="AG39" s="216"/>
      <c r="AH39" s="468" t="str">
        <f t="shared" si="5"/>
        <v/>
      </c>
      <c r="AI39" s="470">
        <f t="shared" si="6"/>
        <v>0</v>
      </c>
      <c r="AJ39" s="471">
        <f t="shared" si="7"/>
        <v>0</v>
      </c>
      <c r="AK39" s="472">
        <f t="shared" si="8"/>
        <v>0</v>
      </c>
      <c r="AL39" s="473">
        <f t="shared" si="9"/>
        <v>0</v>
      </c>
      <c r="AM39" s="474">
        <f t="shared" si="10"/>
        <v>0</v>
      </c>
      <c r="AN39" s="475">
        <f t="shared" si="11"/>
        <v>0</v>
      </c>
      <c r="AO39" s="11"/>
    </row>
    <row r="40" spans="1:41" x14ac:dyDescent="0.2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76"/>
      <c r="P40" s="223"/>
      <c r="Q40" s="223"/>
      <c r="R40" s="223"/>
      <c r="S40" s="223"/>
      <c r="T40" s="223"/>
      <c r="U40" s="223"/>
      <c r="V40" s="223"/>
      <c r="W40" s="223"/>
      <c r="X40" s="223"/>
      <c r="Y40" s="223"/>
      <c r="Z40" s="223"/>
      <c r="AA40" s="223">
        <f t="shared" si="1"/>
        <v>0</v>
      </c>
      <c r="AB40" s="224" t="str">
        <f t="shared" si="2"/>
        <v/>
      </c>
      <c r="AC40" s="225"/>
      <c r="AD40" s="223"/>
      <c r="AE40" s="224" t="str">
        <f t="shared" si="3"/>
        <v/>
      </c>
      <c r="AF40" s="226">
        <f t="shared" si="4"/>
        <v>0</v>
      </c>
      <c r="AG40" s="223"/>
      <c r="AH40" s="224" t="str">
        <f t="shared" si="5"/>
        <v/>
      </c>
      <c r="AI40" s="477">
        <f t="shared" si="6"/>
        <v>0</v>
      </c>
      <c r="AJ40" s="227">
        <f t="shared" si="7"/>
        <v>0</v>
      </c>
      <c r="AK40" s="228">
        <f t="shared" si="8"/>
        <v>0</v>
      </c>
      <c r="AL40" s="230">
        <f t="shared" si="9"/>
        <v>0</v>
      </c>
      <c r="AM40" s="427">
        <f t="shared" si="10"/>
        <v>0</v>
      </c>
      <c r="AN40" s="478">
        <f t="shared" si="11"/>
        <v>0</v>
      </c>
      <c r="AO40" s="11"/>
    </row>
    <row r="41" spans="1:41" x14ac:dyDescent="0.2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79"/>
      <c r="P41" s="232"/>
      <c r="Q41" s="232"/>
      <c r="R41" s="232"/>
      <c r="S41" s="232"/>
      <c r="T41" s="232"/>
      <c r="U41" s="232"/>
      <c r="V41" s="232"/>
      <c r="W41" s="232"/>
      <c r="X41" s="232"/>
      <c r="Y41" s="232"/>
      <c r="Z41" s="232"/>
      <c r="AA41" s="232" t="str">
        <f t="shared" si="1"/>
        <v/>
      </c>
      <c r="AB41" s="480" t="str">
        <f t="shared" si="2"/>
        <v/>
      </c>
      <c r="AC41" s="529"/>
      <c r="AD41" s="232"/>
      <c r="AE41" s="480" t="str">
        <f t="shared" si="3"/>
        <v/>
      </c>
      <c r="AF41" s="482" t="str">
        <f t="shared" si="4"/>
        <v/>
      </c>
      <c r="AG41" s="232"/>
      <c r="AH41" s="480" t="str">
        <f t="shared" si="5"/>
        <v/>
      </c>
      <c r="AI41" s="483" t="str">
        <f t="shared" si="6"/>
        <v/>
      </c>
      <c r="AJ41" s="235">
        <f t="shared" si="7"/>
        <v>0</v>
      </c>
      <c r="AK41" s="236">
        <f t="shared" si="8"/>
        <v>0</v>
      </c>
      <c r="AL41" s="238">
        <f t="shared" si="9"/>
        <v>0</v>
      </c>
      <c r="AM41" s="429">
        <f t="shared" si="10"/>
        <v>0</v>
      </c>
      <c r="AN41" s="484">
        <f t="shared" si="11"/>
        <v>0</v>
      </c>
      <c r="AO41" s="11"/>
    </row>
    <row r="42" spans="1:41" x14ac:dyDescent="0.2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57"/>
      <c r="P42" s="210"/>
      <c r="Q42" s="210"/>
      <c r="R42" s="210"/>
      <c r="S42" s="210"/>
      <c r="T42" s="210"/>
      <c r="U42" s="210"/>
      <c r="V42" s="210"/>
      <c r="W42" s="210"/>
      <c r="X42" s="210"/>
      <c r="Y42" s="210"/>
      <c r="Z42" s="210"/>
      <c r="AA42" s="210">
        <f t="shared" si="1"/>
        <v>0</v>
      </c>
      <c r="AB42" s="458" t="str">
        <f t="shared" si="2"/>
        <v/>
      </c>
      <c r="AC42" s="528"/>
      <c r="AD42" s="210"/>
      <c r="AE42" s="458" t="str">
        <f t="shared" si="3"/>
        <v/>
      </c>
      <c r="AF42" s="460">
        <f t="shared" si="4"/>
        <v>0</v>
      </c>
      <c r="AG42" s="210"/>
      <c r="AH42" s="458" t="str">
        <f t="shared" si="5"/>
        <v/>
      </c>
      <c r="AI42" s="461">
        <f t="shared" si="6"/>
        <v>0</v>
      </c>
      <c r="AJ42" s="462">
        <f t="shared" si="7"/>
        <v>0</v>
      </c>
      <c r="AK42" s="463">
        <f t="shared" si="8"/>
        <v>0</v>
      </c>
      <c r="AL42" s="464">
        <f t="shared" si="9"/>
        <v>0</v>
      </c>
      <c r="AM42" s="465">
        <f t="shared" si="10"/>
        <v>0</v>
      </c>
      <c r="AN42" s="466">
        <f t="shared" si="11"/>
        <v>0</v>
      </c>
      <c r="AO42" s="11"/>
    </row>
    <row r="43" spans="1:41" x14ac:dyDescent="0.2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57"/>
      <c r="P43" s="210"/>
      <c r="Q43" s="210"/>
      <c r="R43" s="210"/>
      <c r="S43" s="210"/>
      <c r="T43" s="210"/>
      <c r="U43" s="210"/>
      <c r="V43" s="210"/>
      <c r="W43" s="210"/>
      <c r="X43" s="210"/>
      <c r="Y43" s="210"/>
      <c r="Z43" s="210"/>
      <c r="AA43" s="210">
        <f t="shared" si="1"/>
        <v>0</v>
      </c>
      <c r="AB43" s="458" t="str">
        <f t="shared" si="2"/>
        <v/>
      </c>
      <c r="AC43" s="528"/>
      <c r="AD43" s="210"/>
      <c r="AE43" s="458" t="str">
        <f t="shared" si="3"/>
        <v/>
      </c>
      <c r="AF43" s="460">
        <f t="shared" si="4"/>
        <v>0</v>
      </c>
      <c r="AG43" s="210"/>
      <c r="AH43" s="458" t="str">
        <f t="shared" si="5"/>
        <v/>
      </c>
      <c r="AI43" s="461">
        <f t="shared" si="6"/>
        <v>0</v>
      </c>
      <c r="AJ43" s="462">
        <f t="shared" si="7"/>
        <v>0</v>
      </c>
      <c r="AK43" s="463">
        <f t="shared" si="8"/>
        <v>0</v>
      </c>
      <c r="AL43" s="464">
        <f t="shared" si="9"/>
        <v>0</v>
      </c>
      <c r="AM43" s="465">
        <f t="shared" si="10"/>
        <v>0</v>
      </c>
      <c r="AN43" s="466">
        <f t="shared" si="11"/>
        <v>0</v>
      </c>
      <c r="AO43" s="11"/>
    </row>
    <row r="44" spans="1:41" x14ac:dyDescent="0.2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57"/>
      <c r="P44" s="210"/>
      <c r="Q44" s="210"/>
      <c r="R44" s="210"/>
      <c r="S44" s="210"/>
      <c r="T44" s="210"/>
      <c r="U44" s="210"/>
      <c r="V44" s="210"/>
      <c r="W44" s="210"/>
      <c r="X44" s="210"/>
      <c r="Y44" s="210"/>
      <c r="Z44" s="210"/>
      <c r="AA44" s="210">
        <f t="shared" si="1"/>
        <v>0</v>
      </c>
      <c r="AB44" s="458" t="str">
        <f t="shared" si="2"/>
        <v/>
      </c>
      <c r="AC44" s="528"/>
      <c r="AD44" s="210"/>
      <c r="AE44" s="458" t="str">
        <f t="shared" si="3"/>
        <v/>
      </c>
      <c r="AF44" s="460">
        <f t="shared" si="4"/>
        <v>0</v>
      </c>
      <c r="AG44" s="210"/>
      <c r="AH44" s="458" t="str">
        <f t="shared" si="5"/>
        <v/>
      </c>
      <c r="AI44" s="461">
        <f t="shared" si="6"/>
        <v>0</v>
      </c>
      <c r="AJ44" s="462">
        <f t="shared" si="7"/>
        <v>0</v>
      </c>
      <c r="AK44" s="463">
        <f t="shared" si="8"/>
        <v>0</v>
      </c>
      <c r="AL44" s="464">
        <f t="shared" si="9"/>
        <v>0</v>
      </c>
      <c r="AM44" s="465">
        <f t="shared" si="10"/>
        <v>0</v>
      </c>
      <c r="AN44" s="466">
        <f t="shared" si="11"/>
        <v>0</v>
      </c>
      <c r="AO44" s="11"/>
    </row>
    <row r="45" spans="1:41" x14ac:dyDescent="0.2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57"/>
      <c r="P45" s="210"/>
      <c r="Q45" s="210"/>
      <c r="R45" s="210"/>
      <c r="S45" s="210"/>
      <c r="T45" s="210"/>
      <c r="U45" s="210"/>
      <c r="V45" s="210"/>
      <c r="W45" s="210"/>
      <c r="X45" s="210"/>
      <c r="Y45" s="210"/>
      <c r="Z45" s="210"/>
      <c r="AA45" s="210">
        <f t="shared" si="1"/>
        <v>0</v>
      </c>
      <c r="AB45" s="458" t="str">
        <f t="shared" si="2"/>
        <v/>
      </c>
      <c r="AC45" s="528"/>
      <c r="AD45" s="210"/>
      <c r="AE45" s="458" t="str">
        <f t="shared" si="3"/>
        <v/>
      </c>
      <c r="AF45" s="460">
        <f t="shared" si="4"/>
        <v>0</v>
      </c>
      <c r="AG45" s="210"/>
      <c r="AH45" s="458" t="str">
        <f t="shared" si="5"/>
        <v/>
      </c>
      <c r="AI45" s="461">
        <f t="shared" si="6"/>
        <v>0</v>
      </c>
      <c r="AJ45" s="462">
        <f t="shared" si="7"/>
        <v>0</v>
      </c>
      <c r="AK45" s="463">
        <f t="shared" si="8"/>
        <v>0</v>
      </c>
      <c r="AL45" s="464">
        <f t="shared" si="9"/>
        <v>0</v>
      </c>
      <c r="AM45" s="465">
        <f t="shared" si="10"/>
        <v>0</v>
      </c>
      <c r="AN45" s="466">
        <f t="shared" si="11"/>
        <v>0</v>
      </c>
      <c r="AO45" s="11"/>
    </row>
    <row r="46" spans="1:41" x14ac:dyDescent="0.2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67"/>
      <c r="P46" s="216"/>
      <c r="Q46" s="216"/>
      <c r="R46" s="216"/>
      <c r="S46" s="216"/>
      <c r="T46" s="216"/>
      <c r="U46" s="216"/>
      <c r="V46" s="216"/>
      <c r="W46" s="216"/>
      <c r="X46" s="216"/>
      <c r="Y46" s="216"/>
      <c r="Z46" s="216"/>
      <c r="AA46" s="216">
        <f t="shared" si="1"/>
        <v>0</v>
      </c>
      <c r="AB46" s="468" t="str">
        <f t="shared" si="2"/>
        <v/>
      </c>
      <c r="AC46" s="459"/>
      <c r="AD46" s="216"/>
      <c r="AE46" s="468" t="str">
        <f t="shared" si="3"/>
        <v/>
      </c>
      <c r="AF46" s="469">
        <f t="shared" si="4"/>
        <v>0</v>
      </c>
      <c r="AG46" s="216"/>
      <c r="AH46" s="468" t="str">
        <f t="shared" si="5"/>
        <v/>
      </c>
      <c r="AI46" s="470">
        <f t="shared" si="6"/>
        <v>0</v>
      </c>
      <c r="AJ46" s="471">
        <f t="shared" si="7"/>
        <v>0</v>
      </c>
      <c r="AK46" s="472">
        <f t="shared" si="8"/>
        <v>0</v>
      </c>
      <c r="AL46" s="473">
        <f t="shared" si="9"/>
        <v>0</v>
      </c>
      <c r="AM46" s="474">
        <f t="shared" si="10"/>
        <v>0</v>
      </c>
      <c r="AN46" s="475">
        <f t="shared" si="11"/>
        <v>0</v>
      </c>
      <c r="AO46" s="11"/>
    </row>
    <row r="47" spans="1:41" x14ac:dyDescent="0.2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76"/>
      <c r="P47" s="223"/>
      <c r="Q47" s="223"/>
      <c r="R47" s="223"/>
      <c r="S47" s="223"/>
      <c r="T47" s="223"/>
      <c r="U47" s="223"/>
      <c r="V47" s="223"/>
      <c r="W47" s="223"/>
      <c r="X47" s="223"/>
      <c r="Y47" s="223"/>
      <c r="Z47" s="223"/>
      <c r="AA47" s="223">
        <f t="shared" si="1"/>
        <v>0</v>
      </c>
      <c r="AB47" s="224" t="str">
        <f t="shared" si="2"/>
        <v/>
      </c>
      <c r="AC47" s="225"/>
      <c r="AD47" s="223"/>
      <c r="AE47" s="224" t="str">
        <f t="shared" si="3"/>
        <v/>
      </c>
      <c r="AF47" s="226">
        <f t="shared" si="4"/>
        <v>0</v>
      </c>
      <c r="AG47" s="223"/>
      <c r="AH47" s="224" t="str">
        <f t="shared" si="5"/>
        <v/>
      </c>
      <c r="AI47" s="477">
        <f t="shared" si="6"/>
        <v>0</v>
      </c>
      <c r="AJ47" s="227">
        <f t="shared" si="7"/>
        <v>0</v>
      </c>
      <c r="AK47" s="228">
        <f t="shared" si="8"/>
        <v>0</v>
      </c>
      <c r="AL47" s="230">
        <f t="shared" si="9"/>
        <v>0</v>
      </c>
      <c r="AM47" s="427">
        <f t="shared" si="10"/>
        <v>0</v>
      </c>
      <c r="AN47" s="478">
        <f t="shared" si="11"/>
        <v>0</v>
      </c>
      <c r="AO47" s="11"/>
    </row>
    <row r="48" spans="1:41" x14ac:dyDescent="0.2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39"/>
      <c r="Q48" s="239"/>
      <c r="R48" s="239"/>
      <c r="S48" s="239"/>
      <c r="T48" s="239"/>
      <c r="U48" s="239"/>
      <c r="V48" s="239"/>
      <c r="W48" s="239"/>
      <c r="X48" s="239"/>
      <c r="Y48" s="239"/>
      <c r="Z48" s="239"/>
      <c r="AA48" s="239">
        <f t="shared" si="1"/>
        <v>0</v>
      </c>
      <c r="AB48" s="240" t="str">
        <f t="shared" si="2"/>
        <v/>
      </c>
      <c r="AC48" s="481"/>
      <c r="AD48" s="239"/>
      <c r="AE48" s="240" t="str">
        <f t="shared" si="3"/>
        <v/>
      </c>
      <c r="AF48" s="241">
        <f t="shared" si="4"/>
        <v>0</v>
      </c>
      <c r="AG48" s="239"/>
      <c r="AH48" s="240" t="str">
        <f t="shared" si="5"/>
        <v/>
      </c>
      <c r="AI48" s="531">
        <f t="shared" si="6"/>
        <v>0</v>
      </c>
      <c r="AJ48" s="532">
        <f t="shared" si="7"/>
        <v>0</v>
      </c>
      <c r="AK48" s="533">
        <f t="shared" si="8"/>
        <v>0</v>
      </c>
      <c r="AL48" s="534">
        <f t="shared" si="9"/>
        <v>0</v>
      </c>
      <c r="AM48" s="535">
        <f t="shared" si="10"/>
        <v>0</v>
      </c>
      <c r="AN48" s="536">
        <f t="shared" si="11"/>
        <v>0</v>
      </c>
      <c r="AO48" s="11"/>
    </row>
    <row r="49" spans="1:41" x14ac:dyDescent="0.2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76"/>
      <c r="P49" s="223"/>
      <c r="Q49" s="223"/>
      <c r="R49" s="223"/>
      <c r="S49" s="223"/>
      <c r="T49" s="223"/>
      <c r="U49" s="223"/>
      <c r="V49" s="223"/>
      <c r="W49" s="223"/>
      <c r="X49" s="223"/>
      <c r="Y49" s="223"/>
      <c r="Z49" s="223"/>
      <c r="AA49" s="223">
        <f t="shared" si="1"/>
        <v>0</v>
      </c>
      <c r="AB49" s="224" t="str">
        <f t="shared" si="2"/>
        <v/>
      </c>
      <c r="AC49" s="225"/>
      <c r="AD49" s="223"/>
      <c r="AE49" s="224" t="str">
        <f t="shared" si="3"/>
        <v/>
      </c>
      <c r="AF49" s="226">
        <f t="shared" si="4"/>
        <v>0</v>
      </c>
      <c r="AG49" s="223"/>
      <c r="AH49" s="224" t="str">
        <f t="shared" si="5"/>
        <v/>
      </c>
      <c r="AI49" s="477">
        <f t="shared" si="6"/>
        <v>0</v>
      </c>
      <c r="AJ49" s="227">
        <f t="shared" si="7"/>
        <v>0</v>
      </c>
      <c r="AK49" s="228">
        <f t="shared" si="8"/>
        <v>0</v>
      </c>
      <c r="AL49" s="230">
        <f t="shared" si="9"/>
        <v>0</v>
      </c>
      <c r="AM49" s="427">
        <f t="shared" si="10"/>
        <v>0</v>
      </c>
      <c r="AN49" s="478">
        <f t="shared" si="11"/>
        <v>0</v>
      </c>
      <c r="AO49" s="11"/>
    </row>
    <row r="50" spans="1:41" x14ac:dyDescent="0.25">
      <c r="A50" s="65" t="s">
        <v>2</v>
      </c>
      <c r="B50" s="66" t="str">
        <f>IF(_epmOfflineCondition_,"'Venue4'!$B$2:$B$10",_xll.EVRNG($B$2:$B$10))</f>
        <v>'Venue4'!$B$2:$B$10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79"/>
      <c r="P50" s="232"/>
      <c r="Q50" s="232"/>
      <c r="R50" s="232"/>
      <c r="S50" s="232"/>
      <c r="T50" s="232"/>
      <c r="U50" s="232"/>
      <c r="V50" s="232"/>
      <c r="W50" s="232"/>
      <c r="X50" s="232"/>
      <c r="Y50" s="232"/>
      <c r="Z50" s="232"/>
      <c r="AA50" s="232" t="str">
        <f t="shared" si="1"/>
        <v/>
      </c>
      <c r="AB50" s="480" t="str">
        <f t="shared" si="2"/>
        <v/>
      </c>
      <c r="AC50" s="529"/>
      <c r="AD50" s="232"/>
      <c r="AE50" s="480" t="str">
        <f t="shared" si="3"/>
        <v/>
      </c>
      <c r="AF50" s="482" t="str">
        <f t="shared" si="4"/>
        <v/>
      </c>
      <c r="AG50" s="232"/>
      <c r="AH50" s="480" t="str">
        <f t="shared" si="5"/>
        <v/>
      </c>
      <c r="AI50" s="483" t="str">
        <f t="shared" si="6"/>
        <v/>
      </c>
      <c r="AJ50" s="235">
        <f t="shared" si="7"/>
        <v>0</v>
      </c>
      <c r="AK50" s="236">
        <f t="shared" si="8"/>
        <v>0</v>
      </c>
      <c r="AL50" s="238">
        <f t="shared" si="9"/>
        <v>0</v>
      </c>
      <c r="AM50" s="429">
        <f t="shared" si="10"/>
        <v>0</v>
      </c>
      <c r="AN50" s="484">
        <f t="shared" si="11"/>
        <v>0</v>
      </c>
      <c r="AO50" s="11"/>
    </row>
    <row r="51" spans="1:41" x14ac:dyDescent="0.25">
      <c r="A51" s="65" t="s">
        <v>3</v>
      </c>
      <c r="B51" s="66" t="str">
        <f>IF(_epmOfflineCondition_,"'Venue4'!$O$16:$AN$18",_xll.EVRNG($O$16:$AN$18))</f>
        <v>'Venue4'!$O$16:$AN$18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57"/>
      <c r="P51" s="210"/>
      <c r="Q51" s="210"/>
      <c r="R51" s="210"/>
      <c r="S51" s="210"/>
      <c r="T51" s="210"/>
      <c r="U51" s="210"/>
      <c r="V51" s="210"/>
      <c r="W51" s="210"/>
      <c r="X51" s="210"/>
      <c r="Y51" s="210"/>
      <c r="Z51" s="210"/>
      <c r="AA51" s="210">
        <f t="shared" si="1"/>
        <v>0</v>
      </c>
      <c r="AB51" s="458" t="str">
        <f t="shared" si="2"/>
        <v/>
      </c>
      <c r="AC51" s="528"/>
      <c r="AD51" s="210"/>
      <c r="AE51" s="458" t="str">
        <f t="shared" si="3"/>
        <v/>
      </c>
      <c r="AF51" s="460">
        <f t="shared" si="4"/>
        <v>0</v>
      </c>
      <c r="AG51" s="210"/>
      <c r="AH51" s="458" t="str">
        <f t="shared" si="5"/>
        <v/>
      </c>
      <c r="AI51" s="461">
        <f t="shared" si="6"/>
        <v>0</v>
      </c>
      <c r="AJ51" s="462">
        <f t="shared" si="7"/>
        <v>0</v>
      </c>
      <c r="AK51" s="463">
        <f t="shared" si="8"/>
        <v>0</v>
      </c>
      <c r="AL51" s="464">
        <f t="shared" si="9"/>
        <v>0</v>
      </c>
      <c r="AM51" s="465">
        <f t="shared" si="10"/>
        <v>0</v>
      </c>
      <c r="AN51" s="466">
        <f t="shared" si="11"/>
        <v>0</v>
      </c>
      <c r="AO51" s="11"/>
    </row>
    <row r="52" spans="1:41" x14ac:dyDescent="0.25">
      <c r="A52" s="65" t="s">
        <v>4</v>
      </c>
      <c r="B52" s="66" t="str">
        <f>IF(_epmOfflineCondition_,"'Venue4'!$H$62:$H$70",_xll.EVRNG(H62:H70))</f>
        <v>'Venue4'!$H$62:$H$70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57"/>
      <c r="P52" s="210"/>
      <c r="Q52" s="210"/>
      <c r="R52" s="210"/>
      <c r="S52" s="210"/>
      <c r="T52" s="210"/>
      <c r="U52" s="210"/>
      <c r="V52" s="210"/>
      <c r="W52" s="210"/>
      <c r="X52" s="210"/>
      <c r="Y52" s="210"/>
      <c r="Z52" s="210"/>
      <c r="AA52" s="210">
        <f t="shared" si="1"/>
        <v>0</v>
      </c>
      <c r="AB52" s="458" t="str">
        <f t="shared" si="2"/>
        <v/>
      </c>
      <c r="AC52" s="528"/>
      <c r="AD52" s="210"/>
      <c r="AE52" s="458" t="str">
        <f t="shared" si="3"/>
        <v/>
      </c>
      <c r="AF52" s="460">
        <f t="shared" si="4"/>
        <v>0</v>
      </c>
      <c r="AG52" s="210"/>
      <c r="AH52" s="458" t="str">
        <f t="shared" si="5"/>
        <v/>
      </c>
      <c r="AI52" s="461">
        <f t="shared" si="6"/>
        <v>0</v>
      </c>
      <c r="AJ52" s="462">
        <f t="shared" si="7"/>
        <v>0</v>
      </c>
      <c r="AK52" s="463">
        <f t="shared" si="8"/>
        <v>0</v>
      </c>
      <c r="AL52" s="464">
        <f t="shared" si="9"/>
        <v>0</v>
      </c>
      <c r="AM52" s="465">
        <f t="shared" si="10"/>
        <v>0</v>
      </c>
      <c r="AN52" s="466">
        <f t="shared" si="11"/>
        <v>0</v>
      </c>
      <c r="AO52" s="11"/>
    </row>
    <row r="53" spans="1:41" x14ac:dyDescent="0.2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57"/>
      <c r="P53" s="210"/>
      <c r="Q53" s="210"/>
      <c r="R53" s="210"/>
      <c r="S53" s="210"/>
      <c r="T53" s="210"/>
      <c r="U53" s="210"/>
      <c r="V53" s="210"/>
      <c r="W53" s="210"/>
      <c r="X53" s="210"/>
      <c r="Y53" s="210"/>
      <c r="Z53" s="210"/>
      <c r="AA53" s="210">
        <f t="shared" si="1"/>
        <v>0</v>
      </c>
      <c r="AB53" s="458" t="str">
        <f t="shared" si="2"/>
        <v/>
      </c>
      <c r="AC53" s="528"/>
      <c r="AD53" s="210"/>
      <c r="AE53" s="458" t="str">
        <f t="shared" si="3"/>
        <v/>
      </c>
      <c r="AF53" s="460">
        <f t="shared" si="4"/>
        <v>0</v>
      </c>
      <c r="AG53" s="210"/>
      <c r="AH53" s="458" t="str">
        <f t="shared" si="5"/>
        <v/>
      </c>
      <c r="AI53" s="461">
        <f t="shared" si="6"/>
        <v>0</v>
      </c>
      <c r="AJ53" s="462">
        <f t="shared" si="7"/>
        <v>0</v>
      </c>
      <c r="AK53" s="463">
        <f t="shared" si="8"/>
        <v>0</v>
      </c>
      <c r="AL53" s="464">
        <f t="shared" si="9"/>
        <v>0</v>
      </c>
      <c r="AM53" s="465">
        <f t="shared" si="10"/>
        <v>0</v>
      </c>
      <c r="AN53" s="466">
        <f t="shared" si="11"/>
        <v>0</v>
      </c>
      <c r="AO53" s="11"/>
    </row>
    <row r="54" spans="1:41" x14ac:dyDescent="0.2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57"/>
      <c r="P54" s="210"/>
      <c r="Q54" s="210"/>
      <c r="R54" s="210"/>
      <c r="S54" s="210"/>
      <c r="T54" s="210"/>
      <c r="U54" s="210"/>
      <c r="V54" s="210"/>
      <c r="W54" s="210"/>
      <c r="X54" s="210"/>
      <c r="Y54" s="210"/>
      <c r="Z54" s="210"/>
      <c r="AA54" s="210">
        <f t="shared" si="1"/>
        <v>0</v>
      </c>
      <c r="AB54" s="458" t="str">
        <f t="shared" si="2"/>
        <v/>
      </c>
      <c r="AC54" s="528"/>
      <c r="AD54" s="210"/>
      <c r="AE54" s="458" t="str">
        <f t="shared" si="3"/>
        <v/>
      </c>
      <c r="AF54" s="460">
        <f t="shared" si="4"/>
        <v>0</v>
      </c>
      <c r="AG54" s="210"/>
      <c r="AH54" s="458" t="str">
        <f t="shared" si="5"/>
        <v/>
      </c>
      <c r="AI54" s="461">
        <f t="shared" si="6"/>
        <v>0</v>
      </c>
      <c r="AJ54" s="462">
        <f t="shared" si="7"/>
        <v>0</v>
      </c>
      <c r="AK54" s="463">
        <f t="shared" si="8"/>
        <v>0</v>
      </c>
      <c r="AL54" s="464">
        <f t="shared" si="9"/>
        <v>0</v>
      </c>
      <c r="AM54" s="465">
        <f t="shared" si="10"/>
        <v>0</v>
      </c>
      <c r="AN54" s="466">
        <f t="shared" si="11"/>
        <v>0</v>
      </c>
      <c r="AO54" s="11"/>
    </row>
    <row r="55" spans="1:41" x14ac:dyDescent="0.25">
      <c r="A55" s="65" t="s">
        <v>7</v>
      </c>
      <c r="B55" s="66" t="str">
        <f>IF(_epmOfflineCondition_,"'Venue4'!$A$69:$F$77",_xll.EVRNG(A69:F77))</f>
        <v>'Venue4'!$A$69:$F$77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57"/>
      <c r="P55" s="210"/>
      <c r="Q55" s="210"/>
      <c r="R55" s="210"/>
      <c r="S55" s="210"/>
      <c r="T55" s="210"/>
      <c r="U55" s="210"/>
      <c r="V55" s="210"/>
      <c r="W55" s="210"/>
      <c r="X55" s="210"/>
      <c r="Y55" s="210"/>
      <c r="Z55" s="210"/>
      <c r="AA55" s="210">
        <f t="shared" si="1"/>
        <v>0</v>
      </c>
      <c r="AB55" s="458" t="str">
        <f t="shared" si="2"/>
        <v/>
      </c>
      <c r="AC55" s="528"/>
      <c r="AD55" s="210"/>
      <c r="AE55" s="458" t="str">
        <f t="shared" si="3"/>
        <v/>
      </c>
      <c r="AF55" s="460">
        <f t="shared" si="4"/>
        <v>0</v>
      </c>
      <c r="AG55" s="210"/>
      <c r="AH55" s="458" t="str">
        <f t="shared" si="5"/>
        <v/>
      </c>
      <c r="AI55" s="461">
        <f t="shared" si="6"/>
        <v>0</v>
      </c>
      <c r="AJ55" s="462">
        <f t="shared" si="7"/>
        <v>0</v>
      </c>
      <c r="AK55" s="463">
        <f t="shared" si="8"/>
        <v>0</v>
      </c>
      <c r="AL55" s="464">
        <f t="shared" si="9"/>
        <v>0</v>
      </c>
      <c r="AM55" s="465">
        <f t="shared" si="10"/>
        <v>0</v>
      </c>
      <c r="AN55" s="466">
        <f t="shared" si="11"/>
        <v>0</v>
      </c>
      <c r="AO55" s="11"/>
    </row>
    <row r="56" spans="1:41" x14ac:dyDescent="0.25">
      <c r="A56" s="65" t="s">
        <v>47</v>
      </c>
      <c r="B56" s="66" t="str">
        <f>IF(_epmOfflineCondition_,"'Venue4'!$A$125:$B$146",_xll.EVRNG($A$125:$B$146))</f>
        <v>'Venue4'!$A$125:$B$146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67"/>
      <c r="P56" s="216"/>
      <c r="Q56" s="216"/>
      <c r="R56" s="216"/>
      <c r="S56" s="216"/>
      <c r="T56" s="216"/>
      <c r="U56" s="216"/>
      <c r="V56" s="216"/>
      <c r="W56" s="216"/>
      <c r="X56" s="216"/>
      <c r="Y56" s="216"/>
      <c r="Z56" s="216"/>
      <c r="AA56" s="216">
        <f t="shared" si="1"/>
        <v>0</v>
      </c>
      <c r="AB56" s="468" t="str">
        <f t="shared" si="2"/>
        <v/>
      </c>
      <c r="AC56" s="459"/>
      <c r="AD56" s="216"/>
      <c r="AE56" s="468" t="str">
        <f t="shared" si="3"/>
        <v/>
      </c>
      <c r="AF56" s="469">
        <f t="shared" si="4"/>
        <v>0</v>
      </c>
      <c r="AG56" s="216"/>
      <c r="AH56" s="468" t="str">
        <f t="shared" si="5"/>
        <v/>
      </c>
      <c r="AI56" s="470">
        <f t="shared" si="6"/>
        <v>0</v>
      </c>
      <c r="AJ56" s="471">
        <f t="shared" si="7"/>
        <v>0</v>
      </c>
      <c r="AK56" s="472">
        <f t="shared" si="8"/>
        <v>0</v>
      </c>
      <c r="AL56" s="473">
        <f t="shared" si="9"/>
        <v>0</v>
      </c>
      <c r="AM56" s="474">
        <f t="shared" si="10"/>
        <v>0</v>
      </c>
      <c r="AN56" s="475">
        <f t="shared" si="11"/>
        <v>0</v>
      </c>
      <c r="AO56" s="11"/>
    </row>
    <row r="57" spans="1:41" x14ac:dyDescent="0.2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85"/>
      <c r="P57" s="242"/>
      <c r="Q57" s="242"/>
      <c r="R57" s="242"/>
      <c r="S57" s="242"/>
      <c r="T57" s="242"/>
      <c r="U57" s="242"/>
      <c r="V57" s="242"/>
      <c r="W57" s="242"/>
      <c r="X57" s="242"/>
      <c r="Y57" s="242"/>
      <c r="Z57" s="242"/>
      <c r="AA57" s="242">
        <f t="shared" si="1"/>
        <v>0</v>
      </c>
      <c r="AB57" s="243" t="str">
        <f t="shared" si="2"/>
        <v/>
      </c>
      <c r="AC57" s="244"/>
      <c r="AD57" s="242"/>
      <c r="AE57" s="243" t="str">
        <f t="shared" si="3"/>
        <v/>
      </c>
      <c r="AF57" s="245">
        <f t="shared" si="4"/>
        <v>0</v>
      </c>
      <c r="AG57" s="242"/>
      <c r="AH57" s="243" t="str">
        <f t="shared" si="5"/>
        <v/>
      </c>
      <c r="AI57" s="486">
        <f t="shared" si="6"/>
        <v>0</v>
      </c>
      <c r="AJ57" s="246">
        <f t="shared" si="7"/>
        <v>0</v>
      </c>
      <c r="AK57" s="247">
        <f t="shared" si="8"/>
        <v>0</v>
      </c>
      <c r="AL57" s="249">
        <f t="shared" si="9"/>
        <v>0</v>
      </c>
      <c r="AM57" s="431">
        <f t="shared" si="10"/>
        <v>0</v>
      </c>
      <c r="AN57" s="487">
        <f t="shared" si="11"/>
        <v>0</v>
      </c>
      <c r="AO57" s="11"/>
    </row>
    <row r="58" spans="1:41" x14ac:dyDescent="0.2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76"/>
      <c r="P58" s="223"/>
      <c r="Q58" s="223"/>
      <c r="R58" s="223"/>
      <c r="S58" s="223"/>
      <c r="T58" s="223"/>
      <c r="U58" s="223"/>
      <c r="V58" s="223"/>
      <c r="W58" s="223"/>
      <c r="X58" s="223"/>
      <c r="Y58" s="223"/>
      <c r="Z58" s="223"/>
      <c r="AA58" s="223">
        <f t="shared" si="1"/>
        <v>0</v>
      </c>
      <c r="AB58" s="224" t="str">
        <f t="shared" si="2"/>
        <v/>
      </c>
      <c r="AC58" s="225"/>
      <c r="AD58" s="223"/>
      <c r="AE58" s="224" t="str">
        <f t="shared" si="3"/>
        <v/>
      </c>
      <c r="AF58" s="226">
        <f t="shared" si="4"/>
        <v>0</v>
      </c>
      <c r="AG58" s="223"/>
      <c r="AH58" s="224" t="str">
        <f t="shared" si="5"/>
        <v/>
      </c>
      <c r="AI58" s="477">
        <f t="shared" si="6"/>
        <v>0</v>
      </c>
      <c r="AJ58" s="227">
        <f t="shared" si="7"/>
        <v>0</v>
      </c>
      <c r="AK58" s="228">
        <f t="shared" si="8"/>
        <v>0</v>
      </c>
      <c r="AL58" s="230">
        <f t="shared" si="9"/>
        <v>0</v>
      </c>
      <c r="AM58" s="427">
        <f t="shared" si="10"/>
        <v>0</v>
      </c>
      <c r="AN58" s="478">
        <f t="shared" si="11"/>
        <v>0</v>
      </c>
      <c r="AO58" s="11"/>
    </row>
    <row r="59" spans="1:41" x14ac:dyDescent="0.2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2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2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2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57"/>
      <c r="P62" s="210"/>
      <c r="Q62" s="210"/>
      <c r="R62" s="210"/>
      <c r="S62" s="210"/>
      <c r="T62" s="210"/>
      <c r="U62" s="210"/>
      <c r="V62" s="210"/>
      <c r="W62" s="210"/>
      <c r="X62" s="210"/>
      <c r="Y62" s="210"/>
      <c r="Z62" s="210"/>
      <c r="AA62" s="210">
        <f t="shared" ref="AA62:AA70" si="13">IF($I62="B1","",SUM(O62:Z62))</f>
        <v>0</v>
      </c>
      <c r="AB62" s="458" t="str">
        <f>IF(_epmOfflineCondition_,"",IF(AA62=0,"",IFERROR(AA62/_xll.EVGTS($B$1,1,_xll.EVPRO($B$1,$H62,"COSBASIS"),$B$3,$B$5,$B$6,$B$7,$B$9,AA$16,AA$17,AA$11),"")))</f>
        <v/>
      </c>
      <c r="AC62" s="528"/>
      <c r="AD62" s="210"/>
      <c r="AE62" s="458" t="str">
        <f>IF(_epmOfflineCondition_,"",IF(AD62=0,"",IFERROR(AD62/_xll.EVGTS($B$1,1,_xll.EVPRO($B$1,$H62,"COSBASIS"),$B$3,$B$5,$B$6,$B$7,$B$9,AD$16,AD$17,AD$18),"")))</f>
        <v/>
      </c>
      <c r="AF62" s="460">
        <f t="shared" ref="AF62:AF72" si="14">IF(AND($AA62="",AD62=""),"",$AA62-AD62)</f>
        <v>0</v>
      </c>
      <c r="AG62" s="210"/>
      <c r="AH62" s="458" t="str">
        <f>IF(_epmOfflineCondition_,"",IF(AG62=0,"",IFERROR(AG62/_xll.EVGTS($B$1,1,_xll.EVPRO($B$1,$H62,"COSBASIS"),$B$3,$B$5,$B$6,$B$7,$B$9,AG$16,AG$17,AG$18),"")))</f>
        <v/>
      </c>
      <c r="AI62" s="461">
        <f t="shared" ref="AI62:AI72" si="15">IF(AND($AA62="",AG62=""),"",$AA62-AG62)</f>
        <v>0</v>
      </c>
      <c r="AJ62" s="462">
        <f t="shared" ref="AJ62:AJ70" si="16">IFERROR(AA62/AA$20,0)</f>
        <v>0</v>
      </c>
      <c r="AK62" s="463">
        <f t="shared" ref="AK62:AK70" si="17">IFERROR(AD62/AD$20,0)</f>
        <v>0</v>
      </c>
      <c r="AL62" s="464">
        <f t="shared" ref="AL62:AL70" si="18">IFERROR(AG62/AG$20,0)</f>
        <v>0</v>
      </c>
      <c r="AM62" s="465">
        <f t="shared" ref="AM62:AM70" si="19">+IFERROR(ROUND(($AB62-AE62)*100,2)&amp;" pts.",0)</f>
        <v>0</v>
      </c>
      <c r="AN62" s="466">
        <f t="shared" ref="AN62:AN70" si="20">+IFERROR(ROUND(($AB62-AH62)*100,2)&amp;" pts.",0)</f>
        <v>0</v>
      </c>
      <c r="AO62" s="11"/>
    </row>
    <row r="63" spans="1:41" x14ac:dyDescent="0.2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67"/>
      <c r="P63" s="216"/>
      <c r="Q63" s="216"/>
      <c r="R63" s="216"/>
      <c r="S63" s="216"/>
      <c r="T63" s="216"/>
      <c r="U63" s="216"/>
      <c r="V63" s="216"/>
      <c r="W63" s="216"/>
      <c r="X63" s="216"/>
      <c r="Y63" s="216"/>
      <c r="Z63" s="216"/>
      <c r="AA63" s="216">
        <f t="shared" si="13"/>
        <v>0</v>
      </c>
      <c r="AB63" s="468" t="str">
        <f>IF(_epmOfflineCondition_,"",IF(AA63=0,"",IFERROR(AA63/_xll.EVGTS($B$1,1,_xll.EVPRO($B$1,$H63,"COSBASIS"),$B$3,$B$5,$B$6,$B$7,$B$9,AA$16,AA$17,AA$11),"")))</f>
        <v/>
      </c>
      <c r="AC63" s="459"/>
      <c r="AD63" s="216"/>
      <c r="AE63" s="468" t="str">
        <f>IF(_epmOfflineCondition_,"",IF(AD63=0,"",IFERROR(AD63/_xll.EVGTS($B$1,1,_xll.EVPRO($B$1,$H63,"COSBASIS"),$B$3,$B$5,$B$6,$B$7,$B$9,AD$16,AD$17,AD$18),"")))</f>
        <v/>
      </c>
      <c r="AF63" s="469">
        <f t="shared" si="14"/>
        <v>0</v>
      </c>
      <c r="AG63" s="216"/>
      <c r="AH63" s="468" t="str">
        <f>IF(_epmOfflineCondition_,"",IF(AG63=0,"",IFERROR(AG63/_xll.EVGTS($B$1,1,_xll.EVPRO($B$1,$H63,"COSBASIS"),$B$3,$B$5,$B$6,$B$7,$B$9,AG$16,AG$17,AG$18),"")))</f>
        <v/>
      </c>
      <c r="AI63" s="470">
        <f t="shared" si="15"/>
        <v>0</v>
      </c>
      <c r="AJ63" s="471">
        <f t="shared" si="16"/>
        <v>0</v>
      </c>
      <c r="AK63" s="472">
        <f t="shared" si="17"/>
        <v>0</v>
      </c>
      <c r="AL63" s="473">
        <f t="shared" si="18"/>
        <v>0</v>
      </c>
      <c r="AM63" s="474">
        <f t="shared" si="19"/>
        <v>0</v>
      </c>
      <c r="AN63" s="475">
        <f t="shared" si="20"/>
        <v>0</v>
      </c>
      <c r="AO63" s="11"/>
    </row>
    <row r="64" spans="1:41" x14ac:dyDescent="0.2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76"/>
      <c r="P64" s="223"/>
      <c r="Q64" s="223"/>
      <c r="R64" s="223"/>
      <c r="S64" s="223"/>
      <c r="T64" s="223"/>
      <c r="U64" s="223"/>
      <c r="V64" s="223"/>
      <c r="W64" s="223"/>
      <c r="X64" s="223"/>
      <c r="Y64" s="223"/>
      <c r="Z64" s="223"/>
      <c r="AA64" s="223">
        <f t="shared" si="13"/>
        <v>0</v>
      </c>
      <c r="AB64" s="224" t="str">
        <f>IF(_epmOfflineCondition_,"",IF(AA64=0,"",IFERROR(AA64/_xll.EVGTS($B$1,1,_xll.EVPRO($B$1,$H64,"COSBASIS"),$B$3,$B$5,$B$6,$B$7,$B$9,AA$16,AA$17,AA$11),"")))</f>
        <v/>
      </c>
      <c r="AC64" s="225"/>
      <c r="AD64" s="223"/>
      <c r="AE64" s="224" t="str">
        <f>IF(_epmOfflineCondition_,"",IF(AD64=0,"",IFERROR(AD64/_xll.EVGTS($B$1,1,_xll.EVPRO($B$1,$H64,"COSBASIS"),$B$3,$B$5,$B$6,$B$7,$B$9,AD$16,AD$17,AD$18),"")))</f>
        <v/>
      </c>
      <c r="AF64" s="226">
        <f t="shared" si="14"/>
        <v>0</v>
      </c>
      <c r="AG64" s="223"/>
      <c r="AH64" s="224" t="str">
        <f>IF(_epmOfflineCondition_,"",IF(AG64=0,"",IFERROR(AG64/_xll.EVGTS($B$1,1,_xll.EVPRO($B$1,$H64,"COSBASIS"),$B$3,$B$5,$B$6,$B$7,$B$9,AG$16,AG$17,AG$18),"")))</f>
        <v/>
      </c>
      <c r="AI64" s="477">
        <f t="shared" si="15"/>
        <v>0</v>
      </c>
      <c r="AJ64" s="227">
        <f t="shared" si="16"/>
        <v>0</v>
      </c>
      <c r="AK64" s="228">
        <f t="shared" si="17"/>
        <v>0</v>
      </c>
      <c r="AL64" s="230">
        <f t="shared" si="18"/>
        <v>0</v>
      </c>
      <c r="AM64" s="427">
        <f t="shared" si="19"/>
        <v>0</v>
      </c>
      <c r="AN64" s="478">
        <f t="shared" si="20"/>
        <v>0</v>
      </c>
      <c r="AO64" s="11"/>
    </row>
    <row r="65" spans="1:41" x14ac:dyDescent="0.2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79"/>
      <c r="P65" s="232"/>
      <c r="Q65" s="232"/>
      <c r="R65" s="232"/>
      <c r="S65" s="232"/>
      <c r="T65" s="232"/>
      <c r="U65" s="232"/>
      <c r="V65" s="232"/>
      <c r="W65" s="232"/>
      <c r="X65" s="232"/>
      <c r="Y65" s="232"/>
      <c r="Z65" s="232"/>
      <c r="AA65" s="232" t="str">
        <f t="shared" si="13"/>
        <v/>
      </c>
      <c r="AB65" s="480" t="str">
        <f>IF(_epmOfflineCondition_,"",IF(AA65=0,"",IFERROR(AA65/_xll.EVGTS($B$1,1,_xll.EVPRO($B$1,$H65,"COSBASIS"),$B$3,$B$5,$B$6,$B$7,$B$9,AA$16,AA$17,AA$11),"")))</f>
        <v/>
      </c>
      <c r="AC65" s="529"/>
      <c r="AD65" s="232"/>
      <c r="AE65" s="480" t="str">
        <f>IF(_epmOfflineCondition_,"",IF(AD65=0,"",IFERROR(AD65/_xll.EVGTS($B$1,1,_xll.EVPRO($B$1,$H65,"COSBASIS"),$B$3,$B$5,$B$6,$B$7,$B$9,AD$16,AD$17,AD$18),"")))</f>
        <v/>
      </c>
      <c r="AF65" s="482" t="str">
        <f t="shared" si="14"/>
        <v/>
      </c>
      <c r="AG65" s="232"/>
      <c r="AH65" s="480" t="str">
        <f>IF(_epmOfflineCondition_,"",IF(AG65=0,"",IFERROR(AG65/_xll.EVGTS($B$1,1,_xll.EVPRO($B$1,$H65,"COSBASIS"),$B$3,$B$5,$B$6,$B$7,$B$9,AG$16,AG$17,AG$18),"")))</f>
        <v/>
      </c>
      <c r="AI65" s="483" t="str">
        <f t="shared" si="15"/>
        <v/>
      </c>
      <c r="AJ65" s="235">
        <f t="shared" si="16"/>
        <v>0</v>
      </c>
      <c r="AK65" s="236">
        <f t="shared" si="17"/>
        <v>0</v>
      </c>
      <c r="AL65" s="238">
        <f t="shared" si="18"/>
        <v>0</v>
      </c>
      <c r="AM65" s="429">
        <f t="shared" si="19"/>
        <v>0</v>
      </c>
      <c r="AN65" s="484">
        <f t="shared" si="20"/>
        <v>0</v>
      </c>
      <c r="AO65" s="11"/>
    </row>
    <row r="66" spans="1:41" x14ac:dyDescent="0.2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57"/>
      <c r="P66" s="210"/>
      <c r="Q66" s="210"/>
      <c r="R66" s="210"/>
      <c r="S66" s="210"/>
      <c r="T66" s="210"/>
      <c r="U66" s="210"/>
      <c r="V66" s="210"/>
      <c r="W66" s="210"/>
      <c r="X66" s="210"/>
      <c r="Y66" s="210"/>
      <c r="Z66" s="210"/>
      <c r="AA66" s="210">
        <f t="shared" si="13"/>
        <v>0</v>
      </c>
      <c r="AB66" s="458" t="str">
        <f>IF(_epmOfflineCondition_,"",IF(AA66=0,"",IFERROR(AA66/_xll.EVGTS($B$1,1,_xll.EVPRO($B$1,$H66,"COSBASIS"),$B$3,$B$5,$B$6,$B$7,$B$9,AA$16,AA$17,AA$11),"")))</f>
        <v/>
      </c>
      <c r="AC66" s="528"/>
      <c r="AD66" s="210"/>
      <c r="AE66" s="458" t="str">
        <f>IF(_epmOfflineCondition_,"",IF(AD66=0,"",IFERROR(AD66/_xll.EVGTS($B$1,1,_xll.EVPRO($B$1,$H66,"COSBASIS"),$B$3,$B$5,$B$6,$B$7,$B$9,AD$16,AD$17,AD$18),"")))</f>
        <v/>
      </c>
      <c r="AF66" s="460">
        <f t="shared" si="14"/>
        <v>0</v>
      </c>
      <c r="AG66" s="210"/>
      <c r="AH66" s="458" t="str">
        <f>IF(_epmOfflineCondition_,"",IF(AG66=0,"",IFERROR(AG66/_xll.EVGTS($B$1,1,_xll.EVPRO($B$1,$H66,"COSBASIS"),$B$3,$B$5,$B$6,$B$7,$B$9,AG$16,AG$17,AG$18),"")))</f>
        <v/>
      </c>
      <c r="AI66" s="461">
        <f t="shared" si="15"/>
        <v>0</v>
      </c>
      <c r="AJ66" s="462">
        <f t="shared" si="16"/>
        <v>0</v>
      </c>
      <c r="AK66" s="463">
        <f t="shared" si="17"/>
        <v>0</v>
      </c>
      <c r="AL66" s="464">
        <f t="shared" si="18"/>
        <v>0</v>
      </c>
      <c r="AM66" s="465">
        <f t="shared" si="19"/>
        <v>0</v>
      </c>
      <c r="AN66" s="466">
        <f t="shared" si="20"/>
        <v>0</v>
      </c>
      <c r="AO66" s="11"/>
    </row>
    <row r="67" spans="1:41" x14ac:dyDescent="0.2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57"/>
      <c r="P67" s="210"/>
      <c r="Q67" s="210"/>
      <c r="R67" s="210"/>
      <c r="S67" s="210"/>
      <c r="T67" s="210"/>
      <c r="U67" s="210"/>
      <c r="V67" s="210"/>
      <c r="W67" s="210"/>
      <c r="X67" s="210"/>
      <c r="Y67" s="210"/>
      <c r="Z67" s="210"/>
      <c r="AA67" s="210">
        <f t="shared" si="13"/>
        <v>0</v>
      </c>
      <c r="AB67" s="458" t="str">
        <f>IF(_epmOfflineCondition_,"",IF(AA67=0,"",IFERROR(AA67/_xll.EVGTS($B$1,1,_xll.EVPRO($B$1,$H67,"COSBASIS"),$B$3,$B$5,$B$6,$B$7,$B$9,AA$16,AA$17,AA$11),"")))</f>
        <v/>
      </c>
      <c r="AC67" s="528"/>
      <c r="AD67" s="210"/>
      <c r="AE67" s="458" t="str">
        <f>IF(_epmOfflineCondition_,"",IF(AD67=0,"",IFERROR(AD67/_xll.EVGTS($B$1,1,_xll.EVPRO($B$1,$H67,"COSBASIS"),$B$3,$B$5,$B$6,$B$7,$B$9,AD$16,AD$17,AD$18),"")))</f>
        <v/>
      </c>
      <c r="AF67" s="460">
        <f t="shared" si="14"/>
        <v>0</v>
      </c>
      <c r="AG67" s="210"/>
      <c r="AH67" s="458" t="str">
        <f>IF(_epmOfflineCondition_,"",IF(AG67=0,"",IFERROR(AG67/_xll.EVGTS($B$1,1,_xll.EVPRO($B$1,$H67,"COSBASIS"),$B$3,$B$5,$B$6,$B$7,$B$9,AG$16,AG$17,AG$18),"")))</f>
        <v/>
      </c>
      <c r="AI67" s="461">
        <f t="shared" si="15"/>
        <v>0</v>
      </c>
      <c r="AJ67" s="462">
        <f t="shared" si="16"/>
        <v>0</v>
      </c>
      <c r="AK67" s="463">
        <f t="shared" si="17"/>
        <v>0</v>
      </c>
      <c r="AL67" s="464">
        <f t="shared" si="18"/>
        <v>0</v>
      </c>
      <c r="AM67" s="465">
        <f t="shared" si="19"/>
        <v>0</v>
      </c>
      <c r="AN67" s="466">
        <f t="shared" si="20"/>
        <v>0</v>
      </c>
      <c r="AO67" s="11"/>
    </row>
    <row r="68" spans="1:41" x14ac:dyDescent="0.2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67"/>
      <c r="P68" s="216"/>
      <c r="Q68" s="216"/>
      <c r="R68" s="216"/>
      <c r="S68" s="216"/>
      <c r="T68" s="216"/>
      <c r="U68" s="216"/>
      <c r="V68" s="216"/>
      <c r="W68" s="216"/>
      <c r="X68" s="216"/>
      <c r="Y68" s="216"/>
      <c r="Z68" s="216"/>
      <c r="AA68" s="216">
        <f t="shared" si="13"/>
        <v>0</v>
      </c>
      <c r="AB68" s="468" t="str">
        <f>IF(_epmOfflineCondition_,"",IF(AA68=0,"",IFERROR(AA68/_xll.EVGTS($B$1,1,_xll.EVPRO($B$1,$H68,"COSBASIS"),$B$3,$B$5,$B$6,$B$7,$B$9,AA$16,AA$17,AA$11),"")))</f>
        <v/>
      </c>
      <c r="AC68" s="459"/>
      <c r="AD68" s="216"/>
      <c r="AE68" s="468" t="str">
        <f>IF(_epmOfflineCondition_,"",IF(AD68=0,"",IFERROR(AD68/_xll.EVGTS($B$1,1,_xll.EVPRO($B$1,$H68,"COSBASIS"),$B$3,$B$5,$B$6,$B$7,$B$9,AD$16,AD$17,AD$18),"")))</f>
        <v/>
      </c>
      <c r="AF68" s="469">
        <f t="shared" si="14"/>
        <v>0</v>
      </c>
      <c r="AG68" s="216"/>
      <c r="AH68" s="468" t="str">
        <f>IF(_epmOfflineCondition_,"",IF(AG68=0,"",IFERROR(AG68/_xll.EVGTS($B$1,1,_xll.EVPRO($B$1,$H68,"COSBASIS"),$B$3,$B$5,$B$6,$B$7,$B$9,AG$16,AG$17,AG$18),"")))</f>
        <v/>
      </c>
      <c r="AI68" s="470">
        <f t="shared" si="15"/>
        <v>0</v>
      </c>
      <c r="AJ68" s="471">
        <f t="shared" si="16"/>
        <v>0</v>
      </c>
      <c r="AK68" s="472">
        <f t="shared" si="17"/>
        <v>0</v>
      </c>
      <c r="AL68" s="473">
        <f t="shared" si="18"/>
        <v>0</v>
      </c>
      <c r="AM68" s="474">
        <f t="shared" si="19"/>
        <v>0</v>
      </c>
      <c r="AN68" s="475">
        <f t="shared" si="20"/>
        <v>0</v>
      </c>
      <c r="AO68" s="11"/>
    </row>
    <row r="69" spans="1:41" x14ac:dyDescent="0.2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85"/>
      <c r="P69" s="242"/>
      <c r="Q69" s="242"/>
      <c r="R69" s="242"/>
      <c r="S69" s="242"/>
      <c r="T69" s="242"/>
      <c r="U69" s="242"/>
      <c r="V69" s="242"/>
      <c r="W69" s="242"/>
      <c r="X69" s="242"/>
      <c r="Y69" s="242"/>
      <c r="Z69" s="242"/>
      <c r="AA69" s="242">
        <f t="shared" si="13"/>
        <v>0</v>
      </c>
      <c r="AB69" s="243" t="str">
        <f>IF(_epmOfflineCondition_,"",IF(AA69=0,"",IFERROR(AA69/_xll.EVGTS($B$1,1,_xll.EVPRO($B$1,$H69,"COSBASIS"),$B$3,$B$5,$B$6,$B$7,$B$9,AA$16,AA$17,AA$11),"")))</f>
        <v/>
      </c>
      <c r="AC69" s="244"/>
      <c r="AD69" s="242"/>
      <c r="AE69" s="243" t="str">
        <f>IF(_epmOfflineCondition_,"",IF(AD69=0,"",IFERROR(AD69/_xll.EVGTS($B$1,1,_xll.EVPRO($B$1,$H69,"COSBASIS"),$B$3,$B$5,$B$6,$B$7,$B$9,AD$16,AD$17,AD$18),"")))</f>
        <v/>
      </c>
      <c r="AF69" s="245">
        <f t="shared" si="14"/>
        <v>0</v>
      </c>
      <c r="AG69" s="242"/>
      <c r="AH69" s="243" t="str">
        <f>IF(_epmOfflineCondition_,"",IF(AG69=0,"",IFERROR(AG69/_xll.EVGTS($B$1,1,_xll.EVPRO($B$1,$H69,"COSBASIS"),$B$3,$B$5,$B$6,$B$7,$B$9,AG$16,AG$17,AG$18),"")))</f>
        <v/>
      </c>
      <c r="AI69" s="486">
        <f t="shared" si="15"/>
        <v>0</v>
      </c>
      <c r="AJ69" s="246">
        <f t="shared" si="16"/>
        <v>0</v>
      </c>
      <c r="AK69" s="247">
        <f t="shared" si="17"/>
        <v>0</v>
      </c>
      <c r="AL69" s="249">
        <f t="shared" si="18"/>
        <v>0</v>
      </c>
      <c r="AM69" s="431">
        <f t="shared" si="19"/>
        <v>0</v>
      </c>
      <c r="AN69" s="487">
        <f t="shared" si="20"/>
        <v>0</v>
      </c>
      <c r="AO69" s="11"/>
    </row>
    <row r="70" spans="1:41" x14ac:dyDescent="0.2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76"/>
      <c r="P70" s="223"/>
      <c r="Q70" s="223"/>
      <c r="R70" s="223"/>
      <c r="S70" s="223"/>
      <c r="T70" s="223"/>
      <c r="U70" s="223"/>
      <c r="V70" s="223"/>
      <c r="W70" s="223"/>
      <c r="X70" s="223"/>
      <c r="Y70" s="223"/>
      <c r="Z70" s="223"/>
      <c r="AA70" s="223">
        <f t="shared" si="13"/>
        <v>0</v>
      </c>
      <c r="AB70" s="224" t="str">
        <f>IF(_epmOfflineCondition_,"",IF(AA70=0,"",IFERROR(AA70/_xll.EVGTS($B$1,1,_xll.EVPRO($B$1,$H70,"COSBASIS"),$B$3,$B$5,$B$6,$B$7,$B$9,AA$16,AA$17,AA$11),"")))</f>
        <v/>
      </c>
      <c r="AC70" s="225"/>
      <c r="AD70" s="223"/>
      <c r="AE70" s="224" t="str">
        <f>IF(_epmOfflineCondition_,"",IF(AD70=0,"",IFERROR(AD70/_xll.EVGTS($B$1,1,_xll.EVPRO($B$1,$H70,"COSBASIS"),$B$3,$B$5,$B$6,$B$7,$B$9,AD$16,AD$17,AD$18),"")))</f>
        <v/>
      </c>
      <c r="AF70" s="226">
        <f t="shared" si="14"/>
        <v>0</v>
      </c>
      <c r="AG70" s="223"/>
      <c r="AH70" s="224" t="str">
        <f>IF(_epmOfflineCondition_,"",IF(AG70=0,"",IFERROR(AG70/_xll.EVGTS($B$1,1,_xll.EVPRO($B$1,$H70,"COSBASIS"),$B$3,$B$5,$B$6,$B$7,$B$9,AG$16,AG$17,AG$18),"")))</f>
        <v/>
      </c>
      <c r="AI70" s="477">
        <f t="shared" si="15"/>
        <v>0</v>
      </c>
      <c r="AJ70" s="227">
        <f t="shared" si="16"/>
        <v>0</v>
      </c>
      <c r="AK70" s="228">
        <f t="shared" si="17"/>
        <v>0</v>
      </c>
      <c r="AL70" s="230">
        <f t="shared" si="18"/>
        <v>0</v>
      </c>
      <c r="AM70" s="427">
        <f t="shared" si="19"/>
        <v>0</v>
      </c>
      <c r="AN70" s="478">
        <f t="shared" si="20"/>
        <v>0</v>
      </c>
      <c r="AO70" s="11"/>
    </row>
    <row r="71" spans="1:41" x14ac:dyDescent="0.2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2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193">
        <f>IFERROR(AA72/AA$20,0)</f>
        <v>0</v>
      </c>
      <c r="AK72" s="194">
        <f>IFERROR(AD72/AD$20,0)</f>
        <v>0</v>
      </c>
      <c r="AL72" s="195">
        <f>IFERROR(AG72/AG$20,0)</f>
        <v>0</v>
      </c>
      <c r="AM72" s="407">
        <f>+IFERROR(ROUND(($AB72-AE72)*100,2)&amp;" pts.",0)</f>
        <v>0</v>
      </c>
      <c r="AN72" s="408">
        <f>+IFERROR(ROUND(($AB72-AH72)*100,2)&amp;" pts.",0)</f>
        <v>0</v>
      </c>
      <c r="AO72" s="11"/>
    </row>
    <row r="73" spans="1:41" x14ac:dyDescent="0.2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2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2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2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31"/>
      <c r="P76" s="231"/>
      <c r="Q76" s="231"/>
      <c r="R76" s="231"/>
      <c r="S76" s="231"/>
      <c r="T76" s="231"/>
      <c r="U76" s="231"/>
      <c r="V76" s="231"/>
      <c r="W76" s="231"/>
      <c r="X76" s="231"/>
      <c r="Y76" s="231"/>
      <c r="Z76" s="231"/>
      <c r="AA76" s="210">
        <f>IF($I76="B1","",SUM(O76:Z76))</f>
        <v>0</v>
      </c>
      <c r="AB76" s="233" t="str">
        <f>IF(AA76=0,"",IFERROR(AA76/AA$19,""))</f>
        <v/>
      </c>
      <c r="AC76" s="140"/>
      <c r="AD76" s="231"/>
      <c r="AE76" s="233" t="str">
        <f>IF(AD76=0,"",IFERROR(AD76/AD$19,""))</f>
        <v/>
      </c>
      <c r="AF76" s="234">
        <f>IF(AND($AA76="",AD76=""),"",$AA76-AD76)</f>
        <v>0</v>
      </c>
      <c r="AG76" s="231"/>
      <c r="AH76" s="233" t="str">
        <f>IF(AG76=0,"",IFERROR(AG76/AG$19,""))</f>
        <v/>
      </c>
      <c r="AI76" s="234">
        <f>IF(AND($AA76="",AG76=""),"",$AA76-AG76)</f>
        <v>0</v>
      </c>
      <c r="AJ76" s="462">
        <f>IFERROR(AA76/AA$20,0)</f>
        <v>0</v>
      </c>
      <c r="AK76" s="463">
        <f>IFERROR(AD76/AD$20,0)</f>
        <v>0</v>
      </c>
      <c r="AL76" s="464">
        <f>IFERROR(AG76/AG$20,0)</f>
        <v>0</v>
      </c>
      <c r="AM76" s="465">
        <f>+IFERROR(ROUND(($AB76-AE76)*100,2)&amp;" pts.",0)</f>
        <v>0</v>
      </c>
      <c r="AN76" s="466">
        <f>+IFERROR(ROUND(($AB76-AH76)*100,2)&amp;" pts.",0)</f>
        <v>0</v>
      </c>
      <c r="AO76" s="11"/>
    </row>
    <row r="77" spans="1:41" hidden="1" x14ac:dyDescent="0.2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31"/>
      <c r="P77" s="231"/>
      <c r="Q77" s="231"/>
      <c r="R77" s="231"/>
      <c r="S77" s="231"/>
      <c r="T77" s="231"/>
      <c r="U77" s="231"/>
      <c r="V77" s="231"/>
      <c r="W77" s="231"/>
      <c r="X77" s="231"/>
      <c r="Y77" s="231"/>
      <c r="Z77" s="231"/>
      <c r="AA77" s="210">
        <f>IF($I77="B1","",SUM(O77:Z77))</f>
        <v>0</v>
      </c>
      <c r="AB77" s="233" t="str">
        <f>IF(AA77=0,"",IFERROR(AA77/AA$19,""))</f>
        <v/>
      </c>
      <c r="AC77" s="140"/>
      <c r="AD77" s="231"/>
      <c r="AE77" s="233" t="str">
        <f>IF(AD77=0,"",IFERROR(AD77/AD$19,""))</f>
        <v/>
      </c>
      <c r="AF77" s="234">
        <f>IF(AND($AA77="",AD77=""),"",$AA77-AD77)</f>
        <v>0</v>
      </c>
      <c r="AG77" s="231"/>
      <c r="AH77" s="233" t="str">
        <f>IF(AG77=0,"",IFERROR(AG77/AG$19,""))</f>
        <v/>
      </c>
      <c r="AI77" s="234">
        <f>IF(AND($AA77="",AG77=""),"",$AA77-AG77)</f>
        <v>0</v>
      </c>
      <c r="AJ77" s="462">
        <f>IFERROR(AA77/AA$20,0)</f>
        <v>0</v>
      </c>
      <c r="AK77" s="463">
        <f>IFERROR(AD77/AD$20,0)</f>
        <v>0</v>
      </c>
      <c r="AL77" s="464">
        <f>IFERROR(AG77/AG$20,0)</f>
        <v>0</v>
      </c>
      <c r="AM77" s="465">
        <f>+IFERROR(ROUND(($AB77-AE77)*100,2)&amp;" pts.",0)</f>
        <v>0</v>
      </c>
      <c r="AN77" s="466">
        <f>+IFERROR(ROUND(($AB77-AH77)*100,2)&amp;" pts.",0)</f>
        <v>0</v>
      </c>
      <c r="AO77" s="11"/>
    </row>
    <row r="78" spans="1:41" x14ac:dyDescent="0.2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2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39"/>
      <c r="P79" s="239"/>
      <c r="Q79" s="239"/>
      <c r="R79" s="239"/>
      <c r="S79" s="239"/>
      <c r="T79" s="239"/>
      <c r="U79" s="239"/>
      <c r="V79" s="239"/>
      <c r="W79" s="239"/>
      <c r="X79" s="239"/>
      <c r="Y79" s="239"/>
      <c r="Z79" s="239"/>
      <c r="AA79" s="216">
        <f>IF($I79="B1","",SUM(O79:Z79))</f>
        <v>0</v>
      </c>
      <c r="AB79" s="240" t="str">
        <f>IF(AA79=0,"",IFERROR(AA79/AA$19,""))</f>
        <v/>
      </c>
      <c r="AC79" s="140"/>
      <c r="AD79" s="239"/>
      <c r="AE79" s="240" t="str">
        <f>IF(AD79=0,"",IFERROR(AD79/AD$19,""))</f>
        <v/>
      </c>
      <c r="AF79" s="241">
        <f>IF(AND($AA79="",AD79=""),"",$AA79-AD79)</f>
        <v>0</v>
      </c>
      <c r="AG79" s="239"/>
      <c r="AH79" s="240" t="str">
        <f>IF(AG79=0,"",IFERROR(AG79/AG$19,""))</f>
        <v/>
      </c>
      <c r="AI79" s="241">
        <f>IF(AND($AA79="",AG79=""),"",$AA79-AG79)</f>
        <v>0</v>
      </c>
      <c r="AJ79" s="462">
        <f>IFERROR(AA79/AA$20,0)</f>
        <v>0</v>
      </c>
      <c r="AK79" s="463">
        <f>IFERROR(AD79/AD$20,0)</f>
        <v>0</v>
      </c>
      <c r="AL79" s="464">
        <f>IFERROR(AG79/AG$20,0)</f>
        <v>0</v>
      </c>
      <c r="AM79" s="465">
        <f>+IFERROR(ROUND(($AB79-AE79)*100,2)&amp;" pts.",0)</f>
        <v>0</v>
      </c>
      <c r="AN79" s="466">
        <f>+IFERROR(ROUND(($AB79-AH79)*100,2)&amp;" pts.",0)</f>
        <v>0</v>
      </c>
      <c r="AO79" s="11"/>
    </row>
    <row r="80" spans="1:41" hidden="1" x14ac:dyDescent="0.2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39"/>
      <c r="P80" s="239"/>
      <c r="Q80" s="239"/>
      <c r="R80" s="239"/>
      <c r="S80" s="239"/>
      <c r="T80" s="239"/>
      <c r="U80" s="239"/>
      <c r="V80" s="239"/>
      <c r="W80" s="239"/>
      <c r="X80" s="239"/>
      <c r="Y80" s="239"/>
      <c r="Z80" s="239"/>
      <c r="AA80" s="216">
        <f>IF($I80="B1","",SUM(O80:Z80))</f>
        <v>0</v>
      </c>
      <c r="AB80" s="240" t="str">
        <f>IF(AA80=0,"",IFERROR(AA80/AA$19,""))</f>
        <v/>
      </c>
      <c r="AC80" s="140"/>
      <c r="AD80" s="239"/>
      <c r="AE80" s="240" t="str">
        <f>IF(AD80=0,"",IFERROR(AD80/AD$19,""))</f>
        <v/>
      </c>
      <c r="AF80" s="241">
        <f>IF(AND($AA80="",AD80=""),"",$AA80-AD80)</f>
        <v>0</v>
      </c>
      <c r="AG80" s="239"/>
      <c r="AH80" s="240" t="str">
        <f>IF(AG80=0,"",IFERROR(AG80/AG$19,""))</f>
        <v/>
      </c>
      <c r="AI80" s="241">
        <f>IF(AND($AA80="",AG80=""),"",$AA80-AG80)</f>
        <v>0</v>
      </c>
      <c r="AJ80" s="462">
        <f>IFERROR(AA80/AA$20,0)</f>
        <v>0</v>
      </c>
      <c r="AK80" s="463">
        <f>IFERROR(AD80/AD$20,0)</f>
        <v>0</v>
      </c>
      <c r="AL80" s="464">
        <f>IFERROR(AG80/AG$20,0)</f>
        <v>0</v>
      </c>
      <c r="AM80" s="465">
        <f>+IFERROR(ROUND(($AB80-AE80)*100,2)&amp;" pts.",0)</f>
        <v>0</v>
      </c>
      <c r="AN80" s="466">
        <f>+IFERROR(ROUND(($AB80-AH80)*100,2)&amp;" pts.",0)</f>
        <v>0</v>
      </c>
      <c r="AO80" s="11"/>
    </row>
    <row r="81" spans="1:41" x14ac:dyDescent="0.2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2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25">
      <c r="A83" s="65" t="s">
        <v>2</v>
      </c>
      <c r="B83" s="66" t="str">
        <f>IF(_epmOfflineCondition_,"'Venue4'!$B$2:$B$10",_xll.EVRNG($B$2:$B$10))</f>
        <v>'Venue4'!$B$2:$B$10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38"/>
      <c r="P83" s="138"/>
      <c r="Q83" s="138"/>
      <c r="R83" s="138"/>
      <c r="S83" s="138"/>
      <c r="T83" s="138"/>
      <c r="U83" s="138"/>
      <c r="V83" s="138"/>
      <c r="W83" s="138"/>
      <c r="X83" s="138"/>
      <c r="Y83" s="138"/>
      <c r="Z83" s="138"/>
      <c r="AA83" s="210">
        <f>IF($I83="B1","",SUM(O83:Z83))</f>
        <v>0</v>
      </c>
      <c r="AB83" s="142" t="str">
        <f>IF(AA83=0,"",IFERROR(AA83/AA$19,""))</f>
        <v/>
      </c>
      <c r="AC83" s="140"/>
      <c r="AD83" s="138"/>
      <c r="AE83" s="142" t="str">
        <f>IF(AD83=0,"",IFERROR(AD83/AD$19,""))</f>
        <v/>
      </c>
      <c r="AF83" s="141">
        <f>IF(AND($AA83="",AD83=""),"",$AA83-AD83)</f>
        <v>0</v>
      </c>
      <c r="AG83" s="138"/>
      <c r="AH83" s="142" t="str">
        <f>IF(AG83=0,"",IFERROR(AG83/AG$19,""))</f>
        <v/>
      </c>
      <c r="AI83" s="141">
        <f>IF(AND($AA83="",AG83=""),"",$AA83-AG83)</f>
        <v>0</v>
      </c>
      <c r="AJ83" s="462">
        <f>IFERROR(AA83/AA$20,0)</f>
        <v>0</v>
      </c>
      <c r="AK83" s="463">
        <f>IFERROR(AD83/AD$20,0)</f>
        <v>0</v>
      </c>
      <c r="AL83" s="464">
        <f>IFERROR(AG83/AG$20,0)</f>
        <v>0</v>
      </c>
      <c r="AM83" s="465">
        <f>+IFERROR(ROUND(($AB83-AE83)*100,2)&amp;" pts.",0)</f>
        <v>0</v>
      </c>
      <c r="AN83" s="466">
        <f>+IFERROR(ROUND(($AB83-AH83)*100,2)&amp;" pts.",0)</f>
        <v>0</v>
      </c>
      <c r="AO83" s="11"/>
    </row>
    <row r="84" spans="1:41" hidden="1" x14ac:dyDescent="0.25">
      <c r="A84" s="65" t="s">
        <v>3</v>
      </c>
      <c r="B84" s="66" t="str">
        <f>IF(_epmOfflineCondition_,"'Venue4'!$O$16:$AN$18",_xll.EVRNG($O$16:$AN$18))</f>
        <v>'Venue4'!$O$16:$AN$18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38"/>
      <c r="P84" s="138"/>
      <c r="Q84" s="138"/>
      <c r="R84" s="138"/>
      <c r="S84" s="138"/>
      <c r="T84" s="138"/>
      <c r="U84" s="138"/>
      <c r="V84" s="138"/>
      <c r="W84" s="138"/>
      <c r="X84" s="138"/>
      <c r="Y84" s="138"/>
      <c r="Z84" s="138"/>
      <c r="AA84" s="210">
        <f>IF($I84="B1","",SUM(O84:Z84))</f>
        <v>0</v>
      </c>
      <c r="AB84" s="142" t="str">
        <f>IF(AA84=0,"",IFERROR(AA84/AA$19,""))</f>
        <v/>
      </c>
      <c r="AC84" s="140"/>
      <c r="AD84" s="138"/>
      <c r="AE84" s="142" t="str">
        <f>IF(AD84=0,"",IFERROR(AD84/AD$19,""))</f>
        <v/>
      </c>
      <c r="AF84" s="141">
        <f>IF(AND($AA84="",AD84=""),"",$AA84-AD84)</f>
        <v>0</v>
      </c>
      <c r="AG84" s="138"/>
      <c r="AH84" s="142" t="str">
        <f>IF(AG84=0,"",IFERROR(AG84/AG$19,""))</f>
        <v/>
      </c>
      <c r="AI84" s="141">
        <f>IF(AND($AA84="",AG84=""),"",$AA84-AG84)</f>
        <v>0</v>
      </c>
      <c r="AJ84" s="462">
        <f>IFERROR(AA84/AA$20,0)</f>
        <v>0</v>
      </c>
      <c r="AK84" s="463">
        <f>IFERROR(AD84/AD$20,0)</f>
        <v>0</v>
      </c>
      <c r="AL84" s="464">
        <f>IFERROR(AG84/AG$20,0)</f>
        <v>0</v>
      </c>
      <c r="AM84" s="465">
        <f>+IFERROR(ROUND(($AB84-AE84)*100,2)&amp;" pts.",0)</f>
        <v>0</v>
      </c>
      <c r="AN84" s="466">
        <f>+IFERROR(ROUND(($AB84-AH84)*100,2)&amp;" pts.",0)</f>
        <v>0</v>
      </c>
      <c r="AO84" s="11"/>
    </row>
    <row r="85" spans="1:41" x14ac:dyDescent="0.25">
      <c r="A85" s="65" t="s">
        <v>4</v>
      </c>
      <c r="B85" s="66" t="str">
        <f>IF(_epmOfflineCondition_,"'Venue4'!$H$76:$H$77,'Venue4'!$H$79:$H$80,'Venue4'!$H$83:$H$84",_xll.EVRNG(H76:H77,H79:H80,H83:H84))</f>
        <v>'Venue4'!$H$76:$H$77,'Venue4'!$H$79:$H$80,'Venue4'!$H$83:$H$84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0"/>
      <c r="P85" s="150"/>
      <c r="Q85" s="150"/>
      <c r="R85" s="150"/>
      <c r="S85" s="150"/>
      <c r="T85" s="150"/>
      <c r="U85" s="150"/>
      <c r="V85" s="150"/>
      <c r="W85" s="150"/>
      <c r="X85" s="150"/>
      <c r="Y85" s="150"/>
      <c r="Z85" s="150"/>
      <c r="AA85" s="150">
        <f>IF($I85="B1","",SUM(O85:Z85))</f>
        <v>0</v>
      </c>
      <c r="AB85" s="151" t="str">
        <f>IF(AA85=0,"",IFERROR(AA85/AA$19,""))</f>
        <v/>
      </c>
      <c r="AC85" s="140"/>
      <c r="AD85" s="150"/>
      <c r="AE85" s="151" t="str">
        <f>IF(AD85=0,"",IFERROR(AD85/AD$19,""))</f>
        <v/>
      </c>
      <c r="AF85" s="152">
        <f>IF(AND($AA85="",AD85=""),"",$AA85-AD85)</f>
        <v>0</v>
      </c>
      <c r="AG85" s="150"/>
      <c r="AH85" s="151" t="str">
        <f>IF(AG85=0,"",IFERROR(AG85/AG$19,""))</f>
        <v/>
      </c>
      <c r="AI85" s="152">
        <f>IF(AND($AA85="",AG85=""),"",$AA85-AG85)</f>
        <v>0</v>
      </c>
      <c r="AJ85" s="446">
        <f>IFERROR(AA85/AA$20,0)</f>
        <v>0</v>
      </c>
      <c r="AK85" s="447">
        <f>IFERROR(AD85/AD$20,0)</f>
        <v>0</v>
      </c>
      <c r="AL85" s="448">
        <f>IFERROR(AG85/AG$20,0)</f>
        <v>0</v>
      </c>
      <c r="AM85" s="449">
        <f>+IFERROR(ROUND(($AB85-AE85)*100,2)&amp;" pts.",0)</f>
        <v>0</v>
      </c>
      <c r="AN85" s="546">
        <f>+IFERROR(ROUND(($AB85-AH85)*100,2)&amp;" pts.",0)</f>
        <v>0</v>
      </c>
      <c r="AO85" s="11"/>
    </row>
    <row r="86" spans="1:41" x14ac:dyDescent="0.2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2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42"/>
      <c r="P87" s="242"/>
      <c r="Q87" s="242"/>
      <c r="R87" s="242"/>
      <c r="S87" s="242"/>
      <c r="T87" s="242"/>
      <c r="U87" s="242"/>
      <c r="V87" s="242"/>
      <c r="W87" s="242"/>
      <c r="X87" s="242"/>
      <c r="Y87" s="242"/>
      <c r="Z87" s="242"/>
      <c r="AA87" s="242">
        <f>IF($I87="B1","",SUM(O87:Z87))</f>
        <v>0</v>
      </c>
      <c r="AB87" s="243" t="str">
        <f>IF(AA87=0,"",IFERROR(AA87/AA$19,""))</f>
        <v/>
      </c>
      <c r="AC87" s="140"/>
      <c r="AD87" s="242"/>
      <c r="AE87" s="243" t="str">
        <f>IF(AD87=0,"",IFERROR(AD87/AD$19,""))</f>
        <v/>
      </c>
      <c r="AF87" s="254">
        <f>IF(AND($AA87="",AD87=""),"",$AA87-AD87)</f>
        <v>0</v>
      </c>
      <c r="AG87" s="255"/>
      <c r="AH87" s="256" t="str">
        <f>IF(AG87=0,"",IFERROR(AG87/AG$19,""))</f>
        <v/>
      </c>
      <c r="AI87" s="254">
        <f>IF(AND($AA87="",AG87=""),"",$AA87-AG87)</f>
        <v>0</v>
      </c>
      <c r="AJ87" s="435">
        <f>IFERROR(AA87/AA$20,0)</f>
        <v>0</v>
      </c>
      <c r="AK87" s="436">
        <f>IFERROR(AD87/AD$20,0)</f>
        <v>0</v>
      </c>
      <c r="AL87" s="437">
        <f>IFERROR(AG87/AG$20,0)</f>
        <v>0</v>
      </c>
      <c r="AM87" s="438">
        <f>+IFERROR(ROUND(($AB87-AE87)*100,2)&amp;" pts.",0)</f>
        <v>0</v>
      </c>
      <c r="AN87" s="547">
        <f>+IFERROR(ROUND(($AB87-AH87)*100,2)&amp;" pts.",0)</f>
        <v>0</v>
      </c>
      <c r="AO87" s="11"/>
    </row>
    <row r="88" spans="1:41" ht="15.75" thickBot="1" x14ac:dyDescent="0.3">
      <c r="A88" s="65" t="s">
        <v>7</v>
      </c>
      <c r="B88" s="66" t="str">
        <f>IF(_epmOfflineCondition_,"'Venue4'!$A$102:$F$108",_xll.EVRNG(A102:F108))</f>
        <v>'Venue4'!$A$102:$F$108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5"/>
      <c r="P88" s="165"/>
      <c r="Q88" s="165"/>
      <c r="R88" s="165"/>
      <c r="S88" s="165"/>
      <c r="T88" s="165"/>
      <c r="U88" s="165"/>
      <c r="V88" s="165"/>
      <c r="W88" s="165"/>
      <c r="X88" s="165"/>
      <c r="Y88" s="165"/>
      <c r="Z88" s="165"/>
      <c r="AA88" s="165">
        <f>IF($I88="B1","",SUM(O88:Z88))</f>
        <v>0</v>
      </c>
      <c r="AB88" s="166" t="str">
        <f>IF(AA88=0,"",IFERROR(AA88/AA$19,""))</f>
        <v/>
      </c>
      <c r="AC88" s="140"/>
      <c r="AD88" s="165"/>
      <c r="AE88" s="166" t="str">
        <f>IF(AD88=0,"",IFERROR(AD88/AD$19,""))</f>
        <v/>
      </c>
      <c r="AF88" s="167">
        <f>IF(AND($AA88="",AD88=""),"",$AA88-AD88)</f>
        <v>0</v>
      </c>
      <c r="AG88" s="165"/>
      <c r="AH88" s="166" t="str">
        <f>IF(AG88=0,"",IFERROR(AG88/AG$19,""))</f>
        <v/>
      </c>
      <c r="AI88" s="167">
        <f>IF(AND($AA88="",AG88=""),"",$AA88-AG88)</f>
        <v>0</v>
      </c>
      <c r="AJ88" s="452">
        <f>IFERROR(AA88/AA$20,0)</f>
        <v>0</v>
      </c>
      <c r="AK88" s="453">
        <f>IFERROR(AD88/AD$20,0)</f>
        <v>0</v>
      </c>
      <c r="AL88" s="454">
        <f>IFERROR(AG88/AG$20,0)</f>
        <v>0</v>
      </c>
      <c r="AM88" s="455">
        <f>+IFERROR(ROUND(($AB88-AE88)*100,2)&amp;" pts.",0)</f>
        <v>0</v>
      </c>
      <c r="AN88" s="548">
        <f>+IFERROR(ROUND(($AB88-AH88)*100,2)&amp;" pts.",0)</f>
        <v>0</v>
      </c>
      <c r="AO88" s="11"/>
    </row>
    <row r="89" spans="1:41" ht="15.75" thickTop="1" x14ac:dyDescent="0.25">
      <c r="A89" s="65" t="s">
        <v>47</v>
      </c>
      <c r="B89" s="66" t="str">
        <f>IF(_epmOfflineCondition_,"'Venue4'!$A$125:$B$146",_xll.EVRNG($A$125:$B$146))</f>
        <v>'Venue4'!$A$125:$B$146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2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2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2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2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5" t="s">
        <v>2</v>
      </c>
      <c r="B114" s="66" t="str">
        <f>IF(_epmOfflineCondition_,"'Venue4'!$B$2:$B$10",_xll.EVRNG($B$2:$B$10))</f>
        <v>'Venue4'!$B$2:$B$10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3</v>
      </c>
      <c r="B115" s="66" t="str">
        <f>IF(_epmOfflineCondition_,"'Venue4'!$O$16:$AN$18",_xll.EVRNG($O$16:$AN$18))</f>
        <v>'Venue4'!$O$16:$AN$18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4</v>
      </c>
      <c r="B116" s="66" t="str">
        <f>IF(_epmOfflineCondition_,"'Venue4'!$H$85:$H$88",_xll.EVRNG(H85:H88))</f>
        <v>'Venue4'!$H$85:$H$88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47</v>
      </c>
      <c r="B120" s="66" t="str">
        <f>IF(_epmOfflineCondition_,"'Venue4'!$A$125:$B$146",_xll.EVRNG($A$125:$B$146))</f>
        <v>'Venue4'!$A$125:$B$146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2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aliYYlI+JLnB4n0S5Vd6IOP21aksVqNXdmygUhRfdLOPPIO41xKOREz3oEi5w15kfispcUnY1FAVgyxmDdZ74g==" saltValue="MdGhxsGRHBjXgsCK53MhPw==" spinCount="100000" sheet="1" scenarios="1"/>
  <mergeCells count="2">
    <mergeCell ref="AD31:AE31"/>
    <mergeCell ref="AG31:AH31"/>
  </mergeCells>
  <dataValidations disablePrompts="1" count="2">
    <dataValidation type="list" allowBlank="1" sqref="B29 B95 B62" xr:uid="{00000000-0002-0000-0D00-000000000000}">
      <formula1>"SELF,ALL,BAS,DEP,BASMEMBERS,MEMBERS,NOEXPAND,GDEP"</formula1>
    </dataValidation>
    <dataValidation type="list" allowBlank="1" sqref="B28 B94 B61" xr:uid="{00000000-0002-0000-0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8">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t="str">
        <f>Venue4!N1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733</v>
      </c>
      <c r="C6" s="11" t="str">
        <f>IF(_epmOfflineCondition_,"Venue 4",_xll.EVDES(B6,$B$1))</f>
        <v>Venue 4</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IF(_epmOfflineCondition_,"'Venue4_KPI'!$B$2:$B$10",_xll.EVRNG($B$2:$B$10))</f>
        <v>'Venue4_KPI'!$B$2:$B$10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IF(_epmOfflineCondition_,"'Venue4_KPI'!$O$16:$AI$18",_xll.EVRNG(O16:AI18))</f>
        <v>'Venue4_KPI'!$O$16:$AI$18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IF(_epmOfflineCondition_,"'Venue4_KPI'!$H$35:$H$146",_xll.EVRNG(H35:H146))</f>
        <v>'Venue4_KPI'!$H$35:$H$146</v>
      </c>
      <c r="C19" s="11"/>
      <c r="D19" s="11"/>
      <c r="E19" s="11"/>
      <c r="F19" s="11"/>
      <c r="G19" s="67" t="str">
        <f>$B$6</f>
        <v>D2145</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25">
      <c r="A20" s="65" t="s">
        <v>5</v>
      </c>
      <c r="B20" s="66"/>
      <c r="C20" s="11"/>
      <c r="D20" s="11"/>
      <c r="E20" s="11"/>
      <c r="F20" s="11"/>
      <c r="G20" s="67" t="str">
        <f>$B$6</f>
        <v>D2145</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IF(_epmOfflineCondition_,"'Venue4_KPI'!$A$37:$B$58",_xll.EVRNG($A$37:$B$58))</f>
        <v>'Venue4_KPI'!$A$37:$B$58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IF(_epmOfflineCondition_,"Venue 4 Department",IF($N$1="",IF(_xll.EVDES(B6,$B$1)="#NODATA","",_xll.EVDES(B6,$B$1)&amp;" Department"),$N$1))</f>
        <v>Venue 4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c r="P35" s="138"/>
      <c r="Q35" s="138"/>
      <c r="R35" s="138"/>
      <c r="S35" s="138"/>
      <c r="T35" s="138"/>
      <c r="U35" s="138"/>
      <c r="V35" s="138"/>
      <c r="W35" s="138"/>
      <c r="X35" s="138"/>
      <c r="Y35" s="138"/>
      <c r="Z35" s="138"/>
      <c r="AA35" s="138">
        <f t="shared" ref="AA35:AA41" si="0">SUM(O35:Z35)</f>
        <v>0</v>
      </c>
      <c r="AB35" s="142" t="str">
        <f>IF(AA35=0,"",IFERROR(AA35/AA$19,""))</f>
        <v/>
      </c>
      <c r="AC35" s="140"/>
      <c r="AD35" s="138"/>
      <c r="AE35" s="142" t="str">
        <f>IF(AD35=0,"",IFERROR(AD35/AD$19,""))</f>
        <v/>
      </c>
      <c r="AF35" s="141">
        <f t="shared" ref="AF35:AF42" si="1">IF(AND($AA35="",AD35=""),"",$AA35-AD35)</f>
        <v>0</v>
      </c>
      <c r="AG35" s="138"/>
      <c r="AH35" s="142" t="str">
        <f>IF(AG35=0,"",IFERROR(AG35/AG$19,""))</f>
        <v/>
      </c>
      <c r="AI35" s="141">
        <f t="shared" ref="AI35:AI42" si="2">IF(AND($AA35="",AG35=""),"",$AA35-AG35)</f>
        <v>0</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c r="P36" s="138"/>
      <c r="Q36" s="138"/>
      <c r="R36" s="138"/>
      <c r="S36" s="138"/>
      <c r="T36" s="138"/>
      <c r="U36" s="138"/>
      <c r="V36" s="138"/>
      <c r="W36" s="138"/>
      <c r="X36" s="138"/>
      <c r="Y36" s="138"/>
      <c r="Z36" s="138"/>
      <c r="AA36" s="138">
        <f t="shared" si="0"/>
        <v>0</v>
      </c>
      <c r="AB36" s="142" t="str">
        <f>IF(AA36=0,"",IFERROR(AA36/AA$19,""))</f>
        <v/>
      </c>
      <c r="AC36" s="140"/>
      <c r="AD36" s="138"/>
      <c r="AE36" s="142" t="str">
        <f>IF(AD36=0,"",IFERROR(AD36/AD$19,""))</f>
        <v/>
      </c>
      <c r="AF36" s="141">
        <f t="shared" si="1"/>
        <v>0</v>
      </c>
      <c r="AG36" s="138"/>
      <c r="AH36" s="142" t="str">
        <f>IF(AG36=0,"",IFERROR(AG36/AG$19,""))</f>
        <v/>
      </c>
      <c r="AI36" s="141">
        <f t="shared" si="2"/>
        <v>0</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c r="P37" s="138"/>
      <c r="Q37" s="138"/>
      <c r="R37" s="138"/>
      <c r="S37" s="138"/>
      <c r="T37" s="138"/>
      <c r="U37" s="138"/>
      <c r="V37" s="138"/>
      <c r="W37" s="138"/>
      <c r="X37" s="138"/>
      <c r="Y37" s="138"/>
      <c r="Z37" s="138"/>
      <c r="AA37" s="138">
        <f t="shared" si="0"/>
        <v>0</v>
      </c>
      <c r="AB37" s="142" t="str">
        <f>IF(AA37=0,"",IFERROR(AA37/AA$19,""))</f>
        <v/>
      </c>
      <c r="AC37" s="140"/>
      <c r="AD37" s="138"/>
      <c r="AE37" s="142" t="str">
        <f>IF(AD37=0,"",IFERROR(AD37/AD$19,""))</f>
        <v/>
      </c>
      <c r="AF37" s="141">
        <f t="shared" si="1"/>
        <v>0</v>
      </c>
      <c r="AG37" s="138"/>
      <c r="AH37" s="142" t="str">
        <f>IF(AG37=0,"",IFERROR(AG37/AG$19,""))</f>
        <v/>
      </c>
      <c r="AI37" s="141">
        <f t="shared" si="2"/>
        <v>0</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c r="P38" s="215"/>
      <c r="Q38" s="215"/>
      <c r="R38" s="215"/>
      <c r="S38" s="215"/>
      <c r="T38" s="215"/>
      <c r="U38" s="215"/>
      <c r="V38" s="215"/>
      <c r="W38" s="215"/>
      <c r="X38" s="215"/>
      <c r="Y38" s="215"/>
      <c r="Z38" s="215"/>
      <c r="AA38" s="215">
        <f t="shared" si="0"/>
        <v>0</v>
      </c>
      <c r="AB38" s="217" t="str">
        <f>IF(AA38=0,"",IFERROR(AA38/AA$19,""))</f>
        <v/>
      </c>
      <c r="AC38" s="140"/>
      <c r="AD38" s="215"/>
      <c r="AE38" s="217" t="str">
        <f>IF(AD38=0,"",IFERROR(AD38/AD$19,""))</f>
        <v/>
      </c>
      <c r="AF38" s="218">
        <f t="shared" si="1"/>
        <v>0</v>
      </c>
      <c r="AG38" s="215"/>
      <c r="AH38" s="217" t="str">
        <f>IF(AG38=0,"",IFERROR(AG38/AG$19,""))</f>
        <v/>
      </c>
      <c r="AI38" s="218">
        <f t="shared" si="2"/>
        <v>0</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c r="P39" s="162"/>
      <c r="Q39" s="162"/>
      <c r="R39" s="162"/>
      <c r="S39" s="162"/>
      <c r="T39" s="162"/>
      <c r="U39" s="162"/>
      <c r="V39" s="162"/>
      <c r="W39" s="162"/>
      <c r="X39" s="162"/>
      <c r="Y39" s="162"/>
      <c r="Z39" s="162"/>
      <c r="AA39" s="162">
        <f t="shared" si="0"/>
        <v>0</v>
      </c>
      <c r="AB39" s="163" t="str">
        <f>IF(AA39=0,"",IFERROR(AA39/AA$19,""))</f>
        <v/>
      </c>
      <c r="AC39" s="140"/>
      <c r="AD39" s="162"/>
      <c r="AE39" s="163" t="str">
        <f>IF(AD39=0,"",IFERROR(AD39/AD$19,""))</f>
        <v/>
      </c>
      <c r="AF39" s="164">
        <f t="shared" si="1"/>
        <v>0</v>
      </c>
      <c r="AG39" s="162"/>
      <c r="AH39" s="163" t="str">
        <f>IF(AG39=0,"",IFERROR(AG39/AG$19,""))</f>
        <v/>
      </c>
      <c r="AI39" s="164">
        <f t="shared" si="2"/>
        <v>0</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c r="P40" s="231"/>
      <c r="Q40" s="231"/>
      <c r="R40" s="231"/>
      <c r="S40" s="231"/>
      <c r="T40" s="231"/>
      <c r="U40" s="231"/>
      <c r="V40" s="231"/>
      <c r="W40" s="231"/>
      <c r="X40" s="231"/>
      <c r="Y40" s="231"/>
      <c r="Z40" s="231"/>
      <c r="AA40" s="231">
        <f t="shared" si="0"/>
        <v>0</v>
      </c>
      <c r="AB40" s="233"/>
      <c r="AC40" s="140"/>
      <c r="AD40" s="231"/>
      <c r="AE40" s="233"/>
      <c r="AF40" s="234">
        <f t="shared" si="1"/>
        <v>0</v>
      </c>
      <c r="AG40" s="231"/>
      <c r="AH40" s="233"/>
      <c r="AI40" s="234">
        <f t="shared" si="2"/>
        <v>0</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c r="P41" s="231"/>
      <c r="Q41" s="231"/>
      <c r="R41" s="231"/>
      <c r="S41" s="231"/>
      <c r="T41" s="231"/>
      <c r="U41" s="231"/>
      <c r="V41" s="231"/>
      <c r="W41" s="231"/>
      <c r="X41" s="231"/>
      <c r="Y41" s="231"/>
      <c r="Z41" s="231"/>
      <c r="AA41" s="231">
        <f t="shared" si="0"/>
        <v>0</v>
      </c>
      <c r="AB41" s="233" t="str">
        <f>IF(AA41=0,"",IFERROR(AA41/AA$87,""))</f>
        <v/>
      </c>
      <c r="AC41" s="140"/>
      <c r="AD41" s="231"/>
      <c r="AE41" s="233" t="str">
        <f>IF(AD41=0,"",IFERROR(AD41/AD$87,""))</f>
        <v/>
      </c>
      <c r="AF41" s="234">
        <f t="shared" si="1"/>
        <v>0</v>
      </c>
      <c r="AG41" s="231"/>
      <c r="AH41" s="233" t="str">
        <f>IF(AG41=0,"",IFERROR(AG41/AG$87,""))</f>
        <v/>
      </c>
      <c r="AI41" s="234">
        <f t="shared" si="2"/>
        <v>0</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2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5"/>
      <c r="AG43" s="497">
        <f>ROUND(IFERROR(AG39/AG41,0),2)</f>
        <v>0</v>
      </c>
      <c r="AH43" s="498"/>
      <c r="AI43" s="155"/>
    </row>
    <row r="44" spans="1:35" x14ac:dyDescent="0.2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c r="P45" s="138"/>
      <c r="Q45" s="138"/>
      <c r="R45" s="138"/>
      <c r="S45" s="138"/>
      <c r="T45" s="138"/>
      <c r="U45" s="138"/>
      <c r="V45" s="138"/>
      <c r="W45" s="138"/>
      <c r="X45" s="138"/>
      <c r="Y45" s="138"/>
      <c r="Z45" s="138"/>
      <c r="AA45" s="138">
        <f t="shared" ref="AA45:AA51" si="5">SUM(O45:Z45)</f>
        <v>0</v>
      </c>
      <c r="AB45" s="142" t="str">
        <f>IF(AA45=0,"",IFERROR(AA45/AA$19,""))</f>
        <v/>
      </c>
      <c r="AC45" s="140"/>
      <c r="AD45" s="138"/>
      <c r="AE45" s="142" t="str">
        <f>IF(AD45=0,"",IFERROR(AD45/AD$19,""))</f>
        <v/>
      </c>
      <c r="AF45" s="141">
        <f t="shared" ref="AF45:AF52" si="6">IF(AND($AA45="",AD45=""),"",$AA45-AD45)</f>
        <v>0</v>
      </c>
      <c r="AG45" s="138"/>
      <c r="AH45" s="142" t="str">
        <f>IF(AG45=0,"",IFERROR(AG45/AG$19,""))</f>
        <v/>
      </c>
      <c r="AI45" s="141">
        <f t="shared" ref="AI45:AI52" si="7">IF(AND($AA45="",AG45=""),"",$AA45-AG45)</f>
        <v>0</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c r="P46" s="138"/>
      <c r="Q46" s="138"/>
      <c r="R46" s="138"/>
      <c r="S46" s="138"/>
      <c r="T46" s="138"/>
      <c r="U46" s="138"/>
      <c r="V46" s="138"/>
      <c r="W46" s="138"/>
      <c r="X46" s="138"/>
      <c r="Y46" s="138"/>
      <c r="Z46" s="138"/>
      <c r="AA46" s="138">
        <f t="shared" si="5"/>
        <v>0</v>
      </c>
      <c r="AB46" s="142" t="str">
        <f>IF(AA46=0,"",IFERROR(AA46/AA$19,""))</f>
        <v/>
      </c>
      <c r="AC46" s="140"/>
      <c r="AD46" s="138"/>
      <c r="AE46" s="142" t="str">
        <f>IF(AD46=0,"",IFERROR(AD46/AD$19,""))</f>
        <v/>
      </c>
      <c r="AF46" s="141">
        <f t="shared" si="6"/>
        <v>0</v>
      </c>
      <c r="AG46" s="138"/>
      <c r="AH46" s="142" t="str">
        <f>IF(AG46=0,"",IFERROR(AG46/AG$19,""))</f>
        <v/>
      </c>
      <c r="AI46" s="141">
        <f t="shared" si="7"/>
        <v>0</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c r="P47" s="138"/>
      <c r="Q47" s="138"/>
      <c r="R47" s="138"/>
      <c r="S47" s="138"/>
      <c r="T47" s="138"/>
      <c r="U47" s="138"/>
      <c r="V47" s="138"/>
      <c r="W47" s="138"/>
      <c r="X47" s="138"/>
      <c r="Y47" s="138"/>
      <c r="Z47" s="138"/>
      <c r="AA47" s="138">
        <f t="shared" si="5"/>
        <v>0</v>
      </c>
      <c r="AB47" s="142" t="str">
        <f>IF(AA47=0,"",IFERROR(AA47/AA$19,""))</f>
        <v/>
      </c>
      <c r="AC47" s="140"/>
      <c r="AD47" s="138"/>
      <c r="AE47" s="142" t="str">
        <f>IF(AD47=0,"",IFERROR(AD47/AD$19,""))</f>
        <v/>
      </c>
      <c r="AF47" s="141">
        <f t="shared" si="6"/>
        <v>0</v>
      </c>
      <c r="AG47" s="138"/>
      <c r="AH47" s="142" t="str">
        <f>IF(AG47=0,"",IFERROR(AG47/AG$19,""))</f>
        <v/>
      </c>
      <c r="AI47" s="141">
        <f t="shared" si="7"/>
        <v>0</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c r="P48" s="215"/>
      <c r="Q48" s="215"/>
      <c r="R48" s="215"/>
      <c r="S48" s="215"/>
      <c r="T48" s="215"/>
      <c r="U48" s="215"/>
      <c r="V48" s="215"/>
      <c r="W48" s="215"/>
      <c r="X48" s="215"/>
      <c r="Y48" s="215"/>
      <c r="Z48" s="215"/>
      <c r="AA48" s="215">
        <f t="shared" si="5"/>
        <v>0</v>
      </c>
      <c r="AB48" s="217" t="str">
        <f>IF(AA48=0,"",IFERROR(AA48/AA$19,""))</f>
        <v/>
      </c>
      <c r="AC48" s="140"/>
      <c r="AD48" s="215"/>
      <c r="AE48" s="217" t="str">
        <f>IF(AD48=0,"",IFERROR(AD48/AD$19,""))</f>
        <v/>
      </c>
      <c r="AF48" s="218">
        <f t="shared" si="6"/>
        <v>0</v>
      </c>
      <c r="AG48" s="215"/>
      <c r="AH48" s="217" t="str">
        <f>IF(AG48=0,"",IFERROR(AG48/AG$19,""))</f>
        <v/>
      </c>
      <c r="AI48" s="218">
        <f t="shared" si="7"/>
        <v>0</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c r="P49" s="162"/>
      <c r="Q49" s="162"/>
      <c r="R49" s="162"/>
      <c r="S49" s="162"/>
      <c r="T49" s="162"/>
      <c r="U49" s="162"/>
      <c r="V49" s="162"/>
      <c r="W49" s="162"/>
      <c r="X49" s="162"/>
      <c r="Y49" s="162"/>
      <c r="Z49" s="162"/>
      <c r="AA49" s="162">
        <f t="shared" si="5"/>
        <v>0</v>
      </c>
      <c r="AB49" s="163" t="str">
        <f>IF(AA49=0,"",IFERROR(AA49/AA$19,""))</f>
        <v/>
      </c>
      <c r="AC49" s="140"/>
      <c r="AD49" s="162"/>
      <c r="AE49" s="163" t="str">
        <f>IF(AD49=0,"",IFERROR(AD49/AD$19,""))</f>
        <v/>
      </c>
      <c r="AF49" s="164">
        <f t="shared" si="6"/>
        <v>0</v>
      </c>
      <c r="AG49" s="162"/>
      <c r="AH49" s="163" t="str">
        <f>IF(AG49=0,"",IFERROR(AG49/AG$19,""))</f>
        <v/>
      </c>
      <c r="AI49" s="164">
        <f t="shared" si="7"/>
        <v>0</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c r="P50" s="231"/>
      <c r="Q50" s="231"/>
      <c r="R50" s="231"/>
      <c r="S50" s="231"/>
      <c r="T50" s="231"/>
      <c r="U50" s="231"/>
      <c r="V50" s="231"/>
      <c r="W50" s="231"/>
      <c r="X50" s="231"/>
      <c r="Y50" s="231"/>
      <c r="Z50" s="231"/>
      <c r="AA50" s="231">
        <f t="shared" si="5"/>
        <v>0</v>
      </c>
      <c r="AB50" s="233"/>
      <c r="AC50" s="140"/>
      <c r="AD50" s="231"/>
      <c r="AE50" s="233"/>
      <c r="AF50" s="234">
        <f t="shared" si="6"/>
        <v>0</v>
      </c>
      <c r="AG50" s="231"/>
      <c r="AH50" s="233"/>
      <c r="AI50" s="234">
        <f t="shared" si="7"/>
        <v>0</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c r="P51" s="231"/>
      <c r="Q51" s="231"/>
      <c r="R51" s="231"/>
      <c r="S51" s="231"/>
      <c r="T51" s="231"/>
      <c r="U51" s="231"/>
      <c r="V51" s="231"/>
      <c r="W51" s="231"/>
      <c r="X51" s="231"/>
      <c r="Y51" s="231"/>
      <c r="Z51" s="231"/>
      <c r="AA51" s="231">
        <f t="shared" si="5"/>
        <v>0</v>
      </c>
      <c r="AB51" s="233" t="str">
        <f>IF(AA51=0,"",IFERROR(AA51/AA$87,""))</f>
        <v/>
      </c>
      <c r="AC51" s="140"/>
      <c r="AD51" s="231"/>
      <c r="AE51" s="233" t="str">
        <f>IF(AD51=0,"",IFERROR(AD51/AD$87,""))</f>
        <v/>
      </c>
      <c r="AF51" s="234">
        <f t="shared" si="6"/>
        <v>0</v>
      </c>
      <c r="AG51" s="231"/>
      <c r="AH51" s="233" t="str">
        <f>IF(AG51=0,"",IFERROR(AG51/AG$87,""))</f>
        <v/>
      </c>
      <c r="AI51" s="234">
        <f t="shared" si="7"/>
        <v>0</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2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5"/>
      <c r="AG53" s="497">
        <f>ROUND(IFERROR(AG49/AG51,0),2)</f>
        <v>0</v>
      </c>
      <c r="AH53" s="498"/>
      <c r="AI53" s="155"/>
    </row>
    <row r="54" spans="1:35" x14ac:dyDescent="0.2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c r="P55" s="138"/>
      <c r="Q55" s="138"/>
      <c r="R55" s="138"/>
      <c r="S55" s="138"/>
      <c r="T55" s="138"/>
      <c r="U55" s="138"/>
      <c r="V55" s="138"/>
      <c r="W55" s="138"/>
      <c r="X55" s="138"/>
      <c r="Y55" s="138"/>
      <c r="Z55" s="138"/>
      <c r="AA55" s="138">
        <f t="shared" ref="AA55:AA61" si="10">SUM(O55:Z55)</f>
        <v>0</v>
      </c>
      <c r="AB55" s="142" t="str">
        <f>IF(AA55=0,"",IFERROR(AA55/AA$19,""))</f>
        <v/>
      </c>
      <c r="AC55" s="140"/>
      <c r="AD55" s="138"/>
      <c r="AE55" s="142" t="str">
        <f>IF(AD55=0,"",IFERROR(AD55/AD$19,""))</f>
        <v/>
      </c>
      <c r="AF55" s="141">
        <f t="shared" ref="AF55:AF62" si="11">IF(AND($AA55="",AD55=""),"",$AA55-AD55)</f>
        <v>0</v>
      </c>
      <c r="AG55" s="138"/>
      <c r="AH55" s="142" t="str">
        <f>IF(AG55=0,"",IFERROR(AG55/AG$19,""))</f>
        <v/>
      </c>
      <c r="AI55" s="141">
        <f t="shared" ref="AI55:AI62" si="12">IF(AND($AA55="",AG55=""),"",$AA55-AG55)</f>
        <v>0</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c r="P56" s="138"/>
      <c r="Q56" s="138"/>
      <c r="R56" s="138"/>
      <c r="S56" s="138"/>
      <c r="T56" s="138"/>
      <c r="U56" s="138"/>
      <c r="V56" s="138"/>
      <c r="W56" s="138"/>
      <c r="X56" s="138"/>
      <c r="Y56" s="138"/>
      <c r="Z56" s="138"/>
      <c r="AA56" s="138">
        <f t="shared" si="10"/>
        <v>0</v>
      </c>
      <c r="AB56" s="142" t="str">
        <f>IF(AA56=0,"",IFERROR(AA56/AA$19,""))</f>
        <v/>
      </c>
      <c r="AC56" s="140"/>
      <c r="AD56" s="138"/>
      <c r="AE56" s="142" t="str">
        <f>IF(AD56=0,"",IFERROR(AD56/AD$19,""))</f>
        <v/>
      </c>
      <c r="AF56" s="141">
        <f t="shared" si="11"/>
        <v>0</v>
      </c>
      <c r="AG56" s="138"/>
      <c r="AH56" s="142" t="str">
        <f>IF(AG56=0,"",IFERROR(AG56/AG$19,""))</f>
        <v/>
      </c>
      <c r="AI56" s="141">
        <f t="shared" si="12"/>
        <v>0</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c r="P57" s="138"/>
      <c r="Q57" s="138"/>
      <c r="R57" s="138"/>
      <c r="S57" s="138"/>
      <c r="T57" s="138"/>
      <c r="U57" s="138"/>
      <c r="V57" s="138"/>
      <c r="W57" s="138"/>
      <c r="X57" s="138"/>
      <c r="Y57" s="138"/>
      <c r="Z57" s="138"/>
      <c r="AA57" s="138">
        <f t="shared" si="10"/>
        <v>0</v>
      </c>
      <c r="AB57" s="142" t="str">
        <f>IF(AA57=0,"",IFERROR(AA57/AA$19,""))</f>
        <v/>
      </c>
      <c r="AC57" s="140"/>
      <c r="AD57" s="138"/>
      <c r="AE57" s="142" t="str">
        <f>IF(AD57=0,"",IFERROR(AD57/AD$19,""))</f>
        <v/>
      </c>
      <c r="AF57" s="141">
        <f t="shared" si="11"/>
        <v>0</v>
      </c>
      <c r="AG57" s="138"/>
      <c r="AH57" s="142" t="str">
        <f>IF(AG57=0,"",IFERROR(AG57/AG$19,""))</f>
        <v/>
      </c>
      <c r="AI57" s="141">
        <f t="shared" si="12"/>
        <v>0</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c r="P58" s="215"/>
      <c r="Q58" s="215"/>
      <c r="R58" s="215"/>
      <c r="S58" s="215"/>
      <c r="T58" s="215"/>
      <c r="U58" s="215"/>
      <c r="V58" s="215"/>
      <c r="W58" s="215"/>
      <c r="X58" s="215"/>
      <c r="Y58" s="215"/>
      <c r="Z58" s="215"/>
      <c r="AA58" s="215">
        <f t="shared" si="10"/>
        <v>0</v>
      </c>
      <c r="AB58" s="217" t="str">
        <f>IF(AA58=0,"",IFERROR(AA58/AA$19,""))</f>
        <v/>
      </c>
      <c r="AC58" s="140"/>
      <c r="AD58" s="215"/>
      <c r="AE58" s="217" t="str">
        <f>IF(AD58=0,"",IFERROR(AD58/AD$19,""))</f>
        <v/>
      </c>
      <c r="AF58" s="218">
        <f t="shared" si="11"/>
        <v>0</v>
      </c>
      <c r="AG58" s="215"/>
      <c r="AH58" s="217" t="str">
        <f>IF(AG58=0,"",IFERROR(AG58/AG$19,""))</f>
        <v/>
      </c>
      <c r="AI58" s="218">
        <f t="shared" si="12"/>
        <v>0</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c r="P59" s="162"/>
      <c r="Q59" s="162"/>
      <c r="R59" s="162"/>
      <c r="S59" s="162"/>
      <c r="T59" s="162"/>
      <c r="U59" s="162"/>
      <c r="V59" s="162"/>
      <c r="W59" s="162"/>
      <c r="X59" s="162"/>
      <c r="Y59" s="162"/>
      <c r="Z59" s="162"/>
      <c r="AA59" s="162">
        <f t="shared" si="10"/>
        <v>0</v>
      </c>
      <c r="AB59" s="163" t="str">
        <f>IF(AA59=0,"",IFERROR(AA59/AA$19,""))</f>
        <v/>
      </c>
      <c r="AC59" s="140"/>
      <c r="AD59" s="162"/>
      <c r="AE59" s="163" t="str">
        <f>IF(AD59=0,"",IFERROR(AD59/AD$19,""))</f>
        <v/>
      </c>
      <c r="AF59" s="164">
        <f t="shared" si="11"/>
        <v>0</v>
      </c>
      <c r="AG59" s="162"/>
      <c r="AH59" s="163" t="str">
        <f>IF(AG59=0,"",IFERROR(AG59/AG$19,""))</f>
        <v/>
      </c>
      <c r="AI59" s="164">
        <f t="shared" si="12"/>
        <v>0</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c r="P60" s="231"/>
      <c r="Q60" s="231"/>
      <c r="R60" s="231"/>
      <c r="S60" s="231"/>
      <c r="T60" s="231"/>
      <c r="U60" s="231"/>
      <c r="V60" s="231"/>
      <c r="W60" s="231"/>
      <c r="X60" s="231"/>
      <c r="Y60" s="231"/>
      <c r="Z60" s="231"/>
      <c r="AA60" s="231">
        <f t="shared" si="10"/>
        <v>0</v>
      </c>
      <c r="AB60" s="233"/>
      <c r="AC60" s="140"/>
      <c r="AD60" s="231"/>
      <c r="AE60" s="233"/>
      <c r="AF60" s="234">
        <f t="shared" si="11"/>
        <v>0</v>
      </c>
      <c r="AG60" s="231"/>
      <c r="AH60" s="233"/>
      <c r="AI60" s="234">
        <f t="shared" si="12"/>
        <v>0</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c r="P61" s="231"/>
      <c r="Q61" s="231"/>
      <c r="R61" s="231"/>
      <c r="S61" s="231"/>
      <c r="T61" s="231"/>
      <c r="U61" s="231"/>
      <c r="V61" s="231"/>
      <c r="W61" s="231"/>
      <c r="X61" s="231"/>
      <c r="Y61" s="231"/>
      <c r="Z61" s="231"/>
      <c r="AA61" s="231">
        <f t="shared" si="10"/>
        <v>0</v>
      </c>
      <c r="AB61" s="233" t="str">
        <f>IF(AA61=0,"",IFERROR(AA61/AA$87,""))</f>
        <v/>
      </c>
      <c r="AC61" s="140"/>
      <c r="AD61" s="231"/>
      <c r="AE61" s="233" t="str">
        <f>IF(AD61=0,"",IFERROR(AD61/AD$87,""))</f>
        <v/>
      </c>
      <c r="AF61" s="234">
        <f t="shared" si="11"/>
        <v>0</v>
      </c>
      <c r="AG61" s="231"/>
      <c r="AH61" s="233" t="str">
        <f>IF(AG61=0,"",IFERROR(AG61/AG$87,""))</f>
        <v/>
      </c>
      <c r="AI61" s="234">
        <f t="shared" si="12"/>
        <v>0</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2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5"/>
      <c r="AG63" s="497">
        <f>ROUND(IFERROR(AG59/AG61,0),2)</f>
        <v>0</v>
      </c>
      <c r="AH63" s="498"/>
      <c r="AI63" s="155"/>
    </row>
    <row r="64" spans="1:35" x14ac:dyDescent="0.2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38"/>
      <c r="P65" s="138"/>
      <c r="Q65" s="138"/>
      <c r="R65" s="138"/>
      <c r="S65" s="138"/>
      <c r="T65" s="138"/>
      <c r="U65" s="138"/>
      <c r="V65" s="138"/>
      <c r="W65" s="138"/>
      <c r="X65" s="138"/>
      <c r="Y65" s="138"/>
      <c r="Z65" s="138"/>
      <c r="AA65" s="138">
        <f t="shared" ref="AA65:AA71" si="15">SUM(O65:Z65)</f>
        <v>0</v>
      </c>
      <c r="AB65" s="142" t="str">
        <f>IF(AA65=0,"",IFERROR(AA65/AA$19,""))</f>
        <v/>
      </c>
      <c r="AC65" s="140"/>
      <c r="AD65" s="138"/>
      <c r="AE65" s="142" t="str">
        <f>IF(AD65=0,"",IFERROR(AD65/AD$19,""))</f>
        <v/>
      </c>
      <c r="AF65" s="141">
        <f t="shared" ref="AF65:AF72" si="16">IF(AND($AA65="",AD65=""),"",$AA65-AD65)</f>
        <v>0</v>
      </c>
      <c r="AG65" s="138"/>
      <c r="AH65" s="142" t="str">
        <f>IF(AG65=0,"",IFERROR(AG65/AG$19,""))</f>
        <v/>
      </c>
      <c r="AI65" s="141">
        <f t="shared" ref="AI65:AI72" si="17">IF(AND($AA65="",AG65=""),"",$AA65-AG65)</f>
        <v>0</v>
      </c>
    </row>
    <row r="66" spans="1:35" x14ac:dyDescent="0.2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38"/>
      <c r="P66" s="138"/>
      <c r="Q66" s="138"/>
      <c r="R66" s="138"/>
      <c r="S66" s="138"/>
      <c r="T66" s="138"/>
      <c r="U66" s="138"/>
      <c r="V66" s="138"/>
      <c r="W66" s="138"/>
      <c r="X66" s="138"/>
      <c r="Y66" s="138"/>
      <c r="Z66" s="138"/>
      <c r="AA66" s="138">
        <f t="shared" si="15"/>
        <v>0</v>
      </c>
      <c r="AB66" s="142" t="str">
        <f>IF(AA66=0,"",IFERROR(AA66/AA$19,""))</f>
        <v/>
      </c>
      <c r="AC66" s="140"/>
      <c r="AD66" s="138"/>
      <c r="AE66" s="142" t="str">
        <f>IF(AD66=0,"",IFERROR(AD66/AD$19,""))</f>
        <v/>
      </c>
      <c r="AF66" s="141">
        <f t="shared" si="16"/>
        <v>0</v>
      </c>
      <c r="AG66" s="138"/>
      <c r="AH66" s="142" t="str">
        <f>IF(AG66=0,"",IFERROR(AG66/AG$19,""))</f>
        <v/>
      </c>
      <c r="AI66" s="141">
        <f t="shared" si="17"/>
        <v>0</v>
      </c>
    </row>
    <row r="67" spans="1:35" x14ac:dyDescent="0.2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38"/>
      <c r="P67" s="138"/>
      <c r="Q67" s="138"/>
      <c r="R67" s="138"/>
      <c r="S67" s="138"/>
      <c r="T67" s="138"/>
      <c r="U67" s="138"/>
      <c r="V67" s="138"/>
      <c r="W67" s="138"/>
      <c r="X67" s="138"/>
      <c r="Y67" s="138"/>
      <c r="Z67" s="138"/>
      <c r="AA67" s="138">
        <f t="shared" si="15"/>
        <v>0</v>
      </c>
      <c r="AB67" s="142" t="str">
        <f>IF(AA67=0,"",IFERROR(AA67/AA$19,""))</f>
        <v/>
      </c>
      <c r="AC67" s="140"/>
      <c r="AD67" s="138"/>
      <c r="AE67" s="142" t="str">
        <f>IF(AD67=0,"",IFERROR(AD67/AD$19,""))</f>
        <v/>
      </c>
      <c r="AF67" s="141">
        <f t="shared" si="16"/>
        <v>0</v>
      </c>
      <c r="AG67" s="138"/>
      <c r="AH67" s="142" t="str">
        <f>IF(AG67=0,"",IFERROR(AG67/AG$19,""))</f>
        <v/>
      </c>
      <c r="AI67" s="141">
        <f t="shared" si="17"/>
        <v>0</v>
      </c>
    </row>
    <row r="68" spans="1:35" x14ac:dyDescent="0.2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5"/>
      <c r="P68" s="215"/>
      <c r="Q68" s="215"/>
      <c r="R68" s="215"/>
      <c r="S68" s="215"/>
      <c r="T68" s="215"/>
      <c r="U68" s="215"/>
      <c r="V68" s="215"/>
      <c r="W68" s="215"/>
      <c r="X68" s="215"/>
      <c r="Y68" s="215"/>
      <c r="Z68" s="215"/>
      <c r="AA68" s="215">
        <f t="shared" si="15"/>
        <v>0</v>
      </c>
      <c r="AB68" s="217" t="str">
        <f>IF(AA68=0,"",IFERROR(AA68/AA$19,""))</f>
        <v/>
      </c>
      <c r="AC68" s="140"/>
      <c r="AD68" s="215"/>
      <c r="AE68" s="217" t="str">
        <f>IF(AD68=0,"",IFERROR(AD68/AD$19,""))</f>
        <v/>
      </c>
      <c r="AF68" s="218">
        <f t="shared" si="16"/>
        <v>0</v>
      </c>
      <c r="AG68" s="215"/>
      <c r="AH68" s="217" t="str">
        <f>IF(AG68=0,"",IFERROR(AG68/AG$19,""))</f>
        <v/>
      </c>
      <c r="AI68" s="218">
        <f t="shared" si="17"/>
        <v>0</v>
      </c>
    </row>
    <row r="69" spans="1:35" x14ac:dyDescent="0.2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2"/>
      <c r="P69" s="162"/>
      <c r="Q69" s="162"/>
      <c r="R69" s="162"/>
      <c r="S69" s="162"/>
      <c r="T69" s="162"/>
      <c r="U69" s="162"/>
      <c r="V69" s="162"/>
      <c r="W69" s="162"/>
      <c r="X69" s="162"/>
      <c r="Y69" s="162"/>
      <c r="Z69" s="162"/>
      <c r="AA69" s="162">
        <f t="shared" si="15"/>
        <v>0</v>
      </c>
      <c r="AB69" s="163" t="str">
        <f>IF(AA69=0,"",IFERROR(AA69/AA$19,""))</f>
        <v/>
      </c>
      <c r="AC69" s="140"/>
      <c r="AD69" s="162"/>
      <c r="AE69" s="163" t="str">
        <f>IF(AD69=0,"",IFERROR(AD69/AD$19,""))</f>
        <v/>
      </c>
      <c r="AF69" s="164">
        <f t="shared" si="16"/>
        <v>0</v>
      </c>
      <c r="AG69" s="162"/>
      <c r="AH69" s="163" t="str">
        <f>IF(AG69=0,"",IFERROR(AG69/AG$19,""))</f>
        <v/>
      </c>
      <c r="AI69" s="164">
        <f t="shared" si="17"/>
        <v>0</v>
      </c>
    </row>
    <row r="70" spans="1:35" x14ac:dyDescent="0.2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31"/>
      <c r="P70" s="231"/>
      <c r="Q70" s="231"/>
      <c r="R70" s="231"/>
      <c r="S70" s="231"/>
      <c r="T70" s="231"/>
      <c r="U70" s="231"/>
      <c r="V70" s="231"/>
      <c r="W70" s="231"/>
      <c r="X70" s="231"/>
      <c r="Y70" s="231"/>
      <c r="Z70" s="231"/>
      <c r="AA70" s="231">
        <f t="shared" si="15"/>
        <v>0</v>
      </c>
      <c r="AB70" s="233"/>
      <c r="AC70" s="140"/>
      <c r="AD70" s="231"/>
      <c r="AE70" s="233"/>
      <c r="AF70" s="234">
        <f t="shared" si="16"/>
        <v>0</v>
      </c>
      <c r="AG70" s="231"/>
      <c r="AH70" s="233"/>
      <c r="AI70" s="234">
        <f t="shared" si="17"/>
        <v>0</v>
      </c>
    </row>
    <row r="71" spans="1:35" x14ac:dyDescent="0.2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31"/>
      <c r="P71" s="231"/>
      <c r="Q71" s="231"/>
      <c r="R71" s="231"/>
      <c r="S71" s="231"/>
      <c r="T71" s="231"/>
      <c r="U71" s="231"/>
      <c r="V71" s="231"/>
      <c r="W71" s="231"/>
      <c r="X71" s="231"/>
      <c r="Y71" s="231"/>
      <c r="Z71" s="231"/>
      <c r="AA71" s="231">
        <f t="shared" si="15"/>
        <v>0</v>
      </c>
      <c r="AB71" s="233" t="str">
        <f>IF(AA71=0,"",IFERROR(AA71/AA$87,""))</f>
        <v/>
      </c>
      <c r="AC71" s="140"/>
      <c r="AD71" s="231"/>
      <c r="AE71" s="233" t="str">
        <f>IF(AD71=0,"",IFERROR(AD71/AD$87,""))</f>
        <v/>
      </c>
      <c r="AF71" s="234">
        <f t="shared" si="16"/>
        <v>0</v>
      </c>
      <c r="AG71" s="231"/>
      <c r="AH71" s="233" t="str">
        <f>IF(AG71=0,"",IFERROR(AG71/AG$87,""))</f>
        <v/>
      </c>
      <c r="AI71" s="234">
        <f t="shared" si="17"/>
        <v>0</v>
      </c>
    </row>
    <row r="72" spans="1:35" x14ac:dyDescent="0.2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2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5"/>
      <c r="AG73" s="497">
        <f>ROUND(IFERROR(AG69/AG71,0),2)</f>
        <v>0</v>
      </c>
      <c r="AH73" s="498"/>
      <c r="AI73" s="155"/>
    </row>
    <row r="74" spans="1:35" x14ac:dyDescent="0.2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2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38"/>
      <c r="P75" s="138"/>
      <c r="Q75" s="138"/>
      <c r="R75" s="138"/>
      <c r="S75" s="138"/>
      <c r="T75" s="138"/>
      <c r="U75" s="138"/>
      <c r="V75" s="138"/>
      <c r="W75" s="138"/>
      <c r="X75" s="138"/>
      <c r="Y75" s="138"/>
      <c r="Z75" s="138"/>
      <c r="AA75" s="138">
        <f t="shared" ref="AA75:AA80" si="20">SUM(O75:Z75)</f>
        <v>0</v>
      </c>
      <c r="AB75" s="142" t="str">
        <f>IF(AA75=0,"",IFERROR(AA75/AA$19,""))</f>
        <v/>
      </c>
      <c r="AC75" s="140"/>
      <c r="AD75" s="138"/>
      <c r="AE75" s="142" t="str">
        <f>IF(AD75=0,"",IFERROR(AD75/AD$19,""))</f>
        <v/>
      </c>
      <c r="AF75" s="141">
        <f t="shared" ref="AF75:AF81" si="21">IF(AND($AA75="",AD75=""),"",$AA75-AD75)</f>
        <v>0</v>
      </c>
      <c r="AG75" s="138"/>
      <c r="AH75" s="142" t="str">
        <f>IF(AG75=0,"",IFERROR(AG75/AG$19,""))</f>
        <v/>
      </c>
      <c r="AI75" s="141">
        <f t="shared" ref="AI75:AI81" si="22">IF(AND($AA75="",AG75=""),"",$AA75-AG75)</f>
        <v>0</v>
      </c>
    </row>
    <row r="76" spans="1:35" x14ac:dyDescent="0.2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38"/>
      <c r="P76" s="138"/>
      <c r="Q76" s="138"/>
      <c r="R76" s="138"/>
      <c r="S76" s="138"/>
      <c r="T76" s="138"/>
      <c r="U76" s="138"/>
      <c r="V76" s="138"/>
      <c r="W76" s="138"/>
      <c r="X76" s="138"/>
      <c r="Y76" s="138"/>
      <c r="Z76" s="138"/>
      <c r="AA76" s="138">
        <f t="shared" si="20"/>
        <v>0</v>
      </c>
      <c r="AB76" s="142" t="str">
        <f>IF(AA76=0,"",IFERROR(AA76/AA$19,""))</f>
        <v/>
      </c>
      <c r="AC76" s="140"/>
      <c r="AD76" s="138"/>
      <c r="AE76" s="142" t="str">
        <f>IF(AD76=0,"",IFERROR(AD76/AD$19,""))</f>
        <v/>
      </c>
      <c r="AF76" s="141">
        <f t="shared" si="21"/>
        <v>0</v>
      </c>
      <c r="AG76" s="138"/>
      <c r="AH76" s="142" t="str">
        <f>IF(AG76=0,"",IFERROR(AG76/AG$19,""))</f>
        <v/>
      </c>
      <c r="AI76" s="141">
        <f t="shared" si="22"/>
        <v>0</v>
      </c>
    </row>
    <row r="77" spans="1:35" x14ac:dyDescent="0.2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38"/>
      <c r="P77" s="138"/>
      <c r="Q77" s="138"/>
      <c r="R77" s="138"/>
      <c r="S77" s="138"/>
      <c r="T77" s="138"/>
      <c r="U77" s="138"/>
      <c r="V77" s="138"/>
      <c r="W77" s="138"/>
      <c r="X77" s="138"/>
      <c r="Y77" s="138"/>
      <c r="Z77" s="138"/>
      <c r="AA77" s="138">
        <f t="shared" si="20"/>
        <v>0</v>
      </c>
      <c r="AB77" s="142" t="str">
        <f>IF(AA77=0,"",IFERROR(AA77/AA$19,""))</f>
        <v/>
      </c>
      <c r="AC77" s="140"/>
      <c r="AD77" s="138"/>
      <c r="AE77" s="142" t="str">
        <f>IF(AD77=0,"",IFERROR(AD77/AD$19,""))</f>
        <v/>
      </c>
      <c r="AF77" s="141">
        <f t="shared" si="21"/>
        <v>0</v>
      </c>
      <c r="AG77" s="138"/>
      <c r="AH77" s="142" t="str">
        <f>IF(AG77=0,"",IFERROR(AG77/AG$19,""))</f>
        <v/>
      </c>
      <c r="AI77" s="141">
        <f t="shared" si="22"/>
        <v>0</v>
      </c>
    </row>
    <row r="78" spans="1:35" x14ac:dyDescent="0.2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5"/>
      <c r="P78" s="215"/>
      <c r="Q78" s="215"/>
      <c r="R78" s="215"/>
      <c r="S78" s="215"/>
      <c r="T78" s="215"/>
      <c r="U78" s="215"/>
      <c r="V78" s="215"/>
      <c r="W78" s="215"/>
      <c r="X78" s="215"/>
      <c r="Y78" s="215"/>
      <c r="Z78" s="215"/>
      <c r="AA78" s="215">
        <f t="shared" si="20"/>
        <v>0</v>
      </c>
      <c r="AB78" s="217" t="str">
        <f>IF(AA78=0,"",IFERROR(AA78/AA$19,""))</f>
        <v/>
      </c>
      <c r="AC78" s="140"/>
      <c r="AD78" s="215"/>
      <c r="AE78" s="217" t="str">
        <f>IF(AD78=0,"",IFERROR(AD78/AD$19,""))</f>
        <v/>
      </c>
      <c r="AF78" s="218">
        <f t="shared" si="21"/>
        <v>0</v>
      </c>
      <c r="AG78" s="215"/>
      <c r="AH78" s="217" t="str">
        <f>IF(AG78=0,"",IFERROR(AG78/AG$19,""))</f>
        <v/>
      </c>
      <c r="AI78" s="218">
        <f t="shared" si="22"/>
        <v>0</v>
      </c>
    </row>
    <row r="79" spans="1:35" x14ac:dyDescent="0.2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2"/>
      <c r="P79" s="162"/>
      <c r="Q79" s="162"/>
      <c r="R79" s="162"/>
      <c r="S79" s="162"/>
      <c r="T79" s="162"/>
      <c r="U79" s="162"/>
      <c r="V79" s="162"/>
      <c r="W79" s="162"/>
      <c r="X79" s="162"/>
      <c r="Y79" s="162"/>
      <c r="Z79" s="162"/>
      <c r="AA79" s="162">
        <f t="shared" si="20"/>
        <v>0</v>
      </c>
      <c r="AB79" s="163" t="str">
        <f>IF(AA79=0,"",IFERROR(AA79/AA$19,""))</f>
        <v/>
      </c>
      <c r="AC79" s="140"/>
      <c r="AD79" s="162"/>
      <c r="AE79" s="163" t="str">
        <f>IF(AD79=0,"",IFERROR(AD79/AD$19,""))</f>
        <v/>
      </c>
      <c r="AF79" s="164">
        <f t="shared" si="21"/>
        <v>0</v>
      </c>
      <c r="AG79" s="162"/>
      <c r="AH79" s="163" t="str">
        <f>IF(AG79=0,"",IFERROR(AG79/AG$19,""))</f>
        <v/>
      </c>
      <c r="AI79" s="164">
        <f t="shared" si="22"/>
        <v>0</v>
      </c>
    </row>
    <row r="80" spans="1:35" x14ac:dyDescent="0.2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31"/>
      <c r="P80" s="231"/>
      <c r="Q80" s="231"/>
      <c r="R80" s="231"/>
      <c r="S80" s="231"/>
      <c r="T80" s="231"/>
      <c r="U80" s="231"/>
      <c r="V80" s="231"/>
      <c r="W80" s="231"/>
      <c r="X80" s="231"/>
      <c r="Y80" s="231"/>
      <c r="Z80" s="231"/>
      <c r="AA80" s="231">
        <f t="shared" si="20"/>
        <v>0</v>
      </c>
      <c r="AB80" s="233" t="str">
        <f>IF(AA80=0,"",IFERROR(AA80/AA$87,""))</f>
        <v/>
      </c>
      <c r="AC80" s="140"/>
      <c r="AD80" s="231"/>
      <c r="AE80" s="233" t="str">
        <f>IF(AD80=0,"",IFERROR(AD80/AD$87,""))</f>
        <v/>
      </c>
      <c r="AF80" s="234">
        <f t="shared" si="21"/>
        <v>0</v>
      </c>
      <c r="AG80" s="231"/>
      <c r="AH80" s="233" t="str">
        <f>IF(AG80=0,"",IFERROR(AG80/AG$87,""))</f>
        <v/>
      </c>
      <c r="AI80" s="234">
        <f t="shared" si="22"/>
        <v>0</v>
      </c>
    </row>
    <row r="81" spans="1:35" x14ac:dyDescent="0.2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2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5"/>
      <c r="AG82" s="497">
        <f>ROUND(IFERROR(AG79/AG80,0),2)</f>
        <v>0</v>
      </c>
      <c r="AH82" s="498"/>
      <c r="AI82" s="155"/>
    </row>
    <row r="83" spans="1:35" x14ac:dyDescent="0.2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38"/>
      <c r="P83" s="138"/>
      <c r="Q83" s="138"/>
      <c r="R83" s="138"/>
      <c r="S83" s="138"/>
      <c r="T83" s="138"/>
      <c r="U83" s="138"/>
      <c r="V83" s="138"/>
      <c r="W83" s="138"/>
      <c r="X83" s="138"/>
      <c r="Y83" s="138"/>
      <c r="Z83" s="138"/>
      <c r="AA83" s="138">
        <f>SUM(O83:Z83)</f>
        <v>0</v>
      </c>
      <c r="AB83" s="142" t="str">
        <f>IF(AA83=0,"",IFERROR(AA83/AA$19,""))</f>
        <v/>
      </c>
      <c r="AC83" s="140"/>
      <c r="AD83" s="138"/>
      <c r="AE83" s="142" t="str">
        <f>IF(AD83=0,"",IFERROR(AD83/AD$19,""))</f>
        <v/>
      </c>
      <c r="AF83" s="141">
        <f>IF(AND($AA83="",AD83=""),"",$AA83-AD83)</f>
        <v>0</v>
      </c>
      <c r="AG83" s="138"/>
      <c r="AH83" s="142" t="str">
        <f>IF(AG83=0,"",IFERROR(AG83/AG$19,""))</f>
        <v/>
      </c>
      <c r="AI83" s="141">
        <f>IF(AND($AA83="",AG83=""),"",$AA83-AG83)</f>
        <v>0</v>
      </c>
    </row>
    <row r="84" spans="1:35" x14ac:dyDescent="0.2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2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2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2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2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25">
      <c r="A89" s="11"/>
      <c r="B89" s="11"/>
      <c r="C89" s="208"/>
      <c r="D89" s="11"/>
      <c r="E89" s="11"/>
      <c r="F89" s="11"/>
      <c r="G89" s="11"/>
      <c r="H89" s="185"/>
      <c r="I89" s="122"/>
      <c r="J89" s="122"/>
      <c r="K89" s="11"/>
      <c r="L89" s="90"/>
      <c r="M89" s="90"/>
      <c r="N89" s="90"/>
      <c r="O89" s="170"/>
      <c r="P89" s="171"/>
      <c r="Q89" s="171"/>
      <c r="R89" s="171"/>
      <c r="S89" s="171"/>
      <c r="T89" s="171"/>
      <c r="U89" s="171"/>
      <c r="V89" s="171"/>
      <c r="W89" s="171"/>
      <c r="X89" s="171"/>
      <c r="Y89" s="171"/>
      <c r="Z89" s="171"/>
      <c r="AA89" s="171"/>
      <c r="AB89" s="172"/>
      <c r="AC89" s="140"/>
      <c r="AD89" s="170"/>
      <c r="AE89" s="171"/>
      <c r="AF89" s="172"/>
      <c r="AG89" s="170"/>
      <c r="AH89" s="171"/>
      <c r="AI89" s="172"/>
    </row>
    <row r="90" spans="1:35" x14ac:dyDescent="0.25">
      <c r="A90" s="11"/>
      <c r="B90" s="11"/>
      <c r="C90" s="208"/>
      <c r="D90" s="11"/>
      <c r="E90" s="11"/>
      <c r="F90" s="11"/>
      <c r="G90" s="11"/>
      <c r="H90" s="185"/>
      <c r="I90" s="122"/>
      <c r="J90" s="122"/>
      <c r="K90" s="11"/>
      <c r="L90" s="90"/>
      <c r="M90" s="90"/>
      <c r="N90" s="53" t="s">
        <v>334</v>
      </c>
      <c r="O90" s="158"/>
      <c r="P90" s="159"/>
      <c r="Q90" s="159"/>
      <c r="R90" s="159"/>
      <c r="S90" s="159"/>
      <c r="T90" s="159"/>
      <c r="U90" s="159"/>
      <c r="V90" s="159"/>
      <c r="W90" s="159"/>
      <c r="X90" s="159"/>
      <c r="Y90" s="159"/>
      <c r="Z90" s="159"/>
      <c r="AA90" s="159"/>
      <c r="AB90" s="160"/>
      <c r="AC90" s="140"/>
      <c r="AD90" s="158"/>
      <c r="AE90" s="159"/>
      <c r="AF90" s="160"/>
      <c r="AG90" s="158"/>
      <c r="AH90" s="159"/>
      <c r="AI90" s="160"/>
    </row>
    <row r="91" spans="1:35" hidden="1" outlineLevel="1" x14ac:dyDescent="0.2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38"/>
      <c r="P91" s="138"/>
      <c r="Q91" s="138"/>
      <c r="R91" s="138"/>
      <c r="S91" s="138"/>
      <c r="T91" s="138"/>
      <c r="U91" s="138"/>
      <c r="V91" s="138"/>
      <c r="W91" s="138"/>
      <c r="X91" s="138"/>
      <c r="Y91" s="138"/>
      <c r="Z91" s="138"/>
      <c r="AA91" s="138">
        <f>SUM(O91:Z91)</f>
        <v>0</v>
      </c>
      <c r="AB91" s="142"/>
      <c r="AC91" s="140"/>
      <c r="AD91" s="138"/>
      <c r="AE91" s="142"/>
      <c r="AF91" s="141">
        <f>IF(AND($AA91="",AD91=""),"",$AA91-AD91)</f>
        <v>0</v>
      </c>
      <c r="AG91" s="138"/>
      <c r="AH91" s="142"/>
      <c r="AI91" s="141">
        <f>IF(AND($AA91="",AG91=""),"",$AA91-AG91)</f>
        <v>0</v>
      </c>
    </row>
    <row r="92" spans="1:35" hidden="1" outlineLevel="1" x14ac:dyDescent="0.2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38"/>
      <c r="P92" s="138"/>
      <c r="Q92" s="138"/>
      <c r="R92" s="138"/>
      <c r="S92" s="138"/>
      <c r="T92" s="138"/>
      <c r="U92" s="138"/>
      <c r="V92" s="138"/>
      <c r="W92" s="138"/>
      <c r="X92" s="138"/>
      <c r="Y92" s="138"/>
      <c r="Z92" s="138"/>
      <c r="AA92" s="138">
        <f>SUM(O92:Z92)</f>
        <v>0</v>
      </c>
      <c r="AB92" s="142"/>
      <c r="AC92" s="140"/>
      <c r="AD92" s="138"/>
      <c r="AE92" s="142"/>
      <c r="AF92" s="141">
        <f>IF(AND($AA92="",AD92=""),"",$AA92-AD92)</f>
        <v>0</v>
      </c>
      <c r="AG92" s="138"/>
      <c r="AH92" s="142"/>
      <c r="AI92" s="141">
        <f>IF(AND($AA92="",AG92=""),"",$AA92-AG92)</f>
        <v>0</v>
      </c>
    </row>
    <row r="93" spans="1:35" collapsed="1" x14ac:dyDescent="0.2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3" t="str">
        <f>IF(AND($AA93="",AD93=""),"",$AA93-AD93)</f>
        <v/>
      </c>
      <c r="AG93" s="510" t="str">
        <f>IFERROR(AG$87/AG91,"")</f>
        <v/>
      </c>
      <c r="AH93" s="511"/>
      <c r="AI93" s="213" t="str">
        <f>IF(AND($AA93="",AG93=""),"",$AA93-AG93)</f>
        <v/>
      </c>
    </row>
    <row r="94" spans="1:35" x14ac:dyDescent="0.2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3" t="str">
        <f>IF(AND($AA94="",AD94=""),"",$AA94-AD94)</f>
        <v/>
      </c>
      <c r="AG94" s="510" t="str">
        <f>IFERROR(AG$87/AG92,"")</f>
        <v/>
      </c>
      <c r="AH94" s="511"/>
      <c r="AI94" s="213" t="str">
        <f>IF(AND($AA94="",AG94=""),"",$AA94-AG94)</f>
        <v/>
      </c>
    </row>
    <row r="95" spans="1:35" x14ac:dyDescent="0.2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57"/>
      <c r="AC95" s="140"/>
      <c r="AD95" s="514"/>
      <c r="AE95" s="481"/>
      <c r="AF95" s="157"/>
      <c r="AG95" s="481"/>
      <c r="AH95" s="481"/>
      <c r="AI95" s="157"/>
    </row>
    <row r="96" spans="1:35" x14ac:dyDescent="0.25">
      <c r="A96" s="11"/>
      <c r="B96" s="11"/>
      <c r="C96" s="208"/>
      <c r="D96" s="11"/>
      <c r="E96" s="11"/>
      <c r="F96" s="11"/>
      <c r="G96" s="11"/>
      <c r="H96" s="185"/>
      <c r="I96" s="122"/>
      <c r="J96" s="122"/>
      <c r="K96" s="11"/>
      <c r="L96" s="90"/>
      <c r="M96" s="90"/>
      <c r="N96" s="53" t="s">
        <v>343</v>
      </c>
      <c r="O96" s="514"/>
      <c r="P96" s="481"/>
      <c r="Q96" s="481"/>
      <c r="R96" s="481"/>
      <c r="S96" s="481"/>
      <c r="T96" s="481"/>
      <c r="U96" s="481"/>
      <c r="V96" s="481"/>
      <c r="W96" s="481"/>
      <c r="X96" s="481"/>
      <c r="Y96" s="481"/>
      <c r="Z96" s="481"/>
      <c r="AA96" s="481"/>
      <c r="AB96" s="515"/>
      <c r="AC96" s="140"/>
      <c r="AD96" s="516"/>
      <c r="AE96" s="517"/>
      <c r="AF96" s="157"/>
      <c r="AG96" s="481"/>
      <c r="AH96" s="517"/>
      <c r="AI96" s="157"/>
    </row>
    <row r="97" spans="1:35" x14ac:dyDescent="0.25">
      <c r="A97" s="11"/>
      <c r="B97" s="11"/>
      <c r="C97" s="208"/>
      <c r="D97" s="11"/>
      <c r="E97" s="11"/>
      <c r="F97" s="11"/>
      <c r="G97" s="11"/>
      <c r="H97" s="185"/>
      <c r="I97" s="122"/>
      <c r="J97" s="122"/>
      <c r="K97" s="11"/>
      <c r="L97" s="90"/>
      <c r="M97" s="90"/>
      <c r="N97" s="53" t="s">
        <v>337</v>
      </c>
      <c r="O97" s="158"/>
      <c r="P97" s="159"/>
      <c r="Q97" s="159"/>
      <c r="R97" s="159"/>
      <c r="S97" s="159"/>
      <c r="T97" s="159"/>
      <c r="U97" s="159"/>
      <c r="V97" s="159"/>
      <c r="W97" s="159"/>
      <c r="X97" s="159"/>
      <c r="Y97" s="159"/>
      <c r="Z97" s="159"/>
      <c r="AA97" s="159"/>
      <c r="AB97" s="160"/>
      <c r="AC97" s="140"/>
      <c r="AD97" s="158"/>
      <c r="AE97" s="159"/>
      <c r="AF97" s="160"/>
      <c r="AG97" s="159"/>
      <c r="AH97" s="159"/>
      <c r="AI97" s="160"/>
    </row>
    <row r="98" spans="1:35" x14ac:dyDescent="0.2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38"/>
      <c r="P98" s="138"/>
      <c r="Q98" s="138"/>
      <c r="R98" s="138"/>
      <c r="S98" s="138"/>
      <c r="T98" s="138"/>
      <c r="U98" s="138"/>
      <c r="V98" s="138"/>
      <c r="W98" s="138"/>
      <c r="X98" s="138"/>
      <c r="Y98" s="138"/>
      <c r="Z98" s="138"/>
      <c r="AA98" s="138">
        <f t="shared" ref="AA98:AA103" si="27">SUM(O98:Z98)</f>
        <v>0</v>
      </c>
      <c r="AB98" s="142" t="str">
        <f t="shared" ref="AB98:AB103" si="28">IF(AA98=0,"",IFERROR(AA98/AA$19,""))</f>
        <v/>
      </c>
      <c r="AC98" s="140"/>
      <c r="AD98" s="138"/>
      <c r="AE98" s="142" t="str">
        <f t="shared" ref="AE98:AE103" si="29">IF(AD98=0,"",IFERROR(AD98/AD$19,""))</f>
        <v/>
      </c>
      <c r="AF98" s="141">
        <f t="shared" ref="AF98:AF103" si="30">IF(AND($AA98="",AD98=""),"",$AA98-AD98)</f>
        <v>0</v>
      </c>
      <c r="AG98" s="138"/>
      <c r="AH98" s="142" t="str">
        <f t="shared" ref="AH98:AH103" si="31">IF(AG98=0,"",IFERROR(AG98/AG$19,""))</f>
        <v/>
      </c>
      <c r="AI98" s="141">
        <f t="shared" ref="AI98:AI103" si="32">IF(AND($AA98="",AG98=""),"",$AA98-AG98)</f>
        <v>0</v>
      </c>
    </row>
    <row r="99" spans="1:35" x14ac:dyDescent="0.2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38"/>
      <c r="P99" s="138"/>
      <c r="Q99" s="138"/>
      <c r="R99" s="138"/>
      <c r="S99" s="138"/>
      <c r="T99" s="138"/>
      <c r="U99" s="138"/>
      <c r="V99" s="138"/>
      <c r="W99" s="138"/>
      <c r="X99" s="138"/>
      <c r="Y99" s="138"/>
      <c r="Z99" s="138"/>
      <c r="AA99" s="138">
        <f t="shared" si="27"/>
        <v>0</v>
      </c>
      <c r="AB99" s="142" t="str">
        <f t="shared" si="28"/>
        <v/>
      </c>
      <c r="AC99" s="140"/>
      <c r="AD99" s="138"/>
      <c r="AE99" s="142" t="str">
        <f t="shared" si="29"/>
        <v/>
      </c>
      <c r="AF99" s="141">
        <f t="shared" si="30"/>
        <v>0</v>
      </c>
      <c r="AG99" s="138"/>
      <c r="AH99" s="142" t="str">
        <f t="shared" si="31"/>
        <v/>
      </c>
      <c r="AI99" s="141">
        <f t="shared" si="32"/>
        <v>0</v>
      </c>
    </row>
    <row r="100" spans="1:35" x14ac:dyDescent="0.2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38"/>
      <c r="P100" s="138"/>
      <c r="Q100" s="138"/>
      <c r="R100" s="138"/>
      <c r="S100" s="138"/>
      <c r="T100" s="138"/>
      <c r="U100" s="138"/>
      <c r="V100" s="138"/>
      <c r="W100" s="138"/>
      <c r="X100" s="138"/>
      <c r="Y100" s="138"/>
      <c r="Z100" s="138"/>
      <c r="AA100" s="138">
        <f t="shared" si="27"/>
        <v>0</v>
      </c>
      <c r="AB100" s="142" t="str">
        <f t="shared" si="28"/>
        <v/>
      </c>
      <c r="AC100" s="140"/>
      <c r="AD100" s="138"/>
      <c r="AE100" s="142" t="str">
        <f t="shared" si="29"/>
        <v/>
      </c>
      <c r="AF100" s="141">
        <f t="shared" si="30"/>
        <v>0</v>
      </c>
      <c r="AG100" s="138"/>
      <c r="AH100" s="142" t="str">
        <f t="shared" si="31"/>
        <v/>
      </c>
      <c r="AI100" s="141">
        <f t="shared" si="32"/>
        <v>0</v>
      </c>
    </row>
    <row r="101" spans="1:35" x14ac:dyDescent="0.2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38"/>
      <c r="P101" s="138"/>
      <c r="Q101" s="138"/>
      <c r="R101" s="138"/>
      <c r="S101" s="138"/>
      <c r="T101" s="138"/>
      <c r="U101" s="138"/>
      <c r="V101" s="138"/>
      <c r="W101" s="138"/>
      <c r="X101" s="138"/>
      <c r="Y101" s="138"/>
      <c r="Z101" s="138"/>
      <c r="AA101" s="138">
        <f t="shared" si="27"/>
        <v>0</v>
      </c>
      <c r="AB101" s="142" t="str">
        <f t="shared" si="28"/>
        <v/>
      </c>
      <c r="AC101" s="140"/>
      <c r="AD101" s="138"/>
      <c r="AE101" s="142" t="str">
        <f t="shared" si="29"/>
        <v/>
      </c>
      <c r="AF101" s="141">
        <f t="shared" si="30"/>
        <v>0</v>
      </c>
      <c r="AG101" s="138"/>
      <c r="AH101" s="142" t="str">
        <f t="shared" si="31"/>
        <v/>
      </c>
      <c r="AI101" s="141">
        <f t="shared" si="32"/>
        <v>0</v>
      </c>
    </row>
    <row r="102" spans="1:35" x14ac:dyDescent="0.2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38"/>
      <c r="P102" s="138"/>
      <c r="Q102" s="138"/>
      <c r="R102" s="138"/>
      <c r="S102" s="138"/>
      <c r="T102" s="138"/>
      <c r="U102" s="138"/>
      <c r="V102" s="138"/>
      <c r="W102" s="138"/>
      <c r="X102" s="138"/>
      <c r="Y102" s="138"/>
      <c r="Z102" s="138"/>
      <c r="AA102" s="138">
        <f t="shared" si="27"/>
        <v>0</v>
      </c>
      <c r="AB102" s="142" t="str">
        <f t="shared" si="28"/>
        <v/>
      </c>
      <c r="AC102" s="140"/>
      <c r="AD102" s="138"/>
      <c r="AE102" s="142" t="str">
        <f t="shared" si="29"/>
        <v/>
      </c>
      <c r="AF102" s="141">
        <f t="shared" si="30"/>
        <v>0</v>
      </c>
      <c r="AG102" s="138"/>
      <c r="AH102" s="142" t="str">
        <f t="shared" si="31"/>
        <v/>
      </c>
      <c r="AI102" s="141">
        <f t="shared" si="32"/>
        <v>0</v>
      </c>
    </row>
    <row r="103" spans="1:35" x14ac:dyDescent="0.2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2"/>
      <c r="P103" s="162"/>
      <c r="Q103" s="162"/>
      <c r="R103" s="162"/>
      <c r="S103" s="162"/>
      <c r="T103" s="162"/>
      <c r="U103" s="162"/>
      <c r="V103" s="162"/>
      <c r="W103" s="162"/>
      <c r="X103" s="162"/>
      <c r="Y103" s="162"/>
      <c r="Z103" s="162"/>
      <c r="AA103" s="162">
        <f t="shared" si="27"/>
        <v>0</v>
      </c>
      <c r="AB103" s="163" t="str">
        <f t="shared" si="28"/>
        <v/>
      </c>
      <c r="AC103" s="140"/>
      <c r="AD103" s="162"/>
      <c r="AE103" s="163" t="str">
        <f t="shared" si="29"/>
        <v/>
      </c>
      <c r="AF103" s="164">
        <f t="shared" si="30"/>
        <v>0</v>
      </c>
      <c r="AG103" s="162"/>
      <c r="AH103" s="163" t="str">
        <f t="shared" si="31"/>
        <v/>
      </c>
      <c r="AI103" s="164">
        <f t="shared" si="32"/>
        <v>0</v>
      </c>
    </row>
    <row r="104" spans="1:35" x14ac:dyDescent="0.25">
      <c r="A104" s="11"/>
      <c r="B104" s="11"/>
      <c r="C104" s="208"/>
      <c r="D104" s="11"/>
      <c r="E104" s="11"/>
      <c r="F104" s="11"/>
      <c r="G104" s="11"/>
      <c r="H104" s="185"/>
      <c r="I104" s="122"/>
      <c r="J104" s="122"/>
      <c r="K104" s="11"/>
      <c r="L104" s="90"/>
      <c r="M104" s="90"/>
      <c r="N104" s="53"/>
      <c r="O104" s="170"/>
      <c r="P104" s="171"/>
      <c r="Q104" s="171"/>
      <c r="R104" s="171"/>
      <c r="S104" s="171"/>
      <c r="T104" s="171"/>
      <c r="U104" s="171"/>
      <c r="V104" s="171"/>
      <c r="W104" s="171"/>
      <c r="X104" s="171"/>
      <c r="Y104" s="171"/>
      <c r="Z104" s="171"/>
      <c r="AA104" s="171"/>
      <c r="AB104" s="172"/>
      <c r="AC104" s="140"/>
      <c r="AD104" s="170"/>
      <c r="AE104" s="171"/>
      <c r="AF104" s="172"/>
      <c r="AG104" s="170"/>
      <c r="AH104" s="171"/>
      <c r="AI104" s="172"/>
    </row>
    <row r="105" spans="1:35" x14ac:dyDescent="0.25">
      <c r="A105" s="11"/>
      <c r="B105" s="11"/>
      <c r="C105" s="208"/>
      <c r="D105" s="11"/>
      <c r="E105" s="11"/>
      <c r="F105" s="11"/>
      <c r="G105" s="11"/>
      <c r="H105" s="185"/>
      <c r="I105" s="122"/>
      <c r="J105" s="122"/>
      <c r="K105" s="11"/>
      <c r="L105" s="90"/>
      <c r="M105" s="90"/>
      <c r="N105" s="53" t="s">
        <v>339</v>
      </c>
      <c r="O105" s="158"/>
      <c r="P105" s="159"/>
      <c r="Q105" s="159"/>
      <c r="R105" s="159"/>
      <c r="S105" s="159"/>
      <c r="T105" s="159"/>
      <c r="U105" s="159"/>
      <c r="V105" s="159"/>
      <c r="W105" s="159"/>
      <c r="X105" s="159"/>
      <c r="Y105" s="159"/>
      <c r="Z105" s="159"/>
      <c r="AA105" s="159"/>
      <c r="AB105" s="160"/>
      <c r="AC105" s="140"/>
      <c r="AD105" s="158"/>
      <c r="AE105" s="159"/>
      <c r="AF105" s="160"/>
      <c r="AG105" s="158"/>
      <c r="AH105" s="159"/>
      <c r="AI105" s="160"/>
    </row>
    <row r="106" spans="1:35" x14ac:dyDescent="0.2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38"/>
      <c r="P106" s="138"/>
      <c r="Q106" s="138"/>
      <c r="R106" s="138"/>
      <c r="S106" s="138"/>
      <c r="T106" s="138"/>
      <c r="U106" s="138"/>
      <c r="V106" s="138"/>
      <c r="W106" s="138"/>
      <c r="X106" s="138"/>
      <c r="Y106" s="138"/>
      <c r="Z106" s="138"/>
      <c r="AA106" s="138">
        <f t="shared" ref="AA106:AA111" si="33">SUM(O106:Z106)</f>
        <v>0</v>
      </c>
      <c r="AB106" s="142" t="str">
        <f t="shared" ref="AB106:AB111" si="34">IF(AA106=0,"",IFERROR(AA106/AA$19,""))</f>
        <v/>
      </c>
      <c r="AC106" s="140"/>
      <c r="AD106" s="138"/>
      <c r="AE106" s="142" t="str">
        <f t="shared" ref="AE106:AE111" si="35">IF(AD106=0,"",IFERROR(AD106/AD$19,""))</f>
        <v/>
      </c>
      <c r="AF106" s="141">
        <f t="shared" ref="AF106:AF111" si="36">IF(AND($AA106="",AD106=""),"",$AA106-AD106)</f>
        <v>0</v>
      </c>
      <c r="AG106" s="138"/>
      <c r="AH106" s="142" t="str">
        <f t="shared" ref="AH106:AH111" si="37">IF(AG106=0,"",IFERROR(AG106/AG$19,""))</f>
        <v/>
      </c>
      <c r="AI106" s="141">
        <f t="shared" ref="AI106:AI111" si="38">IF(AND($AA106="",AG106=""),"",$AA106-AG106)</f>
        <v>0</v>
      </c>
    </row>
    <row r="107" spans="1:35" x14ac:dyDescent="0.2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38"/>
      <c r="P107" s="138"/>
      <c r="Q107" s="138"/>
      <c r="R107" s="138"/>
      <c r="S107" s="138"/>
      <c r="T107" s="138"/>
      <c r="U107" s="138"/>
      <c r="V107" s="138"/>
      <c r="W107" s="138"/>
      <c r="X107" s="138"/>
      <c r="Y107" s="138"/>
      <c r="Z107" s="138"/>
      <c r="AA107" s="138">
        <f t="shared" si="33"/>
        <v>0</v>
      </c>
      <c r="AB107" s="142" t="str">
        <f t="shared" si="34"/>
        <v/>
      </c>
      <c r="AC107" s="140"/>
      <c r="AD107" s="138"/>
      <c r="AE107" s="142" t="str">
        <f t="shared" si="35"/>
        <v/>
      </c>
      <c r="AF107" s="141">
        <f t="shared" si="36"/>
        <v>0</v>
      </c>
      <c r="AG107" s="138"/>
      <c r="AH107" s="142" t="str">
        <f t="shared" si="37"/>
        <v/>
      </c>
      <c r="AI107" s="141">
        <f t="shared" si="38"/>
        <v>0</v>
      </c>
    </row>
    <row r="108" spans="1:35" x14ac:dyDescent="0.2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38"/>
      <c r="P108" s="138"/>
      <c r="Q108" s="138"/>
      <c r="R108" s="138"/>
      <c r="S108" s="138"/>
      <c r="T108" s="138"/>
      <c r="U108" s="138"/>
      <c r="V108" s="138"/>
      <c r="W108" s="138"/>
      <c r="X108" s="138"/>
      <c r="Y108" s="138"/>
      <c r="Z108" s="138"/>
      <c r="AA108" s="138">
        <f t="shared" si="33"/>
        <v>0</v>
      </c>
      <c r="AB108" s="142" t="str">
        <f t="shared" si="34"/>
        <v/>
      </c>
      <c r="AC108" s="140"/>
      <c r="AD108" s="138"/>
      <c r="AE108" s="142" t="str">
        <f t="shared" si="35"/>
        <v/>
      </c>
      <c r="AF108" s="141">
        <f t="shared" si="36"/>
        <v>0</v>
      </c>
      <c r="AG108" s="138"/>
      <c r="AH108" s="142" t="str">
        <f t="shared" si="37"/>
        <v/>
      </c>
      <c r="AI108" s="141">
        <f t="shared" si="38"/>
        <v>0</v>
      </c>
    </row>
    <row r="109" spans="1:35" x14ac:dyDescent="0.2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38"/>
      <c r="P109" s="138"/>
      <c r="Q109" s="138"/>
      <c r="R109" s="138"/>
      <c r="S109" s="138"/>
      <c r="T109" s="138"/>
      <c r="U109" s="138"/>
      <c r="V109" s="138"/>
      <c r="W109" s="138"/>
      <c r="X109" s="138"/>
      <c r="Y109" s="138"/>
      <c r="Z109" s="138"/>
      <c r="AA109" s="138">
        <f t="shared" si="33"/>
        <v>0</v>
      </c>
      <c r="AB109" s="142" t="str">
        <f t="shared" si="34"/>
        <v/>
      </c>
      <c r="AC109" s="140"/>
      <c r="AD109" s="138"/>
      <c r="AE109" s="142" t="str">
        <f t="shared" si="35"/>
        <v/>
      </c>
      <c r="AF109" s="141">
        <f t="shared" si="36"/>
        <v>0</v>
      </c>
      <c r="AG109" s="138"/>
      <c r="AH109" s="142" t="str">
        <f t="shared" si="37"/>
        <v/>
      </c>
      <c r="AI109" s="141">
        <f t="shared" si="38"/>
        <v>0</v>
      </c>
    </row>
    <row r="110" spans="1:35" x14ac:dyDescent="0.2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38"/>
      <c r="P110" s="138"/>
      <c r="Q110" s="138"/>
      <c r="R110" s="138"/>
      <c r="S110" s="138"/>
      <c r="T110" s="138"/>
      <c r="U110" s="138"/>
      <c r="V110" s="138"/>
      <c r="W110" s="138"/>
      <c r="X110" s="138"/>
      <c r="Y110" s="138"/>
      <c r="Z110" s="138"/>
      <c r="AA110" s="138">
        <f t="shared" si="33"/>
        <v>0</v>
      </c>
      <c r="AB110" s="142" t="str">
        <f t="shared" si="34"/>
        <v/>
      </c>
      <c r="AC110" s="140"/>
      <c r="AD110" s="138"/>
      <c r="AE110" s="142" t="str">
        <f t="shared" si="35"/>
        <v/>
      </c>
      <c r="AF110" s="141">
        <f t="shared" si="36"/>
        <v>0</v>
      </c>
      <c r="AG110" s="138"/>
      <c r="AH110" s="142" t="str">
        <f t="shared" si="37"/>
        <v/>
      </c>
      <c r="AI110" s="141">
        <f t="shared" si="38"/>
        <v>0</v>
      </c>
    </row>
    <row r="111" spans="1:35" x14ac:dyDescent="0.2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2"/>
      <c r="P111" s="162"/>
      <c r="Q111" s="162"/>
      <c r="R111" s="162"/>
      <c r="S111" s="162"/>
      <c r="T111" s="162"/>
      <c r="U111" s="162"/>
      <c r="V111" s="162"/>
      <c r="W111" s="162"/>
      <c r="X111" s="162"/>
      <c r="Y111" s="162"/>
      <c r="Z111" s="162"/>
      <c r="AA111" s="162">
        <f t="shared" si="33"/>
        <v>0</v>
      </c>
      <c r="AB111" s="163" t="str">
        <f t="shared" si="34"/>
        <v/>
      </c>
      <c r="AC111" s="140"/>
      <c r="AD111" s="162"/>
      <c r="AE111" s="163" t="str">
        <f t="shared" si="35"/>
        <v/>
      </c>
      <c r="AF111" s="164">
        <f t="shared" si="36"/>
        <v>0</v>
      </c>
      <c r="AG111" s="162"/>
      <c r="AH111" s="163" t="str">
        <f t="shared" si="37"/>
        <v/>
      </c>
      <c r="AI111" s="164">
        <f t="shared" si="38"/>
        <v>0</v>
      </c>
    </row>
    <row r="112" spans="1:35" x14ac:dyDescent="0.25">
      <c r="A112" s="11"/>
      <c r="B112" s="11"/>
      <c r="C112" s="208"/>
      <c r="D112" s="11"/>
      <c r="E112" s="11"/>
      <c r="F112" s="11"/>
      <c r="G112" s="11"/>
      <c r="H112" s="185"/>
      <c r="I112" s="122"/>
      <c r="J112" s="122"/>
      <c r="K112" s="11"/>
      <c r="L112" s="90"/>
      <c r="M112" s="90"/>
      <c r="N112" s="53"/>
      <c r="O112" s="170"/>
      <c r="P112" s="171"/>
      <c r="Q112" s="171"/>
      <c r="R112" s="171"/>
      <c r="S112" s="171"/>
      <c r="T112" s="171"/>
      <c r="U112" s="171"/>
      <c r="V112" s="171"/>
      <c r="W112" s="171"/>
      <c r="X112" s="171"/>
      <c r="Y112" s="171"/>
      <c r="Z112" s="171"/>
      <c r="AA112" s="171"/>
      <c r="AB112" s="172"/>
      <c r="AC112" s="140"/>
      <c r="AD112" s="170"/>
      <c r="AE112" s="171"/>
      <c r="AF112" s="172"/>
      <c r="AG112" s="170"/>
      <c r="AH112" s="171"/>
      <c r="AI112" s="172"/>
    </row>
    <row r="113" spans="1:35" x14ac:dyDescent="0.25">
      <c r="A113" s="11"/>
      <c r="B113" s="11"/>
      <c r="C113" s="208"/>
      <c r="D113" s="11"/>
      <c r="E113" s="11"/>
      <c r="F113" s="11"/>
      <c r="G113" s="11"/>
      <c r="H113" s="185"/>
      <c r="I113" s="122"/>
      <c r="J113" s="122"/>
      <c r="K113" s="11"/>
      <c r="L113" s="90"/>
      <c r="M113" s="90"/>
      <c r="N113" s="53" t="s">
        <v>338</v>
      </c>
      <c r="O113" s="158"/>
      <c r="P113" s="159"/>
      <c r="Q113" s="159"/>
      <c r="R113" s="159"/>
      <c r="S113" s="159"/>
      <c r="T113" s="159"/>
      <c r="U113" s="159"/>
      <c r="V113" s="159"/>
      <c r="W113" s="159"/>
      <c r="X113" s="159"/>
      <c r="Y113" s="159"/>
      <c r="Z113" s="159"/>
      <c r="AA113" s="159"/>
      <c r="AB113" s="160"/>
      <c r="AC113" s="140"/>
      <c r="AD113" s="158"/>
      <c r="AE113" s="159"/>
      <c r="AF113" s="160"/>
      <c r="AG113" s="158"/>
      <c r="AH113" s="159"/>
      <c r="AI113" s="160"/>
    </row>
    <row r="114" spans="1:35" x14ac:dyDescent="0.2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38"/>
      <c r="P114" s="138"/>
      <c r="Q114" s="138"/>
      <c r="R114" s="138"/>
      <c r="S114" s="138"/>
      <c r="T114" s="138"/>
      <c r="U114" s="138"/>
      <c r="V114" s="138"/>
      <c r="W114" s="138"/>
      <c r="X114" s="138"/>
      <c r="Y114" s="138"/>
      <c r="Z114" s="138"/>
      <c r="AA114" s="138">
        <f t="shared" ref="AA114:AA119" si="39">SUM(O114:Z114)</f>
        <v>0</v>
      </c>
      <c r="AB114" s="142" t="str">
        <f t="shared" ref="AB114:AB119" si="40">IF(AA114=0,"",IFERROR(AA114/AA$19,""))</f>
        <v/>
      </c>
      <c r="AC114" s="140"/>
      <c r="AD114" s="138"/>
      <c r="AE114" s="142" t="str">
        <f t="shared" ref="AE114:AE119" si="41">IF(AD114=0,"",IFERROR(AD114/AD$19,""))</f>
        <v/>
      </c>
      <c r="AF114" s="141">
        <f t="shared" ref="AF114:AF119" si="42">IF(AND($AA114="",AD114=""),"",$AA114-AD114)</f>
        <v>0</v>
      </c>
      <c r="AG114" s="138"/>
      <c r="AH114" s="142" t="str">
        <f t="shared" ref="AH114:AH119" si="43">IF(AG114=0,"",IFERROR(AG114/AG$19,""))</f>
        <v/>
      </c>
      <c r="AI114" s="141">
        <f t="shared" ref="AI114:AI119" si="44">IF(AND($AA114="",AG114=""),"",$AA114-AG114)</f>
        <v>0</v>
      </c>
    </row>
    <row r="115" spans="1:35" x14ac:dyDescent="0.2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38"/>
      <c r="P115" s="138"/>
      <c r="Q115" s="138"/>
      <c r="R115" s="138"/>
      <c r="S115" s="138"/>
      <c r="T115" s="138"/>
      <c r="U115" s="138"/>
      <c r="V115" s="138"/>
      <c r="W115" s="138"/>
      <c r="X115" s="138"/>
      <c r="Y115" s="138"/>
      <c r="Z115" s="138"/>
      <c r="AA115" s="138">
        <f t="shared" si="39"/>
        <v>0</v>
      </c>
      <c r="AB115" s="142" t="str">
        <f t="shared" si="40"/>
        <v/>
      </c>
      <c r="AC115" s="140"/>
      <c r="AD115" s="138"/>
      <c r="AE115" s="142" t="str">
        <f t="shared" si="41"/>
        <v/>
      </c>
      <c r="AF115" s="141">
        <f t="shared" si="42"/>
        <v>0</v>
      </c>
      <c r="AG115" s="138"/>
      <c r="AH115" s="142" t="str">
        <f t="shared" si="43"/>
        <v/>
      </c>
      <c r="AI115" s="141">
        <f t="shared" si="44"/>
        <v>0</v>
      </c>
    </row>
    <row r="116" spans="1:35" x14ac:dyDescent="0.2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38"/>
      <c r="P116" s="138"/>
      <c r="Q116" s="138"/>
      <c r="R116" s="138"/>
      <c r="S116" s="138"/>
      <c r="T116" s="138"/>
      <c r="U116" s="138"/>
      <c r="V116" s="138"/>
      <c r="W116" s="138"/>
      <c r="X116" s="138"/>
      <c r="Y116" s="138"/>
      <c r="Z116" s="138"/>
      <c r="AA116" s="138">
        <f t="shared" si="39"/>
        <v>0</v>
      </c>
      <c r="AB116" s="142" t="str">
        <f t="shared" si="40"/>
        <v/>
      </c>
      <c r="AC116" s="140"/>
      <c r="AD116" s="138"/>
      <c r="AE116" s="142" t="str">
        <f t="shared" si="41"/>
        <v/>
      </c>
      <c r="AF116" s="141">
        <f t="shared" si="42"/>
        <v>0</v>
      </c>
      <c r="AG116" s="138"/>
      <c r="AH116" s="142" t="str">
        <f t="shared" si="43"/>
        <v/>
      </c>
      <c r="AI116" s="141">
        <f t="shared" si="44"/>
        <v>0</v>
      </c>
    </row>
    <row r="117" spans="1:35" x14ac:dyDescent="0.2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38"/>
      <c r="P117" s="138"/>
      <c r="Q117" s="138"/>
      <c r="R117" s="138"/>
      <c r="S117" s="138"/>
      <c r="T117" s="138"/>
      <c r="U117" s="138"/>
      <c r="V117" s="138"/>
      <c r="W117" s="138"/>
      <c r="X117" s="138"/>
      <c r="Y117" s="138"/>
      <c r="Z117" s="138"/>
      <c r="AA117" s="138">
        <f t="shared" si="39"/>
        <v>0</v>
      </c>
      <c r="AB117" s="142" t="str">
        <f t="shared" si="40"/>
        <v/>
      </c>
      <c r="AC117" s="140"/>
      <c r="AD117" s="138"/>
      <c r="AE117" s="142" t="str">
        <f t="shared" si="41"/>
        <v/>
      </c>
      <c r="AF117" s="141">
        <f t="shared" si="42"/>
        <v>0</v>
      </c>
      <c r="AG117" s="138"/>
      <c r="AH117" s="142" t="str">
        <f t="shared" si="43"/>
        <v/>
      </c>
      <c r="AI117" s="141">
        <f t="shared" si="44"/>
        <v>0</v>
      </c>
    </row>
    <row r="118" spans="1:35" x14ac:dyDescent="0.2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38"/>
      <c r="P118" s="138"/>
      <c r="Q118" s="138"/>
      <c r="R118" s="138"/>
      <c r="S118" s="138"/>
      <c r="T118" s="138"/>
      <c r="U118" s="138"/>
      <c r="V118" s="138"/>
      <c r="W118" s="138"/>
      <c r="X118" s="138"/>
      <c r="Y118" s="138"/>
      <c r="Z118" s="138"/>
      <c r="AA118" s="138">
        <f t="shared" si="39"/>
        <v>0</v>
      </c>
      <c r="AB118" s="142" t="str">
        <f t="shared" si="40"/>
        <v/>
      </c>
      <c r="AC118" s="140"/>
      <c r="AD118" s="138"/>
      <c r="AE118" s="142" t="str">
        <f t="shared" si="41"/>
        <v/>
      </c>
      <c r="AF118" s="141">
        <f t="shared" si="42"/>
        <v>0</v>
      </c>
      <c r="AG118" s="138"/>
      <c r="AH118" s="142" t="str">
        <f t="shared" si="43"/>
        <v/>
      </c>
      <c r="AI118" s="141">
        <f t="shared" si="44"/>
        <v>0</v>
      </c>
    </row>
    <row r="119" spans="1:35" x14ac:dyDescent="0.2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2"/>
      <c r="P119" s="162"/>
      <c r="Q119" s="162"/>
      <c r="R119" s="162"/>
      <c r="S119" s="162"/>
      <c r="T119" s="162"/>
      <c r="U119" s="162"/>
      <c r="V119" s="162"/>
      <c r="W119" s="162"/>
      <c r="X119" s="162"/>
      <c r="Y119" s="162"/>
      <c r="Z119" s="162"/>
      <c r="AA119" s="162">
        <f t="shared" si="39"/>
        <v>0</v>
      </c>
      <c r="AB119" s="163" t="str">
        <f t="shared" si="40"/>
        <v/>
      </c>
      <c r="AC119" s="140"/>
      <c r="AD119" s="162"/>
      <c r="AE119" s="163" t="str">
        <f t="shared" si="41"/>
        <v/>
      </c>
      <c r="AF119" s="164">
        <f t="shared" si="42"/>
        <v>0</v>
      </c>
      <c r="AG119" s="162"/>
      <c r="AH119" s="163" t="str">
        <f t="shared" si="43"/>
        <v/>
      </c>
      <c r="AI119" s="164">
        <f t="shared" si="44"/>
        <v>0</v>
      </c>
    </row>
    <row r="120" spans="1:35" x14ac:dyDescent="0.25">
      <c r="A120" s="11"/>
      <c r="B120" s="11"/>
      <c r="C120" s="208"/>
      <c r="D120" s="11"/>
      <c r="E120" s="11"/>
      <c r="F120" s="11"/>
      <c r="G120" s="11"/>
      <c r="H120" s="185"/>
      <c r="I120" s="122"/>
      <c r="J120" s="122"/>
      <c r="K120" s="11"/>
      <c r="L120" s="90"/>
      <c r="M120" s="90"/>
      <c r="N120" s="11"/>
      <c r="O120" s="170"/>
      <c r="P120" s="171"/>
      <c r="Q120" s="171"/>
      <c r="R120" s="171"/>
      <c r="S120" s="171"/>
      <c r="T120" s="171"/>
      <c r="U120" s="171"/>
      <c r="V120" s="171"/>
      <c r="W120" s="171"/>
      <c r="X120" s="171"/>
      <c r="Y120" s="171"/>
      <c r="Z120" s="171"/>
      <c r="AA120" s="171"/>
      <c r="AB120" s="172"/>
      <c r="AC120" s="140"/>
      <c r="AD120" s="170"/>
      <c r="AE120" s="171"/>
      <c r="AF120" s="172"/>
      <c r="AG120" s="170"/>
      <c r="AH120" s="171"/>
      <c r="AI120" s="172"/>
    </row>
    <row r="121" spans="1:35" x14ac:dyDescent="0.2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38">
        <f t="shared" ref="O121:Z121" si="45">O98+O106+O114</f>
        <v>0</v>
      </c>
      <c r="P121" s="138">
        <f t="shared" si="45"/>
        <v>0</v>
      </c>
      <c r="Q121" s="138">
        <f t="shared" si="45"/>
        <v>0</v>
      </c>
      <c r="R121" s="138">
        <f t="shared" si="45"/>
        <v>0</v>
      </c>
      <c r="S121" s="138">
        <f t="shared" si="45"/>
        <v>0</v>
      </c>
      <c r="T121" s="138">
        <f t="shared" si="45"/>
        <v>0</v>
      </c>
      <c r="U121" s="138">
        <f t="shared" si="45"/>
        <v>0</v>
      </c>
      <c r="V121" s="138">
        <f t="shared" si="45"/>
        <v>0</v>
      </c>
      <c r="W121" s="138">
        <f t="shared" si="45"/>
        <v>0</v>
      </c>
      <c r="X121" s="138">
        <f t="shared" si="45"/>
        <v>0</v>
      </c>
      <c r="Y121" s="138">
        <f t="shared" si="45"/>
        <v>0</v>
      </c>
      <c r="Z121" s="138">
        <f t="shared" si="45"/>
        <v>0</v>
      </c>
      <c r="AA121" s="138">
        <f t="shared" ref="AA121:AA126" si="46">SUM(O121:Z121)</f>
        <v>0</v>
      </c>
      <c r="AB121" s="142" t="str">
        <f t="shared" ref="AB121:AB126" si="47">IF(AA121=0,"",IFERROR(AA121/AA$19,""))</f>
        <v/>
      </c>
      <c r="AC121" s="140"/>
      <c r="AD121" s="138">
        <f>AD98+AD106+AD114</f>
        <v>0</v>
      </c>
      <c r="AE121" s="142" t="str">
        <f t="shared" ref="AE121:AE126" si="48">IF(AD121=0,"",IFERROR(AD121/AD$19,""))</f>
        <v/>
      </c>
      <c r="AF121" s="141">
        <f t="shared" ref="AF121:AF126" si="49">IF(AND($AA121="",AD121=""),"",$AA121-AD121)</f>
        <v>0</v>
      </c>
      <c r="AG121" s="138">
        <f>AG98+AG106+AG114</f>
        <v>0</v>
      </c>
      <c r="AH121" s="142" t="str">
        <f t="shared" ref="AH121:AH126" si="50">IF(AG121=0,"",IFERROR(AG121/AG$19,""))</f>
        <v/>
      </c>
      <c r="AI121" s="141">
        <f t="shared" ref="AI121:AI126" si="51">IF(AND($AA121="",AG121=""),"",$AA121-AG121)</f>
        <v>0</v>
      </c>
    </row>
    <row r="122" spans="1:35" x14ac:dyDescent="0.2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38">
        <f t="shared" ref="O122:Z122" si="52">O99+O107+O115</f>
        <v>0</v>
      </c>
      <c r="P122" s="138">
        <f t="shared" si="52"/>
        <v>0</v>
      </c>
      <c r="Q122" s="138">
        <f t="shared" si="52"/>
        <v>0</v>
      </c>
      <c r="R122" s="138">
        <f t="shared" si="52"/>
        <v>0</v>
      </c>
      <c r="S122" s="138">
        <f t="shared" si="52"/>
        <v>0</v>
      </c>
      <c r="T122" s="138">
        <f t="shared" si="52"/>
        <v>0</v>
      </c>
      <c r="U122" s="138">
        <f t="shared" si="52"/>
        <v>0</v>
      </c>
      <c r="V122" s="138">
        <f t="shared" si="52"/>
        <v>0</v>
      </c>
      <c r="W122" s="138">
        <f t="shared" si="52"/>
        <v>0</v>
      </c>
      <c r="X122" s="138">
        <f t="shared" si="52"/>
        <v>0</v>
      </c>
      <c r="Y122" s="138">
        <f t="shared" si="52"/>
        <v>0</v>
      </c>
      <c r="Z122" s="138">
        <f t="shared" si="52"/>
        <v>0</v>
      </c>
      <c r="AA122" s="138">
        <f t="shared" si="46"/>
        <v>0</v>
      </c>
      <c r="AB122" s="142" t="str">
        <f t="shared" si="47"/>
        <v/>
      </c>
      <c r="AC122" s="140"/>
      <c r="AD122" s="138">
        <f>AD99+AD107+AD115</f>
        <v>0</v>
      </c>
      <c r="AE122" s="142" t="str">
        <f t="shared" si="48"/>
        <v/>
      </c>
      <c r="AF122" s="141">
        <f t="shared" si="49"/>
        <v>0</v>
      </c>
      <c r="AG122" s="138">
        <f>AG99+AG107+AG115</f>
        <v>0</v>
      </c>
      <c r="AH122" s="142" t="str">
        <f t="shared" si="50"/>
        <v/>
      </c>
      <c r="AI122" s="141">
        <f t="shared" si="51"/>
        <v>0</v>
      </c>
    </row>
    <row r="123" spans="1:35" x14ac:dyDescent="0.2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38">
        <f t="shared" ref="O123:Z123" si="53">O100+O108+O116</f>
        <v>0</v>
      </c>
      <c r="P123" s="138">
        <f t="shared" si="53"/>
        <v>0</v>
      </c>
      <c r="Q123" s="138">
        <f t="shared" si="53"/>
        <v>0</v>
      </c>
      <c r="R123" s="138">
        <f t="shared" si="53"/>
        <v>0</v>
      </c>
      <c r="S123" s="138">
        <f t="shared" si="53"/>
        <v>0</v>
      </c>
      <c r="T123" s="138">
        <f t="shared" si="53"/>
        <v>0</v>
      </c>
      <c r="U123" s="138">
        <f t="shared" si="53"/>
        <v>0</v>
      </c>
      <c r="V123" s="138">
        <f t="shared" si="53"/>
        <v>0</v>
      </c>
      <c r="W123" s="138">
        <f t="shared" si="53"/>
        <v>0</v>
      </c>
      <c r="X123" s="138">
        <f t="shared" si="53"/>
        <v>0</v>
      </c>
      <c r="Y123" s="138">
        <f t="shared" si="53"/>
        <v>0</v>
      </c>
      <c r="Z123" s="138">
        <f t="shared" si="53"/>
        <v>0</v>
      </c>
      <c r="AA123" s="138">
        <f t="shared" si="46"/>
        <v>0</v>
      </c>
      <c r="AB123" s="142" t="str">
        <f t="shared" si="47"/>
        <v/>
      </c>
      <c r="AC123" s="140"/>
      <c r="AD123" s="138">
        <f>AD100+AD108+AD116</f>
        <v>0</v>
      </c>
      <c r="AE123" s="142" t="str">
        <f t="shared" si="48"/>
        <v/>
      </c>
      <c r="AF123" s="141">
        <f t="shared" si="49"/>
        <v>0</v>
      </c>
      <c r="AG123" s="138">
        <f>AG100+AG108+AG116</f>
        <v>0</v>
      </c>
      <c r="AH123" s="142" t="str">
        <f t="shared" si="50"/>
        <v/>
      </c>
      <c r="AI123" s="141">
        <f t="shared" si="51"/>
        <v>0</v>
      </c>
    </row>
    <row r="124" spans="1:35" x14ac:dyDescent="0.2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38">
        <f t="shared" ref="O124:Z124" si="54">O101+O109+O117</f>
        <v>0</v>
      </c>
      <c r="P124" s="138">
        <f t="shared" si="54"/>
        <v>0</v>
      </c>
      <c r="Q124" s="138">
        <f t="shared" si="54"/>
        <v>0</v>
      </c>
      <c r="R124" s="138">
        <f t="shared" si="54"/>
        <v>0</v>
      </c>
      <c r="S124" s="138">
        <f t="shared" si="54"/>
        <v>0</v>
      </c>
      <c r="T124" s="138">
        <f t="shared" si="54"/>
        <v>0</v>
      </c>
      <c r="U124" s="138">
        <f t="shared" si="54"/>
        <v>0</v>
      </c>
      <c r="V124" s="138">
        <f t="shared" si="54"/>
        <v>0</v>
      </c>
      <c r="W124" s="138">
        <f t="shared" si="54"/>
        <v>0</v>
      </c>
      <c r="X124" s="138">
        <f t="shared" si="54"/>
        <v>0</v>
      </c>
      <c r="Y124" s="138">
        <f t="shared" si="54"/>
        <v>0</v>
      </c>
      <c r="Z124" s="138">
        <f t="shared" si="54"/>
        <v>0</v>
      </c>
      <c r="AA124" s="138">
        <f t="shared" si="46"/>
        <v>0</v>
      </c>
      <c r="AB124" s="142" t="str">
        <f t="shared" si="47"/>
        <v/>
      </c>
      <c r="AC124" s="140"/>
      <c r="AD124" s="138">
        <f>AD101+AD109+AD117</f>
        <v>0</v>
      </c>
      <c r="AE124" s="142" t="str">
        <f t="shared" si="48"/>
        <v/>
      </c>
      <c r="AF124" s="141">
        <f t="shared" si="49"/>
        <v>0</v>
      </c>
      <c r="AG124" s="138">
        <f>AG101+AG109+AG117</f>
        <v>0</v>
      </c>
      <c r="AH124" s="142" t="str">
        <f t="shared" si="50"/>
        <v/>
      </c>
      <c r="AI124" s="141">
        <f t="shared" si="51"/>
        <v>0</v>
      </c>
    </row>
    <row r="125" spans="1:35" x14ac:dyDescent="0.2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38">
        <f t="shared" ref="O125:Z125" si="55">O102+O110+O118</f>
        <v>0</v>
      </c>
      <c r="P125" s="138">
        <f t="shared" si="55"/>
        <v>0</v>
      </c>
      <c r="Q125" s="138">
        <f t="shared" si="55"/>
        <v>0</v>
      </c>
      <c r="R125" s="138">
        <f t="shared" si="55"/>
        <v>0</v>
      </c>
      <c r="S125" s="138">
        <f t="shared" si="55"/>
        <v>0</v>
      </c>
      <c r="T125" s="138">
        <f t="shared" si="55"/>
        <v>0</v>
      </c>
      <c r="U125" s="138">
        <f t="shared" si="55"/>
        <v>0</v>
      </c>
      <c r="V125" s="138">
        <f t="shared" si="55"/>
        <v>0</v>
      </c>
      <c r="W125" s="138">
        <f t="shared" si="55"/>
        <v>0</v>
      </c>
      <c r="X125" s="138">
        <f t="shared" si="55"/>
        <v>0</v>
      </c>
      <c r="Y125" s="138">
        <f t="shared" si="55"/>
        <v>0</v>
      </c>
      <c r="Z125" s="138">
        <f t="shared" si="55"/>
        <v>0</v>
      </c>
      <c r="AA125" s="138">
        <f t="shared" si="46"/>
        <v>0</v>
      </c>
      <c r="AB125" s="142" t="str">
        <f t="shared" si="47"/>
        <v/>
      </c>
      <c r="AC125" s="140"/>
      <c r="AD125" s="138">
        <f>AD102+AD110+AD118</f>
        <v>0</v>
      </c>
      <c r="AE125" s="142" t="str">
        <f t="shared" si="48"/>
        <v/>
      </c>
      <c r="AF125" s="141">
        <f t="shared" si="49"/>
        <v>0</v>
      </c>
      <c r="AG125" s="138">
        <f>AG102+AG110+AG118</f>
        <v>0</v>
      </c>
      <c r="AH125" s="142" t="str">
        <f t="shared" si="50"/>
        <v/>
      </c>
      <c r="AI125" s="141">
        <f t="shared" si="51"/>
        <v>0</v>
      </c>
    </row>
    <row r="126" spans="1:35" x14ac:dyDescent="0.2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2">
        <f t="shared" ref="O126:Z126" si="56">SUM(O121:O125)</f>
        <v>0</v>
      </c>
      <c r="P126" s="162">
        <f t="shared" si="56"/>
        <v>0</v>
      </c>
      <c r="Q126" s="162">
        <f t="shared" si="56"/>
        <v>0</v>
      </c>
      <c r="R126" s="162">
        <f t="shared" si="56"/>
        <v>0</v>
      </c>
      <c r="S126" s="162">
        <f t="shared" si="56"/>
        <v>0</v>
      </c>
      <c r="T126" s="162">
        <f t="shared" si="56"/>
        <v>0</v>
      </c>
      <c r="U126" s="162">
        <f t="shared" si="56"/>
        <v>0</v>
      </c>
      <c r="V126" s="162">
        <f t="shared" si="56"/>
        <v>0</v>
      </c>
      <c r="W126" s="162">
        <f t="shared" si="56"/>
        <v>0</v>
      </c>
      <c r="X126" s="162">
        <f t="shared" si="56"/>
        <v>0</v>
      </c>
      <c r="Y126" s="162">
        <f t="shared" si="56"/>
        <v>0</v>
      </c>
      <c r="Z126" s="162">
        <f t="shared" si="56"/>
        <v>0</v>
      </c>
      <c r="AA126" s="162">
        <f t="shared" si="46"/>
        <v>0</v>
      </c>
      <c r="AB126" s="163" t="str">
        <f t="shared" si="47"/>
        <v/>
      </c>
      <c r="AC126" s="140"/>
      <c r="AD126" s="162">
        <f>SUM(AD121:AD125)</f>
        <v>0</v>
      </c>
      <c r="AE126" s="163" t="str">
        <f t="shared" si="48"/>
        <v/>
      </c>
      <c r="AF126" s="164">
        <f t="shared" si="49"/>
        <v>0</v>
      </c>
      <c r="AG126" s="162">
        <f>SUM(AG121:AG125)</f>
        <v>0</v>
      </c>
      <c r="AH126" s="163" t="str">
        <f t="shared" si="50"/>
        <v/>
      </c>
      <c r="AI126" s="164">
        <f t="shared" si="51"/>
        <v>0</v>
      </c>
    </row>
    <row r="127" spans="1:35" x14ac:dyDescent="0.2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2"/>
      <c r="AC127" s="140"/>
      <c r="AD127" s="511">
        <f>AD103+AD111+AD119-AD126</f>
        <v>0</v>
      </c>
      <c r="AE127" s="142"/>
      <c r="AF127" s="138"/>
      <c r="AG127" s="511">
        <f>AG103+AG111+AG119-AG126</f>
        <v>0</v>
      </c>
      <c r="AH127" s="142"/>
      <c r="AI127" s="138"/>
    </row>
    <row r="128" spans="1:35" x14ac:dyDescent="0.25">
      <c r="A128" s="11"/>
      <c r="B128" s="11"/>
      <c r="C128" s="208"/>
      <c r="D128" s="11"/>
      <c r="E128" s="11"/>
      <c r="F128" s="11"/>
      <c r="G128" s="11"/>
      <c r="H128" s="185"/>
      <c r="I128" s="122"/>
      <c r="J128" s="122"/>
      <c r="K128" s="11"/>
      <c r="L128" s="11"/>
      <c r="M128" s="11"/>
      <c r="N128" s="11"/>
      <c r="O128" s="170"/>
      <c r="P128" s="171"/>
      <c r="Q128" s="171"/>
      <c r="R128" s="171"/>
      <c r="S128" s="171"/>
      <c r="T128" s="171"/>
      <c r="U128" s="171"/>
      <c r="V128" s="171"/>
      <c r="W128" s="171"/>
      <c r="X128" s="171"/>
      <c r="Y128" s="171"/>
      <c r="Z128" s="171"/>
      <c r="AA128" s="171"/>
      <c r="AB128" s="172"/>
      <c r="AC128" s="140"/>
      <c r="AD128" s="170"/>
      <c r="AE128" s="171"/>
      <c r="AF128" s="172"/>
      <c r="AG128" s="170"/>
      <c r="AH128" s="171"/>
      <c r="AI128" s="172"/>
    </row>
    <row r="129" spans="1:35" ht="15.75" x14ac:dyDescent="0.2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2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38"/>
      <c r="P130" s="138"/>
      <c r="Q130" s="138"/>
      <c r="R130" s="138"/>
      <c r="S130" s="138"/>
      <c r="T130" s="138"/>
      <c r="U130" s="138"/>
      <c r="V130" s="138"/>
      <c r="W130" s="138"/>
      <c r="X130" s="138"/>
      <c r="Y130" s="138"/>
      <c r="Z130" s="138"/>
      <c r="AA130" s="138">
        <f>SUM(O130:Z130)</f>
        <v>0</v>
      </c>
      <c r="AB130" s="458" t="str">
        <f>IF(_epmOfflineCondition_,"",IF(AA130=0,"",IFERROR(AA130/_xll.EVGTS($B$1,1,_xll.EVPRO($B$1,$H130,"COSBASIS"),$B$3,$B$5,$B$6,$B$7,$B$9,AA$16,AA$17,AA$11),"")))</f>
        <v/>
      </c>
      <c r="AC130" s="140"/>
      <c r="AD130" s="138"/>
      <c r="AE130" s="458" t="str">
        <f>IF(_epmOfflineCondition_,"",IF(AD130=0,"",IFERROR(AD130/_xll.EVGTS($B$1,1,_xll.EVPRO($B$1,$H130,"COSBASIS"),$B$3,$B$5,$B$6,$B$7,$B$9,AD$16,AD$17,AD$18),"")))</f>
        <v/>
      </c>
      <c r="AF130" s="141">
        <f t="shared" ref="AF130:AF141" si="58">IF(AND($AA130="",AD130=""),"",$AA130-AD130)</f>
        <v>0</v>
      </c>
      <c r="AG130" s="138"/>
      <c r="AH130" s="458" t="str">
        <f>IF(_epmOfflineCondition_,"",IF(AG130=0,"",IFERROR(AG130/_xll.EVGTS($B$1,1,_xll.EVPRO($B$1,$H130,"COSBASIS"),$B$3,$B$5,$B$6,$B$7,$B$9,AG$16,AG$17,AG$18),"")))</f>
        <v/>
      </c>
      <c r="AI130" s="141">
        <f t="shared" ref="AI130:AI141" si="59">IF(AND($AA130="",AG130=""),"",$AA130-AG130)</f>
        <v>0</v>
      </c>
    </row>
    <row r="131" spans="1:35" x14ac:dyDescent="0.2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58"/>
      <c r="AC131" s="140"/>
      <c r="AD131" s="508"/>
      <c r="AE131" s="458"/>
      <c r="AF131" s="521" t="str">
        <f t="shared" si="58"/>
        <v/>
      </c>
      <c r="AG131" s="508"/>
      <c r="AH131" s="458"/>
      <c r="AI131" s="521" t="str">
        <f t="shared" si="59"/>
        <v/>
      </c>
    </row>
    <row r="132" spans="1:35" x14ac:dyDescent="0.2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38"/>
      <c r="P132" s="138"/>
      <c r="Q132" s="138"/>
      <c r="R132" s="138"/>
      <c r="S132" s="138"/>
      <c r="T132" s="138"/>
      <c r="U132" s="138"/>
      <c r="V132" s="138"/>
      <c r="W132" s="138"/>
      <c r="X132" s="138"/>
      <c r="Y132" s="138"/>
      <c r="Z132" s="138"/>
      <c r="AA132" s="138">
        <f>SUM(O132:Z132)</f>
        <v>0</v>
      </c>
      <c r="AB132" s="458" t="str">
        <f>IF(_epmOfflineCondition_,"",IF(AA132=0,"",IFERROR(AA132/_xll.EVGTS($B$1,1,_xll.EVPRO($B$1,$H132,"COSBASIS"),$B$3,$B$5,$B$6,$B$7,$B$9,AA$16,AA$17,AA$11),"")))</f>
        <v/>
      </c>
      <c r="AC132" s="140"/>
      <c r="AD132" s="138"/>
      <c r="AE132" s="458" t="str">
        <f>IF(_epmOfflineCondition_,"",IF(AD132=0,"",IFERROR(AD132/_xll.EVGTS($B$1,1,_xll.EVPRO($B$1,$H132,"COSBASIS"),$B$3,$B$5,$B$6,$B$7,$B$9,AD$16,AD$17,AD$18),"")))</f>
        <v/>
      </c>
      <c r="AF132" s="141">
        <f t="shared" si="58"/>
        <v>0</v>
      </c>
      <c r="AG132" s="138"/>
      <c r="AH132" s="458" t="str">
        <f>IF(_epmOfflineCondition_,"",IF(AG132=0,"",IFERROR(AG132/_xll.EVGTS($B$1,1,_xll.EVPRO($B$1,$H132,"COSBASIS"),$B$3,$B$5,$B$6,$B$7,$B$9,AG$16,AG$17,AG$18),"")))</f>
        <v/>
      </c>
      <c r="AI132" s="141">
        <f t="shared" si="59"/>
        <v>0</v>
      </c>
    </row>
    <row r="133" spans="1:35" x14ac:dyDescent="0.2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58"/>
      <c r="AC133" s="140"/>
      <c r="AD133" s="508"/>
      <c r="AE133" s="458"/>
      <c r="AF133" s="521" t="str">
        <f t="shared" si="58"/>
        <v/>
      </c>
      <c r="AG133" s="508"/>
      <c r="AH133" s="458"/>
      <c r="AI133" s="521" t="str">
        <f t="shared" si="59"/>
        <v/>
      </c>
    </row>
    <row r="134" spans="1:35" x14ac:dyDescent="0.2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38"/>
      <c r="P134" s="138"/>
      <c r="Q134" s="138"/>
      <c r="R134" s="138"/>
      <c r="S134" s="138"/>
      <c r="T134" s="138"/>
      <c r="U134" s="138"/>
      <c r="V134" s="138"/>
      <c r="W134" s="138"/>
      <c r="X134" s="138"/>
      <c r="Y134" s="138"/>
      <c r="Z134" s="138"/>
      <c r="AA134" s="138">
        <f>SUM(O134:Z134)</f>
        <v>0</v>
      </c>
      <c r="AB134" s="458" t="str">
        <f>IF(_epmOfflineCondition_,"",IF(AA134=0,"",IFERROR(AA134/_xll.EVGTS($B$1,1,_xll.EVPRO($B$1,$H134,"COSBASIS"),$B$3,$B$5,$B$6,$B$7,$B$9,AA$16,AA$17,AA$11),"")))</f>
        <v/>
      </c>
      <c r="AC134" s="140"/>
      <c r="AD134" s="138"/>
      <c r="AE134" s="458" t="str">
        <f>IF(_epmOfflineCondition_,"",IF(AD134=0,"",IFERROR(AD134/_xll.EVGTS($B$1,1,_xll.EVPRO($B$1,$H134,"COSBASIS"),$B$3,$B$5,$B$6,$B$7,$B$9,AD$16,AD$17,AD$18),"")))</f>
        <v/>
      </c>
      <c r="AF134" s="141">
        <f t="shared" si="58"/>
        <v>0</v>
      </c>
      <c r="AG134" s="138"/>
      <c r="AH134" s="458" t="str">
        <f>IF(_epmOfflineCondition_,"",IF(AG134=0,"",IFERROR(AG134/_xll.EVGTS($B$1,1,_xll.EVPRO($B$1,$H134,"COSBASIS"),$B$3,$B$5,$B$6,$B$7,$B$9,AG$16,AG$17,AG$18),"")))</f>
        <v/>
      </c>
      <c r="AI134" s="141">
        <f t="shared" si="59"/>
        <v>0</v>
      </c>
    </row>
    <row r="135" spans="1:35" x14ac:dyDescent="0.2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58"/>
      <c r="AC135" s="140"/>
      <c r="AD135" s="508"/>
      <c r="AE135" s="458"/>
      <c r="AF135" s="521" t="str">
        <f t="shared" si="58"/>
        <v/>
      </c>
      <c r="AG135" s="508"/>
      <c r="AH135" s="458"/>
      <c r="AI135" s="521" t="str">
        <f t="shared" si="59"/>
        <v/>
      </c>
    </row>
    <row r="136" spans="1:35" x14ac:dyDescent="0.2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38"/>
      <c r="P136" s="138"/>
      <c r="Q136" s="138"/>
      <c r="R136" s="138"/>
      <c r="S136" s="138"/>
      <c r="T136" s="138"/>
      <c r="U136" s="138"/>
      <c r="V136" s="138"/>
      <c r="W136" s="138"/>
      <c r="X136" s="138"/>
      <c r="Y136" s="138"/>
      <c r="Z136" s="138"/>
      <c r="AA136" s="138">
        <f>SUM(O136:Z136)</f>
        <v>0</v>
      </c>
      <c r="AB136" s="458" t="str">
        <f>IF(_epmOfflineCondition_,"",IF(AA136=0,"",IFERROR(AA136/_xll.EVGTS($B$1,1,_xll.EVPRO($B$1,$H136,"COSBASIS"),$B$3,$B$5,$B$6,$B$7,$B$9,AA$16,AA$17,AA$11),"")))</f>
        <v/>
      </c>
      <c r="AC136" s="140"/>
      <c r="AD136" s="138"/>
      <c r="AE136" s="458" t="str">
        <f>IF(_epmOfflineCondition_,"",IF(AD136=0,"",IFERROR(AD136/_xll.EVGTS($B$1,1,_xll.EVPRO($B$1,$H136,"COSBASIS"),$B$3,$B$5,$B$6,$B$7,$B$9,AD$16,AD$17,AD$18),"")))</f>
        <v/>
      </c>
      <c r="AF136" s="141">
        <f t="shared" si="58"/>
        <v>0</v>
      </c>
      <c r="AG136" s="138"/>
      <c r="AH136" s="458" t="str">
        <f>IF(_epmOfflineCondition_,"",IF(AG136=0,"",IFERROR(AG136/_xll.EVGTS($B$1,1,_xll.EVPRO($B$1,$H136,"COSBASIS"),$B$3,$B$5,$B$6,$B$7,$B$9,AG$16,AG$17,AG$18),"")))</f>
        <v/>
      </c>
      <c r="AI136" s="141">
        <f t="shared" si="59"/>
        <v>0</v>
      </c>
    </row>
    <row r="137" spans="1:35" x14ac:dyDescent="0.2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58"/>
      <c r="AC137" s="140"/>
      <c r="AD137" s="508"/>
      <c r="AE137" s="458"/>
      <c r="AF137" s="521" t="str">
        <f t="shared" si="58"/>
        <v/>
      </c>
      <c r="AG137" s="508"/>
      <c r="AH137" s="458"/>
      <c r="AI137" s="521" t="str">
        <f t="shared" si="59"/>
        <v/>
      </c>
    </row>
    <row r="138" spans="1:35" x14ac:dyDescent="0.2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38"/>
      <c r="P138" s="138"/>
      <c r="Q138" s="138"/>
      <c r="R138" s="138"/>
      <c r="S138" s="138"/>
      <c r="T138" s="138"/>
      <c r="U138" s="138"/>
      <c r="V138" s="138"/>
      <c r="W138" s="138"/>
      <c r="X138" s="138"/>
      <c r="Y138" s="138"/>
      <c r="Z138" s="138"/>
      <c r="AA138" s="138">
        <f>SUM(O138:Z138)</f>
        <v>0</v>
      </c>
      <c r="AB138" s="458" t="str">
        <f>IF(_epmOfflineCondition_,"",IF(AA138=0,"",IFERROR(AA138/_xll.EVGTS($B$1,1,_xll.EVPRO($B$1,$H138,"COSBASIS"),$B$3,$B$5,$B$6,$B$7,$B$9,AA$16,AA$17,AA$11),"")))</f>
        <v/>
      </c>
      <c r="AC138" s="140"/>
      <c r="AD138" s="138"/>
      <c r="AE138" s="458" t="str">
        <f>IF(_epmOfflineCondition_,"",IF(AD138=0,"",IFERROR(AD138/_xll.EVGTS($B$1,1,_xll.EVPRO($B$1,$H138,"COSBASIS"),$B$3,$B$5,$B$6,$B$7,$B$9,AD$16,AD$17,AD$18),"")))</f>
        <v/>
      </c>
      <c r="AF138" s="141">
        <f t="shared" si="58"/>
        <v>0</v>
      </c>
      <c r="AG138" s="138"/>
      <c r="AH138" s="458" t="str">
        <f>IF(_epmOfflineCondition_,"",IF(AG138=0,"",IFERROR(AG138/_xll.EVGTS($B$1,1,_xll.EVPRO($B$1,$H138,"COSBASIS"),$B$3,$B$5,$B$6,$B$7,$B$9,AG$16,AG$17,AG$18),"")))</f>
        <v/>
      </c>
      <c r="AI138" s="141">
        <f t="shared" si="59"/>
        <v>0</v>
      </c>
    </row>
    <row r="139" spans="1:35" x14ac:dyDescent="0.2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58"/>
      <c r="AC139" s="140"/>
      <c r="AD139" s="508"/>
      <c r="AE139" s="458"/>
      <c r="AF139" s="521" t="str">
        <f t="shared" si="58"/>
        <v/>
      </c>
      <c r="AG139" s="508"/>
      <c r="AH139" s="458"/>
      <c r="AI139" s="521" t="str">
        <f t="shared" si="59"/>
        <v/>
      </c>
    </row>
    <row r="140" spans="1:35" x14ac:dyDescent="0.2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38"/>
      <c r="P140" s="138"/>
      <c r="Q140" s="138"/>
      <c r="R140" s="138"/>
      <c r="S140" s="138"/>
      <c r="T140" s="138"/>
      <c r="U140" s="138"/>
      <c r="V140" s="138"/>
      <c r="W140" s="138"/>
      <c r="X140" s="138"/>
      <c r="Y140" s="138"/>
      <c r="Z140" s="138"/>
      <c r="AA140" s="138">
        <f>SUM(O140:Z140)</f>
        <v>0</v>
      </c>
      <c r="AB140" s="458" t="str">
        <f>IF(_epmOfflineCondition_,"",IF(AA140=0,"",IFERROR(AA140/_xll.EVGTS($B$1,1,_xll.EVPRO($B$1,$H140,"COSBASIS"),$B$3,$B$5,$B$6,$B$7,$B$9,AA$16,AA$17,AA$11),"")))</f>
        <v/>
      </c>
      <c r="AC140" s="140"/>
      <c r="AD140" s="138"/>
      <c r="AE140" s="458" t="str">
        <f>IF(_epmOfflineCondition_,"",IF(AD140=0,"",IFERROR(AD140/_xll.EVGTS($B$1,1,_xll.EVPRO($B$1,$H140,"COSBASIS"),$B$3,$B$5,$B$6,$B$7,$B$9,AD$16,AD$17,AD$18),"")))</f>
        <v/>
      </c>
      <c r="AF140" s="141">
        <f t="shared" si="58"/>
        <v>0</v>
      </c>
      <c r="AG140" s="138"/>
      <c r="AH140" s="458" t="str">
        <f>IF(_epmOfflineCondition_,"",IF(AG140=0,"",IFERROR(AG140/_xll.EVGTS($B$1,1,_xll.EVPRO($B$1,$H140,"COSBASIS"),$B$3,$B$5,$B$6,$B$7,$B$9,AG$16,AG$17,AG$18),"")))</f>
        <v/>
      </c>
      <c r="AI140" s="141">
        <f t="shared" si="59"/>
        <v>0</v>
      </c>
    </row>
    <row r="141" spans="1:35" x14ac:dyDescent="0.2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58"/>
      <c r="AC141" s="140"/>
      <c r="AD141" s="508" t="str">
        <f>IFERROR(AD140/AD85,"")</f>
        <v/>
      </c>
      <c r="AE141" s="458"/>
      <c r="AF141" s="521" t="str">
        <f t="shared" si="58"/>
        <v/>
      </c>
      <c r="AG141" s="508" t="str">
        <f>IFERROR(AG140/AG85,"")</f>
        <v/>
      </c>
      <c r="AH141" s="458"/>
      <c r="AI141" s="521" t="str">
        <f t="shared" si="59"/>
        <v/>
      </c>
    </row>
    <row r="142" spans="1:35" x14ac:dyDescent="0.2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2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2"/>
      <c r="AC143" s="140"/>
      <c r="AD143" s="511">
        <f>AD39+AD49+AD59+AD69+AD79+AD83-AD85</f>
        <v>0</v>
      </c>
      <c r="AE143" s="142"/>
      <c r="AF143" s="138"/>
      <c r="AG143" s="511">
        <f>AG39+AG49+AG59+AG69+AG79+AG83-AG85</f>
        <v>0</v>
      </c>
      <c r="AH143" s="142"/>
      <c r="AI143" s="138"/>
    </row>
    <row r="144" spans="1:35" x14ac:dyDescent="0.2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2"/>
      <c r="AC144" s="140"/>
      <c r="AD144" s="511">
        <f>AD41+AD51+AD61+AD71+AD80-AD87</f>
        <v>0</v>
      </c>
      <c r="AE144" s="142"/>
      <c r="AF144" s="138"/>
      <c r="AG144" s="511">
        <f>AG41+AG51+AG61+AG71+AG80-AG87</f>
        <v>0</v>
      </c>
      <c r="AH144" s="142"/>
      <c r="AI144" s="138"/>
    </row>
    <row r="145" spans="1:35" x14ac:dyDescent="0.2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2"/>
      <c r="AC145" s="140"/>
      <c r="AD145" s="510" t="e">
        <f>IFERROR(AD$85/AD87,"")-AD88</f>
        <v>#VALUE!</v>
      </c>
      <c r="AE145" s="142"/>
      <c r="AF145" s="138"/>
      <c r="AG145" s="510" t="e">
        <f>IFERROR(AG$85/AG87,"")-AG88</f>
        <v>#VALUE!</v>
      </c>
      <c r="AH145" s="142"/>
      <c r="AI145" s="138"/>
    </row>
    <row r="146" spans="1:35" x14ac:dyDescent="0.2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2"/>
      <c r="AC146" s="140"/>
      <c r="AD146" s="511">
        <f>(AD130+AD132)-AD140</f>
        <v>0</v>
      </c>
      <c r="AE146" s="142"/>
      <c r="AF146" s="138"/>
      <c r="AG146" s="511">
        <f>(AG130+AG132)-AG140</f>
        <v>0</v>
      </c>
      <c r="AH146" s="142"/>
      <c r="AI146" s="138"/>
    </row>
    <row r="147" spans="1:35" x14ac:dyDescent="0.2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2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2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2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2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TOG8G02quBCh0VBeYD4QI4WeCOU4ikSevnmUgJX/iFhWZ2mm4cl8DCXl0PXNdyHcqkcBNICQWl9gFE8Po0mUdg==" saltValue="1pNZHUOBu0j8yzjSyItXag==" spinCount="100000" sheet="1" scenarios="1"/>
  <mergeCells count="2">
    <mergeCell ref="AD31:AE31"/>
    <mergeCell ref="AG31:AH31"/>
  </mergeCells>
  <conditionalFormatting sqref="AD43 AF43:AG43 O43:AA43">
    <cfRule type="expression" dxfId="110" priority="15">
      <formula>ROUND(O42,2)&lt;&gt;ROUND(O43,2)</formula>
    </cfRule>
  </conditionalFormatting>
  <conditionalFormatting sqref="N43">
    <cfRule type="expression" dxfId="109" priority="14">
      <formula>$G43&lt;&gt;0</formula>
    </cfRule>
  </conditionalFormatting>
  <conditionalFormatting sqref="O53:AA53 AD53 AF53:AG53">
    <cfRule type="expression" dxfId="108" priority="13">
      <formula>ROUND(O52,2)&lt;&gt;ROUND(O53,2)</formula>
    </cfRule>
  </conditionalFormatting>
  <conditionalFormatting sqref="N53">
    <cfRule type="expression" dxfId="107" priority="12">
      <formula>$G53&lt;&gt;0</formula>
    </cfRule>
  </conditionalFormatting>
  <conditionalFormatting sqref="O63:AA63 AD63 AF63:AG63">
    <cfRule type="expression" dxfId="106" priority="11">
      <formula>ROUND(O62,2)&lt;&gt;ROUND(O63,2)</formula>
    </cfRule>
  </conditionalFormatting>
  <conditionalFormatting sqref="N63">
    <cfRule type="expression" dxfId="105" priority="10">
      <formula>$G63&lt;&gt;0</formula>
    </cfRule>
  </conditionalFormatting>
  <conditionalFormatting sqref="O73:AA73 AD73 AF73:AG73">
    <cfRule type="expression" dxfId="104" priority="9">
      <formula>ROUND(O72,2)&lt;&gt;ROUND(O73,2)</formula>
    </cfRule>
  </conditionalFormatting>
  <conditionalFormatting sqref="N73">
    <cfRule type="expression" dxfId="103" priority="8">
      <formula>$G73&lt;&gt;0</formula>
    </cfRule>
  </conditionalFormatting>
  <conditionalFormatting sqref="N82">
    <cfRule type="expression" dxfId="102" priority="7">
      <formula>$G82&lt;&gt;0</formula>
    </cfRule>
  </conditionalFormatting>
  <conditionalFormatting sqref="AD82 AF82:AG82 O82:AA82">
    <cfRule type="expression" dxfId="101" priority="6">
      <formula>ROUND(O81,2)&lt;&gt;ROUND(O82,2)</formula>
    </cfRule>
  </conditionalFormatting>
  <conditionalFormatting sqref="AI43">
    <cfRule type="expression" dxfId="100" priority="5">
      <formula>ROUND(AI42,2)&lt;&gt;ROUND(AI43,2)</formula>
    </cfRule>
  </conditionalFormatting>
  <conditionalFormatting sqref="AI53">
    <cfRule type="expression" dxfId="99" priority="4">
      <formula>ROUND(AI52,2)&lt;&gt;ROUND(AI53,2)</formula>
    </cfRule>
  </conditionalFormatting>
  <conditionalFormatting sqref="AI63">
    <cfRule type="expression" dxfId="98" priority="3">
      <formula>ROUND(AI62,2)&lt;&gt;ROUND(AI63,2)</formula>
    </cfRule>
  </conditionalFormatting>
  <conditionalFormatting sqref="AI73">
    <cfRule type="expression" dxfId="97" priority="2">
      <formula>ROUND(AI72,2)&lt;&gt;ROUND(AI73,2)</formula>
    </cfRule>
  </conditionalFormatting>
  <conditionalFormatting sqref="AI82">
    <cfRule type="expression" dxfId="96" priority="1">
      <formula>ROUND(AI81,2)&lt;&gt;ROUND(AI82,2)</formula>
    </cfRule>
  </conditionalFormatting>
  <dataValidations count="2">
    <dataValidation type="list" allowBlank="1" sqref="B28" xr:uid="{00000000-0002-0000-0E00-000000000000}">
      <formula1>"ACCOUNT,BUSINESSUNIT,CATEGORY,DATASRC,DEPARTMENT,INTCO,MEASURES,RPTCURRENCY,TIME"</formula1>
    </dataValidation>
    <dataValidation type="list" allowBlank="1" sqref="B29" xr:uid="{00000000-0002-0000-0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2">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787</v>
      </c>
      <c r="C6" s="11" t="str">
        <f>IF(_epmOfflineCondition_,"Venue 5",_xll.EVDES(B6,$B$1))</f>
        <v>Venue 5</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IF(_epmOfflineCondition_,"'Venue5'!$B$2:$B$10",_xll.EVRNG($B$2:$B$10))</f>
        <v>'Venue5'!$B$2:$B$10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IF(_epmOfflineCondition_,"'Venue5'!$O$16:$AN$18",_xll.EVRNG($O$16:$AN$18))</f>
        <v>'Venue5'!$O$16:$AN$18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IF(_epmOfflineCondition_,"'Venue5'!$H$35:$H$58",_xll.EVRNG(H35:H58))</f>
        <v>'Venue5'!$H$35:$H$58</v>
      </c>
      <c r="C19" s="11"/>
      <c r="D19" s="11"/>
      <c r="E19" s="11"/>
      <c r="F19" s="11"/>
      <c r="G19" s="67" t="str">
        <f>$B$6</f>
        <v>D2143</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25">
      <c r="A20" s="65" t="s">
        <v>5</v>
      </c>
      <c r="B20" s="66"/>
      <c r="C20" s="11"/>
      <c r="D20" s="11"/>
      <c r="E20" s="11"/>
      <c r="F20" s="11"/>
      <c r="G20" s="67" t="str">
        <f>$B$6</f>
        <v>D2143</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IF(_epmOfflineCondition_,"'Venue5'!$A$36:$F$44",_xll.EVRNG(A36:F44))</f>
        <v>'Venue5'!$A$36:$F$44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IF(_epmOfflineCondition_,"'Venue5'!$A$125:$B$146",_xll.EVRNG($A$125:$B$146))</f>
        <v>'Venue5'!$A$125:$B$146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IF(_epmOfflineCondition_,"Venue 5 Department",IF($N$1="",IF(_xll.EVDES(B6,$B$1)="#NODATA","",_xll.EVDES(B6,$B$1)&amp;" Department"),$N$1))</f>
        <v>Venue 5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57"/>
      <c r="P35" s="210"/>
      <c r="Q35" s="210"/>
      <c r="R35" s="210"/>
      <c r="S35" s="210"/>
      <c r="T35" s="210"/>
      <c r="U35" s="210"/>
      <c r="V35" s="210"/>
      <c r="W35" s="210"/>
      <c r="X35" s="210"/>
      <c r="Y35" s="210"/>
      <c r="Z35" s="210"/>
      <c r="AA35" s="210">
        <f t="shared" ref="AA35:AA58" si="1">IF($I35="B1","",SUM(O35:Z35))</f>
        <v>0</v>
      </c>
      <c r="AB35" s="458" t="str">
        <f t="shared" ref="AB35:AB58" si="2">IF(AA35=0,"",IFERROR(AA35/AA$19,""))</f>
        <v/>
      </c>
      <c r="AC35" s="528"/>
      <c r="AD35" s="210"/>
      <c r="AE35" s="458" t="str">
        <f t="shared" ref="AE35:AE58" si="3">IF(AD35=0,"",IFERROR(AD35/AD$19,""))</f>
        <v/>
      </c>
      <c r="AF35" s="460">
        <f t="shared" ref="AF35:AF58" si="4">IF(AND($AA35="",AD35=""),"",$AA35-AD35)</f>
        <v>0</v>
      </c>
      <c r="AG35" s="210"/>
      <c r="AH35" s="458" t="str">
        <f t="shared" ref="AH35:AH58" si="5">IF(AG35=0,"",IFERROR(AG35/AG$19,""))</f>
        <v/>
      </c>
      <c r="AI35" s="461">
        <f t="shared" ref="AI35:AI58" si="6">IF(AND($AA35="",AG35=""),"",$AA35-AG35)</f>
        <v>0</v>
      </c>
      <c r="AJ35" s="462">
        <f t="shared" ref="AJ35:AJ58" si="7">IFERROR(AA35/AA$20,0)</f>
        <v>0</v>
      </c>
      <c r="AK35" s="463">
        <f t="shared" ref="AK35:AK58" si="8">IFERROR(AD35/AD$20,0)</f>
        <v>0</v>
      </c>
      <c r="AL35" s="464">
        <f t="shared" ref="AL35:AL58" si="9">IFERROR(AG35/AG$20,0)</f>
        <v>0</v>
      </c>
      <c r="AM35" s="465">
        <f t="shared" ref="AM35:AM58" si="10">+IFERROR(ROUND(($AB35-AE35)*100,2)&amp;" pts.",0)</f>
        <v>0</v>
      </c>
      <c r="AN35" s="466">
        <f t="shared" ref="AN35:AN58" si="11">+IFERROR(ROUND(($AB35-AH35)*100,2)&amp;" pts.",0)</f>
        <v>0</v>
      </c>
      <c r="AO35" s="11"/>
    </row>
    <row r="36" spans="1:41" x14ac:dyDescent="0.2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57"/>
      <c r="P36" s="210"/>
      <c r="Q36" s="210"/>
      <c r="R36" s="210"/>
      <c r="S36" s="210"/>
      <c r="T36" s="210"/>
      <c r="U36" s="210"/>
      <c r="V36" s="210"/>
      <c r="W36" s="210"/>
      <c r="X36" s="210"/>
      <c r="Y36" s="210"/>
      <c r="Z36" s="210"/>
      <c r="AA36" s="210">
        <f t="shared" si="1"/>
        <v>0</v>
      </c>
      <c r="AB36" s="458" t="str">
        <f t="shared" si="2"/>
        <v/>
      </c>
      <c r="AC36" s="528"/>
      <c r="AD36" s="210"/>
      <c r="AE36" s="458" t="str">
        <f t="shared" si="3"/>
        <v/>
      </c>
      <c r="AF36" s="460">
        <f t="shared" si="4"/>
        <v>0</v>
      </c>
      <c r="AG36" s="210"/>
      <c r="AH36" s="458" t="str">
        <f t="shared" si="5"/>
        <v/>
      </c>
      <c r="AI36" s="461">
        <f t="shared" si="6"/>
        <v>0</v>
      </c>
      <c r="AJ36" s="462">
        <f t="shared" si="7"/>
        <v>0</v>
      </c>
      <c r="AK36" s="463">
        <f t="shared" si="8"/>
        <v>0</v>
      </c>
      <c r="AL36" s="464">
        <f t="shared" si="9"/>
        <v>0</v>
      </c>
      <c r="AM36" s="465">
        <f t="shared" si="10"/>
        <v>0</v>
      </c>
      <c r="AN36" s="466">
        <f t="shared" si="11"/>
        <v>0</v>
      </c>
      <c r="AO36" s="11"/>
    </row>
    <row r="37" spans="1:41" x14ac:dyDescent="0.2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57"/>
      <c r="P37" s="210"/>
      <c r="Q37" s="210"/>
      <c r="R37" s="210"/>
      <c r="S37" s="210"/>
      <c r="T37" s="210"/>
      <c r="U37" s="210"/>
      <c r="V37" s="210"/>
      <c r="W37" s="210"/>
      <c r="X37" s="210"/>
      <c r="Y37" s="210"/>
      <c r="Z37" s="210"/>
      <c r="AA37" s="210">
        <f t="shared" si="1"/>
        <v>0</v>
      </c>
      <c r="AB37" s="458" t="str">
        <f t="shared" si="2"/>
        <v/>
      </c>
      <c r="AC37" s="528"/>
      <c r="AD37" s="210"/>
      <c r="AE37" s="458" t="str">
        <f t="shared" si="3"/>
        <v/>
      </c>
      <c r="AF37" s="460">
        <f t="shared" si="4"/>
        <v>0</v>
      </c>
      <c r="AG37" s="210"/>
      <c r="AH37" s="458" t="str">
        <f t="shared" si="5"/>
        <v/>
      </c>
      <c r="AI37" s="461">
        <f t="shared" si="6"/>
        <v>0</v>
      </c>
      <c r="AJ37" s="462">
        <f t="shared" si="7"/>
        <v>0</v>
      </c>
      <c r="AK37" s="463">
        <f t="shared" si="8"/>
        <v>0</v>
      </c>
      <c r="AL37" s="464">
        <f t="shared" si="9"/>
        <v>0</v>
      </c>
      <c r="AM37" s="465">
        <f t="shared" si="10"/>
        <v>0</v>
      </c>
      <c r="AN37" s="466">
        <f t="shared" si="11"/>
        <v>0</v>
      </c>
      <c r="AO37" s="11"/>
    </row>
    <row r="38" spans="1:41" x14ac:dyDescent="0.2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57"/>
      <c r="P38" s="210"/>
      <c r="Q38" s="210"/>
      <c r="R38" s="210"/>
      <c r="S38" s="210"/>
      <c r="T38" s="210"/>
      <c r="U38" s="210"/>
      <c r="V38" s="210"/>
      <c r="W38" s="210"/>
      <c r="X38" s="210"/>
      <c r="Y38" s="210"/>
      <c r="Z38" s="210"/>
      <c r="AA38" s="210">
        <f t="shared" si="1"/>
        <v>0</v>
      </c>
      <c r="AB38" s="458" t="str">
        <f t="shared" si="2"/>
        <v/>
      </c>
      <c r="AC38" s="528"/>
      <c r="AD38" s="210"/>
      <c r="AE38" s="458" t="str">
        <f t="shared" si="3"/>
        <v/>
      </c>
      <c r="AF38" s="460">
        <f t="shared" si="4"/>
        <v>0</v>
      </c>
      <c r="AG38" s="210"/>
      <c r="AH38" s="458" t="str">
        <f t="shared" si="5"/>
        <v/>
      </c>
      <c r="AI38" s="461">
        <f t="shared" si="6"/>
        <v>0</v>
      </c>
      <c r="AJ38" s="462">
        <f t="shared" si="7"/>
        <v>0</v>
      </c>
      <c r="AK38" s="463">
        <f t="shared" si="8"/>
        <v>0</v>
      </c>
      <c r="AL38" s="464">
        <f t="shared" si="9"/>
        <v>0</v>
      </c>
      <c r="AM38" s="465">
        <f t="shared" si="10"/>
        <v>0</v>
      </c>
      <c r="AN38" s="466">
        <f t="shared" si="11"/>
        <v>0</v>
      </c>
      <c r="AO38" s="11"/>
    </row>
    <row r="39" spans="1:41" x14ac:dyDescent="0.2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67"/>
      <c r="P39" s="216"/>
      <c r="Q39" s="216"/>
      <c r="R39" s="216"/>
      <c r="S39" s="216"/>
      <c r="T39" s="216"/>
      <c r="U39" s="216"/>
      <c r="V39" s="216"/>
      <c r="W39" s="216"/>
      <c r="X39" s="216"/>
      <c r="Y39" s="216"/>
      <c r="Z39" s="216"/>
      <c r="AA39" s="216">
        <f t="shared" si="1"/>
        <v>0</v>
      </c>
      <c r="AB39" s="468" t="str">
        <f t="shared" si="2"/>
        <v/>
      </c>
      <c r="AC39" s="459"/>
      <c r="AD39" s="216"/>
      <c r="AE39" s="468" t="str">
        <f t="shared" si="3"/>
        <v/>
      </c>
      <c r="AF39" s="469">
        <f t="shared" si="4"/>
        <v>0</v>
      </c>
      <c r="AG39" s="216"/>
      <c r="AH39" s="468" t="str">
        <f t="shared" si="5"/>
        <v/>
      </c>
      <c r="AI39" s="470">
        <f t="shared" si="6"/>
        <v>0</v>
      </c>
      <c r="AJ39" s="471">
        <f t="shared" si="7"/>
        <v>0</v>
      </c>
      <c r="AK39" s="472">
        <f t="shared" si="8"/>
        <v>0</v>
      </c>
      <c r="AL39" s="473">
        <f t="shared" si="9"/>
        <v>0</v>
      </c>
      <c r="AM39" s="474">
        <f t="shared" si="10"/>
        <v>0</v>
      </c>
      <c r="AN39" s="475">
        <f t="shared" si="11"/>
        <v>0</v>
      </c>
      <c r="AO39" s="11"/>
    </row>
    <row r="40" spans="1:41" x14ac:dyDescent="0.2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76"/>
      <c r="P40" s="223"/>
      <c r="Q40" s="223"/>
      <c r="R40" s="223"/>
      <c r="S40" s="223"/>
      <c r="T40" s="223"/>
      <c r="U40" s="223"/>
      <c r="V40" s="223"/>
      <c r="W40" s="223"/>
      <c r="X40" s="223"/>
      <c r="Y40" s="223"/>
      <c r="Z40" s="223"/>
      <c r="AA40" s="223">
        <f t="shared" si="1"/>
        <v>0</v>
      </c>
      <c r="AB40" s="224" t="str">
        <f t="shared" si="2"/>
        <v/>
      </c>
      <c r="AC40" s="225"/>
      <c r="AD40" s="223"/>
      <c r="AE40" s="224" t="str">
        <f t="shared" si="3"/>
        <v/>
      </c>
      <c r="AF40" s="226">
        <f t="shared" si="4"/>
        <v>0</v>
      </c>
      <c r="AG40" s="223"/>
      <c r="AH40" s="224" t="str">
        <f t="shared" si="5"/>
        <v/>
      </c>
      <c r="AI40" s="477">
        <f t="shared" si="6"/>
        <v>0</v>
      </c>
      <c r="AJ40" s="227">
        <f t="shared" si="7"/>
        <v>0</v>
      </c>
      <c r="AK40" s="228">
        <f t="shared" si="8"/>
        <v>0</v>
      </c>
      <c r="AL40" s="230">
        <f t="shared" si="9"/>
        <v>0</v>
      </c>
      <c r="AM40" s="427">
        <f t="shared" si="10"/>
        <v>0</v>
      </c>
      <c r="AN40" s="478">
        <f t="shared" si="11"/>
        <v>0</v>
      </c>
      <c r="AO40" s="11"/>
    </row>
    <row r="41" spans="1:41" x14ac:dyDescent="0.2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79"/>
      <c r="P41" s="232"/>
      <c r="Q41" s="232"/>
      <c r="R41" s="232"/>
      <c r="S41" s="232"/>
      <c r="T41" s="232"/>
      <c r="U41" s="232"/>
      <c r="V41" s="232"/>
      <c r="W41" s="232"/>
      <c r="X41" s="232"/>
      <c r="Y41" s="232"/>
      <c r="Z41" s="232"/>
      <c r="AA41" s="232" t="str">
        <f t="shared" si="1"/>
        <v/>
      </c>
      <c r="AB41" s="480" t="str">
        <f t="shared" si="2"/>
        <v/>
      </c>
      <c r="AC41" s="529"/>
      <c r="AD41" s="232"/>
      <c r="AE41" s="480" t="str">
        <f t="shared" si="3"/>
        <v/>
      </c>
      <c r="AF41" s="482" t="str">
        <f t="shared" si="4"/>
        <v/>
      </c>
      <c r="AG41" s="232"/>
      <c r="AH41" s="480" t="str">
        <f t="shared" si="5"/>
        <v/>
      </c>
      <c r="AI41" s="483" t="str">
        <f t="shared" si="6"/>
        <v/>
      </c>
      <c r="AJ41" s="235">
        <f t="shared" si="7"/>
        <v>0</v>
      </c>
      <c r="AK41" s="236">
        <f t="shared" si="8"/>
        <v>0</v>
      </c>
      <c r="AL41" s="238">
        <f t="shared" si="9"/>
        <v>0</v>
      </c>
      <c r="AM41" s="429">
        <f t="shared" si="10"/>
        <v>0</v>
      </c>
      <c r="AN41" s="484">
        <f t="shared" si="11"/>
        <v>0</v>
      </c>
      <c r="AO41" s="11"/>
    </row>
    <row r="42" spans="1:41" x14ac:dyDescent="0.2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57"/>
      <c r="P42" s="210"/>
      <c r="Q42" s="210"/>
      <c r="R42" s="210"/>
      <c r="S42" s="210"/>
      <c r="T42" s="210"/>
      <c r="U42" s="210"/>
      <c r="V42" s="210"/>
      <c r="W42" s="210"/>
      <c r="X42" s="210"/>
      <c r="Y42" s="210"/>
      <c r="Z42" s="210"/>
      <c r="AA42" s="210">
        <f t="shared" si="1"/>
        <v>0</v>
      </c>
      <c r="AB42" s="458" t="str">
        <f t="shared" si="2"/>
        <v/>
      </c>
      <c r="AC42" s="528"/>
      <c r="AD42" s="210"/>
      <c r="AE42" s="458" t="str">
        <f t="shared" si="3"/>
        <v/>
      </c>
      <c r="AF42" s="460">
        <f t="shared" si="4"/>
        <v>0</v>
      </c>
      <c r="AG42" s="210"/>
      <c r="AH42" s="458" t="str">
        <f t="shared" si="5"/>
        <v/>
      </c>
      <c r="AI42" s="461">
        <f t="shared" si="6"/>
        <v>0</v>
      </c>
      <c r="AJ42" s="462">
        <f t="shared" si="7"/>
        <v>0</v>
      </c>
      <c r="AK42" s="463">
        <f t="shared" si="8"/>
        <v>0</v>
      </c>
      <c r="AL42" s="464">
        <f t="shared" si="9"/>
        <v>0</v>
      </c>
      <c r="AM42" s="465">
        <f t="shared" si="10"/>
        <v>0</v>
      </c>
      <c r="AN42" s="466">
        <f t="shared" si="11"/>
        <v>0</v>
      </c>
      <c r="AO42" s="11"/>
    </row>
    <row r="43" spans="1:41" x14ac:dyDescent="0.2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57"/>
      <c r="P43" s="210"/>
      <c r="Q43" s="210"/>
      <c r="R43" s="210"/>
      <c r="S43" s="210"/>
      <c r="T43" s="210"/>
      <c r="U43" s="210"/>
      <c r="V43" s="210"/>
      <c r="W43" s="210"/>
      <c r="X43" s="210"/>
      <c r="Y43" s="210"/>
      <c r="Z43" s="210"/>
      <c r="AA43" s="210">
        <f t="shared" si="1"/>
        <v>0</v>
      </c>
      <c r="AB43" s="458" t="str">
        <f t="shared" si="2"/>
        <v/>
      </c>
      <c r="AC43" s="528"/>
      <c r="AD43" s="210"/>
      <c r="AE43" s="458" t="str">
        <f t="shared" si="3"/>
        <v/>
      </c>
      <c r="AF43" s="460">
        <f t="shared" si="4"/>
        <v>0</v>
      </c>
      <c r="AG43" s="210"/>
      <c r="AH43" s="458" t="str">
        <f t="shared" si="5"/>
        <v/>
      </c>
      <c r="AI43" s="461">
        <f t="shared" si="6"/>
        <v>0</v>
      </c>
      <c r="AJ43" s="462">
        <f t="shared" si="7"/>
        <v>0</v>
      </c>
      <c r="AK43" s="463">
        <f t="shared" si="8"/>
        <v>0</v>
      </c>
      <c r="AL43" s="464">
        <f t="shared" si="9"/>
        <v>0</v>
      </c>
      <c r="AM43" s="465">
        <f t="shared" si="10"/>
        <v>0</v>
      </c>
      <c r="AN43" s="466">
        <f t="shared" si="11"/>
        <v>0</v>
      </c>
      <c r="AO43" s="11"/>
    </row>
    <row r="44" spans="1:41" x14ac:dyDescent="0.2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57"/>
      <c r="P44" s="210"/>
      <c r="Q44" s="210"/>
      <c r="R44" s="210"/>
      <c r="S44" s="210"/>
      <c r="T44" s="210"/>
      <c r="U44" s="210"/>
      <c r="V44" s="210"/>
      <c r="W44" s="210"/>
      <c r="X44" s="210"/>
      <c r="Y44" s="210"/>
      <c r="Z44" s="210"/>
      <c r="AA44" s="210">
        <f t="shared" si="1"/>
        <v>0</v>
      </c>
      <c r="AB44" s="458" t="str">
        <f t="shared" si="2"/>
        <v/>
      </c>
      <c r="AC44" s="528"/>
      <c r="AD44" s="210"/>
      <c r="AE44" s="458" t="str">
        <f t="shared" si="3"/>
        <v/>
      </c>
      <c r="AF44" s="460">
        <f t="shared" si="4"/>
        <v>0</v>
      </c>
      <c r="AG44" s="210"/>
      <c r="AH44" s="458" t="str">
        <f t="shared" si="5"/>
        <v/>
      </c>
      <c r="AI44" s="461">
        <f t="shared" si="6"/>
        <v>0</v>
      </c>
      <c r="AJ44" s="462">
        <f t="shared" si="7"/>
        <v>0</v>
      </c>
      <c r="AK44" s="463">
        <f t="shared" si="8"/>
        <v>0</v>
      </c>
      <c r="AL44" s="464">
        <f t="shared" si="9"/>
        <v>0</v>
      </c>
      <c r="AM44" s="465">
        <f t="shared" si="10"/>
        <v>0</v>
      </c>
      <c r="AN44" s="466">
        <f t="shared" si="11"/>
        <v>0</v>
      </c>
      <c r="AO44" s="11"/>
    </row>
    <row r="45" spans="1:41" x14ac:dyDescent="0.2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57"/>
      <c r="P45" s="210"/>
      <c r="Q45" s="210"/>
      <c r="R45" s="210"/>
      <c r="S45" s="210"/>
      <c r="T45" s="210"/>
      <c r="U45" s="210"/>
      <c r="V45" s="210"/>
      <c r="W45" s="210"/>
      <c r="X45" s="210"/>
      <c r="Y45" s="210"/>
      <c r="Z45" s="210"/>
      <c r="AA45" s="210">
        <f t="shared" si="1"/>
        <v>0</v>
      </c>
      <c r="AB45" s="458" t="str">
        <f t="shared" si="2"/>
        <v/>
      </c>
      <c r="AC45" s="528"/>
      <c r="AD45" s="210"/>
      <c r="AE45" s="458" t="str">
        <f t="shared" si="3"/>
        <v/>
      </c>
      <c r="AF45" s="460">
        <f t="shared" si="4"/>
        <v>0</v>
      </c>
      <c r="AG45" s="210"/>
      <c r="AH45" s="458" t="str">
        <f t="shared" si="5"/>
        <v/>
      </c>
      <c r="AI45" s="461">
        <f t="shared" si="6"/>
        <v>0</v>
      </c>
      <c r="AJ45" s="462">
        <f t="shared" si="7"/>
        <v>0</v>
      </c>
      <c r="AK45" s="463">
        <f t="shared" si="8"/>
        <v>0</v>
      </c>
      <c r="AL45" s="464">
        <f t="shared" si="9"/>
        <v>0</v>
      </c>
      <c r="AM45" s="465">
        <f t="shared" si="10"/>
        <v>0</v>
      </c>
      <c r="AN45" s="466">
        <f t="shared" si="11"/>
        <v>0</v>
      </c>
      <c r="AO45" s="11"/>
    </row>
    <row r="46" spans="1:41" x14ac:dyDescent="0.2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67"/>
      <c r="P46" s="216"/>
      <c r="Q46" s="216"/>
      <c r="R46" s="216"/>
      <c r="S46" s="216"/>
      <c r="T46" s="216"/>
      <c r="U46" s="216"/>
      <c r="V46" s="216"/>
      <c r="W46" s="216"/>
      <c r="X46" s="216"/>
      <c r="Y46" s="216"/>
      <c r="Z46" s="216"/>
      <c r="AA46" s="216">
        <f t="shared" si="1"/>
        <v>0</v>
      </c>
      <c r="AB46" s="468" t="str">
        <f t="shared" si="2"/>
        <v/>
      </c>
      <c r="AC46" s="459"/>
      <c r="AD46" s="216"/>
      <c r="AE46" s="468" t="str">
        <f t="shared" si="3"/>
        <v/>
      </c>
      <c r="AF46" s="469">
        <f t="shared" si="4"/>
        <v>0</v>
      </c>
      <c r="AG46" s="216"/>
      <c r="AH46" s="468" t="str">
        <f t="shared" si="5"/>
        <v/>
      </c>
      <c r="AI46" s="470">
        <f t="shared" si="6"/>
        <v>0</v>
      </c>
      <c r="AJ46" s="471">
        <f t="shared" si="7"/>
        <v>0</v>
      </c>
      <c r="AK46" s="472">
        <f t="shared" si="8"/>
        <v>0</v>
      </c>
      <c r="AL46" s="473">
        <f t="shared" si="9"/>
        <v>0</v>
      </c>
      <c r="AM46" s="474">
        <f t="shared" si="10"/>
        <v>0</v>
      </c>
      <c r="AN46" s="475">
        <f t="shared" si="11"/>
        <v>0</v>
      </c>
      <c r="AO46" s="11"/>
    </row>
    <row r="47" spans="1:41" x14ac:dyDescent="0.2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76"/>
      <c r="P47" s="223"/>
      <c r="Q47" s="223"/>
      <c r="R47" s="223"/>
      <c r="S47" s="223"/>
      <c r="T47" s="223"/>
      <c r="U47" s="223"/>
      <c r="V47" s="223"/>
      <c r="W47" s="223"/>
      <c r="X47" s="223"/>
      <c r="Y47" s="223"/>
      <c r="Z47" s="223"/>
      <c r="AA47" s="223">
        <f t="shared" si="1"/>
        <v>0</v>
      </c>
      <c r="AB47" s="224" t="str">
        <f t="shared" si="2"/>
        <v/>
      </c>
      <c r="AC47" s="225"/>
      <c r="AD47" s="223"/>
      <c r="AE47" s="224" t="str">
        <f t="shared" si="3"/>
        <v/>
      </c>
      <c r="AF47" s="226">
        <f t="shared" si="4"/>
        <v>0</v>
      </c>
      <c r="AG47" s="223"/>
      <c r="AH47" s="224" t="str">
        <f t="shared" si="5"/>
        <v/>
      </c>
      <c r="AI47" s="477">
        <f t="shared" si="6"/>
        <v>0</v>
      </c>
      <c r="AJ47" s="227">
        <f t="shared" si="7"/>
        <v>0</v>
      </c>
      <c r="AK47" s="228">
        <f t="shared" si="8"/>
        <v>0</v>
      </c>
      <c r="AL47" s="230">
        <f t="shared" si="9"/>
        <v>0</v>
      </c>
      <c r="AM47" s="427">
        <f t="shared" si="10"/>
        <v>0</v>
      </c>
      <c r="AN47" s="478">
        <f t="shared" si="11"/>
        <v>0</v>
      </c>
      <c r="AO47" s="11"/>
    </row>
    <row r="48" spans="1:41" x14ac:dyDescent="0.2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39"/>
      <c r="Q48" s="239"/>
      <c r="R48" s="239"/>
      <c r="S48" s="239"/>
      <c r="T48" s="239"/>
      <c r="U48" s="239"/>
      <c r="V48" s="239"/>
      <c r="W48" s="239"/>
      <c r="X48" s="239"/>
      <c r="Y48" s="239"/>
      <c r="Z48" s="239"/>
      <c r="AA48" s="239">
        <f t="shared" si="1"/>
        <v>0</v>
      </c>
      <c r="AB48" s="240" t="str">
        <f t="shared" si="2"/>
        <v/>
      </c>
      <c r="AC48" s="481"/>
      <c r="AD48" s="239"/>
      <c r="AE48" s="240" t="str">
        <f t="shared" si="3"/>
        <v/>
      </c>
      <c r="AF48" s="241">
        <f t="shared" si="4"/>
        <v>0</v>
      </c>
      <c r="AG48" s="239"/>
      <c r="AH48" s="240" t="str">
        <f t="shared" si="5"/>
        <v/>
      </c>
      <c r="AI48" s="531">
        <f t="shared" si="6"/>
        <v>0</v>
      </c>
      <c r="AJ48" s="532">
        <f t="shared" si="7"/>
        <v>0</v>
      </c>
      <c r="AK48" s="533">
        <f t="shared" si="8"/>
        <v>0</v>
      </c>
      <c r="AL48" s="534">
        <f t="shared" si="9"/>
        <v>0</v>
      </c>
      <c r="AM48" s="535">
        <f t="shared" si="10"/>
        <v>0</v>
      </c>
      <c r="AN48" s="536">
        <f t="shared" si="11"/>
        <v>0</v>
      </c>
      <c r="AO48" s="11"/>
    </row>
    <row r="49" spans="1:41" x14ac:dyDescent="0.2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76"/>
      <c r="P49" s="223"/>
      <c r="Q49" s="223"/>
      <c r="R49" s="223"/>
      <c r="S49" s="223"/>
      <c r="T49" s="223"/>
      <c r="U49" s="223"/>
      <c r="V49" s="223"/>
      <c r="W49" s="223"/>
      <c r="X49" s="223"/>
      <c r="Y49" s="223"/>
      <c r="Z49" s="223"/>
      <c r="AA49" s="223">
        <f t="shared" si="1"/>
        <v>0</v>
      </c>
      <c r="AB49" s="224" t="str">
        <f t="shared" si="2"/>
        <v/>
      </c>
      <c r="AC49" s="225"/>
      <c r="AD49" s="223"/>
      <c r="AE49" s="224" t="str">
        <f t="shared" si="3"/>
        <v/>
      </c>
      <c r="AF49" s="226">
        <f t="shared" si="4"/>
        <v>0</v>
      </c>
      <c r="AG49" s="223"/>
      <c r="AH49" s="224" t="str">
        <f t="shared" si="5"/>
        <v/>
      </c>
      <c r="AI49" s="477">
        <f t="shared" si="6"/>
        <v>0</v>
      </c>
      <c r="AJ49" s="227">
        <f t="shared" si="7"/>
        <v>0</v>
      </c>
      <c r="AK49" s="228">
        <f t="shared" si="8"/>
        <v>0</v>
      </c>
      <c r="AL49" s="230">
        <f t="shared" si="9"/>
        <v>0</v>
      </c>
      <c r="AM49" s="427">
        <f t="shared" si="10"/>
        <v>0</v>
      </c>
      <c r="AN49" s="478">
        <f t="shared" si="11"/>
        <v>0</v>
      </c>
      <c r="AO49" s="11"/>
    </row>
    <row r="50" spans="1:41" x14ac:dyDescent="0.25">
      <c r="A50" s="65" t="s">
        <v>2</v>
      </c>
      <c r="B50" s="66" t="str">
        <f>IF(_epmOfflineCondition_,"'Venue5'!$B$2:$B$10",_xll.EVRNG($B$2:$B$10))</f>
        <v>'Venue5'!$B$2:$B$10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79"/>
      <c r="P50" s="232"/>
      <c r="Q50" s="232"/>
      <c r="R50" s="232"/>
      <c r="S50" s="232"/>
      <c r="T50" s="232"/>
      <c r="U50" s="232"/>
      <c r="V50" s="232"/>
      <c r="W50" s="232"/>
      <c r="X50" s="232"/>
      <c r="Y50" s="232"/>
      <c r="Z50" s="232"/>
      <c r="AA50" s="232" t="str">
        <f t="shared" si="1"/>
        <v/>
      </c>
      <c r="AB50" s="480" t="str">
        <f t="shared" si="2"/>
        <v/>
      </c>
      <c r="AC50" s="529"/>
      <c r="AD50" s="232"/>
      <c r="AE50" s="480" t="str">
        <f t="shared" si="3"/>
        <v/>
      </c>
      <c r="AF50" s="482" t="str">
        <f t="shared" si="4"/>
        <v/>
      </c>
      <c r="AG50" s="232"/>
      <c r="AH50" s="480" t="str">
        <f t="shared" si="5"/>
        <v/>
      </c>
      <c r="AI50" s="483" t="str">
        <f t="shared" si="6"/>
        <v/>
      </c>
      <c r="AJ50" s="235">
        <f t="shared" si="7"/>
        <v>0</v>
      </c>
      <c r="AK50" s="236">
        <f t="shared" si="8"/>
        <v>0</v>
      </c>
      <c r="AL50" s="238">
        <f t="shared" si="9"/>
        <v>0</v>
      </c>
      <c r="AM50" s="429">
        <f t="shared" si="10"/>
        <v>0</v>
      </c>
      <c r="AN50" s="484">
        <f t="shared" si="11"/>
        <v>0</v>
      </c>
      <c r="AO50" s="11"/>
    </row>
    <row r="51" spans="1:41" x14ac:dyDescent="0.25">
      <c r="A51" s="65" t="s">
        <v>3</v>
      </c>
      <c r="B51" s="66" t="str">
        <f>IF(_epmOfflineCondition_,"'Venue5'!$O$16:$AN$18",_xll.EVRNG($O$16:$AN$18))</f>
        <v>'Venue5'!$O$16:$AN$18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57"/>
      <c r="P51" s="210"/>
      <c r="Q51" s="210"/>
      <c r="R51" s="210"/>
      <c r="S51" s="210"/>
      <c r="T51" s="210"/>
      <c r="U51" s="210"/>
      <c r="V51" s="210"/>
      <c r="W51" s="210"/>
      <c r="X51" s="210"/>
      <c r="Y51" s="210"/>
      <c r="Z51" s="210"/>
      <c r="AA51" s="210">
        <f t="shared" si="1"/>
        <v>0</v>
      </c>
      <c r="AB51" s="458" t="str">
        <f t="shared" si="2"/>
        <v/>
      </c>
      <c r="AC51" s="528"/>
      <c r="AD51" s="210"/>
      <c r="AE51" s="458" t="str">
        <f t="shared" si="3"/>
        <v/>
      </c>
      <c r="AF51" s="460">
        <f t="shared" si="4"/>
        <v>0</v>
      </c>
      <c r="AG51" s="210"/>
      <c r="AH51" s="458" t="str">
        <f t="shared" si="5"/>
        <v/>
      </c>
      <c r="AI51" s="461">
        <f t="shared" si="6"/>
        <v>0</v>
      </c>
      <c r="AJ51" s="462">
        <f t="shared" si="7"/>
        <v>0</v>
      </c>
      <c r="AK51" s="463">
        <f t="shared" si="8"/>
        <v>0</v>
      </c>
      <c r="AL51" s="464">
        <f t="shared" si="9"/>
        <v>0</v>
      </c>
      <c r="AM51" s="465">
        <f t="shared" si="10"/>
        <v>0</v>
      </c>
      <c r="AN51" s="466">
        <f t="shared" si="11"/>
        <v>0</v>
      </c>
      <c r="AO51" s="11"/>
    </row>
    <row r="52" spans="1:41" x14ac:dyDescent="0.25">
      <c r="A52" s="65" t="s">
        <v>4</v>
      </c>
      <c r="B52" s="66" t="str">
        <f>IF(_epmOfflineCondition_,"'Venue5'!$H$62:$H$70",_xll.EVRNG(H62:H70))</f>
        <v>'Venue5'!$H$62:$H$70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57"/>
      <c r="P52" s="210"/>
      <c r="Q52" s="210"/>
      <c r="R52" s="210"/>
      <c r="S52" s="210"/>
      <c r="T52" s="210"/>
      <c r="U52" s="210"/>
      <c r="V52" s="210"/>
      <c r="W52" s="210"/>
      <c r="X52" s="210"/>
      <c r="Y52" s="210"/>
      <c r="Z52" s="210"/>
      <c r="AA52" s="210">
        <f t="shared" si="1"/>
        <v>0</v>
      </c>
      <c r="AB52" s="458" t="str">
        <f t="shared" si="2"/>
        <v/>
      </c>
      <c r="AC52" s="528"/>
      <c r="AD52" s="210"/>
      <c r="AE52" s="458" t="str">
        <f t="shared" si="3"/>
        <v/>
      </c>
      <c r="AF52" s="460">
        <f t="shared" si="4"/>
        <v>0</v>
      </c>
      <c r="AG52" s="210"/>
      <c r="AH52" s="458" t="str">
        <f t="shared" si="5"/>
        <v/>
      </c>
      <c r="AI52" s="461">
        <f t="shared" si="6"/>
        <v>0</v>
      </c>
      <c r="AJ52" s="462">
        <f t="shared" si="7"/>
        <v>0</v>
      </c>
      <c r="AK52" s="463">
        <f t="shared" si="8"/>
        <v>0</v>
      </c>
      <c r="AL52" s="464">
        <f t="shared" si="9"/>
        <v>0</v>
      </c>
      <c r="AM52" s="465">
        <f t="shared" si="10"/>
        <v>0</v>
      </c>
      <c r="AN52" s="466">
        <f t="shared" si="11"/>
        <v>0</v>
      </c>
      <c r="AO52" s="11"/>
    </row>
    <row r="53" spans="1:41" x14ac:dyDescent="0.2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57"/>
      <c r="P53" s="210"/>
      <c r="Q53" s="210"/>
      <c r="R53" s="210"/>
      <c r="S53" s="210"/>
      <c r="T53" s="210"/>
      <c r="U53" s="210"/>
      <c r="V53" s="210"/>
      <c r="W53" s="210"/>
      <c r="X53" s="210"/>
      <c r="Y53" s="210"/>
      <c r="Z53" s="210"/>
      <c r="AA53" s="210">
        <f t="shared" si="1"/>
        <v>0</v>
      </c>
      <c r="AB53" s="458" t="str">
        <f t="shared" si="2"/>
        <v/>
      </c>
      <c r="AC53" s="528"/>
      <c r="AD53" s="210"/>
      <c r="AE53" s="458" t="str">
        <f t="shared" si="3"/>
        <v/>
      </c>
      <c r="AF53" s="460">
        <f t="shared" si="4"/>
        <v>0</v>
      </c>
      <c r="AG53" s="210"/>
      <c r="AH53" s="458" t="str">
        <f t="shared" si="5"/>
        <v/>
      </c>
      <c r="AI53" s="461">
        <f t="shared" si="6"/>
        <v>0</v>
      </c>
      <c r="AJ53" s="462">
        <f t="shared" si="7"/>
        <v>0</v>
      </c>
      <c r="AK53" s="463">
        <f t="shared" si="8"/>
        <v>0</v>
      </c>
      <c r="AL53" s="464">
        <f t="shared" si="9"/>
        <v>0</v>
      </c>
      <c r="AM53" s="465">
        <f t="shared" si="10"/>
        <v>0</v>
      </c>
      <c r="AN53" s="466">
        <f t="shared" si="11"/>
        <v>0</v>
      </c>
      <c r="AO53" s="11"/>
    </row>
    <row r="54" spans="1:41" x14ac:dyDescent="0.2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57"/>
      <c r="P54" s="210"/>
      <c r="Q54" s="210"/>
      <c r="R54" s="210"/>
      <c r="S54" s="210"/>
      <c r="T54" s="210"/>
      <c r="U54" s="210"/>
      <c r="V54" s="210"/>
      <c r="W54" s="210"/>
      <c r="X54" s="210"/>
      <c r="Y54" s="210"/>
      <c r="Z54" s="210"/>
      <c r="AA54" s="210">
        <f t="shared" si="1"/>
        <v>0</v>
      </c>
      <c r="AB54" s="458" t="str">
        <f t="shared" si="2"/>
        <v/>
      </c>
      <c r="AC54" s="528"/>
      <c r="AD54" s="210"/>
      <c r="AE54" s="458" t="str">
        <f t="shared" si="3"/>
        <v/>
      </c>
      <c r="AF54" s="460">
        <f t="shared" si="4"/>
        <v>0</v>
      </c>
      <c r="AG54" s="210"/>
      <c r="AH54" s="458" t="str">
        <f t="shared" si="5"/>
        <v/>
      </c>
      <c r="AI54" s="461">
        <f t="shared" si="6"/>
        <v>0</v>
      </c>
      <c r="AJ54" s="462">
        <f t="shared" si="7"/>
        <v>0</v>
      </c>
      <c r="AK54" s="463">
        <f t="shared" si="8"/>
        <v>0</v>
      </c>
      <c r="AL54" s="464">
        <f t="shared" si="9"/>
        <v>0</v>
      </c>
      <c r="AM54" s="465">
        <f t="shared" si="10"/>
        <v>0</v>
      </c>
      <c r="AN54" s="466">
        <f t="shared" si="11"/>
        <v>0</v>
      </c>
      <c r="AO54" s="11"/>
    </row>
    <row r="55" spans="1:41" x14ac:dyDescent="0.25">
      <c r="A55" s="65" t="s">
        <v>7</v>
      </c>
      <c r="B55" s="66" t="str">
        <f>IF(_epmOfflineCondition_,"'Venue5'!$A$69:$F$77",_xll.EVRNG(A69:F77))</f>
        <v>'Venue5'!$A$69:$F$77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57"/>
      <c r="P55" s="210"/>
      <c r="Q55" s="210"/>
      <c r="R55" s="210"/>
      <c r="S55" s="210"/>
      <c r="T55" s="210"/>
      <c r="U55" s="210"/>
      <c r="V55" s="210"/>
      <c r="W55" s="210"/>
      <c r="X55" s="210"/>
      <c r="Y55" s="210"/>
      <c r="Z55" s="210"/>
      <c r="AA55" s="210">
        <f t="shared" si="1"/>
        <v>0</v>
      </c>
      <c r="AB55" s="458" t="str">
        <f t="shared" si="2"/>
        <v/>
      </c>
      <c r="AC55" s="528"/>
      <c r="AD55" s="210"/>
      <c r="AE55" s="458" t="str">
        <f t="shared" si="3"/>
        <v/>
      </c>
      <c r="AF55" s="460">
        <f t="shared" si="4"/>
        <v>0</v>
      </c>
      <c r="AG55" s="210"/>
      <c r="AH55" s="458" t="str">
        <f t="shared" si="5"/>
        <v/>
      </c>
      <c r="AI55" s="461">
        <f t="shared" si="6"/>
        <v>0</v>
      </c>
      <c r="AJ55" s="462">
        <f t="shared" si="7"/>
        <v>0</v>
      </c>
      <c r="AK55" s="463">
        <f t="shared" si="8"/>
        <v>0</v>
      </c>
      <c r="AL55" s="464">
        <f t="shared" si="9"/>
        <v>0</v>
      </c>
      <c r="AM55" s="465">
        <f t="shared" si="10"/>
        <v>0</v>
      </c>
      <c r="AN55" s="466">
        <f t="shared" si="11"/>
        <v>0</v>
      </c>
      <c r="AO55" s="11"/>
    </row>
    <row r="56" spans="1:41" x14ac:dyDescent="0.25">
      <c r="A56" s="65" t="s">
        <v>47</v>
      </c>
      <c r="B56" s="66" t="str">
        <f>IF(_epmOfflineCondition_,"'Venue5'!$A$125:$B$146",_xll.EVRNG($A$125:$B$146))</f>
        <v>'Venue5'!$A$125:$B$146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67"/>
      <c r="P56" s="216"/>
      <c r="Q56" s="216"/>
      <c r="R56" s="216"/>
      <c r="S56" s="216"/>
      <c r="T56" s="216"/>
      <c r="U56" s="216"/>
      <c r="V56" s="216"/>
      <c r="W56" s="216"/>
      <c r="X56" s="216"/>
      <c r="Y56" s="216"/>
      <c r="Z56" s="216"/>
      <c r="AA56" s="216">
        <f t="shared" si="1"/>
        <v>0</v>
      </c>
      <c r="AB56" s="468" t="str">
        <f t="shared" si="2"/>
        <v/>
      </c>
      <c r="AC56" s="459"/>
      <c r="AD56" s="216"/>
      <c r="AE56" s="468" t="str">
        <f t="shared" si="3"/>
        <v/>
      </c>
      <c r="AF56" s="469">
        <f t="shared" si="4"/>
        <v>0</v>
      </c>
      <c r="AG56" s="216"/>
      <c r="AH56" s="468" t="str">
        <f t="shared" si="5"/>
        <v/>
      </c>
      <c r="AI56" s="470">
        <f t="shared" si="6"/>
        <v>0</v>
      </c>
      <c r="AJ56" s="471">
        <f t="shared" si="7"/>
        <v>0</v>
      </c>
      <c r="AK56" s="472">
        <f t="shared" si="8"/>
        <v>0</v>
      </c>
      <c r="AL56" s="473">
        <f t="shared" si="9"/>
        <v>0</v>
      </c>
      <c r="AM56" s="474">
        <f t="shared" si="10"/>
        <v>0</v>
      </c>
      <c r="AN56" s="475">
        <f t="shared" si="11"/>
        <v>0</v>
      </c>
      <c r="AO56" s="11"/>
    </row>
    <row r="57" spans="1:41" x14ac:dyDescent="0.2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85"/>
      <c r="P57" s="242"/>
      <c r="Q57" s="242"/>
      <c r="R57" s="242"/>
      <c r="S57" s="242"/>
      <c r="T57" s="242"/>
      <c r="U57" s="242"/>
      <c r="V57" s="242"/>
      <c r="W57" s="242"/>
      <c r="X57" s="242"/>
      <c r="Y57" s="242"/>
      <c r="Z57" s="242"/>
      <c r="AA57" s="242">
        <f t="shared" si="1"/>
        <v>0</v>
      </c>
      <c r="AB57" s="243" t="str">
        <f t="shared" si="2"/>
        <v/>
      </c>
      <c r="AC57" s="244"/>
      <c r="AD57" s="242"/>
      <c r="AE57" s="243" t="str">
        <f t="shared" si="3"/>
        <v/>
      </c>
      <c r="AF57" s="245">
        <f t="shared" si="4"/>
        <v>0</v>
      </c>
      <c r="AG57" s="242"/>
      <c r="AH57" s="243" t="str">
        <f t="shared" si="5"/>
        <v/>
      </c>
      <c r="AI57" s="486">
        <f t="shared" si="6"/>
        <v>0</v>
      </c>
      <c r="AJ57" s="246">
        <f t="shared" si="7"/>
        <v>0</v>
      </c>
      <c r="AK57" s="247">
        <f t="shared" si="8"/>
        <v>0</v>
      </c>
      <c r="AL57" s="249">
        <f t="shared" si="9"/>
        <v>0</v>
      </c>
      <c r="AM57" s="431">
        <f t="shared" si="10"/>
        <v>0</v>
      </c>
      <c r="AN57" s="487">
        <f t="shared" si="11"/>
        <v>0</v>
      </c>
      <c r="AO57" s="11"/>
    </row>
    <row r="58" spans="1:41" x14ac:dyDescent="0.2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76"/>
      <c r="P58" s="223"/>
      <c r="Q58" s="223"/>
      <c r="R58" s="223"/>
      <c r="S58" s="223"/>
      <c r="T58" s="223"/>
      <c r="U58" s="223"/>
      <c r="V58" s="223"/>
      <c r="W58" s="223"/>
      <c r="X58" s="223"/>
      <c r="Y58" s="223"/>
      <c r="Z58" s="223"/>
      <c r="AA58" s="223">
        <f t="shared" si="1"/>
        <v>0</v>
      </c>
      <c r="AB58" s="224" t="str">
        <f t="shared" si="2"/>
        <v/>
      </c>
      <c r="AC58" s="225"/>
      <c r="AD58" s="223"/>
      <c r="AE58" s="224" t="str">
        <f t="shared" si="3"/>
        <v/>
      </c>
      <c r="AF58" s="226">
        <f t="shared" si="4"/>
        <v>0</v>
      </c>
      <c r="AG58" s="223"/>
      <c r="AH58" s="224" t="str">
        <f t="shared" si="5"/>
        <v/>
      </c>
      <c r="AI58" s="477">
        <f t="shared" si="6"/>
        <v>0</v>
      </c>
      <c r="AJ58" s="227">
        <f t="shared" si="7"/>
        <v>0</v>
      </c>
      <c r="AK58" s="228">
        <f t="shared" si="8"/>
        <v>0</v>
      </c>
      <c r="AL58" s="230">
        <f t="shared" si="9"/>
        <v>0</v>
      </c>
      <c r="AM58" s="427">
        <f t="shared" si="10"/>
        <v>0</v>
      </c>
      <c r="AN58" s="478">
        <f t="shared" si="11"/>
        <v>0</v>
      </c>
      <c r="AO58" s="11"/>
    </row>
    <row r="59" spans="1:41" x14ac:dyDescent="0.2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2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2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2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57"/>
      <c r="P62" s="210"/>
      <c r="Q62" s="210"/>
      <c r="R62" s="210"/>
      <c r="S62" s="210"/>
      <c r="T62" s="210"/>
      <c r="U62" s="210"/>
      <c r="V62" s="210"/>
      <c r="W62" s="210"/>
      <c r="X62" s="210"/>
      <c r="Y62" s="210"/>
      <c r="Z62" s="210"/>
      <c r="AA62" s="210">
        <f t="shared" ref="AA62:AA70" si="13">IF($I62="B1","",SUM(O62:Z62))</f>
        <v>0</v>
      </c>
      <c r="AB62" s="458" t="str">
        <f>IF(_epmOfflineCondition_,"",IF(AA62=0,"",IFERROR(AA62/_xll.EVGTS($B$1,1,_xll.EVPRO($B$1,$H62,"COSBASIS"),$B$3,$B$5,$B$6,$B$7,$B$9,AA$16,AA$17,AA$11),"")))</f>
        <v/>
      </c>
      <c r="AC62" s="528"/>
      <c r="AD62" s="210"/>
      <c r="AE62" s="458" t="str">
        <f>IF(_epmOfflineCondition_,"",IF(AD62=0,"",IFERROR(AD62/_xll.EVGTS($B$1,1,_xll.EVPRO($B$1,$H62,"COSBASIS"),$B$3,$B$5,$B$6,$B$7,$B$9,AD$16,AD$17,AD$18),"")))</f>
        <v/>
      </c>
      <c r="AF62" s="460">
        <f t="shared" ref="AF62:AF72" si="14">IF(AND($AA62="",AD62=""),"",$AA62-AD62)</f>
        <v>0</v>
      </c>
      <c r="AG62" s="210"/>
      <c r="AH62" s="458" t="str">
        <f>IF(_epmOfflineCondition_,"",IF(AG62=0,"",IFERROR(AG62/_xll.EVGTS($B$1,1,_xll.EVPRO($B$1,$H62,"COSBASIS"),$B$3,$B$5,$B$6,$B$7,$B$9,AG$16,AG$17,AG$18),"")))</f>
        <v/>
      </c>
      <c r="AI62" s="461">
        <f t="shared" ref="AI62:AI72" si="15">IF(AND($AA62="",AG62=""),"",$AA62-AG62)</f>
        <v>0</v>
      </c>
      <c r="AJ62" s="462">
        <f t="shared" ref="AJ62:AJ70" si="16">IFERROR(AA62/AA$20,0)</f>
        <v>0</v>
      </c>
      <c r="AK62" s="463">
        <f t="shared" ref="AK62:AK70" si="17">IFERROR(AD62/AD$20,0)</f>
        <v>0</v>
      </c>
      <c r="AL62" s="464">
        <f t="shared" ref="AL62:AL70" si="18">IFERROR(AG62/AG$20,0)</f>
        <v>0</v>
      </c>
      <c r="AM62" s="465">
        <f t="shared" ref="AM62:AM70" si="19">+IFERROR(ROUND(($AB62-AE62)*100,2)&amp;" pts.",0)</f>
        <v>0</v>
      </c>
      <c r="AN62" s="466">
        <f t="shared" ref="AN62:AN70" si="20">+IFERROR(ROUND(($AB62-AH62)*100,2)&amp;" pts.",0)</f>
        <v>0</v>
      </c>
      <c r="AO62" s="11"/>
    </row>
    <row r="63" spans="1:41" x14ac:dyDescent="0.2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67"/>
      <c r="P63" s="216"/>
      <c r="Q63" s="216"/>
      <c r="R63" s="216"/>
      <c r="S63" s="216"/>
      <c r="T63" s="216"/>
      <c r="U63" s="216"/>
      <c r="V63" s="216"/>
      <c r="W63" s="216"/>
      <c r="X63" s="216"/>
      <c r="Y63" s="216"/>
      <c r="Z63" s="216"/>
      <c r="AA63" s="216">
        <f t="shared" si="13"/>
        <v>0</v>
      </c>
      <c r="AB63" s="468" t="str">
        <f>IF(_epmOfflineCondition_,"",IF(AA63=0,"",IFERROR(AA63/_xll.EVGTS($B$1,1,_xll.EVPRO($B$1,$H63,"COSBASIS"),$B$3,$B$5,$B$6,$B$7,$B$9,AA$16,AA$17,AA$11),"")))</f>
        <v/>
      </c>
      <c r="AC63" s="459"/>
      <c r="AD63" s="216"/>
      <c r="AE63" s="468" t="str">
        <f>IF(_epmOfflineCondition_,"",IF(AD63=0,"",IFERROR(AD63/_xll.EVGTS($B$1,1,_xll.EVPRO($B$1,$H63,"COSBASIS"),$B$3,$B$5,$B$6,$B$7,$B$9,AD$16,AD$17,AD$18),"")))</f>
        <v/>
      </c>
      <c r="AF63" s="469">
        <f t="shared" si="14"/>
        <v>0</v>
      </c>
      <c r="AG63" s="216"/>
      <c r="AH63" s="468" t="str">
        <f>IF(_epmOfflineCondition_,"",IF(AG63=0,"",IFERROR(AG63/_xll.EVGTS($B$1,1,_xll.EVPRO($B$1,$H63,"COSBASIS"),$B$3,$B$5,$B$6,$B$7,$B$9,AG$16,AG$17,AG$18),"")))</f>
        <v/>
      </c>
      <c r="AI63" s="470">
        <f t="shared" si="15"/>
        <v>0</v>
      </c>
      <c r="AJ63" s="471">
        <f t="shared" si="16"/>
        <v>0</v>
      </c>
      <c r="AK63" s="472">
        <f t="shared" si="17"/>
        <v>0</v>
      </c>
      <c r="AL63" s="473">
        <f t="shared" si="18"/>
        <v>0</v>
      </c>
      <c r="AM63" s="474">
        <f t="shared" si="19"/>
        <v>0</v>
      </c>
      <c r="AN63" s="475">
        <f t="shared" si="20"/>
        <v>0</v>
      </c>
      <c r="AO63" s="11"/>
    </row>
    <row r="64" spans="1:41" x14ac:dyDescent="0.2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76"/>
      <c r="P64" s="223"/>
      <c r="Q64" s="223"/>
      <c r="R64" s="223"/>
      <c r="S64" s="223"/>
      <c r="T64" s="223"/>
      <c r="U64" s="223"/>
      <c r="V64" s="223"/>
      <c r="W64" s="223"/>
      <c r="X64" s="223"/>
      <c r="Y64" s="223"/>
      <c r="Z64" s="223"/>
      <c r="AA64" s="223">
        <f t="shared" si="13"/>
        <v>0</v>
      </c>
      <c r="AB64" s="224" t="str">
        <f>IF(_epmOfflineCondition_,"",IF(AA64=0,"",IFERROR(AA64/_xll.EVGTS($B$1,1,_xll.EVPRO($B$1,$H64,"COSBASIS"),$B$3,$B$5,$B$6,$B$7,$B$9,AA$16,AA$17,AA$11),"")))</f>
        <v/>
      </c>
      <c r="AC64" s="225"/>
      <c r="AD64" s="223"/>
      <c r="AE64" s="224" t="str">
        <f>IF(_epmOfflineCondition_,"",IF(AD64=0,"",IFERROR(AD64/_xll.EVGTS($B$1,1,_xll.EVPRO($B$1,$H64,"COSBASIS"),$B$3,$B$5,$B$6,$B$7,$B$9,AD$16,AD$17,AD$18),"")))</f>
        <v/>
      </c>
      <c r="AF64" s="226">
        <f t="shared" si="14"/>
        <v>0</v>
      </c>
      <c r="AG64" s="223"/>
      <c r="AH64" s="224" t="str">
        <f>IF(_epmOfflineCondition_,"",IF(AG64=0,"",IFERROR(AG64/_xll.EVGTS($B$1,1,_xll.EVPRO($B$1,$H64,"COSBASIS"),$B$3,$B$5,$B$6,$B$7,$B$9,AG$16,AG$17,AG$18),"")))</f>
        <v/>
      </c>
      <c r="AI64" s="477">
        <f t="shared" si="15"/>
        <v>0</v>
      </c>
      <c r="AJ64" s="227">
        <f t="shared" si="16"/>
        <v>0</v>
      </c>
      <c r="AK64" s="228">
        <f t="shared" si="17"/>
        <v>0</v>
      </c>
      <c r="AL64" s="230">
        <f t="shared" si="18"/>
        <v>0</v>
      </c>
      <c r="AM64" s="427">
        <f t="shared" si="19"/>
        <v>0</v>
      </c>
      <c r="AN64" s="478">
        <f t="shared" si="20"/>
        <v>0</v>
      </c>
      <c r="AO64" s="11"/>
    </row>
    <row r="65" spans="1:41" x14ac:dyDescent="0.2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79"/>
      <c r="P65" s="232"/>
      <c r="Q65" s="232"/>
      <c r="R65" s="232"/>
      <c r="S65" s="232"/>
      <c r="T65" s="232"/>
      <c r="U65" s="232"/>
      <c r="V65" s="232"/>
      <c r="W65" s="232"/>
      <c r="X65" s="232"/>
      <c r="Y65" s="232"/>
      <c r="Z65" s="232"/>
      <c r="AA65" s="232" t="str">
        <f t="shared" si="13"/>
        <v/>
      </c>
      <c r="AB65" s="480" t="str">
        <f>IF(_epmOfflineCondition_,"",IF(AA65=0,"",IFERROR(AA65/_xll.EVGTS($B$1,1,_xll.EVPRO($B$1,$H65,"COSBASIS"),$B$3,$B$5,$B$6,$B$7,$B$9,AA$16,AA$17,AA$11),"")))</f>
        <v/>
      </c>
      <c r="AC65" s="529"/>
      <c r="AD65" s="232"/>
      <c r="AE65" s="480" t="str">
        <f>IF(_epmOfflineCondition_,"",IF(AD65=0,"",IFERROR(AD65/_xll.EVGTS($B$1,1,_xll.EVPRO($B$1,$H65,"COSBASIS"),$B$3,$B$5,$B$6,$B$7,$B$9,AD$16,AD$17,AD$18),"")))</f>
        <v/>
      </c>
      <c r="AF65" s="482" t="str">
        <f t="shared" si="14"/>
        <v/>
      </c>
      <c r="AG65" s="232"/>
      <c r="AH65" s="480" t="str">
        <f>IF(_epmOfflineCondition_,"",IF(AG65=0,"",IFERROR(AG65/_xll.EVGTS($B$1,1,_xll.EVPRO($B$1,$H65,"COSBASIS"),$B$3,$B$5,$B$6,$B$7,$B$9,AG$16,AG$17,AG$18),"")))</f>
        <v/>
      </c>
      <c r="AI65" s="483" t="str">
        <f t="shared" si="15"/>
        <v/>
      </c>
      <c r="AJ65" s="235">
        <f t="shared" si="16"/>
        <v>0</v>
      </c>
      <c r="AK65" s="236">
        <f t="shared" si="17"/>
        <v>0</v>
      </c>
      <c r="AL65" s="238">
        <f t="shared" si="18"/>
        <v>0</v>
      </c>
      <c r="AM65" s="429">
        <f t="shared" si="19"/>
        <v>0</v>
      </c>
      <c r="AN65" s="484">
        <f t="shared" si="20"/>
        <v>0</v>
      </c>
      <c r="AO65" s="11"/>
    </row>
    <row r="66" spans="1:41" x14ac:dyDescent="0.2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57"/>
      <c r="P66" s="210"/>
      <c r="Q66" s="210"/>
      <c r="R66" s="210"/>
      <c r="S66" s="210"/>
      <c r="T66" s="210"/>
      <c r="U66" s="210"/>
      <c r="V66" s="210"/>
      <c r="W66" s="210"/>
      <c r="X66" s="210"/>
      <c r="Y66" s="210"/>
      <c r="Z66" s="210"/>
      <c r="AA66" s="210">
        <f t="shared" si="13"/>
        <v>0</v>
      </c>
      <c r="AB66" s="458" t="str">
        <f>IF(_epmOfflineCondition_,"",IF(AA66=0,"",IFERROR(AA66/_xll.EVGTS($B$1,1,_xll.EVPRO($B$1,$H66,"COSBASIS"),$B$3,$B$5,$B$6,$B$7,$B$9,AA$16,AA$17,AA$11),"")))</f>
        <v/>
      </c>
      <c r="AC66" s="528"/>
      <c r="AD66" s="210"/>
      <c r="AE66" s="458" t="str">
        <f>IF(_epmOfflineCondition_,"",IF(AD66=0,"",IFERROR(AD66/_xll.EVGTS($B$1,1,_xll.EVPRO($B$1,$H66,"COSBASIS"),$B$3,$B$5,$B$6,$B$7,$B$9,AD$16,AD$17,AD$18),"")))</f>
        <v/>
      </c>
      <c r="AF66" s="460">
        <f t="shared" si="14"/>
        <v>0</v>
      </c>
      <c r="AG66" s="210"/>
      <c r="AH66" s="458" t="str">
        <f>IF(_epmOfflineCondition_,"",IF(AG66=0,"",IFERROR(AG66/_xll.EVGTS($B$1,1,_xll.EVPRO($B$1,$H66,"COSBASIS"),$B$3,$B$5,$B$6,$B$7,$B$9,AG$16,AG$17,AG$18),"")))</f>
        <v/>
      </c>
      <c r="AI66" s="461">
        <f t="shared" si="15"/>
        <v>0</v>
      </c>
      <c r="AJ66" s="462">
        <f t="shared" si="16"/>
        <v>0</v>
      </c>
      <c r="AK66" s="463">
        <f t="shared" si="17"/>
        <v>0</v>
      </c>
      <c r="AL66" s="464">
        <f t="shared" si="18"/>
        <v>0</v>
      </c>
      <c r="AM66" s="465">
        <f t="shared" si="19"/>
        <v>0</v>
      </c>
      <c r="AN66" s="466">
        <f t="shared" si="20"/>
        <v>0</v>
      </c>
      <c r="AO66" s="11"/>
    </row>
    <row r="67" spans="1:41" x14ac:dyDescent="0.2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57"/>
      <c r="P67" s="210"/>
      <c r="Q67" s="210"/>
      <c r="R67" s="210"/>
      <c r="S67" s="210"/>
      <c r="T67" s="210"/>
      <c r="U67" s="210"/>
      <c r="V67" s="210"/>
      <c r="W67" s="210"/>
      <c r="X67" s="210"/>
      <c r="Y67" s="210"/>
      <c r="Z67" s="210"/>
      <c r="AA67" s="210">
        <f t="shared" si="13"/>
        <v>0</v>
      </c>
      <c r="AB67" s="458" t="str">
        <f>IF(_epmOfflineCondition_,"",IF(AA67=0,"",IFERROR(AA67/_xll.EVGTS($B$1,1,_xll.EVPRO($B$1,$H67,"COSBASIS"),$B$3,$B$5,$B$6,$B$7,$B$9,AA$16,AA$17,AA$11),"")))</f>
        <v/>
      </c>
      <c r="AC67" s="528"/>
      <c r="AD67" s="210"/>
      <c r="AE67" s="458" t="str">
        <f>IF(_epmOfflineCondition_,"",IF(AD67=0,"",IFERROR(AD67/_xll.EVGTS($B$1,1,_xll.EVPRO($B$1,$H67,"COSBASIS"),$B$3,$B$5,$B$6,$B$7,$B$9,AD$16,AD$17,AD$18),"")))</f>
        <v/>
      </c>
      <c r="AF67" s="460">
        <f t="shared" si="14"/>
        <v>0</v>
      </c>
      <c r="AG67" s="210"/>
      <c r="AH67" s="458" t="str">
        <f>IF(_epmOfflineCondition_,"",IF(AG67=0,"",IFERROR(AG67/_xll.EVGTS($B$1,1,_xll.EVPRO($B$1,$H67,"COSBASIS"),$B$3,$B$5,$B$6,$B$7,$B$9,AG$16,AG$17,AG$18),"")))</f>
        <v/>
      </c>
      <c r="AI67" s="461">
        <f t="shared" si="15"/>
        <v>0</v>
      </c>
      <c r="AJ67" s="462">
        <f t="shared" si="16"/>
        <v>0</v>
      </c>
      <c r="AK67" s="463">
        <f t="shared" si="17"/>
        <v>0</v>
      </c>
      <c r="AL67" s="464">
        <f t="shared" si="18"/>
        <v>0</v>
      </c>
      <c r="AM67" s="465">
        <f t="shared" si="19"/>
        <v>0</v>
      </c>
      <c r="AN67" s="466">
        <f t="shared" si="20"/>
        <v>0</v>
      </c>
      <c r="AO67" s="11"/>
    </row>
    <row r="68" spans="1:41" x14ac:dyDescent="0.2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67"/>
      <c r="P68" s="216"/>
      <c r="Q68" s="216"/>
      <c r="R68" s="216"/>
      <c r="S68" s="216"/>
      <c r="T68" s="216"/>
      <c r="U68" s="216"/>
      <c r="V68" s="216"/>
      <c r="W68" s="216"/>
      <c r="X68" s="216"/>
      <c r="Y68" s="216"/>
      <c r="Z68" s="216"/>
      <c r="AA68" s="216">
        <f t="shared" si="13"/>
        <v>0</v>
      </c>
      <c r="AB68" s="468" t="str">
        <f>IF(_epmOfflineCondition_,"",IF(AA68=0,"",IFERROR(AA68/_xll.EVGTS($B$1,1,_xll.EVPRO($B$1,$H68,"COSBASIS"),$B$3,$B$5,$B$6,$B$7,$B$9,AA$16,AA$17,AA$11),"")))</f>
        <v/>
      </c>
      <c r="AC68" s="459"/>
      <c r="AD68" s="216"/>
      <c r="AE68" s="468" t="str">
        <f>IF(_epmOfflineCondition_,"",IF(AD68=0,"",IFERROR(AD68/_xll.EVGTS($B$1,1,_xll.EVPRO($B$1,$H68,"COSBASIS"),$B$3,$B$5,$B$6,$B$7,$B$9,AD$16,AD$17,AD$18),"")))</f>
        <v/>
      </c>
      <c r="AF68" s="469">
        <f t="shared" si="14"/>
        <v>0</v>
      </c>
      <c r="AG68" s="216"/>
      <c r="AH68" s="468" t="str">
        <f>IF(_epmOfflineCondition_,"",IF(AG68=0,"",IFERROR(AG68/_xll.EVGTS($B$1,1,_xll.EVPRO($B$1,$H68,"COSBASIS"),$B$3,$B$5,$B$6,$B$7,$B$9,AG$16,AG$17,AG$18),"")))</f>
        <v/>
      </c>
      <c r="AI68" s="470">
        <f t="shared" si="15"/>
        <v>0</v>
      </c>
      <c r="AJ68" s="471">
        <f t="shared" si="16"/>
        <v>0</v>
      </c>
      <c r="AK68" s="472">
        <f t="shared" si="17"/>
        <v>0</v>
      </c>
      <c r="AL68" s="473">
        <f t="shared" si="18"/>
        <v>0</v>
      </c>
      <c r="AM68" s="474">
        <f t="shared" si="19"/>
        <v>0</v>
      </c>
      <c r="AN68" s="475">
        <f t="shared" si="20"/>
        <v>0</v>
      </c>
      <c r="AO68" s="11"/>
    </row>
    <row r="69" spans="1:41" x14ac:dyDescent="0.2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85"/>
      <c r="P69" s="242"/>
      <c r="Q69" s="242"/>
      <c r="R69" s="242"/>
      <c r="S69" s="242"/>
      <c r="T69" s="242"/>
      <c r="U69" s="242"/>
      <c r="V69" s="242"/>
      <c r="W69" s="242"/>
      <c r="X69" s="242"/>
      <c r="Y69" s="242"/>
      <c r="Z69" s="242"/>
      <c r="AA69" s="242">
        <f t="shared" si="13"/>
        <v>0</v>
      </c>
      <c r="AB69" s="243" t="str">
        <f>IF(_epmOfflineCondition_,"",IF(AA69=0,"",IFERROR(AA69/_xll.EVGTS($B$1,1,_xll.EVPRO($B$1,$H69,"COSBASIS"),$B$3,$B$5,$B$6,$B$7,$B$9,AA$16,AA$17,AA$11),"")))</f>
        <v/>
      </c>
      <c r="AC69" s="244"/>
      <c r="AD69" s="242"/>
      <c r="AE69" s="243" t="str">
        <f>IF(_epmOfflineCondition_,"",IF(AD69=0,"",IFERROR(AD69/_xll.EVGTS($B$1,1,_xll.EVPRO($B$1,$H69,"COSBASIS"),$B$3,$B$5,$B$6,$B$7,$B$9,AD$16,AD$17,AD$18),"")))</f>
        <v/>
      </c>
      <c r="AF69" s="245">
        <f t="shared" si="14"/>
        <v>0</v>
      </c>
      <c r="AG69" s="242"/>
      <c r="AH69" s="243" t="str">
        <f>IF(_epmOfflineCondition_,"",IF(AG69=0,"",IFERROR(AG69/_xll.EVGTS($B$1,1,_xll.EVPRO($B$1,$H69,"COSBASIS"),$B$3,$B$5,$B$6,$B$7,$B$9,AG$16,AG$17,AG$18),"")))</f>
        <v/>
      </c>
      <c r="AI69" s="486">
        <f t="shared" si="15"/>
        <v>0</v>
      </c>
      <c r="AJ69" s="246">
        <f t="shared" si="16"/>
        <v>0</v>
      </c>
      <c r="AK69" s="247">
        <f t="shared" si="17"/>
        <v>0</v>
      </c>
      <c r="AL69" s="249">
        <f t="shared" si="18"/>
        <v>0</v>
      </c>
      <c r="AM69" s="431">
        <f t="shared" si="19"/>
        <v>0</v>
      </c>
      <c r="AN69" s="487">
        <f t="shared" si="20"/>
        <v>0</v>
      </c>
      <c r="AO69" s="11"/>
    </row>
    <row r="70" spans="1:41" x14ac:dyDescent="0.2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76"/>
      <c r="P70" s="223"/>
      <c r="Q70" s="223"/>
      <c r="R70" s="223"/>
      <c r="S70" s="223"/>
      <c r="T70" s="223"/>
      <c r="U70" s="223"/>
      <c r="V70" s="223"/>
      <c r="W70" s="223"/>
      <c r="X70" s="223"/>
      <c r="Y70" s="223"/>
      <c r="Z70" s="223"/>
      <c r="AA70" s="223">
        <f t="shared" si="13"/>
        <v>0</v>
      </c>
      <c r="AB70" s="224" t="str">
        <f>IF(_epmOfflineCondition_,"",IF(AA70=0,"",IFERROR(AA70/_xll.EVGTS($B$1,1,_xll.EVPRO($B$1,$H70,"COSBASIS"),$B$3,$B$5,$B$6,$B$7,$B$9,AA$16,AA$17,AA$11),"")))</f>
        <v/>
      </c>
      <c r="AC70" s="225"/>
      <c r="AD70" s="223"/>
      <c r="AE70" s="224" t="str">
        <f>IF(_epmOfflineCondition_,"",IF(AD70=0,"",IFERROR(AD70/_xll.EVGTS($B$1,1,_xll.EVPRO($B$1,$H70,"COSBASIS"),$B$3,$B$5,$B$6,$B$7,$B$9,AD$16,AD$17,AD$18),"")))</f>
        <v/>
      </c>
      <c r="AF70" s="226">
        <f t="shared" si="14"/>
        <v>0</v>
      </c>
      <c r="AG70" s="223"/>
      <c r="AH70" s="224" t="str">
        <f>IF(_epmOfflineCondition_,"",IF(AG70=0,"",IFERROR(AG70/_xll.EVGTS($B$1,1,_xll.EVPRO($B$1,$H70,"COSBASIS"),$B$3,$B$5,$B$6,$B$7,$B$9,AG$16,AG$17,AG$18),"")))</f>
        <v/>
      </c>
      <c r="AI70" s="477">
        <f t="shared" si="15"/>
        <v>0</v>
      </c>
      <c r="AJ70" s="227">
        <f t="shared" si="16"/>
        <v>0</v>
      </c>
      <c r="AK70" s="228">
        <f t="shared" si="17"/>
        <v>0</v>
      </c>
      <c r="AL70" s="230">
        <f t="shared" si="18"/>
        <v>0</v>
      </c>
      <c r="AM70" s="427">
        <f t="shared" si="19"/>
        <v>0</v>
      </c>
      <c r="AN70" s="478">
        <f t="shared" si="20"/>
        <v>0</v>
      </c>
      <c r="AO70" s="11"/>
    </row>
    <row r="71" spans="1:41" x14ac:dyDescent="0.2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2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193">
        <f>IFERROR(AA72/AA$20,0)</f>
        <v>0</v>
      </c>
      <c r="AK72" s="194">
        <f>IFERROR(AD72/AD$20,0)</f>
        <v>0</v>
      </c>
      <c r="AL72" s="195">
        <f>IFERROR(AG72/AG$20,0)</f>
        <v>0</v>
      </c>
      <c r="AM72" s="407">
        <f>+IFERROR(ROUND(($AB72-AE72)*100,2)&amp;" pts.",0)</f>
        <v>0</v>
      </c>
      <c r="AN72" s="408">
        <f>+IFERROR(ROUND(($AB72-AH72)*100,2)&amp;" pts.",0)</f>
        <v>0</v>
      </c>
      <c r="AO72" s="11"/>
    </row>
    <row r="73" spans="1:41" x14ac:dyDescent="0.2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2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2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2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31"/>
      <c r="P76" s="231"/>
      <c r="Q76" s="231"/>
      <c r="R76" s="231"/>
      <c r="S76" s="231"/>
      <c r="T76" s="231"/>
      <c r="U76" s="231"/>
      <c r="V76" s="231"/>
      <c r="W76" s="231"/>
      <c r="X76" s="231"/>
      <c r="Y76" s="231"/>
      <c r="Z76" s="231"/>
      <c r="AA76" s="210">
        <f>IF($I76="B1","",SUM(O76:Z76))</f>
        <v>0</v>
      </c>
      <c r="AB76" s="233" t="str">
        <f>IF(AA76=0,"",IFERROR(AA76/AA$19,""))</f>
        <v/>
      </c>
      <c r="AC76" s="140"/>
      <c r="AD76" s="231"/>
      <c r="AE76" s="233" t="str">
        <f>IF(AD76=0,"",IFERROR(AD76/AD$19,""))</f>
        <v/>
      </c>
      <c r="AF76" s="234">
        <f>IF(AND($AA76="",AD76=""),"",$AA76-AD76)</f>
        <v>0</v>
      </c>
      <c r="AG76" s="231"/>
      <c r="AH76" s="233" t="str">
        <f>IF(AG76=0,"",IFERROR(AG76/AG$19,""))</f>
        <v/>
      </c>
      <c r="AI76" s="234">
        <f>IF(AND($AA76="",AG76=""),"",$AA76-AG76)</f>
        <v>0</v>
      </c>
      <c r="AJ76" s="462">
        <f>IFERROR(AA76/AA$20,0)</f>
        <v>0</v>
      </c>
      <c r="AK76" s="463">
        <f>IFERROR(AD76/AD$20,0)</f>
        <v>0</v>
      </c>
      <c r="AL76" s="464">
        <f>IFERROR(AG76/AG$20,0)</f>
        <v>0</v>
      </c>
      <c r="AM76" s="465">
        <f>+IFERROR(ROUND(($AB76-AE76)*100,2)&amp;" pts.",0)</f>
        <v>0</v>
      </c>
      <c r="AN76" s="466">
        <f>+IFERROR(ROUND(($AB76-AH76)*100,2)&amp;" pts.",0)</f>
        <v>0</v>
      </c>
      <c r="AO76" s="11"/>
    </row>
    <row r="77" spans="1:41" hidden="1" x14ac:dyDescent="0.2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31"/>
      <c r="P77" s="231"/>
      <c r="Q77" s="231"/>
      <c r="R77" s="231"/>
      <c r="S77" s="231"/>
      <c r="T77" s="231"/>
      <c r="U77" s="231"/>
      <c r="V77" s="231"/>
      <c r="W77" s="231"/>
      <c r="X77" s="231"/>
      <c r="Y77" s="231"/>
      <c r="Z77" s="231"/>
      <c r="AA77" s="210">
        <f>IF($I77="B1","",SUM(O77:Z77))</f>
        <v>0</v>
      </c>
      <c r="AB77" s="233" t="str">
        <f>IF(AA77=0,"",IFERROR(AA77/AA$19,""))</f>
        <v/>
      </c>
      <c r="AC77" s="140"/>
      <c r="AD77" s="231"/>
      <c r="AE77" s="233" t="str">
        <f>IF(AD77=0,"",IFERROR(AD77/AD$19,""))</f>
        <v/>
      </c>
      <c r="AF77" s="234">
        <f>IF(AND($AA77="",AD77=""),"",$AA77-AD77)</f>
        <v>0</v>
      </c>
      <c r="AG77" s="231"/>
      <c r="AH77" s="233" t="str">
        <f>IF(AG77=0,"",IFERROR(AG77/AG$19,""))</f>
        <v/>
      </c>
      <c r="AI77" s="234">
        <f>IF(AND($AA77="",AG77=""),"",$AA77-AG77)</f>
        <v>0</v>
      </c>
      <c r="AJ77" s="462">
        <f>IFERROR(AA77/AA$20,0)</f>
        <v>0</v>
      </c>
      <c r="AK77" s="463">
        <f>IFERROR(AD77/AD$20,0)</f>
        <v>0</v>
      </c>
      <c r="AL77" s="464">
        <f>IFERROR(AG77/AG$20,0)</f>
        <v>0</v>
      </c>
      <c r="AM77" s="465">
        <f>+IFERROR(ROUND(($AB77-AE77)*100,2)&amp;" pts.",0)</f>
        <v>0</v>
      </c>
      <c r="AN77" s="466">
        <f>+IFERROR(ROUND(($AB77-AH77)*100,2)&amp;" pts.",0)</f>
        <v>0</v>
      </c>
      <c r="AO77" s="11"/>
    </row>
    <row r="78" spans="1:41" x14ac:dyDescent="0.2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2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39"/>
      <c r="P79" s="239"/>
      <c r="Q79" s="239"/>
      <c r="R79" s="239"/>
      <c r="S79" s="239"/>
      <c r="T79" s="239"/>
      <c r="U79" s="239"/>
      <c r="V79" s="239"/>
      <c r="W79" s="239"/>
      <c r="X79" s="239"/>
      <c r="Y79" s="239"/>
      <c r="Z79" s="239"/>
      <c r="AA79" s="216">
        <f>IF($I79="B1","",SUM(O79:Z79))</f>
        <v>0</v>
      </c>
      <c r="AB79" s="240" t="str">
        <f>IF(AA79=0,"",IFERROR(AA79/AA$19,""))</f>
        <v/>
      </c>
      <c r="AC79" s="140"/>
      <c r="AD79" s="239"/>
      <c r="AE79" s="240" t="str">
        <f>IF(AD79=0,"",IFERROR(AD79/AD$19,""))</f>
        <v/>
      </c>
      <c r="AF79" s="241">
        <f>IF(AND($AA79="",AD79=""),"",$AA79-AD79)</f>
        <v>0</v>
      </c>
      <c r="AG79" s="239"/>
      <c r="AH79" s="240" t="str">
        <f>IF(AG79=0,"",IFERROR(AG79/AG$19,""))</f>
        <v/>
      </c>
      <c r="AI79" s="241">
        <f>IF(AND($AA79="",AG79=""),"",$AA79-AG79)</f>
        <v>0</v>
      </c>
      <c r="AJ79" s="462">
        <f>IFERROR(AA79/AA$20,0)</f>
        <v>0</v>
      </c>
      <c r="AK79" s="463">
        <f>IFERROR(AD79/AD$20,0)</f>
        <v>0</v>
      </c>
      <c r="AL79" s="464">
        <f>IFERROR(AG79/AG$20,0)</f>
        <v>0</v>
      </c>
      <c r="AM79" s="465">
        <f>+IFERROR(ROUND(($AB79-AE79)*100,2)&amp;" pts.",0)</f>
        <v>0</v>
      </c>
      <c r="AN79" s="466">
        <f>+IFERROR(ROUND(($AB79-AH79)*100,2)&amp;" pts.",0)</f>
        <v>0</v>
      </c>
      <c r="AO79" s="11"/>
    </row>
    <row r="80" spans="1:41" hidden="1" x14ac:dyDescent="0.2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39"/>
      <c r="P80" s="239"/>
      <c r="Q80" s="239"/>
      <c r="R80" s="239"/>
      <c r="S80" s="239"/>
      <c r="T80" s="239"/>
      <c r="U80" s="239"/>
      <c r="V80" s="239"/>
      <c r="W80" s="239"/>
      <c r="X80" s="239"/>
      <c r="Y80" s="239"/>
      <c r="Z80" s="239"/>
      <c r="AA80" s="216">
        <f>IF($I80="B1","",SUM(O80:Z80))</f>
        <v>0</v>
      </c>
      <c r="AB80" s="240" t="str">
        <f>IF(AA80=0,"",IFERROR(AA80/AA$19,""))</f>
        <v/>
      </c>
      <c r="AC80" s="140"/>
      <c r="AD80" s="239"/>
      <c r="AE80" s="240" t="str">
        <f>IF(AD80=0,"",IFERROR(AD80/AD$19,""))</f>
        <v/>
      </c>
      <c r="AF80" s="241">
        <f>IF(AND($AA80="",AD80=""),"",$AA80-AD80)</f>
        <v>0</v>
      </c>
      <c r="AG80" s="239"/>
      <c r="AH80" s="240" t="str">
        <f>IF(AG80=0,"",IFERROR(AG80/AG$19,""))</f>
        <v/>
      </c>
      <c r="AI80" s="241">
        <f>IF(AND($AA80="",AG80=""),"",$AA80-AG80)</f>
        <v>0</v>
      </c>
      <c r="AJ80" s="462">
        <f>IFERROR(AA80/AA$20,0)</f>
        <v>0</v>
      </c>
      <c r="AK80" s="463">
        <f>IFERROR(AD80/AD$20,0)</f>
        <v>0</v>
      </c>
      <c r="AL80" s="464">
        <f>IFERROR(AG80/AG$20,0)</f>
        <v>0</v>
      </c>
      <c r="AM80" s="465">
        <f>+IFERROR(ROUND(($AB80-AE80)*100,2)&amp;" pts.",0)</f>
        <v>0</v>
      </c>
      <c r="AN80" s="466">
        <f>+IFERROR(ROUND(($AB80-AH80)*100,2)&amp;" pts.",0)</f>
        <v>0</v>
      </c>
      <c r="AO80" s="11"/>
    </row>
    <row r="81" spans="1:41" x14ac:dyDescent="0.2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2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25">
      <c r="A83" s="65" t="s">
        <v>2</v>
      </c>
      <c r="B83" s="66" t="str">
        <f>IF(_epmOfflineCondition_,"'Venue5'!$B$2:$B$10",_xll.EVRNG($B$2:$B$10))</f>
        <v>'Venue5'!$B$2:$B$10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38"/>
      <c r="P83" s="138"/>
      <c r="Q83" s="138"/>
      <c r="R83" s="138"/>
      <c r="S83" s="138"/>
      <c r="T83" s="138"/>
      <c r="U83" s="138"/>
      <c r="V83" s="138"/>
      <c r="W83" s="138"/>
      <c r="X83" s="138"/>
      <c r="Y83" s="138"/>
      <c r="Z83" s="138"/>
      <c r="AA83" s="210">
        <f>IF($I83="B1","",SUM(O83:Z83))</f>
        <v>0</v>
      </c>
      <c r="AB83" s="142" t="str">
        <f>IF(AA83=0,"",IFERROR(AA83/AA$19,""))</f>
        <v/>
      </c>
      <c r="AC83" s="140"/>
      <c r="AD83" s="138"/>
      <c r="AE83" s="142" t="str">
        <f>IF(AD83=0,"",IFERROR(AD83/AD$19,""))</f>
        <v/>
      </c>
      <c r="AF83" s="141">
        <f>IF(AND($AA83="",AD83=""),"",$AA83-AD83)</f>
        <v>0</v>
      </c>
      <c r="AG83" s="138"/>
      <c r="AH83" s="142" t="str">
        <f>IF(AG83=0,"",IFERROR(AG83/AG$19,""))</f>
        <v/>
      </c>
      <c r="AI83" s="141">
        <f>IF(AND($AA83="",AG83=""),"",$AA83-AG83)</f>
        <v>0</v>
      </c>
      <c r="AJ83" s="462">
        <f>IFERROR(AA83/AA$20,0)</f>
        <v>0</v>
      </c>
      <c r="AK83" s="463">
        <f>IFERROR(AD83/AD$20,0)</f>
        <v>0</v>
      </c>
      <c r="AL83" s="464">
        <f>IFERROR(AG83/AG$20,0)</f>
        <v>0</v>
      </c>
      <c r="AM83" s="465">
        <f>+IFERROR(ROUND(($AB83-AE83)*100,2)&amp;" pts.",0)</f>
        <v>0</v>
      </c>
      <c r="AN83" s="466">
        <f>+IFERROR(ROUND(($AB83-AH83)*100,2)&amp;" pts.",0)</f>
        <v>0</v>
      </c>
      <c r="AO83" s="11"/>
    </row>
    <row r="84" spans="1:41" hidden="1" x14ac:dyDescent="0.25">
      <c r="A84" s="65" t="s">
        <v>3</v>
      </c>
      <c r="B84" s="66" t="str">
        <f>IF(_epmOfflineCondition_,"'Venue5'!$O$16:$AN$18",_xll.EVRNG($O$16:$AN$18))</f>
        <v>'Venue5'!$O$16:$AN$18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38"/>
      <c r="P84" s="138"/>
      <c r="Q84" s="138"/>
      <c r="R84" s="138"/>
      <c r="S84" s="138"/>
      <c r="T84" s="138"/>
      <c r="U84" s="138"/>
      <c r="V84" s="138"/>
      <c r="W84" s="138"/>
      <c r="X84" s="138"/>
      <c r="Y84" s="138"/>
      <c r="Z84" s="138"/>
      <c r="AA84" s="210">
        <f>IF($I84="B1","",SUM(O84:Z84))</f>
        <v>0</v>
      </c>
      <c r="AB84" s="142" t="str">
        <f>IF(AA84=0,"",IFERROR(AA84/AA$19,""))</f>
        <v/>
      </c>
      <c r="AC84" s="140"/>
      <c r="AD84" s="138"/>
      <c r="AE84" s="142" t="str">
        <f>IF(AD84=0,"",IFERROR(AD84/AD$19,""))</f>
        <v/>
      </c>
      <c r="AF84" s="141">
        <f>IF(AND($AA84="",AD84=""),"",$AA84-AD84)</f>
        <v>0</v>
      </c>
      <c r="AG84" s="138"/>
      <c r="AH84" s="142" t="str">
        <f>IF(AG84=0,"",IFERROR(AG84/AG$19,""))</f>
        <v/>
      </c>
      <c r="AI84" s="141">
        <f>IF(AND($AA84="",AG84=""),"",$AA84-AG84)</f>
        <v>0</v>
      </c>
      <c r="AJ84" s="462">
        <f>IFERROR(AA84/AA$20,0)</f>
        <v>0</v>
      </c>
      <c r="AK84" s="463">
        <f>IFERROR(AD84/AD$20,0)</f>
        <v>0</v>
      </c>
      <c r="AL84" s="464">
        <f>IFERROR(AG84/AG$20,0)</f>
        <v>0</v>
      </c>
      <c r="AM84" s="465">
        <f>+IFERROR(ROUND(($AB84-AE84)*100,2)&amp;" pts.",0)</f>
        <v>0</v>
      </c>
      <c r="AN84" s="466">
        <f>+IFERROR(ROUND(($AB84-AH84)*100,2)&amp;" pts.",0)</f>
        <v>0</v>
      </c>
      <c r="AO84" s="11"/>
    </row>
    <row r="85" spans="1:41" x14ac:dyDescent="0.25">
      <c r="A85" s="65" t="s">
        <v>4</v>
      </c>
      <c r="B85" s="66" t="str">
        <f>IF(_epmOfflineCondition_,"'Venue5'!$H$76:$H$77,'Venue5'!$H$79:$H$80,'Venue5'!$H$83:$H$84",_xll.EVRNG(H76:H77,H79:H80,H83:H84))</f>
        <v>'Venue5'!$H$76:$H$77,'Venue5'!$H$79:$H$80,'Venue5'!$H$83:$H$84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0"/>
      <c r="P85" s="150"/>
      <c r="Q85" s="150"/>
      <c r="R85" s="150"/>
      <c r="S85" s="150"/>
      <c r="T85" s="150"/>
      <c r="U85" s="150"/>
      <c r="V85" s="150"/>
      <c r="W85" s="150"/>
      <c r="X85" s="150"/>
      <c r="Y85" s="150"/>
      <c r="Z85" s="150"/>
      <c r="AA85" s="150">
        <f>IF($I85="B1","",SUM(O85:Z85))</f>
        <v>0</v>
      </c>
      <c r="AB85" s="151" t="str">
        <f>IF(AA85=0,"",IFERROR(AA85/AA$19,""))</f>
        <v/>
      </c>
      <c r="AC85" s="140"/>
      <c r="AD85" s="150"/>
      <c r="AE85" s="151" t="str">
        <f>IF(AD85=0,"",IFERROR(AD85/AD$19,""))</f>
        <v/>
      </c>
      <c r="AF85" s="152">
        <f>IF(AND($AA85="",AD85=""),"",$AA85-AD85)</f>
        <v>0</v>
      </c>
      <c r="AG85" s="150"/>
      <c r="AH85" s="151" t="str">
        <f>IF(AG85=0,"",IFERROR(AG85/AG$19,""))</f>
        <v/>
      </c>
      <c r="AI85" s="152">
        <f>IF(AND($AA85="",AG85=""),"",$AA85-AG85)</f>
        <v>0</v>
      </c>
      <c r="AJ85" s="446">
        <f>IFERROR(AA85/AA$20,0)</f>
        <v>0</v>
      </c>
      <c r="AK85" s="447">
        <f>IFERROR(AD85/AD$20,0)</f>
        <v>0</v>
      </c>
      <c r="AL85" s="448">
        <f>IFERROR(AG85/AG$20,0)</f>
        <v>0</v>
      </c>
      <c r="AM85" s="449">
        <f>+IFERROR(ROUND(($AB85-AE85)*100,2)&amp;" pts.",0)</f>
        <v>0</v>
      </c>
      <c r="AN85" s="546">
        <f>+IFERROR(ROUND(($AB85-AH85)*100,2)&amp;" pts.",0)</f>
        <v>0</v>
      </c>
      <c r="AO85" s="11"/>
    </row>
    <row r="86" spans="1:41" x14ac:dyDescent="0.2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2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42"/>
      <c r="P87" s="242"/>
      <c r="Q87" s="242"/>
      <c r="R87" s="242"/>
      <c r="S87" s="242"/>
      <c r="T87" s="242"/>
      <c r="U87" s="242"/>
      <c r="V87" s="242"/>
      <c r="W87" s="242"/>
      <c r="X87" s="242"/>
      <c r="Y87" s="242"/>
      <c r="Z87" s="242"/>
      <c r="AA87" s="242">
        <f>IF($I87="B1","",SUM(O87:Z87))</f>
        <v>0</v>
      </c>
      <c r="AB87" s="243" t="str">
        <f>IF(AA87=0,"",IFERROR(AA87/AA$19,""))</f>
        <v/>
      </c>
      <c r="AC87" s="140"/>
      <c r="AD87" s="242"/>
      <c r="AE87" s="243" t="str">
        <f>IF(AD87=0,"",IFERROR(AD87/AD$19,""))</f>
        <v/>
      </c>
      <c r="AF87" s="254">
        <f>IF(AND($AA87="",AD87=""),"",$AA87-AD87)</f>
        <v>0</v>
      </c>
      <c r="AG87" s="255"/>
      <c r="AH87" s="256" t="str">
        <f>IF(AG87=0,"",IFERROR(AG87/AG$19,""))</f>
        <v/>
      </c>
      <c r="AI87" s="254">
        <f>IF(AND($AA87="",AG87=""),"",$AA87-AG87)</f>
        <v>0</v>
      </c>
      <c r="AJ87" s="435">
        <f>IFERROR(AA87/AA$20,0)</f>
        <v>0</v>
      </c>
      <c r="AK87" s="436">
        <f>IFERROR(AD87/AD$20,0)</f>
        <v>0</v>
      </c>
      <c r="AL87" s="437">
        <f>IFERROR(AG87/AG$20,0)</f>
        <v>0</v>
      </c>
      <c r="AM87" s="438">
        <f>+IFERROR(ROUND(($AB87-AE87)*100,2)&amp;" pts.",0)</f>
        <v>0</v>
      </c>
      <c r="AN87" s="547">
        <f>+IFERROR(ROUND(($AB87-AH87)*100,2)&amp;" pts.",0)</f>
        <v>0</v>
      </c>
      <c r="AO87" s="11"/>
    </row>
    <row r="88" spans="1:41" ht="15.75" thickBot="1" x14ac:dyDescent="0.3">
      <c r="A88" s="65" t="s">
        <v>7</v>
      </c>
      <c r="B88" s="66" t="str">
        <f>IF(_epmOfflineCondition_,"'Venue5'!$A$102:$F$108",_xll.EVRNG(A102:F108))</f>
        <v>'Venue5'!$A$102:$F$108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5"/>
      <c r="P88" s="165"/>
      <c r="Q88" s="165"/>
      <c r="R88" s="165"/>
      <c r="S88" s="165"/>
      <c r="T88" s="165"/>
      <c r="U88" s="165"/>
      <c r="V88" s="165"/>
      <c r="W88" s="165"/>
      <c r="X88" s="165"/>
      <c r="Y88" s="165"/>
      <c r="Z88" s="165"/>
      <c r="AA88" s="165">
        <f>IF($I88="B1","",SUM(O88:Z88))</f>
        <v>0</v>
      </c>
      <c r="AB88" s="166" t="str">
        <f>IF(AA88=0,"",IFERROR(AA88/AA$19,""))</f>
        <v/>
      </c>
      <c r="AC88" s="140"/>
      <c r="AD88" s="165"/>
      <c r="AE88" s="166" t="str">
        <f>IF(AD88=0,"",IFERROR(AD88/AD$19,""))</f>
        <v/>
      </c>
      <c r="AF88" s="167">
        <f>IF(AND($AA88="",AD88=""),"",$AA88-AD88)</f>
        <v>0</v>
      </c>
      <c r="AG88" s="165"/>
      <c r="AH88" s="166" t="str">
        <f>IF(AG88=0,"",IFERROR(AG88/AG$19,""))</f>
        <v/>
      </c>
      <c r="AI88" s="167">
        <f>IF(AND($AA88="",AG88=""),"",$AA88-AG88)</f>
        <v>0</v>
      </c>
      <c r="AJ88" s="452">
        <f>IFERROR(AA88/AA$20,0)</f>
        <v>0</v>
      </c>
      <c r="AK88" s="453">
        <f>IFERROR(AD88/AD$20,0)</f>
        <v>0</v>
      </c>
      <c r="AL88" s="454">
        <f>IFERROR(AG88/AG$20,0)</f>
        <v>0</v>
      </c>
      <c r="AM88" s="455">
        <f>+IFERROR(ROUND(($AB88-AE88)*100,2)&amp;" pts.",0)</f>
        <v>0</v>
      </c>
      <c r="AN88" s="548">
        <f>+IFERROR(ROUND(($AB88-AH88)*100,2)&amp;" pts.",0)</f>
        <v>0</v>
      </c>
      <c r="AO88" s="11"/>
    </row>
    <row r="89" spans="1:41" ht="15.75" thickTop="1" x14ac:dyDescent="0.25">
      <c r="A89" s="65" t="s">
        <v>47</v>
      </c>
      <c r="B89" s="66" t="str">
        <f>IF(_epmOfflineCondition_,"'Venue5'!$A$125:$B$146",_xll.EVRNG($A$125:$B$146))</f>
        <v>'Venue5'!$A$125:$B$146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2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2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2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2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5" t="s">
        <v>2</v>
      </c>
      <c r="B114" s="66" t="str">
        <f>IF(_epmOfflineCondition_,"'Venue5'!$B$2:$B$10",_xll.EVRNG($B$2:$B$10))</f>
        <v>'Venue5'!$B$2:$B$10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3</v>
      </c>
      <c r="B115" s="66" t="str">
        <f>IF(_epmOfflineCondition_,"'Venue5'!$O$16:$AN$18",_xll.EVRNG($O$16:$AN$18))</f>
        <v>'Venue5'!$O$16:$AN$18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4</v>
      </c>
      <c r="B116" s="66" t="str">
        <f>IF(_epmOfflineCondition_,"'Venue5'!$H$85:$H$88",_xll.EVRNG(H85:H88))</f>
        <v>'Venue5'!$H$85:$H$88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47</v>
      </c>
      <c r="B120" s="66" t="str">
        <f>IF(_epmOfflineCondition_,"'Venue5'!$A$125:$B$146",_xll.EVRNG($A$125:$B$146))</f>
        <v>'Venue5'!$A$125:$B$146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2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TeLTK9gtGOuaBRlxxMxk+tqlT9Vp38lv0nGiPhZM0gE67hJWMEuAskrhUmiHrjxvao0PjCeB1VEVAv1xicjXIw==" saltValue="+uJSZnkiIzvQssuP569jvA==" spinCount="100000" sheet="1" scenarios="1"/>
  <mergeCells count="2">
    <mergeCell ref="AD31:AE31"/>
    <mergeCell ref="AG31:AH31"/>
  </mergeCells>
  <dataValidations count="2">
    <dataValidation type="list" allowBlank="1" sqref="B28 B94 B61" xr:uid="{00000000-0002-0000-0F00-000000000000}">
      <formula1>"ACCOUNT,BUSINESSUNIT,CATEGORY,DATASRC,DEPARTMENT,INTCO,MEASURES,RPTCURRENCY,TIME"</formula1>
    </dataValidation>
    <dataValidation type="list" allowBlank="1" sqref="B29 B95 B62" xr:uid="{00000000-0002-0000-0F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0405"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30405" r:id="rId7" name="FPMExcelClientSheetOptionstb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3">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t="str">
        <f>Venue5!N1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787</v>
      </c>
      <c r="C6" s="11" t="str">
        <f>IF(_epmOfflineCondition_,"Venue 5",_xll.EVDES(B6,$B$1))</f>
        <v>Venue 5</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IF(_epmOfflineCondition_,"'Venue5_KPI'!$B$2:$B$10",_xll.EVRNG($B$2:$B$10))</f>
        <v>'Venue5_KPI'!$B$2:$B$10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IF(_epmOfflineCondition_,"'Venue5_KPI'!$O$16:$AI$18",_xll.EVRNG(O16:AI18))</f>
        <v>'Venue5_KPI'!$O$16:$AI$18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IF(_epmOfflineCondition_,"'Venue5_KPI'!$H$35:$H$146",_xll.EVRNG(H35:H146))</f>
        <v>'Venue5_KPI'!$H$35:$H$146</v>
      </c>
      <c r="C19" s="11"/>
      <c r="D19" s="11"/>
      <c r="E19" s="11"/>
      <c r="F19" s="11"/>
      <c r="G19" s="67" t="str">
        <f>$B$6</f>
        <v>D2143</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25">
      <c r="A20" s="65" t="s">
        <v>5</v>
      </c>
      <c r="B20" s="66"/>
      <c r="C20" s="11"/>
      <c r="D20" s="11"/>
      <c r="E20" s="11"/>
      <c r="F20" s="11"/>
      <c r="G20" s="67" t="str">
        <f>$B$6</f>
        <v>D2143</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IF(_epmOfflineCondition_,"'Venue5_KPI'!$A$37:$B$58",_xll.EVRNG($A$37:$B$58))</f>
        <v>'Venue5_KPI'!$A$37:$B$58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IF(_epmOfflineCondition_,"Venue 5 Department",IF($N$1="",IF(_xll.EVDES(B6,$B$1)="#NODATA","",_xll.EVDES(B6,$B$1)&amp;" Department"),$N$1))</f>
        <v>Venue 5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c r="P35" s="138"/>
      <c r="Q35" s="138"/>
      <c r="R35" s="138"/>
      <c r="S35" s="138"/>
      <c r="T35" s="138"/>
      <c r="U35" s="138"/>
      <c r="V35" s="138"/>
      <c r="W35" s="138"/>
      <c r="X35" s="138"/>
      <c r="Y35" s="138"/>
      <c r="Z35" s="138"/>
      <c r="AA35" s="138">
        <f t="shared" ref="AA35:AA41" si="0">SUM(O35:Z35)</f>
        <v>0</v>
      </c>
      <c r="AB35" s="142" t="str">
        <f>IF(AA35=0,"",IFERROR(AA35/AA$19,""))</f>
        <v/>
      </c>
      <c r="AC35" s="140"/>
      <c r="AD35" s="138"/>
      <c r="AE35" s="142" t="str">
        <f>IF(AD35=0,"",IFERROR(AD35/AD$19,""))</f>
        <v/>
      </c>
      <c r="AF35" s="141">
        <f t="shared" ref="AF35:AF42" si="1">IF(AND($AA35="",AD35=""),"",$AA35-AD35)</f>
        <v>0</v>
      </c>
      <c r="AG35" s="138"/>
      <c r="AH35" s="142" t="str">
        <f>IF(AG35=0,"",IFERROR(AG35/AG$19,""))</f>
        <v/>
      </c>
      <c r="AI35" s="141">
        <f t="shared" ref="AI35:AI42" si="2">IF(AND($AA35="",AG35=""),"",$AA35-AG35)</f>
        <v>0</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c r="P36" s="138"/>
      <c r="Q36" s="138"/>
      <c r="R36" s="138"/>
      <c r="S36" s="138"/>
      <c r="T36" s="138"/>
      <c r="U36" s="138"/>
      <c r="V36" s="138"/>
      <c r="W36" s="138"/>
      <c r="X36" s="138"/>
      <c r="Y36" s="138"/>
      <c r="Z36" s="138"/>
      <c r="AA36" s="138">
        <f t="shared" si="0"/>
        <v>0</v>
      </c>
      <c r="AB36" s="142" t="str">
        <f>IF(AA36=0,"",IFERROR(AA36/AA$19,""))</f>
        <v/>
      </c>
      <c r="AC36" s="140"/>
      <c r="AD36" s="138"/>
      <c r="AE36" s="142" t="str">
        <f>IF(AD36=0,"",IFERROR(AD36/AD$19,""))</f>
        <v/>
      </c>
      <c r="AF36" s="141">
        <f t="shared" si="1"/>
        <v>0</v>
      </c>
      <c r="AG36" s="138"/>
      <c r="AH36" s="142" t="str">
        <f>IF(AG36=0,"",IFERROR(AG36/AG$19,""))</f>
        <v/>
      </c>
      <c r="AI36" s="141">
        <f t="shared" si="2"/>
        <v>0</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c r="P37" s="138"/>
      <c r="Q37" s="138"/>
      <c r="R37" s="138"/>
      <c r="S37" s="138"/>
      <c r="T37" s="138"/>
      <c r="U37" s="138"/>
      <c r="V37" s="138"/>
      <c r="W37" s="138"/>
      <c r="X37" s="138"/>
      <c r="Y37" s="138"/>
      <c r="Z37" s="138"/>
      <c r="AA37" s="138">
        <f t="shared" si="0"/>
        <v>0</v>
      </c>
      <c r="AB37" s="142" t="str">
        <f>IF(AA37=0,"",IFERROR(AA37/AA$19,""))</f>
        <v/>
      </c>
      <c r="AC37" s="140"/>
      <c r="AD37" s="138"/>
      <c r="AE37" s="142" t="str">
        <f>IF(AD37=0,"",IFERROR(AD37/AD$19,""))</f>
        <v/>
      </c>
      <c r="AF37" s="141">
        <f t="shared" si="1"/>
        <v>0</v>
      </c>
      <c r="AG37" s="138"/>
      <c r="AH37" s="142" t="str">
        <f>IF(AG37=0,"",IFERROR(AG37/AG$19,""))</f>
        <v/>
      </c>
      <c r="AI37" s="141">
        <f t="shared" si="2"/>
        <v>0</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c r="P38" s="215"/>
      <c r="Q38" s="215"/>
      <c r="R38" s="215"/>
      <c r="S38" s="215"/>
      <c r="T38" s="215"/>
      <c r="U38" s="215"/>
      <c r="V38" s="215"/>
      <c r="W38" s="215"/>
      <c r="X38" s="215"/>
      <c r="Y38" s="215"/>
      <c r="Z38" s="215"/>
      <c r="AA38" s="215">
        <f t="shared" si="0"/>
        <v>0</v>
      </c>
      <c r="AB38" s="217" t="str">
        <f>IF(AA38=0,"",IFERROR(AA38/AA$19,""))</f>
        <v/>
      </c>
      <c r="AC38" s="140"/>
      <c r="AD38" s="215"/>
      <c r="AE38" s="217" t="str">
        <f>IF(AD38=0,"",IFERROR(AD38/AD$19,""))</f>
        <v/>
      </c>
      <c r="AF38" s="218">
        <f t="shared" si="1"/>
        <v>0</v>
      </c>
      <c r="AG38" s="215"/>
      <c r="AH38" s="217" t="str">
        <f>IF(AG38=0,"",IFERROR(AG38/AG$19,""))</f>
        <v/>
      </c>
      <c r="AI38" s="218">
        <f t="shared" si="2"/>
        <v>0</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c r="P39" s="162"/>
      <c r="Q39" s="162"/>
      <c r="R39" s="162"/>
      <c r="S39" s="162"/>
      <c r="T39" s="162"/>
      <c r="U39" s="162"/>
      <c r="V39" s="162"/>
      <c r="W39" s="162"/>
      <c r="X39" s="162"/>
      <c r="Y39" s="162"/>
      <c r="Z39" s="162"/>
      <c r="AA39" s="162">
        <f t="shared" si="0"/>
        <v>0</v>
      </c>
      <c r="AB39" s="163" t="str">
        <f>IF(AA39=0,"",IFERROR(AA39/AA$19,""))</f>
        <v/>
      </c>
      <c r="AC39" s="140"/>
      <c r="AD39" s="162"/>
      <c r="AE39" s="163" t="str">
        <f>IF(AD39=0,"",IFERROR(AD39/AD$19,""))</f>
        <v/>
      </c>
      <c r="AF39" s="164">
        <f t="shared" si="1"/>
        <v>0</v>
      </c>
      <c r="AG39" s="162"/>
      <c r="AH39" s="163" t="str">
        <f>IF(AG39=0,"",IFERROR(AG39/AG$19,""))</f>
        <v/>
      </c>
      <c r="AI39" s="164">
        <f t="shared" si="2"/>
        <v>0</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c r="P40" s="231"/>
      <c r="Q40" s="231"/>
      <c r="R40" s="231"/>
      <c r="S40" s="231"/>
      <c r="T40" s="231"/>
      <c r="U40" s="231"/>
      <c r="V40" s="231"/>
      <c r="W40" s="231"/>
      <c r="X40" s="231"/>
      <c r="Y40" s="231"/>
      <c r="Z40" s="231"/>
      <c r="AA40" s="231">
        <f t="shared" si="0"/>
        <v>0</v>
      </c>
      <c r="AB40" s="233"/>
      <c r="AC40" s="140"/>
      <c r="AD40" s="231"/>
      <c r="AE40" s="233"/>
      <c r="AF40" s="234">
        <f t="shared" si="1"/>
        <v>0</v>
      </c>
      <c r="AG40" s="231"/>
      <c r="AH40" s="233"/>
      <c r="AI40" s="234">
        <f t="shared" si="2"/>
        <v>0</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c r="P41" s="231"/>
      <c r="Q41" s="231"/>
      <c r="R41" s="231"/>
      <c r="S41" s="231"/>
      <c r="T41" s="231"/>
      <c r="U41" s="231"/>
      <c r="V41" s="231"/>
      <c r="W41" s="231"/>
      <c r="X41" s="231"/>
      <c r="Y41" s="231"/>
      <c r="Z41" s="231"/>
      <c r="AA41" s="231">
        <f t="shared" si="0"/>
        <v>0</v>
      </c>
      <c r="AB41" s="233" t="str">
        <f>IF(AA41=0,"",IFERROR(AA41/AA$87,""))</f>
        <v/>
      </c>
      <c r="AC41" s="140"/>
      <c r="AD41" s="231"/>
      <c r="AE41" s="233" t="str">
        <f>IF(AD41=0,"",IFERROR(AD41/AD$87,""))</f>
        <v/>
      </c>
      <c r="AF41" s="234">
        <f t="shared" si="1"/>
        <v>0</v>
      </c>
      <c r="AG41" s="231"/>
      <c r="AH41" s="233" t="str">
        <f>IF(AG41=0,"",IFERROR(AG41/AG$87,""))</f>
        <v/>
      </c>
      <c r="AI41" s="234">
        <f t="shared" si="2"/>
        <v>0</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2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5"/>
      <c r="AG43" s="497">
        <f>ROUND(IFERROR(AG39/AG41,0),2)</f>
        <v>0</v>
      </c>
      <c r="AH43" s="498"/>
      <c r="AI43" s="155"/>
    </row>
    <row r="44" spans="1:35" x14ac:dyDescent="0.2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c r="P45" s="138"/>
      <c r="Q45" s="138"/>
      <c r="R45" s="138"/>
      <c r="S45" s="138"/>
      <c r="T45" s="138"/>
      <c r="U45" s="138"/>
      <c r="V45" s="138"/>
      <c r="W45" s="138"/>
      <c r="X45" s="138"/>
      <c r="Y45" s="138"/>
      <c r="Z45" s="138"/>
      <c r="AA45" s="138">
        <f t="shared" ref="AA45:AA51" si="5">SUM(O45:Z45)</f>
        <v>0</v>
      </c>
      <c r="AB45" s="142" t="str">
        <f>IF(AA45=0,"",IFERROR(AA45/AA$19,""))</f>
        <v/>
      </c>
      <c r="AC45" s="140"/>
      <c r="AD45" s="138"/>
      <c r="AE45" s="142" t="str">
        <f>IF(AD45=0,"",IFERROR(AD45/AD$19,""))</f>
        <v/>
      </c>
      <c r="AF45" s="141">
        <f t="shared" ref="AF45:AF52" si="6">IF(AND($AA45="",AD45=""),"",$AA45-AD45)</f>
        <v>0</v>
      </c>
      <c r="AG45" s="138"/>
      <c r="AH45" s="142" t="str">
        <f>IF(AG45=0,"",IFERROR(AG45/AG$19,""))</f>
        <v/>
      </c>
      <c r="AI45" s="141">
        <f t="shared" ref="AI45:AI52" si="7">IF(AND($AA45="",AG45=""),"",$AA45-AG45)</f>
        <v>0</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c r="P46" s="138"/>
      <c r="Q46" s="138"/>
      <c r="R46" s="138"/>
      <c r="S46" s="138"/>
      <c r="T46" s="138"/>
      <c r="U46" s="138"/>
      <c r="V46" s="138"/>
      <c r="W46" s="138"/>
      <c r="X46" s="138"/>
      <c r="Y46" s="138"/>
      <c r="Z46" s="138"/>
      <c r="AA46" s="138">
        <f t="shared" si="5"/>
        <v>0</v>
      </c>
      <c r="AB46" s="142" t="str">
        <f>IF(AA46=0,"",IFERROR(AA46/AA$19,""))</f>
        <v/>
      </c>
      <c r="AC46" s="140"/>
      <c r="AD46" s="138"/>
      <c r="AE46" s="142" t="str">
        <f>IF(AD46=0,"",IFERROR(AD46/AD$19,""))</f>
        <v/>
      </c>
      <c r="AF46" s="141">
        <f t="shared" si="6"/>
        <v>0</v>
      </c>
      <c r="AG46" s="138"/>
      <c r="AH46" s="142" t="str">
        <f>IF(AG46=0,"",IFERROR(AG46/AG$19,""))</f>
        <v/>
      </c>
      <c r="AI46" s="141">
        <f t="shared" si="7"/>
        <v>0</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c r="P47" s="138"/>
      <c r="Q47" s="138"/>
      <c r="R47" s="138"/>
      <c r="S47" s="138"/>
      <c r="T47" s="138"/>
      <c r="U47" s="138"/>
      <c r="V47" s="138"/>
      <c r="W47" s="138"/>
      <c r="X47" s="138"/>
      <c r="Y47" s="138"/>
      <c r="Z47" s="138"/>
      <c r="AA47" s="138">
        <f t="shared" si="5"/>
        <v>0</v>
      </c>
      <c r="AB47" s="142" t="str">
        <f>IF(AA47=0,"",IFERROR(AA47/AA$19,""))</f>
        <v/>
      </c>
      <c r="AC47" s="140"/>
      <c r="AD47" s="138"/>
      <c r="AE47" s="142" t="str">
        <f>IF(AD47=0,"",IFERROR(AD47/AD$19,""))</f>
        <v/>
      </c>
      <c r="AF47" s="141">
        <f t="shared" si="6"/>
        <v>0</v>
      </c>
      <c r="AG47" s="138"/>
      <c r="AH47" s="142" t="str">
        <f>IF(AG47=0,"",IFERROR(AG47/AG$19,""))</f>
        <v/>
      </c>
      <c r="AI47" s="141">
        <f t="shared" si="7"/>
        <v>0</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c r="P48" s="215"/>
      <c r="Q48" s="215"/>
      <c r="R48" s="215"/>
      <c r="S48" s="215"/>
      <c r="T48" s="215"/>
      <c r="U48" s="215"/>
      <c r="V48" s="215"/>
      <c r="W48" s="215"/>
      <c r="X48" s="215"/>
      <c r="Y48" s="215"/>
      <c r="Z48" s="215"/>
      <c r="AA48" s="215">
        <f t="shared" si="5"/>
        <v>0</v>
      </c>
      <c r="AB48" s="217" t="str">
        <f>IF(AA48=0,"",IFERROR(AA48/AA$19,""))</f>
        <v/>
      </c>
      <c r="AC48" s="140"/>
      <c r="AD48" s="215"/>
      <c r="AE48" s="217" t="str">
        <f>IF(AD48=0,"",IFERROR(AD48/AD$19,""))</f>
        <v/>
      </c>
      <c r="AF48" s="218">
        <f t="shared" si="6"/>
        <v>0</v>
      </c>
      <c r="AG48" s="215"/>
      <c r="AH48" s="217" t="str">
        <f>IF(AG48=0,"",IFERROR(AG48/AG$19,""))</f>
        <v/>
      </c>
      <c r="AI48" s="218">
        <f t="shared" si="7"/>
        <v>0</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c r="P49" s="162"/>
      <c r="Q49" s="162"/>
      <c r="R49" s="162"/>
      <c r="S49" s="162"/>
      <c r="T49" s="162"/>
      <c r="U49" s="162"/>
      <c r="V49" s="162"/>
      <c r="W49" s="162"/>
      <c r="X49" s="162"/>
      <c r="Y49" s="162"/>
      <c r="Z49" s="162"/>
      <c r="AA49" s="162">
        <f t="shared" si="5"/>
        <v>0</v>
      </c>
      <c r="AB49" s="163" t="str">
        <f>IF(AA49=0,"",IFERROR(AA49/AA$19,""))</f>
        <v/>
      </c>
      <c r="AC49" s="140"/>
      <c r="AD49" s="162"/>
      <c r="AE49" s="163" t="str">
        <f>IF(AD49=0,"",IFERROR(AD49/AD$19,""))</f>
        <v/>
      </c>
      <c r="AF49" s="164">
        <f t="shared" si="6"/>
        <v>0</v>
      </c>
      <c r="AG49" s="162"/>
      <c r="AH49" s="163" t="str">
        <f>IF(AG49=0,"",IFERROR(AG49/AG$19,""))</f>
        <v/>
      </c>
      <c r="AI49" s="164">
        <f t="shared" si="7"/>
        <v>0</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c r="P50" s="231"/>
      <c r="Q50" s="231"/>
      <c r="R50" s="231"/>
      <c r="S50" s="231"/>
      <c r="T50" s="231"/>
      <c r="U50" s="231"/>
      <c r="V50" s="231"/>
      <c r="W50" s="231"/>
      <c r="X50" s="231"/>
      <c r="Y50" s="231"/>
      <c r="Z50" s="231"/>
      <c r="AA50" s="231">
        <f t="shared" si="5"/>
        <v>0</v>
      </c>
      <c r="AB50" s="233"/>
      <c r="AC50" s="140"/>
      <c r="AD50" s="231"/>
      <c r="AE50" s="233"/>
      <c r="AF50" s="234">
        <f t="shared" si="6"/>
        <v>0</v>
      </c>
      <c r="AG50" s="231"/>
      <c r="AH50" s="233"/>
      <c r="AI50" s="234">
        <f t="shared" si="7"/>
        <v>0</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c r="P51" s="231"/>
      <c r="Q51" s="231"/>
      <c r="R51" s="231"/>
      <c r="S51" s="231"/>
      <c r="T51" s="231"/>
      <c r="U51" s="231"/>
      <c r="V51" s="231"/>
      <c r="W51" s="231"/>
      <c r="X51" s="231"/>
      <c r="Y51" s="231"/>
      <c r="Z51" s="231"/>
      <c r="AA51" s="231">
        <f t="shared" si="5"/>
        <v>0</v>
      </c>
      <c r="AB51" s="233" t="str">
        <f>IF(AA51=0,"",IFERROR(AA51/AA$87,""))</f>
        <v/>
      </c>
      <c r="AC51" s="140"/>
      <c r="AD51" s="231"/>
      <c r="AE51" s="233" t="str">
        <f>IF(AD51=0,"",IFERROR(AD51/AD$87,""))</f>
        <v/>
      </c>
      <c r="AF51" s="234">
        <f t="shared" si="6"/>
        <v>0</v>
      </c>
      <c r="AG51" s="231"/>
      <c r="AH51" s="233" t="str">
        <f>IF(AG51=0,"",IFERROR(AG51/AG$87,""))</f>
        <v/>
      </c>
      <c r="AI51" s="234">
        <f t="shared" si="7"/>
        <v>0</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2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5"/>
      <c r="AG53" s="497">
        <f>ROUND(IFERROR(AG49/AG51,0),2)</f>
        <v>0</v>
      </c>
      <c r="AH53" s="498"/>
      <c r="AI53" s="155"/>
    </row>
    <row r="54" spans="1:35" x14ac:dyDescent="0.2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c r="P55" s="138"/>
      <c r="Q55" s="138"/>
      <c r="R55" s="138"/>
      <c r="S55" s="138"/>
      <c r="T55" s="138"/>
      <c r="U55" s="138"/>
      <c r="V55" s="138"/>
      <c r="W55" s="138"/>
      <c r="X55" s="138"/>
      <c r="Y55" s="138"/>
      <c r="Z55" s="138"/>
      <c r="AA55" s="138">
        <f t="shared" ref="AA55:AA61" si="10">SUM(O55:Z55)</f>
        <v>0</v>
      </c>
      <c r="AB55" s="142" t="str">
        <f>IF(AA55=0,"",IFERROR(AA55/AA$19,""))</f>
        <v/>
      </c>
      <c r="AC55" s="140"/>
      <c r="AD55" s="138"/>
      <c r="AE55" s="142" t="str">
        <f>IF(AD55=0,"",IFERROR(AD55/AD$19,""))</f>
        <v/>
      </c>
      <c r="AF55" s="141">
        <f t="shared" ref="AF55:AF62" si="11">IF(AND($AA55="",AD55=""),"",$AA55-AD55)</f>
        <v>0</v>
      </c>
      <c r="AG55" s="138"/>
      <c r="AH55" s="142" t="str">
        <f>IF(AG55=0,"",IFERROR(AG55/AG$19,""))</f>
        <v/>
      </c>
      <c r="AI55" s="141">
        <f t="shared" ref="AI55:AI62" si="12">IF(AND($AA55="",AG55=""),"",$AA55-AG55)</f>
        <v>0</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c r="P56" s="138"/>
      <c r="Q56" s="138"/>
      <c r="R56" s="138"/>
      <c r="S56" s="138"/>
      <c r="T56" s="138"/>
      <c r="U56" s="138"/>
      <c r="V56" s="138"/>
      <c r="W56" s="138"/>
      <c r="X56" s="138"/>
      <c r="Y56" s="138"/>
      <c r="Z56" s="138"/>
      <c r="AA56" s="138">
        <f t="shared" si="10"/>
        <v>0</v>
      </c>
      <c r="AB56" s="142" t="str">
        <f>IF(AA56=0,"",IFERROR(AA56/AA$19,""))</f>
        <v/>
      </c>
      <c r="AC56" s="140"/>
      <c r="AD56" s="138"/>
      <c r="AE56" s="142" t="str">
        <f>IF(AD56=0,"",IFERROR(AD56/AD$19,""))</f>
        <v/>
      </c>
      <c r="AF56" s="141">
        <f t="shared" si="11"/>
        <v>0</v>
      </c>
      <c r="AG56" s="138"/>
      <c r="AH56" s="142" t="str">
        <f>IF(AG56=0,"",IFERROR(AG56/AG$19,""))</f>
        <v/>
      </c>
      <c r="AI56" s="141">
        <f t="shared" si="12"/>
        <v>0</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c r="P57" s="138"/>
      <c r="Q57" s="138"/>
      <c r="R57" s="138"/>
      <c r="S57" s="138"/>
      <c r="T57" s="138"/>
      <c r="U57" s="138"/>
      <c r="V57" s="138"/>
      <c r="W57" s="138"/>
      <c r="X57" s="138"/>
      <c r="Y57" s="138"/>
      <c r="Z57" s="138"/>
      <c r="AA57" s="138">
        <f t="shared" si="10"/>
        <v>0</v>
      </c>
      <c r="AB57" s="142" t="str">
        <f>IF(AA57=0,"",IFERROR(AA57/AA$19,""))</f>
        <v/>
      </c>
      <c r="AC57" s="140"/>
      <c r="AD57" s="138"/>
      <c r="AE57" s="142" t="str">
        <f>IF(AD57=0,"",IFERROR(AD57/AD$19,""))</f>
        <v/>
      </c>
      <c r="AF57" s="141">
        <f t="shared" si="11"/>
        <v>0</v>
      </c>
      <c r="AG57" s="138"/>
      <c r="AH57" s="142" t="str">
        <f>IF(AG57=0,"",IFERROR(AG57/AG$19,""))</f>
        <v/>
      </c>
      <c r="AI57" s="141">
        <f t="shared" si="12"/>
        <v>0</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c r="P58" s="215"/>
      <c r="Q58" s="215"/>
      <c r="R58" s="215"/>
      <c r="S58" s="215"/>
      <c r="T58" s="215"/>
      <c r="U58" s="215"/>
      <c r="V58" s="215"/>
      <c r="W58" s="215"/>
      <c r="X58" s="215"/>
      <c r="Y58" s="215"/>
      <c r="Z58" s="215"/>
      <c r="AA58" s="215">
        <f t="shared" si="10"/>
        <v>0</v>
      </c>
      <c r="AB58" s="217" t="str">
        <f>IF(AA58=0,"",IFERROR(AA58/AA$19,""))</f>
        <v/>
      </c>
      <c r="AC58" s="140"/>
      <c r="AD58" s="215"/>
      <c r="AE58" s="217" t="str">
        <f>IF(AD58=0,"",IFERROR(AD58/AD$19,""))</f>
        <v/>
      </c>
      <c r="AF58" s="218">
        <f t="shared" si="11"/>
        <v>0</v>
      </c>
      <c r="AG58" s="215"/>
      <c r="AH58" s="217" t="str">
        <f>IF(AG58=0,"",IFERROR(AG58/AG$19,""))</f>
        <v/>
      </c>
      <c r="AI58" s="218">
        <f t="shared" si="12"/>
        <v>0</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c r="P59" s="162"/>
      <c r="Q59" s="162"/>
      <c r="R59" s="162"/>
      <c r="S59" s="162"/>
      <c r="T59" s="162"/>
      <c r="U59" s="162"/>
      <c r="V59" s="162"/>
      <c r="W59" s="162"/>
      <c r="X59" s="162"/>
      <c r="Y59" s="162"/>
      <c r="Z59" s="162"/>
      <c r="AA59" s="162">
        <f t="shared" si="10"/>
        <v>0</v>
      </c>
      <c r="AB59" s="163" t="str">
        <f>IF(AA59=0,"",IFERROR(AA59/AA$19,""))</f>
        <v/>
      </c>
      <c r="AC59" s="140"/>
      <c r="AD59" s="162"/>
      <c r="AE59" s="163" t="str">
        <f>IF(AD59=0,"",IFERROR(AD59/AD$19,""))</f>
        <v/>
      </c>
      <c r="AF59" s="164">
        <f t="shared" si="11"/>
        <v>0</v>
      </c>
      <c r="AG59" s="162"/>
      <c r="AH59" s="163" t="str">
        <f>IF(AG59=0,"",IFERROR(AG59/AG$19,""))</f>
        <v/>
      </c>
      <c r="AI59" s="164">
        <f t="shared" si="12"/>
        <v>0</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c r="P60" s="231"/>
      <c r="Q60" s="231"/>
      <c r="R60" s="231"/>
      <c r="S60" s="231"/>
      <c r="T60" s="231"/>
      <c r="U60" s="231"/>
      <c r="V60" s="231"/>
      <c r="W60" s="231"/>
      <c r="X60" s="231"/>
      <c r="Y60" s="231"/>
      <c r="Z60" s="231"/>
      <c r="AA60" s="231">
        <f t="shared" si="10"/>
        <v>0</v>
      </c>
      <c r="AB60" s="233"/>
      <c r="AC60" s="140"/>
      <c r="AD60" s="231"/>
      <c r="AE60" s="233"/>
      <c r="AF60" s="234">
        <f t="shared" si="11"/>
        <v>0</v>
      </c>
      <c r="AG60" s="231"/>
      <c r="AH60" s="233"/>
      <c r="AI60" s="234">
        <f t="shared" si="12"/>
        <v>0</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c r="P61" s="231"/>
      <c r="Q61" s="231"/>
      <c r="R61" s="231"/>
      <c r="S61" s="231"/>
      <c r="T61" s="231"/>
      <c r="U61" s="231"/>
      <c r="V61" s="231"/>
      <c r="W61" s="231"/>
      <c r="X61" s="231"/>
      <c r="Y61" s="231"/>
      <c r="Z61" s="231"/>
      <c r="AA61" s="231">
        <f t="shared" si="10"/>
        <v>0</v>
      </c>
      <c r="AB61" s="233" t="str">
        <f>IF(AA61=0,"",IFERROR(AA61/AA$87,""))</f>
        <v/>
      </c>
      <c r="AC61" s="140"/>
      <c r="AD61" s="231"/>
      <c r="AE61" s="233" t="str">
        <f>IF(AD61=0,"",IFERROR(AD61/AD$87,""))</f>
        <v/>
      </c>
      <c r="AF61" s="234">
        <f t="shared" si="11"/>
        <v>0</v>
      </c>
      <c r="AG61" s="231"/>
      <c r="AH61" s="233" t="str">
        <f>IF(AG61=0,"",IFERROR(AG61/AG$87,""))</f>
        <v/>
      </c>
      <c r="AI61" s="234">
        <f t="shared" si="12"/>
        <v>0</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2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5"/>
      <c r="AG63" s="497">
        <f>ROUND(IFERROR(AG59/AG61,0),2)</f>
        <v>0</v>
      </c>
      <c r="AH63" s="498"/>
      <c r="AI63" s="155"/>
    </row>
    <row r="64" spans="1:35" x14ac:dyDescent="0.2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38"/>
      <c r="P65" s="138"/>
      <c r="Q65" s="138"/>
      <c r="R65" s="138"/>
      <c r="S65" s="138"/>
      <c r="T65" s="138"/>
      <c r="U65" s="138"/>
      <c r="V65" s="138"/>
      <c r="W65" s="138"/>
      <c r="X65" s="138"/>
      <c r="Y65" s="138"/>
      <c r="Z65" s="138"/>
      <c r="AA65" s="138">
        <f t="shared" ref="AA65:AA71" si="15">SUM(O65:Z65)</f>
        <v>0</v>
      </c>
      <c r="AB65" s="142" t="str">
        <f>IF(AA65=0,"",IFERROR(AA65/AA$19,""))</f>
        <v/>
      </c>
      <c r="AC65" s="140"/>
      <c r="AD65" s="138"/>
      <c r="AE65" s="142" t="str">
        <f>IF(AD65=0,"",IFERROR(AD65/AD$19,""))</f>
        <v/>
      </c>
      <c r="AF65" s="141">
        <f t="shared" ref="AF65:AF72" si="16">IF(AND($AA65="",AD65=""),"",$AA65-AD65)</f>
        <v>0</v>
      </c>
      <c r="AG65" s="138"/>
      <c r="AH65" s="142" t="str">
        <f>IF(AG65=0,"",IFERROR(AG65/AG$19,""))</f>
        <v/>
      </c>
      <c r="AI65" s="141">
        <f t="shared" ref="AI65:AI72" si="17">IF(AND($AA65="",AG65=""),"",$AA65-AG65)</f>
        <v>0</v>
      </c>
    </row>
    <row r="66" spans="1:35" x14ac:dyDescent="0.2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38"/>
      <c r="P66" s="138"/>
      <c r="Q66" s="138"/>
      <c r="R66" s="138"/>
      <c r="S66" s="138"/>
      <c r="T66" s="138"/>
      <c r="U66" s="138"/>
      <c r="V66" s="138"/>
      <c r="W66" s="138"/>
      <c r="X66" s="138"/>
      <c r="Y66" s="138"/>
      <c r="Z66" s="138"/>
      <c r="AA66" s="138">
        <f t="shared" si="15"/>
        <v>0</v>
      </c>
      <c r="AB66" s="142" t="str">
        <f>IF(AA66=0,"",IFERROR(AA66/AA$19,""))</f>
        <v/>
      </c>
      <c r="AC66" s="140"/>
      <c r="AD66" s="138"/>
      <c r="AE66" s="142" t="str">
        <f>IF(AD66=0,"",IFERROR(AD66/AD$19,""))</f>
        <v/>
      </c>
      <c r="AF66" s="141">
        <f t="shared" si="16"/>
        <v>0</v>
      </c>
      <c r="AG66" s="138"/>
      <c r="AH66" s="142" t="str">
        <f>IF(AG66=0,"",IFERROR(AG66/AG$19,""))</f>
        <v/>
      </c>
      <c r="AI66" s="141">
        <f t="shared" si="17"/>
        <v>0</v>
      </c>
    </row>
    <row r="67" spans="1:35" x14ac:dyDescent="0.2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38"/>
      <c r="P67" s="138"/>
      <c r="Q67" s="138"/>
      <c r="R67" s="138"/>
      <c r="S67" s="138"/>
      <c r="T67" s="138"/>
      <c r="U67" s="138"/>
      <c r="V67" s="138"/>
      <c r="W67" s="138"/>
      <c r="X67" s="138"/>
      <c r="Y67" s="138"/>
      <c r="Z67" s="138"/>
      <c r="AA67" s="138">
        <f t="shared" si="15"/>
        <v>0</v>
      </c>
      <c r="AB67" s="142" t="str">
        <f>IF(AA67=0,"",IFERROR(AA67/AA$19,""))</f>
        <v/>
      </c>
      <c r="AC67" s="140"/>
      <c r="AD67" s="138"/>
      <c r="AE67" s="142" t="str">
        <f>IF(AD67=0,"",IFERROR(AD67/AD$19,""))</f>
        <v/>
      </c>
      <c r="AF67" s="141">
        <f t="shared" si="16"/>
        <v>0</v>
      </c>
      <c r="AG67" s="138"/>
      <c r="AH67" s="142" t="str">
        <f>IF(AG67=0,"",IFERROR(AG67/AG$19,""))</f>
        <v/>
      </c>
      <c r="AI67" s="141">
        <f t="shared" si="17"/>
        <v>0</v>
      </c>
    </row>
    <row r="68" spans="1:35" x14ac:dyDescent="0.2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5"/>
      <c r="P68" s="215"/>
      <c r="Q68" s="215"/>
      <c r="R68" s="215"/>
      <c r="S68" s="215"/>
      <c r="T68" s="215"/>
      <c r="U68" s="215"/>
      <c r="V68" s="215"/>
      <c r="W68" s="215"/>
      <c r="X68" s="215"/>
      <c r="Y68" s="215"/>
      <c r="Z68" s="215"/>
      <c r="AA68" s="215">
        <f t="shared" si="15"/>
        <v>0</v>
      </c>
      <c r="AB68" s="217" t="str">
        <f>IF(AA68=0,"",IFERROR(AA68/AA$19,""))</f>
        <v/>
      </c>
      <c r="AC68" s="140"/>
      <c r="AD68" s="215"/>
      <c r="AE68" s="217" t="str">
        <f>IF(AD68=0,"",IFERROR(AD68/AD$19,""))</f>
        <v/>
      </c>
      <c r="AF68" s="218">
        <f t="shared" si="16"/>
        <v>0</v>
      </c>
      <c r="AG68" s="215"/>
      <c r="AH68" s="217" t="str">
        <f>IF(AG68=0,"",IFERROR(AG68/AG$19,""))</f>
        <v/>
      </c>
      <c r="AI68" s="218">
        <f t="shared" si="17"/>
        <v>0</v>
      </c>
    </row>
    <row r="69" spans="1:35" x14ac:dyDescent="0.2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2"/>
      <c r="P69" s="162"/>
      <c r="Q69" s="162"/>
      <c r="R69" s="162"/>
      <c r="S69" s="162"/>
      <c r="T69" s="162"/>
      <c r="U69" s="162"/>
      <c r="V69" s="162"/>
      <c r="W69" s="162"/>
      <c r="X69" s="162"/>
      <c r="Y69" s="162"/>
      <c r="Z69" s="162"/>
      <c r="AA69" s="162">
        <f t="shared" si="15"/>
        <v>0</v>
      </c>
      <c r="AB69" s="163" t="str">
        <f>IF(AA69=0,"",IFERROR(AA69/AA$19,""))</f>
        <v/>
      </c>
      <c r="AC69" s="140"/>
      <c r="AD69" s="162"/>
      <c r="AE69" s="163" t="str">
        <f>IF(AD69=0,"",IFERROR(AD69/AD$19,""))</f>
        <v/>
      </c>
      <c r="AF69" s="164">
        <f t="shared" si="16"/>
        <v>0</v>
      </c>
      <c r="AG69" s="162"/>
      <c r="AH69" s="163" t="str">
        <f>IF(AG69=0,"",IFERROR(AG69/AG$19,""))</f>
        <v/>
      </c>
      <c r="AI69" s="164">
        <f t="shared" si="17"/>
        <v>0</v>
      </c>
    </row>
    <row r="70" spans="1:35" x14ac:dyDescent="0.2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31"/>
      <c r="P70" s="231"/>
      <c r="Q70" s="231"/>
      <c r="R70" s="231"/>
      <c r="S70" s="231"/>
      <c r="T70" s="231"/>
      <c r="U70" s="231"/>
      <c r="V70" s="231"/>
      <c r="W70" s="231"/>
      <c r="X70" s="231"/>
      <c r="Y70" s="231"/>
      <c r="Z70" s="231"/>
      <c r="AA70" s="231">
        <f t="shared" si="15"/>
        <v>0</v>
      </c>
      <c r="AB70" s="233"/>
      <c r="AC70" s="140"/>
      <c r="AD70" s="231"/>
      <c r="AE70" s="233"/>
      <c r="AF70" s="234">
        <f t="shared" si="16"/>
        <v>0</v>
      </c>
      <c r="AG70" s="231"/>
      <c r="AH70" s="233"/>
      <c r="AI70" s="234">
        <f t="shared" si="17"/>
        <v>0</v>
      </c>
    </row>
    <row r="71" spans="1:35" x14ac:dyDescent="0.2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31"/>
      <c r="P71" s="231"/>
      <c r="Q71" s="231"/>
      <c r="R71" s="231"/>
      <c r="S71" s="231"/>
      <c r="T71" s="231"/>
      <c r="U71" s="231"/>
      <c r="V71" s="231"/>
      <c r="W71" s="231"/>
      <c r="X71" s="231"/>
      <c r="Y71" s="231"/>
      <c r="Z71" s="231"/>
      <c r="AA71" s="231">
        <f t="shared" si="15"/>
        <v>0</v>
      </c>
      <c r="AB71" s="233" t="str">
        <f>IF(AA71=0,"",IFERROR(AA71/AA$87,""))</f>
        <v/>
      </c>
      <c r="AC71" s="140"/>
      <c r="AD71" s="231"/>
      <c r="AE71" s="233" t="str">
        <f>IF(AD71=0,"",IFERROR(AD71/AD$87,""))</f>
        <v/>
      </c>
      <c r="AF71" s="234">
        <f t="shared" si="16"/>
        <v>0</v>
      </c>
      <c r="AG71" s="231"/>
      <c r="AH71" s="233" t="str">
        <f>IF(AG71=0,"",IFERROR(AG71/AG$87,""))</f>
        <v/>
      </c>
      <c r="AI71" s="234">
        <f t="shared" si="17"/>
        <v>0</v>
      </c>
    </row>
    <row r="72" spans="1:35" x14ac:dyDescent="0.2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2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5"/>
      <c r="AG73" s="497">
        <f>ROUND(IFERROR(AG69/AG71,0),2)</f>
        <v>0</v>
      </c>
      <c r="AH73" s="498"/>
      <c r="AI73" s="155"/>
    </row>
    <row r="74" spans="1:35" x14ac:dyDescent="0.2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2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38"/>
      <c r="P75" s="138"/>
      <c r="Q75" s="138"/>
      <c r="R75" s="138"/>
      <c r="S75" s="138"/>
      <c r="T75" s="138"/>
      <c r="U75" s="138"/>
      <c r="V75" s="138"/>
      <c r="W75" s="138"/>
      <c r="X75" s="138"/>
      <c r="Y75" s="138"/>
      <c r="Z75" s="138"/>
      <c r="AA75" s="138">
        <f t="shared" ref="AA75:AA80" si="20">SUM(O75:Z75)</f>
        <v>0</v>
      </c>
      <c r="AB75" s="142" t="str">
        <f>IF(AA75=0,"",IFERROR(AA75/AA$19,""))</f>
        <v/>
      </c>
      <c r="AC75" s="140"/>
      <c r="AD75" s="138"/>
      <c r="AE75" s="142" t="str">
        <f>IF(AD75=0,"",IFERROR(AD75/AD$19,""))</f>
        <v/>
      </c>
      <c r="AF75" s="141">
        <f t="shared" ref="AF75:AF81" si="21">IF(AND($AA75="",AD75=""),"",$AA75-AD75)</f>
        <v>0</v>
      </c>
      <c r="AG75" s="138"/>
      <c r="AH75" s="142" t="str">
        <f>IF(AG75=0,"",IFERROR(AG75/AG$19,""))</f>
        <v/>
      </c>
      <c r="AI75" s="141">
        <f t="shared" ref="AI75:AI81" si="22">IF(AND($AA75="",AG75=""),"",$AA75-AG75)</f>
        <v>0</v>
      </c>
    </row>
    <row r="76" spans="1:35" x14ac:dyDescent="0.2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38"/>
      <c r="P76" s="138"/>
      <c r="Q76" s="138"/>
      <c r="R76" s="138"/>
      <c r="S76" s="138"/>
      <c r="T76" s="138"/>
      <c r="U76" s="138"/>
      <c r="V76" s="138"/>
      <c r="W76" s="138"/>
      <c r="X76" s="138"/>
      <c r="Y76" s="138"/>
      <c r="Z76" s="138"/>
      <c r="AA76" s="138">
        <f t="shared" si="20"/>
        <v>0</v>
      </c>
      <c r="AB76" s="142" t="str">
        <f>IF(AA76=0,"",IFERROR(AA76/AA$19,""))</f>
        <v/>
      </c>
      <c r="AC76" s="140"/>
      <c r="AD76" s="138"/>
      <c r="AE76" s="142" t="str">
        <f>IF(AD76=0,"",IFERROR(AD76/AD$19,""))</f>
        <v/>
      </c>
      <c r="AF76" s="141">
        <f t="shared" si="21"/>
        <v>0</v>
      </c>
      <c r="AG76" s="138"/>
      <c r="AH76" s="142" t="str">
        <f>IF(AG76=0,"",IFERROR(AG76/AG$19,""))</f>
        <v/>
      </c>
      <c r="AI76" s="141">
        <f t="shared" si="22"/>
        <v>0</v>
      </c>
    </row>
    <row r="77" spans="1:35" x14ac:dyDescent="0.2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38"/>
      <c r="P77" s="138"/>
      <c r="Q77" s="138"/>
      <c r="R77" s="138"/>
      <c r="S77" s="138"/>
      <c r="T77" s="138"/>
      <c r="U77" s="138"/>
      <c r="V77" s="138"/>
      <c r="W77" s="138"/>
      <c r="X77" s="138"/>
      <c r="Y77" s="138"/>
      <c r="Z77" s="138"/>
      <c r="AA77" s="138">
        <f t="shared" si="20"/>
        <v>0</v>
      </c>
      <c r="AB77" s="142" t="str">
        <f>IF(AA77=0,"",IFERROR(AA77/AA$19,""))</f>
        <v/>
      </c>
      <c r="AC77" s="140"/>
      <c r="AD77" s="138"/>
      <c r="AE77" s="142" t="str">
        <f>IF(AD77=0,"",IFERROR(AD77/AD$19,""))</f>
        <v/>
      </c>
      <c r="AF77" s="141">
        <f t="shared" si="21"/>
        <v>0</v>
      </c>
      <c r="AG77" s="138"/>
      <c r="AH77" s="142" t="str">
        <f>IF(AG77=0,"",IFERROR(AG77/AG$19,""))</f>
        <v/>
      </c>
      <c r="AI77" s="141">
        <f t="shared" si="22"/>
        <v>0</v>
      </c>
    </row>
    <row r="78" spans="1:35" x14ac:dyDescent="0.2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5"/>
      <c r="P78" s="215"/>
      <c r="Q78" s="215"/>
      <c r="R78" s="215"/>
      <c r="S78" s="215"/>
      <c r="T78" s="215"/>
      <c r="U78" s="215"/>
      <c r="V78" s="215"/>
      <c r="W78" s="215"/>
      <c r="X78" s="215"/>
      <c r="Y78" s="215"/>
      <c r="Z78" s="215"/>
      <c r="AA78" s="215">
        <f t="shared" si="20"/>
        <v>0</v>
      </c>
      <c r="AB78" s="217" t="str">
        <f>IF(AA78=0,"",IFERROR(AA78/AA$19,""))</f>
        <v/>
      </c>
      <c r="AC78" s="140"/>
      <c r="AD78" s="215"/>
      <c r="AE78" s="217" t="str">
        <f>IF(AD78=0,"",IFERROR(AD78/AD$19,""))</f>
        <v/>
      </c>
      <c r="AF78" s="218">
        <f t="shared" si="21"/>
        <v>0</v>
      </c>
      <c r="AG78" s="215"/>
      <c r="AH78" s="217" t="str">
        <f>IF(AG78=0,"",IFERROR(AG78/AG$19,""))</f>
        <v/>
      </c>
      <c r="AI78" s="218">
        <f t="shared" si="22"/>
        <v>0</v>
      </c>
    </row>
    <row r="79" spans="1:35" x14ac:dyDescent="0.2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2"/>
      <c r="P79" s="162"/>
      <c r="Q79" s="162"/>
      <c r="R79" s="162"/>
      <c r="S79" s="162"/>
      <c r="T79" s="162"/>
      <c r="U79" s="162"/>
      <c r="V79" s="162"/>
      <c r="W79" s="162"/>
      <c r="X79" s="162"/>
      <c r="Y79" s="162"/>
      <c r="Z79" s="162"/>
      <c r="AA79" s="162">
        <f t="shared" si="20"/>
        <v>0</v>
      </c>
      <c r="AB79" s="163" t="str">
        <f>IF(AA79=0,"",IFERROR(AA79/AA$19,""))</f>
        <v/>
      </c>
      <c r="AC79" s="140"/>
      <c r="AD79" s="162"/>
      <c r="AE79" s="163" t="str">
        <f>IF(AD79=0,"",IFERROR(AD79/AD$19,""))</f>
        <v/>
      </c>
      <c r="AF79" s="164">
        <f t="shared" si="21"/>
        <v>0</v>
      </c>
      <c r="AG79" s="162"/>
      <c r="AH79" s="163" t="str">
        <f>IF(AG79=0,"",IFERROR(AG79/AG$19,""))</f>
        <v/>
      </c>
      <c r="AI79" s="164">
        <f t="shared" si="22"/>
        <v>0</v>
      </c>
    </row>
    <row r="80" spans="1:35" x14ac:dyDescent="0.2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31"/>
      <c r="P80" s="231"/>
      <c r="Q80" s="231"/>
      <c r="R80" s="231"/>
      <c r="S80" s="231"/>
      <c r="T80" s="231"/>
      <c r="U80" s="231"/>
      <c r="V80" s="231"/>
      <c r="W80" s="231"/>
      <c r="X80" s="231"/>
      <c r="Y80" s="231"/>
      <c r="Z80" s="231"/>
      <c r="AA80" s="231">
        <f t="shared" si="20"/>
        <v>0</v>
      </c>
      <c r="AB80" s="233" t="str">
        <f>IF(AA80=0,"",IFERROR(AA80/AA$87,""))</f>
        <v/>
      </c>
      <c r="AC80" s="140"/>
      <c r="AD80" s="231"/>
      <c r="AE80" s="233" t="str">
        <f>IF(AD80=0,"",IFERROR(AD80/AD$87,""))</f>
        <v/>
      </c>
      <c r="AF80" s="234">
        <f t="shared" si="21"/>
        <v>0</v>
      </c>
      <c r="AG80" s="231"/>
      <c r="AH80" s="233" t="str">
        <f>IF(AG80=0,"",IFERROR(AG80/AG$87,""))</f>
        <v/>
      </c>
      <c r="AI80" s="234">
        <f t="shared" si="22"/>
        <v>0</v>
      </c>
    </row>
    <row r="81" spans="1:35" x14ac:dyDescent="0.2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2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5"/>
      <c r="AG82" s="497">
        <f>ROUND(IFERROR(AG79/AG80,0),2)</f>
        <v>0</v>
      </c>
      <c r="AH82" s="498"/>
      <c r="AI82" s="155"/>
    </row>
    <row r="83" spans="1:35" x14ac:dyDescent="0.2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38"/>
      <c r="P83" s="138"/>
      <c r="Q83" s="138"/>
      <c r="R83" s="138"/>
      <c r="S83" s="138"/>
      <c r="T83" s="138"/>
      <c r="U83" s="138"/>
      <c r="V83" s="138"/>
      <c r="W83" s="138"/>
      <c r="X83" s="138"/>
      <c r="Y83" s="138"/>
      <c r="Z83" s="138"/>
      <c r="AA83" s="138">
        <f>SUM(O83:Z83)</f>
        <v>0</v>
      </c>
      <c r="AB83" s="142" t="str">
        <f>IF(AA83=0,"",IFERROR(AA83/AA$19,""))</f>
        <v/>
      </c>
      <c r="AC83" s="140"/>
      <c r="AD83" s="138"/>
      <c r="AE83" s="142" t="str">
        <f>IF(AD83=0,"",IFERROR(AD83/AD$19,""))</f>
        <v/>
      </c>
      <c r="AF83" s="141">
        <f>IF(AND($AA83="",AD83=""),"",$AA83-AD83)</f>
        <v>0</v>
      </c>
      <c r="AG83" s="138"/>
      <c r="AH83" s="142" t="str">
        <f>IF(AG83=0,"",IFERROR(AG83/AG$19,""))</f>
        <v/>
      </c>
      <c r="AI83" s="141">
        <f>IF(AND($AA83="",AG83=""),"",$AA83-AG83)</f>
        <v>0</v>
      </c>
    </row>
    <row r="84" spans="1:35" x14ac:dyDescent="0.2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2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2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2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2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25">
      <c r="A89" s="11"/>
      <c r="B89" s="11"/>
      <c r="C89" s="208"/>
      <c r="D89" s="11"/>
      <c r="E89" s="11"/>
      <c r="F89" s="11"/>
      <c r="G89" s="11"/>
      <c r="H89" s="185"/>
      <c r="I89" s="122"/>
      <c r="J89" s="122"/>
      <c r="K89" s="11"/>
      <c r="L89" s="90"/>
      <c r="M89" s="90"/>
      <c r="N89" s="90"/>
      <c r="O89" s="170"/>
      <c r="P89" s="171"/>
      <c r="Q89" s="171"/>
      <c r="R89" s="171"/>
      <c r="S89" s="171"/>
      <c r="T89" s="171"/>
      <c r="U89" s="171"/>
      <c r="V89" s="171"/>
      <c r="W89" s="171"/>
      <c r="X89" s="171"/>
      <c r="Y89" s="171"/>
      <c r="Z89" s="171"/>
      <c r="AA89" s="171"/>
      <c r="AB89" s="172"/>
      <c r="AC89" s="140"/>
      <c r="AD89" s="170"/>
      <c r="AE89" s="171"/>
      <c r="AF89" s="172"/>
      <c r="AG89" s="170"/>
      <c r="AH89" s="171"/>
      <c r="AI89" s="172"/>
    </row>
    <row r="90" spans="1:35" x14ac:dyDescent="0.25">
      <c r="A90" s="11"/>
      <c r="B90" s="11"/>
      <c r="C90" s="208"/>
      <c r="D90" s="11"/>
      <c r="E90" s="11"/>
      <c r="F90" s="11"/>
      <c r="G90" s="11"/>
      <c r="H90" s="185"/>
      <c r="I90" s="122"/>
      <c r="J90" s="122"/>
      <c r="K90" s="11"/>
      <c r="L90" s="90"/>
      <c r="M90" s="90"/>
      <c r="N90" s="53" t="s">
        <v>334</v>
      </c>
      <c r="O90" s="158"/>
      <c r="P90" s="159"/>
      <c r="Q90" s="159"/>
      <c r="R90" s="159"/>
      <c r="S90" s="159"/>
      <c r="T90" s="159"/>
      <c r="U90" s="159"/>
      <c r="V90" s="159"/>
      <c r="W90" s="159"/>
      <c r="X90" s="159"/>
      <c r="Y90" s="159"/>
      <c r="Z90" s="159"/>
      <c r="AA90" s="159"/>
      <c r="AB90" s="160"/>
      <c r="AC90" s="140"/>
      <c r="AD90" s="158"/>
      <c r="AE90" s="159"/>
      <c r="AF90" s="160"/>
      <c r="AG90" s="158"/>
      <c r="AH90" s="159"/>
      <c r="AI90" s="160"/>
    </row>
    <row r="91" spans="1:35" hidden="1" outlineLevel="1" x14ac:dyDescent="0.2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38"/>
      <c r="P91" s="138"/>
      <c r="Q91" s="138"/>
      <c r="R91" s="138"/>
      <c r="S91" s="138"/>
      <c r="T91" s="138"/>
      <c r="U91" s="138"/>
      <c r="V91" s="138"/>
      <c r="W91" s="138"/>
      <c r="X91" s="138"/>
      <c r="Y91" s="138"/>
      <c r="Z91" s="138"/>
      <c r="AA91" s="138">
        <f>SUM(O91:Z91)</f>
        <v>0</v>
      </c>
      <c r="AB91" s="142"/>
      <c r="AC91" s="140"/>
      <c r="AD91" s="138"/>
      <c r="AE91" s="142"/>
      <c r="AF91" s="141">
        <f>IF(AND($AA91="",AD91=""),"",$AA91-AD91)</f>
        <v>0</v>
      </c>
      <c r="AG91" s="138"/>
      <c r="AH91" s="142"/>
      <c r="AI91" s="141">
        <f>IF(AND($AA91="",AG91=""),"",$AA91-AG91)</f>
        <v>0</v>
      </c>
    </row>
    <row r="92" spans="1:35" hidden="1" outlineLevel="1" x14ac:dyDescent="0.2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38"/>
      <c r="P92" s="138"/>
      <c r="Q92" s="138"/>
      <c r="R92" s="138"/>
      <c r="S92" s="138"/>
      <c r="T92" s="138"/>
      <c r="U92" s="138"/>
      <c r="V92" s="138"/>
      <c r="W92" s="138"/>
      <c r="X92" s="138"/>
      <c r="Y92" s="138"/>
      <c r="Z92" s="138"/>
      <c r="AA92" s="138">
        <f>SUM(O92:Z92)</f>
        <v>0</v>
      </c>
      <c r="AB92" s="142"/>
      <c r="AC92" s="140"/>
      <c r="AD92" s="138"/>
      <c r="AE92" s="142"/>
      <c r="AF92" s="141">
        <f>IF(AND($AA92="",AD92=""),"",$AA92-AD92)</f>
        <v>0</v>
      </c>
      <c r="AG92" s="138"/>
      <c r="AH92" s="142"/>
      <c r="AI92" s="141">
        <f>IF(AND($AA92="",AG92=""),"",$AA92-AG92)</f>
        <v>0</v>
      </c>
    </row>
    <row r="93" spans="1:35" collapsed="1" x14ac:dyDescent="0.2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3" t="str">
        <f>IF(AND($AA93="",AD93=""),"",$AA93-AD93)</f>
        <v/>
      </c>
      <c r="AG93" s="510" t="str">
        <f>IFERROR(AG$87/AG91,"")</f>
        <v/>
      </c>
      <c r="AH93" s="511"/>
      <c r="AI93" s="213" t="str">
        <f>IF(AND($AA93="",AG93=""),"",$AA93-AG93)</f>
        <v/>
      </c>
    </row>
    <row r="94" spans="1:35" x14ac:dyDescent="0.2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3" t="str">
        <f>IF(AND($AA94="",AD94=""),"",$AA94-AD94)</f>
        <v/>
      </c>
      <c r="AG94" s="510" t="str">
        <f>IFERROR(AG$87/AG92,"")</f>
        <v/>
      </c>
      <c r="AH94" s="511"/>
      <c r="AI94" s="213" t="str">
        <f>IF(AND($AA94="",AG94=""),"",$AA94-AG94)</f>
        <v/>
      </c>
    </row>
    <row r="95" spans="1:35" x14ac:dyDescent="0.2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57"/>
      <c r="AC95" s="140"/>
      <c r="AD95" s="514"/>
      <c r="AE95" s="481"/>
      <c r="AF95" s="157"/>
      <c r="AG95" s="481"/>
      <c r="AH95" s="481"/>
      <c r="AI95" s="157"/>
    </row>
    <row r="96" spans="1:35" x14ac:dyDescent="0.25">
      <c r="A96" s="11"/>
      <c r="B96" s="11"/>
      <c r="C96" s="208"/>
      <c r="D96" s="11"/>
      <c r="E96" s="11"/>
      <c r="F96" s="11"/>
      <c r="G96" s="11"/>
      <c r="H96" s="185"/>
      <c r="I96" s="122"/>
      <c r="J96" s="122"/>
      <c r="K96" s="11"/>
      <c r="L96" s="90"/>
      <c r="M96" s="90"/>
      <c r="N96" s="53" t="s">
        <v>343</v>
      </c>
      <c r="O96" s="514"/>
      <c r="P96" s="481"/>
      <c r="Q96" s="481"/>
      <c r="R96" s="481"/>
      <c r="S96" s="481"/>
      <c r="T96" s="481"/>
      <c r="U96" s="481"/>
      <c r="V96" s="481"/>
      <c r="W96" s="481"/>
      <c r="X96" s="481"/>
      <c r="Y96" s="481"/>
      <c r="Z96" s="481"/>
      <c r="AA96" s="481"/>
      <c r="AB96" s="515"/>
      <c r="AC96" s="140"/>
      <c r="AD96" s="516"/>
      <c r="AE96" s="517"/>
      <c r="AF96" s="157"/>
      <c r="AG96" s="481"/>
      <c r="AH96" s="517"/>
      <c r="AI96" s="157"/>
    </row>
    <row r="97" spans="1:35" x14ac:dyDescent="0.25">
      <c r="A97" s="11"/>
      <c r="B97" s="11"/>
      <c r="C97" s="208"/>
      <c r="D97" s="11"/>
      <c r="E97" s="11"/>
      <c r="F97" s="11"/>
      <c r="G97" s="11"/>
      <c r="H97" s="185"/>
      <c r="I97" s="122"/>
      <c r="J97" s="122"/>
      <c r="K97" s="11"/>
      <c r="L97" s="90"/>
      <c r="M97" s="90"/>
      <c r="N97" s="53" t="s">
        <v>337</v>
      </c>
      <c r="O97" s="158"/>
      <c r="P97" s="159"/>
      <c r="Q97" s="159"/>
      <c r="R97" s="159"/>
      <c r="S97" s="159"/>
      <c r="T97" s="159"/>
      <c r="U97" s="159"/>
      <c r="V97" s="159"/>
      <c r="W97" s="159"/>
      <c r="X97" s="159"/>
      <c r="Y97" s="159"/>
      <c r="Z97" s="159"/>
      <c r="AA97" s="159"/>
      <c r="AB97" s="160"/>
      <c r="AC97" s="140"/>
      <c r="AD97" s="158"/>
      <c r="AE97" s="159"/>
      <c r="AF97" s="160"/>
      <c r="AG97" s="159"/>
      <c r="AH97" s="159"/>
      <c r="AI97" s="160"/>
    </row>
    <row r="98" spans="1:35" x14ac:dyDescent="0.2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38"/>
      <c r="P98" s="138"/>
      <c r="Q98" s="138"/>
      <c r="R98" s="138"/>
      <c r="S98" s="138"/>
      <c r="T98" s="138"/>
      <c r="U98" s="138"/>
      <c r="V98" s="138"/>
      <c r="W98" s="138"/>
      <c r="X98" s="138"/>
      <c r="Y98" s="138"/>
      <c r="Z98" s="138"/>
      <c r="AA98" s="138">
        <f t="shared" ref="AA98:AA103" si="27">SUM(O98:Z98)</f>
        <v>0</v>
      </c>
      <c r="AB98" s="142" t="str">
        <f t="shared" ref="AB98:AB103" si="28">IF(AA98=0,"",IFERROR(AA98/AA$19,""))</f>
        <v/>
      </c>
      <c r="AC98" s="140"/>
      <c r="AD98" s="138"/>
      <c r="AE98" s="142" t="str">
        <f t="shared" ref="AE98:AE103" si="29">IF(AD98=0,"",IFERROR(AD98/AD$19,""))</f>
        <v/>
      </c>
      <c r="AF98" s="141">
        <f t="shared" ref="AF98:AF103" si="30">IF(AND($AA98="",AD98=""),"",$AA98-AD98)</f>
        <v>0</v>
      </c>
      <c r="AG98" s="138"/>
      <c r="AH98" s="142" t="str">
        <f t="shared" ref="AH98:AH103" si="31">IF(AG98=0,"",IFERROR(AG98/AG$19,""))</f>
        <v/>
      </c>
      <c r="AI98" s="141">
        <f t="shared" ref="AI98:AI103" si="32">IF(AND($AA98="",AG98=""),"",$AA98-AG98)</f>
        <v>0</v>
      </c>
    </row>
    <row r="99" spans="1:35" x14ac:dyDescent="0.2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38"/>
      <c r="P99" s="138"/>
      <c r="Q99" s="138"/>
      <c r="R99" s="138"/>
      <c r="S99" s="138"/>
      <c r="T99" s="138"/>
      <c r="U99" s="138"/>
      <c r="V99" s="138"/>
      <c r="W99" s="138"/>
      <c r="X99" s="138"/>
      <c r="Y99" s="138"/>
      <c r="Z99" s="138"/>
      <c r="AA99" s="138">
        <f t="shared" si="27"/>
        <v>0</v>
      </c>
      <c r="AB99" s="142" t="str">
        <f t="shared" si="28"/>
        <v/>
      </c>
      <c r="AC99" s="140"/>
      <c r="AD99" s="138"/>
      <c r="AE99" s="142" t="str">
        <f t="shared" si="29"/>
        <v/>
      </c>
      <c r="AF99" s="141">
        <f t="shared" si="30"/>
        <v>0</v>
      </c>
      <c r="AG99" s="138"/>
      <c r="AH99" s="142" t="str">
        <f t="shared" si="31"/>
        <v/>
      </c>
      <c r="AI99" s="141">
        <f t="shared" si="32"/>
        <v>0</v>
      </c>
    </row>
    <row r="100" spans="1:35" x14ac:dyDescent="0.2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38"/>
      <c r="P100" s="138"/>
      <c r="Q100" s="138"/>
      <c r="R100" s="138"/>
      <c r="S100" s="138"/>
      <c r="T100" s="138"/>
      <c r="U100" s="138"/>
      <c r="V100" s="138"/>
      <c r="W100" s="138"/>
      <c r="X100" s="138"/>
      <c r="Y100" s="138"/>
      <c r="Z100" s="138"/>
      <c r="AA100" s="138">
        <f t="shared" si="27"/>
        <v>0</v>
      </c>
      <c r="AB100" s="142" t="str">
        <f t="shared" si="28"/>
        <v/>
      </c>
      <c r="AC100" s="140"/>
      <c r="AD100" s="138"/>
      <c r="AE100" s="142" t="str">
        <f t="shared" si="29"/>
        <v/>
      </c>
      <c r="AF100" s="141">
        <f t="shared" si="30"/>
        <v>0</v>
      </c>
      <c r="AG100" s="138"/>
      <c r="AH100" s="142" t="str">
        <f t="shared" si="31"/>
        <v/>
      </c>
      <c r="AI100" s="141">
        <f t="shared" si="32"/>
        <v>0</v>
      </c>
    </row>
    <row r="101" spans="1:35" x14ac:dyDescent="0.2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38"/>
      <c r="P101" s="138"/>
      <c r="Q101" s="138"/>
      <c r="R101" s="138"/>
      <c r="S101" s="138"/>
      <c r="T101" s="138"/>
      <c r="U101" s="138"/>
      <c r="V101" s="138"/>
      <c r="W101" s="138"/>
      <c r="X101" s="138"/>
      <c r="Y101" s="138"/>
      <c r="Z101" s="138"/>
      <c r="AA101" s="138">
        <f t="shared" si="27"/>
        <v>0</v>
      </c>
      <c r="AB101" s="142" t="str">
        <f t="shared" si="28"/>
        <v/>
      </c>
      <c r="AC101" s="140"/>
      <c r="AD101" s="138"/>
      <c r="AE101" s="142" t="str">
        <f t="shared" si="29"/>
        <v/>
      </c>
      <c r="AF101" s="141">
        <f t="shared" si="30"/>
        <v>0</v>
      </c>
      <c r="AG101" s="138"/>
      <c r="AH101" s="142" t="str">
        <f t="shared" si="31"/>
        <v/>
      </c>
      <c r="AI101" s="141">
        <f t="shared" si="32"/>
        <v>0</v>
      </c>
    </row>
    <row r="102" spans="1:35" x14ac:dyDescent="0.2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38"/>
      <c r="P102" s="138"/>
      <c r="Q102" s="138"/>
      <c r="R102" s="138"/>
      <c r="S102" s="138"/>
      <c r="T102" s="138"/>
      <c r="U102" s="138"/>
      <c r="V102" s="138"/>
      <c r="W102" s="138"/>
      <c r="X102" s="138"/>
      <c r="Y102" s="138"/>
      <c r="Z102" s="138"/>
      <c r="AA102" s="138">
        <f t="shared" si="27"/>
        <v>0</v>
      </c>
      <c r="AB102" s="142" t="str">
        <f t="shared" si="28"/>
        <v/>
      </c>
      <c r="AC102" s="140"/>
      <c r="AD102" s="138"/>
      <c r="AE102" s="142" t="str">
        <f t="shared" si="29"/>
        <v/>
      </c>
      <c r="AF102" s="141">
        <f t="shared" si="30"/>
        <v>0</v>
      </c>
      <c r="AG102" s="138"/>
      <c r="AH102" s="142" t="str">
        <f t="shared" si="31"/>
        <v/>
      </c>
      <c r="AI102" s="141">
        <f t="shared" si="32"/>
        <v>0</v>
      </c>
    </row>
    <row r="103" spans="1:35" x14ac:dyDescent="0.2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2"/>
      <c r="P103" s="162"/>
      <c r="Q103" s="162"/>
      <c r="R103" s="162"/>
      <c r="S103" s="162"/>
      <c r="T103" s="162"/>
      <c r="U103" s="162"/>
      <c r="V103" s="162"/>
      <c r="W103" s="162"/>
      <c r="X103" s="162"/>
      <c r="Y103" s="162"/>
      <c r="Z103" s="162"/>
      <c r="AA103" s="162">
        <f t="shared" si="27"/>
        <v>0</v>
      </c>
      <c r="AB103" s="163" t="str">
        <f t="shared" si="28"/>
        <v/>
      </c>
      <c r="AC103" s="140"/>
      <c r="AD103" s="162"/>
      <c r="AE103" s="163" t="str">
        <f t="shared" si="29"/>
        <v/>
      </c>
      <c r="AF103" s="164">
        <f t="shared" si="30"/>
        <v>0</v>
      </c>
      <c r="AG103" s="162"/>
      <c r="AH103" s="163" t="str">
        <f t="shared" si="31"/>
        <v/>
      </c>
      <c r="AI103" s="164">
        <f t="shared" si="32"/>
        <v>0</v>
      </c>
    </row>
    <row r="104" spans="1:35" x14ac:dyDescent="0.25">
      <c r="A104" s="11"/>
      <c r="B104" s="11"/>
      <c r="C104" s="208"/>
      <c r="D104" s="11"/>
      <c r="E104" s="11"/>
      <c r="F104" s="11"/>
      <c r="G104" s="11"/>
      <c r="H104" s="185"/>
      <c r="I104" s="122"/>
      <c r="J104" s="122"/>
      <c r="K104" s="11"/>
      <c r="L104" s="90"/>
      <c r="M104" s="90"/>
      <c r="N104" s="53"/>
      <c r="O104" s="170"/>
      <c r="P104" s="171"/>
      <c r="Q104" s="171"/>
      <c r="R104" s="171"/>
      <c r="S104" s="171"/>
      <c r="T104" s="171"/>
      <c r="U104" s="171"/>
      <c r="V104" s="171"/>
      <c r="W104" s="171"/>
      <c r="X104" s="171"/>
      <c r="Y104" s="171"/>
      <c r="Z104" s="171"/>
      <c r="AA104" s="171"/>
      <c r="AB104" s="172"/>
      <c r="AC104" s="140"/>
      <c r="AD104" s="170"/>
      <c r="AE104" s="171"/>
      <c r="AF104" s="172"/>
      <c r="AG104" s="170"/>
      <c r="AH104" s="171"/>
      <c r="AI104" s="172"/>
    </row>
    <row r="105" spans="1:35" x14ac:dyDescent="0.25">
      <c r="A105" s="11"/>
      <c r="B105" s="11"/>
      <c r="C105" s="208"/>
      <c r="D105" s="11"/>
      <c r="E105" s="11"/>
      <c r="F105" s="11"/>
      <c r="G105" s="11"/>
      <c r="H105" s="185"/>
      <c r="I105" s="122"/>
      <c r="J105" s="122"/>
      <c r="K105" s="11"/>
      <c r="L105" s="90"/>
      <c r="M105" s="90"/>
      <c r="N105" s="53" t="s">
        <v>339</v>
      </c>
      <c r="O105" s="158"/>
      <c r="P105" s="159"/>
      <c r="Q105" s="159"/>
      <c r="R105" s="159"/>
      <c r="S105" s="159"/>
      <c r="T105" s="159"/>
      <c r="U105" s="159"/>
      <c r="V105" s="159"/>
      <c r="W105" s="159"/>
      <c r="X105" s="159"/>
      <c r="Y105" s="159"/>
      <c r="Z105" s="159"/>
      <c r="AA105" s="159"/>
      <c r="AB105" s="160"/>
      <c r="AC105" s="140"/>
      <c r="AD105" s="158"/>
      <c r="AE105" s="159"/>
      <c r="AF105" s="160"/>
      <c r="AG105" s="158"/>
      <c r="AH105" s="159"/>
      <c r="AI105" s="160"/>
    </row>
    <row r="106" spans="1:35" x14ac:dyDescent="0.2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38"/>
      <c r="P106" s="138"/>
      <c r="Q106" s="138"/>
      <c r="R106" s="138"/>
      <c r="S106" s="138"/>
      <c r="T106" s="138"/>
      <c r="U106" s="138"/>
      <c r="V106" s="138"/>
      <c r="W106" s="138"/>
      <c r="X106" s="138"/>
      <c r="Y106" s="138"/>
      <c r="Z106" s="138"/>
      <c r="AA106" s="138">
        <f t="shared" ref="AA106:AA111" si="33">SUM(O106:Z106)</f>
        <v>0</v>
      </c>
      <c r="AB106" s="142" t="str">
        <f t="shared" ref="AB106:AB111" si="34">IF(AA106=0,"",IFERROR(AA106/AA$19,""))</f>
        <v/>
      </c>
      <c r="AC106" s="140"/>
      <c r="AD106" s="138"/>
      <c r="AE106" s="142" t="str">
        <f t="shared" ref="AE106:AE111" si="35">IF(AD106=0,"",IFERROR(AD106/AD$19,""))</f>
        <v/>
      </c>
      <c r="AF106" s="141">
        <f t="shared" ref="AF106:AF111" si="36">IF(AND($AA106="",AD106=""),"",$AA106-AD106)</f>
        <v>0</v>
      </c>
      <c r="AG106" s="138"/>
      <c r="AH106" s="142" t="str">
        <f t="shared" ref="AH106:AH111" si="37">IF(AG106=0,"",IFERROR(AG106/AG$19,""))</f>
        <v/>
      </c>
      <c r="AI106" s="141">
        <f t="shared" ref="AI106:AI111" si="38">IF(AND($AA106="",AG106=""),"",$AA106-AG106)</f>
        <v>0</v>
      </c>
    </row>
    <row r="107" spans="1:35" x14ac:dyDescent="0.2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38"/>
      <c r="P107" s="138"/>
      <c r="Q107" s="138"/>
      <c r="R107" s="138"/>
      <c r="S107" s="138"/>
      <c r="T107" s="138"/>
      <c r="U107" s="138"/>
      <c r="V107" s="138"/>
      <c r="W107" s="138"/>
      <c r="X107" s="138"/>
      <c r="Y107" s="138"/>
      <c r="Z107" s="138"/>
      <c r="AA107" s="138">
        <f t="shared" si="33"/>
        <v>0</v>
      </c>
      <c r="AB107" s="142" t="str">
        <f t="shared" si="34"/>
        <v/>
      </c>
      <c r="AC107" s="140"/>
      <c r="AD107" s="138"/>
      <c r="AE107" s="142" t="str">
        <f t="shared" si="35"/>
        <v/>
      </c>
      <c r="AF107" s="141">
        <f t="shared" si="36"/>
        <v>0</v>
      </c>
      <c r="AG107" s="138"/>
      <c r="AH107" s="142" t="str">
        <f t="shared" si="37"/>
        <v/>
      </c>
      <c r="AI107" s="141">
        <f t="shared" si="38"/>
        <v>0</v>
      </c>
    </row>
    <row r="108" spans="1:35" x14ac:dyDescent="0.2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38"/>
      <c r="P108" s="138"/>
      <c r="Q108" s="138"/>
      <c r="R108" s="138"/>
      <c r="S108" s="138"/>
      <c r="T108" s="138"/>
      <c r="U108" s="138"/>
      <c r="V108" s="138"/>
      <c r="W108" s="138"/>
      <c r="X108" s="138"/>
      <c r="Y108" s="138"/>
      <c r="Z108" s="138"/>
      <c r="AA108" s="138">
        <f t="shared" si="33"/>
        <v>0</v>
      </c>
      <c r="AB108" s="142" t="str">
        <f t="shared" si="34"/>
        <v/>
      </c>
      <c r="AC108" s="140"/>
      <c r="AD108" s="138"/>
      <c r="AE108" s="142" t="str">
        <f t="shared" si="35"/>
        <v/>
      </c>
      <c r="AF108" s="141">
        <f t="shared" si="36"/>
        <v>0</v>
      </c>
      <c r="AG108" s="138"/>
      <c r="AH108" s="142" t="str">
        <f t="shared" si="37"/>
        <v/>
      </c>
      <c r="AI108" s="141">
        <f t="shared" si="38"/>
        <v>0</v>
      </c>
    </row>
    <row r="109" spans="1:35" x14ac:dyDescent="0.2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38"/>
      <c r="P109" s="138"/>
      <c r="Q109" s="138"/>
      <c r="R109" s="138"/>
      <c r="S109" s="138"/>
      <c r="T109" s="138"/>
      <c r="U109" s="138"/>
      <c r="V109" s="138"/>
      <c r="W109" s="138"/>
      <c r="X109" s="138"/>
      <c r="Y109" s="138"/>
      <c r="Z109" s="138"/>
      <c r="AA109" s="138">
        <f t="shared" si="33"/>
        <v>0</v>
      </c>
      <c r="AB109" s="142" t="str">
        <f t="shared" si="34"/>
        <v/>
      </c>
      <c r="AC109" s="140"/>
      <c r="AD109" s="138"/>
      <c r="AE109" s="142" t="str">
        <f t="shared" si="35"/>
        <v/>
      </c>
      <c r="AF109" s="141">
        <f t="shared" si="36"/>
        <v>0</v>
      </c>
      <c r="AG109" s="138"/>
      <c r="AH109" s="142" t="str">
        <f t="shared" si="37"/>
        <v/>
      </c>
      <c r="AI109" s="141">
        <f t="shared" si="38"/>
        <v>0</v>
      </c>
    </row>
    <row r="110" spans="1:35" x14ac:dyDescent="0.2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38"/>
      <c r="P110" s="138"/>
      <c r="Q110" s="138"/>
      <c r="R110" s="138"/>
      <c r="S110" s="138"/>
      <c r="T110" s="138"/>
      <c r="U110" s="138"/>
      <c r="V110" s="138"/>
      <c r="W110" s="138"/>
      <c r="X110" s="138"/>
      <c r="Y110" s="138"/>
      <c r="Z110" s="138"/>
      <c r="AA110" s="138">
        <f t="shared" si="33"/>
        <v>0</v>
      </c>
      <c r="AB110" s="142" t="str">
        <f t="shared" si="34"/>
        <v/>
      </c>
      <c r="AC110" s="140"/>
      <c r="AD110" s="138"/>
      <c r="AE110" s="142" t="str">
        <f t="shared" si="35"/>
        <v/>
      </c>
      <c r="AF110" s="141">
        <f t="shared" si="36"/>
        <v>0</v>
      </c>
      <c r="AG110" s="138"/>
      <c r="AH110" s="142" t="str">
        <f t="shared" si="37"/>
        <v/>
      </c>
      <c r="AI110" s="141">
        <f t="shared" si="38"/>
        <v>0</v>
      </c>
    </row>
    <row r="111" spans="1:35" x14ac:dyDescent="0.2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2"/>
      <c r="P111" s="162"/>
      <c r="Q111" s="162"/>
      <c r="R111" s="162"/>
      <c r="S111" s="162"/>
      <c r="T111" s="162"/>
      <c r="U111" s="162"/>
      <c r="V111" s="162"/>
      <c r="W111" s="162"/>
      <c r="X111" s="162"/>
      <c r="Y111" s="162"/>
      <c r="Z111" s="162"/>
      <c r="AA111" s="162">
        <f t="shared" si="33"/>
        <v>0</v>
      </c>
      <c r="AB111" s="163" t="str">
        <f t="shared" si="34"/>
        <v/>
      </c>
      <c r="AC111" s="140"/>
      <c r="AD111" s="162"/>
      <c r="AE111" s="163" t="str">
        <f t="shared" si="35"/>
        <v/>
      </c>
      <c r="AF111" s="164">
        <f t="shared" si="36"/>
        <v>0</v>
      </c>
      <c r="AG111" s="162"/>
      <c r="AH111" s="163" t="str">
        <f t="shared" si="37"/>
        <v/>
      </c>
      <c r="AI111" s="164">
        <f t="shared" si="38"/>
        <v>0</v>
      </c>
    </row>
    <row r="112" spans="1:35" x14ac:dyDescent="0.25">
      <c r="A112" s="11"/>
      <c r="B112" s="11"/>
      <c r="C112" s="208"/>
      <c r="D112" s="11"/>
      <c r="E112" s="11"/>
      <c r="F112" s="11"/>
      <c r="G112" s="11"/>
      <c r="H112" s="185"/>
      <c r="I112" s="122"/>
      <c r="J112" s="122"/>
      <c r="K112" s="11"/>
      <c r="L112" s="90"/>
      <c r="M112" s="90"/>
      <c r="N112" s="53"/>
      <c r="O112" s="170"/>
      <c r="P112" s="171"/>
      <c r="Q112" s="171"/>
      <c r="R112" s="171"/>
      <c r="S112" s="171"/>
      <c r="T112" s="171"/>
      <c r="U112" s="171"/>
      <c r="V112" s="171"/>
      <c r="W112" s="171"/>
      <c r="X112" s="171"/>
      <c r="Y112" s="171"/>
      <c r="Z112" s="171"/>
      <c r="AA112" s="171"/>
      <c r="AB112" s="172"/>
      <c r="AC112" s="140"/>
      <c r="AD112" s="170"/>
      <c r="AE112" s="171"/>
      <c r="AF112" s="172"/>
      <c r="AG112" s="170"/>
      <c r="AH112" s="171"/>
      <c r="AI112" s="172"/>
    </row>
    <row r="113" spans="1:35" x14ac:dyDescent="0.25">
      <c r="A113" s="11"/>
      <c r="B113" s="11"/>
      <c r="C113" s="208"/>
      <c r="D113" s="11"/>
      <c r="E113" s="11"/>
      <c r="F113" s="11"/>
      <c r="G113" s="11"/>
      <c r="H113" s="185"/>
      <c r="I113" s="122"/>
      <c r="J113" s="122"/>
      <c r="K113" s="11"/>
      <c r="L113" s="90"/>
      <c r="M113" s="90"/>
      <c r="N113" s="53" t="s">
        <v>338</v>
      </c>
      <c r="O113" s="158"/>
      <c r="P113" s="159"/>
      <c r="Q113" s="159"/>
      <c r="R113" s="159"/>
      <c r="S113" s="159"/>
      <c r="T113" s="159"/>
      <c r="U113" s="159"/>
      <c r="V113" s="159"/>
      <c r="W113" s="159"/>
      <c r="X113" s="159"/>
      <c r="Y113" s="159"/>
      <c r="Z113" s="159"/>
      <c r="AA113" s="159"/>
      <c r="AB113" s="160"/>
      <c r="AC113" s="140"/>
      <c r="AD113" s="158"/>
      <c r="AE113" s="159"/>
      <c r="AF113" s="160"/>
      <c r="AG113" s="158"/>
      <c r="AH113" s="159"/>
      <c r="AI113" s="160"/>
    </row>
    <row r="114" spans="1:35" x14ac:dyDescent="0.2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38"/>
      <c r="P114" s="138"/>
      <c r="Q114" s="138"/>
      <c r="R114" s="138"/>
      <c r="S114" s="138"/>
      <c r="T114" s="138"/>
      <c r="U114" s="138"/>
      <c r="V114" s="138"/>
      <c r="W114" s="138"/>
      <c r="X114" s="138"/>
      <c r="Y114" s="138"/>
      <c r="Z114" s="138"/>
      <c r="AA114" s="138">
        <f t="shared" ref="AA114:AA119" si="39">SUM(O114:Z114)</f>
        <v>0</v>
      </c>
      <c r="AB114" s="142" t="str">
        <f t="shared" ref="AB114:AB119" si="40">IF(AA114=0,"",IFERROR(AA114/AA$19,""))</f>
        <v/>
      </c>
      <c r="AC114" s="140"/>
      <c r="AD114" s="138"/>
      <c r="AE114" s="142" t="str">
        <f t="shared" ref="AE114:AE119" si="41">IF(AD114=0,"",IFERROR(AD114/AD$19,""))</f>
        <v/>
      </c>
      <c r="AF114" s="141">
        <f t="shared" ref="AF114:AF119" si="42">IF(AND($AA114="",AD114=""),"",$AA114-AD114)</f>
        <v>0</v>
      </c>
      <c r="AG114" s="138"/>
      <c r="AH114" s="142" t="str">
        <f t="shared" ref="AH114:AH119" si="43">IF(AG114=0,"",IFERROR(AG114/AG$19,""))</f>
        <v/>
      </c>
      <c r="AI114" s="141">
        <f t="shared" ref="AI114:AI119" si="44">IF(AND($AA114="",AG114=""),"",$AA114-AG114)</f>
        <v>0</v>
      </c>
    </row>
    <row r="115" spans="1:35" x14ac:dyDescent="0.2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38"/>
      <c r="P115" s="138"/>
      <c r="Q115" s="138"/>
      <c r="R115" s="138"/>
      <c r="S115" s="138"/>
      <c r="T115" s="138"/>
      <c r="U115" s="138"/>
      <c r="V115" s="138"/>
      <c r="W115" s="138"/>
      <c r="X115" s="138"/>
      <c r="Y115" s="138"/>
      <c r="Z115" s="138"/>
      <c r="AA115" s="138">
        <f t="shared" si="39"/>
        <v>0</v>
      </c>
      <c r="AB115" s="142" t="str">
        <f t="shared" si="40"/>
        <v/>
      </c>
      <c r="AC115" s="140"/>
      <c r="AD115" s="138"/>
      <c r="AE115" s="142" t="str">
        <f t="shared" si="41"/>
        <v/>
      </c>
      <c r="AF115" s="141">
        <f t="shared" si="42"/>
        <v>0</v>
      </c>
      <c r="AG115" s="138"/>
      <c r="AH115" s="142" t="str">
        <f t="shared" si="43"/>
        <v/>
      </c>
      <c r="AI115" s="141">
        <f t="shared" si="44"/>
        <v>0</v>
      </c>
    </row>
    <row r="116" spans="1:35" x14ac:dyDescent="0.2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38"/>
      <c r="P116" s="138"/>
      <c r="Q116" s="138"/>
      <c r="R116" s="138"/>
      <c r="S116" s="138"/>
      <c r="T116" s="138"/>
      <c r="U116" s="138"/>
      <c r="V116" s="138"/>
      <c r="W116" s="138"/>
      <c r="X116" s="138"/>
      <c r="Y116" s="138"/>
      <c r="Z116" s="138"/>
      <c r="AA116" s="138">
        <f t="shared" si="39"/>
        <v>0</v>
      </c>
      <c r="AB116" s="142" t="str">
        <f t="shared" si="40"/>
        <v/>
      </c>
      <c r="AC116" s="140"/>
      <c r="AD116" s="138"/>
      <c r="AE116" s="142" t="str">
        <f t="shared" si="41"/>
        <v/>
      </c>
      <c r="AF116" s="141">
        <f t="shared" si="42"/>
        <v>0</v>
      </c>
      <c r="AG116" s="138"/>
      <c r="AH116" s="142" t="str">
        <f t="shared" si="43"/>
        <v/>
      </c>
      <c r="AI116" s="141">
        <f t="shared" si="44"/>
        <v>0</v>
      </c>
    </row>
    <row r="117" spans="1:35" x14ac:dyDescent="0.2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38"/>
      <c r="P117" s="138"/>
      <c r="Q117" s="138"/>
      <c r="R117" s="138"/>
      <c r="S117" s="138"/>
      <c r="T117" s="138"/>
      <c r="U117" s="138"/>
      <c r="V117" s="138"/>
      <c r="W117" s="138"/>
      <c r="X117" s="138"/>
      <c r="Y117" s="138"/>
      <c r="Z117" s="138"/>
      <c r="AA117" s="138">
        <f t="shared" si="39"/>
        <v>0</v>
      </c>
      <c r="AB117" s="142" t="str">
        <f t="shared" si="40"/>
        <v/>
      </c>
      <c r="AC117" s="140"/>
      <c r="AD117" s="138"/>
      <c r="AE117" s="142" t="str">
        <f t="shared" si="41"/>
        <v/>
      </c>
      <c r="AF117" s="141">
        <f t="shared" si="42"/>
        <v>0</v>
      </c>
      <c r="AG117" s="138"/>
      <c r="AH117" s="142" t="str">
        <f t="shared" si="43"/>
        <v/>
      </c>
      <c r="AI117" s="141">
        <f t="shared" si="44"/>
        <v>0</v>
      </c>
    </row>
    <row r="118" spans="1:35" x14ac:dyDescent="0.2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38"/>
      <c r="P118" s="138"/>
      <c r="Q118" s="138"/>
      <c r="R118" s="138"/>
      <c r="S118" s="138"/>
      <c r="T118" s="138"/>
      <c r="U118" s="138"/>
      <c r="V118" s="138"/>
      <c r="W118" s="138"/>
      <c r="X118" s="138"/>
      <c r="Y118" s="138"/>
      <c r="Z118" s="138"/>
      <c r="AA118" s="138">
        <f t="shared" si="39"/>
        <v>0</v>
      </c>
      <c r="AB118" s="142" t="str">
        <f t="shared" si="40"/>
        <v/>
      </c>
      <c r="AC118" s="140"/>
      <c r="AD118" s="138"/>
      <c r="AE118" s="142" t="str">
        <f t="shared" si="41"/>
        <v/>
      </c>
      <c r="AF118" s="141">
        <f t="shared" si="42"/>
        <v>0</v>
      </c>
      <c r="AG118" s="138"/>
      <c r="AH118" s="142" t="str">
        <f t="shared" si="43"/>
        <v/>
      </c>
      <c r="AI118" s="141">
        <f t="shared" si="44"/>
        <v>0</v>
      </c>
    </row>
    <row r="119" spans="1:35" x14ac:dyDescent="0.2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2"/>
      <c r="P119" s="162"/>
      <c r="Q119" s="162"/>
      <c r="R119" s="162"/>
      <c r="S119" s="162"/>
      <c r="T119" s="162"/>
      <c r="U119" s="162"/>
      <c r="V119" s="162"/>
      <c r="W119" s="162"/>
      <c r="X119" s="162"/>
      <c r="Y119" s="162"/>
      <c r="Z119" s="162"/>
      <c r="AA119" s="162">
        <f t="shared" si="39"/>
        <v>0</v>
      </c>
      <c r="AB119" s="163" t="str">
        <f t="shared" si="40"/>
        <v/>
      </c>
      <c r="AC119" s="140"/>
      <c r="AD119" s="162"/>
      <c r="AE119" s="163" t="str">
        <f t="shared" si="41"/>
        <v/>
      </c>
      <c r="AF119" s="164">
        <f t="shared" si="42"/>
        <v>0</v>
      </c>
      <c r="AG119" s="162"/>
      <c r="AH119" s="163" t="str">
        <f t="shared" si="43"/>
        <v/>
      </c>
      <c r="AI119" s="164">
        <f t="shared" si="44"/>
        <v>0</v>
      </c>
    </row>
    <row r="120" spans="1:35" x14ac:dyDescent="0.25">
      <c r="A120" s="11"/>
      <c r="B120" s="11"/>
      <c r="C120" s="208"/>
      <c r="D120" s="11"/>
      <c r="E120" s="11"/>
      <c r="F120" s="11"/>
      <c r="G120" s="11"/>
      <c r="H120" s="185"/>
      <c r="I120" s="122"/>
      <c r="J120" s="122"/>
      <c r="K120" s="11"/>
      <c r="L120" s="90"/>
      <c r="M120" s="90"/>
      <c r="N120" s="11"/>
      <c r="O120" s="170"/>
      <c r="P120" s="171"/>
      <c r="Q120" s="171"/>
      <c r="R120" s="171"/>
      <c r="S120" s="171"/>
      <c r="T120" s="171"/>
      <c r="U120" s="171"/>
      <c r="V120" s="171"/>
      <c r="W120" s="171"/>
      <c r="X120" s="171"/>
      <c r="Y120" s="171"/>
      <c r="Z120" s="171"/>
      <c r="AA120" s="171"/>
      <c r="AB120" s="172"/>
      <c r="AC120" s="140"/>
      <c r="AD120" s="170"/>
      <c r="AE120" s="171"/>
      <c r="AF120" s="172"/>
      <c r="AG120" s="170"/>
      <c r="AH120" s="171"/>
      <c r="AI120" s="172"/>
    </row>
    <row r="121" spans="1:35" x14ac:dyDescent="0.2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38">
        <f t="shared" ref="O121:Z121" si="45">O98+O106+O114</f>
        <v>0</v>
      </c>
      <c r="P121" s="138">
        <f t="shared" si="45"/>
        <v>0</v>
      </c>
      <c r="Q121" s="138">
        <f t="shared" si="45"/>
        <v>0</v>
      </c>
      <c r="R121" s="138">
        <f t="shared" si="45"/>
        <v>0</v>
      </c>
      <c r="S121" s="138">
        <f t="shared" si="45"/>
        <v>0</v>
      </c>
      <c r="T121" s="138">
        <f t="shared" si="45"/>
        <v>0</v>
      </c>
      <c r="U121" s="138">
        <f t="shared" si="45"/>
        <v>0</v>
      </c>
      <c r="V121" s="138">
        <f t="shared" si="45"/>
        <v>0</v>
      </c>
      <c r="W121" s="138">
        <f t="shared" si="45"/>
        <v>0</v>
      </c>
      <c r="X121" s="138">
        <f t="shared" si="45"/>
        <v>0</v>
      </c>
      <c r="Y121" s="138">
        <f t="shared" si="45"/>
        <v>0</v>
      </c>
      <c r="Z121" s="138">
        <f t="shared" si="45"/>
        <v>0</v>
      </c>
      <c r="AA121" s="138">
        <f t="shared" ref="AA121:AA126" si="46">SUM(O121:Z121)</f>
        <v>0</v>
      </c>
      <c r="AB121" s="142" t="str">
        <f t="shared" ref="AB121:AB126" si="47">IF(AA121=0,"",IFERROR(AA121/AA$19,""))</f>
        <v/>
      </c>
      <c r="AC121" s="140"/>
      <c r="AD121" s="138">
        <f>AD98+AD106+AD114</f>
        <v>0</v>
      </c>
      <c r="AE121" s="142" t="str">
        <f t="shared" ref="AE121:AE126" si="48">IF(AD121=0,"",IFERROR(AD121/AD$19,""))</f>
        <v/>
      </c>
      <c r="AF121" s="141">
        <f t="shared" ref="AF121:AF126" si="49">IF(AND($AA121="",AD121=""),"",$AA121-AD121)</f>
        <v>0</v>
      </c>
      <c r="AG121" s="138">
        <f>AG98+AG106+AG114</f>
        <v>0</v>
      </c>
      <c r="AH121" s="142" t="str">
        <f t="shared" ref="AH121:AH126" si="50">IF(AG121=0,"",IFERROR(AG121/AG$19,""))</f>
        <v/>
      </c>
      <c r="AI121" s="141">
        <f t="shared" ref="AI121:AI126" si="51">IF(AND($AA121="",AG121=""),"",$AA121-AG121)</f>
        <v>0</v>
      </c>
    </row>
    <row r="122" spans="1:35" x14ac:dyDescent="0.2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38">
        <f t="shared" ref="O122:Z122" si="52">O99+O107+O115</f>
        <v>0</v>
      </c>
      <c r="P122" s="138">
        <f t="shared" si="52"/>
        <v>0</v>
      </c>
      <c r="Q122" s="138">
        <f t="shared" si="52"/>
        <v>0</v>
      </c>
      <c r="R122" s="138">
        <f t="shared" si="52"/>
        <v>0</v>
      </c>
      <c r="S122" s="138">
        <f t="shared" si="52"/>
        <v>0</v>
      </c>
      <c r="T122" s="138">
        <f t="shared" si="52"/>
        <v>0</v>
      </c>
      <c r="U122" s="138">
        <f t="shared" si="52"/>
        <v>0</v>
      </c>
      <c r="V122" s="138">
        <f t="shared" si="52"/>
        <v>0</v>
      </c>
      <c r="W122" s="138">
        <f t="shared" si="52"/>
        <v>0</v>
      </c>
      <c r="X122" s="138">
        <f t="shared" si="52"/>
        <v>0</v>
      </c>
      <c r="Y122" s="138">
        <f t="shared" si="52"/>
        <v>0</v>
      </c>
      <c r="Z122" s="138">
        <f t="shared" si="52"/>
        <v>0</v>
      </c>
      <c r="AA122" s="138">
        <f t="shared" si="46"/>
        <v>0</v>
      </c>
      <c r="AB122" s="142" t="str">
        <f t="shared" si="47"/>
        <v/>
      </c>
      <c r="AC122" s="140"/>
      <c r="AD122" s="138">
        <f>AD99+AD107+AD115</f>
        <v>0</v>
      </c>
      <c r="AE122" s="142" t="str">
        <f t="shared" si="48"/>
        <v/>
      </c>
      <c r="AF122" s="141">
        <f t="shared" si="49"/>
        <v>0</v>
      </c>
      <c r="AG122" s="138">
        <f>AG99+AG107+AG115</f>
        <v>0</v>
      </c>
      <c r="AH122" s="142" t="str">
        <f t="shared" si="50"/>
        <v/>
      </c>
      <c r="AI122" s="141">
        <f t="shared" si="51"/>
        <v>0</v>
      </c>
    </row>
    <row r="123" spans="1:35" x14ac:dyDescent="0.2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38">
        <f t="shared" ref="O123:Z123" si="53">O100+O108+O116</f>
        <v>0</v>
      </c>
      <c r="P123" s="138">
        <f t="shared" si="53"/>
        <v>0</v>
      </c>
      <c r="Q123" s="138">
        <f t="shared" si="53"/>
        <v>0</v>
      </c>
      <c r="R123" s="138">
        <f t="shared" si="53"/>
        <v>0</v>
      </c>
      <c r="S123" s="138">
        <f t="shared" si="53"/>
        <v>0</v>
      </c>
      <c r="T123" s="138">
        <f t="shared" si="53"/>
        <v>0</v>
      </c>
      <c r="U123" s="138">
        <f t="shared" si="53"/>
        <v>0</v>
      </c>
      <c r="V123" s="138">
        <f t="shared" si="53"/>
        <v>0</v>
      </c>
      <c r="W123" s="138">
        <f t="shared" si="53"/>
        <v>0</v>
      </c>
      <c r="X123" s="138">
        <f t="shared" si="53"/>
        <v>0</v>
      </c>
      <c r="Y123" s="138">
        <f t="shared" si="53"/>
        <v>0</v>
      </c>
      <c r="Z123" s="138">
        <f t="shared" si="53"/>
        <v>0</v>
      </c>
      <c r="AA123" s="138">
        <f t="shared" si="46"/>
        <v>0</v>
      </c>
      <c r="AB123" s="142" t="str">
        <f t="shared" si="47"/>
        <v/>
      </c>
      <c r="AC123" s="140"/>
      <c r="AD123" s="138">
        <f>AD100+AD108+AD116</f>
        <v>0</v>
      </c>
      <c r="AE123" s="142" t="str">
        <f t="shared" si="48"/>
        <v/>
      </c>
      <c r="AF123" s="141">
        <f t="shared" si="49"/>
        <v>0</v>
      </c>
      <c r="AG123" s="138">
        <f>AG100+AG108+AG116</f>
        <v>0</v>
      </c>
      <c r="AH123" s="142" t="str">
        <f t="shared" si="50"/>
        <v/>
      </c>
      <c r="AI123" s="141">
        <f t="shared" si="51"/>
        <v>0</v>
      </c>
    </row>
    <row r="124" spans="1:35" x14ac:dyDescent="0.2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38">
        <f t="shared" ref="O124:Z124" si="54">O101+O109+O117</f>
        <v>0</v>
      </c>
      <c r="P124" s="138">
        <f t="shared" si="54"/>
        <v>0</v>
      </c>
      <c r="Q124" s="138">
        <f t="shared" si="54"/>
        <v>0</v>
      </c>
      <c r="R124" s="138">
        <f t="shared" si="54"/>
        <v>0</v>
      </c>
      <c r="S124" s="138">
        <f t="shared" si="54"/>
        <v>0</v>
      </c>
      <c r="T124" s="138">
        <f t="shared" si="54"/>
        <v>0</v>
      </c>
      <c r="U124" s="138">
        <f t="shared" si="54"/>
        <v>0</v>
      </c>
      <c r="V124" s="138">
        <f t="shared" si="54"/>
        <v>0</v>
      </c>
      <c r="W124" s="138">
        <f t="shared" si="54"/>
        <v>0</v>
      </c>
      <c r="X124" s="138">
        <f t="shared" si="54"/>
        <v>0</v>
      </c>
      <c r="Y124" s="138">
        <f t="shared" si="54"/>
        <v>0</v>
      </c>
      <c r="Z124" s="138">
        <f t="shared" si="54"/>
        <v>0</v>
      </c>
      <c r="AA124" s="138">
        <f t="shared" si="46"/>
        <v>0</v>
      </c>
      <c r="AB124" s="142" t="str">
        <f t="shared" si="47"/>
        <v/>
      </c>
      <c r="AC124" s="140"/>
      <c r="AD124" s="138">
        <f>AD101+AD109+AD117</f>
        <v>0</v>
      </c>
      <c r="AE124" s="142" t="str">
        <f t="shared" si="48"/>
        <v/>
      </c>
      <c r="AF124" s="141">
        <f t="shared" si="49"/>
        <v>0</v>
      </c>
      <c r="AG124" s="138">
        <f>AG101+AG109+AG117</f>
        <v>0</v>
      </c>
      <c r="AH124" s="142" t="str">
        <f t="shared" si="50"/>
        <v/>
      </c>
      <c r="AI124" s="141">
        <f t="shared" si="51"/>
        <v>0</v>
      </c>
    </row>
    <row r="125" spans="1:35" x14ac:dyDescent="0.2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38">
        <f t="shared" ref="O125:Z125" si="55">O102+O110+O118</f>
        <v>0</v>
      </c>
      <c r="P125" s="138">
        <f t="shared" si="55"/>
        <v>0</v>
      </c>
      <c r="Q125" s="138">
        <f t="shared" si="55"/>
        <v>0</v>
      </c>
      <c r="R125" s="138">
        <f t="shared" si="55"/>
        <v>0</v>
      </c>
      <c r="S125" s="138">
        <f t="shared" si="55"/>
        <v>0</v>
      </c>
      <c r="T125" s="138">
        <f t="shared" si="55"/>
        <v>0</v>
      </c>
      <c r="U125" s="138">
        <f t="shared" si="55"/>
        <v>0</v>
      </c>
      <c r="V125" s="138">
        <f t="shared" si="55"/>
        <v>0</v>
      </c>
      <c r="W125" s="138">
        <f t="shared" si="55"/>
        <v>0</v>
      </c>
      <c r="X125" s="138">
        <f t="shared" si="55"/>
        <v>0</v>
      </c>
      <c r="Y125" s="138">
        <f t="shared" si="55"/>
        <v>0</v>
      </c>
      <c r="Z125" s="138">
        <f t="shared" si="55"/>
        <v>0</v>
      </c>
      <c r="AA125" s="138">
        <f t="shared" si="46"/>
        <v>0</v>
      </c>
      <c r="AB125" s="142" t="str">
        <f t="shared" si="47"/>
        <v/>
      </c>
      <c r="AC125" s="140"/>
      <c r="AD125" s="138">
        <f>AD102+AD110+AD118</f>
        <v>0</v>
      </c>
      <c r="AE125" s="142" t="str">
        <f t="shared" si="48"/>
        <v/>
      </c>
      <c r="AF125" s="141">
        <f t="shared" si="49"/>
        <v>0</v>
      </c>
      <c r="AG125" s="138">
        <f>AG102+AG110+AG118</f>
        <v>0</v>
      </c>
      <c r="AH125" s="142" t="str">
        <f t="shared" si="50"/>
        <v/>
      </c>
      <c r="AI125" s="141">
        <f t="shared" si="51"/>
        <v>0</v>
      </c>
    </row>
    <row r="126" spans="1:35" x14ac:dyDescent="0.2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2">
        <f t="shared" ref="O126:Z126" si="56">SUM(O121:O125)</f>
        <v>0</v>
      </c>
      <c r="P126" s="162">
        <f t="shared" si="56"/>
        <v>0</v>
      </c>
      <c r="Q126" s="162">
        <f t="shared" si="56"/>
        <v>0</v>
      </c>
      <c r="R126" s="162">
        <f t="shared" si="56"/>
        <v>0</v>
      </c>
      <c r="S126" s="162">
        <f t="shared" si="56"/>
        <v>0</v>
      </c>
      <c r="T126" s="162">
        <f t="shared" si="56"/>
        <v>0</v>
      </c>
      <c r="U126" s="162">
        <f t="shared" si="56"/>
        <v>0</v>
      </c>
      <c r="V126" s="162">
        <f t="shared" si="56"/>
        <v>0</v>
      </c>
      <c r="W126" s="162">
        <f t="shared" si="56"/>
        <v>0</v>
      </c>
      <c r="X126" s="162">
        <f t="shared" si="56"/>
        <v>0</v>
      </c>
      <c r="Y126" s="162">
        <f t="shared" si="56"/>
        <v>0</v>
      </c>
      <c r="Z126" s="162">
        <f t="shared" si="56"/>
        <v>0</v>
      </c>
      <c r="AA126" s="162">
        <f t="shared" si="46"/>
        <v>0</v>
      </c>
      <c r="AB126" s="163" t="str">
        <f t="shared" si="47"/>
        <v/>
      </c>
      <c r="AC126" s="140"/>
      <c r="AD126" s="162">
        <f>SUM(AD121:AD125)</f>
        <v>0</v>
      </c>
      <c r="AE126" s="163" t="str">
        <f t="shared" si="48"/>
        <v/>
      </c>
      <c r="AF126" s="164">
        <f t="shared" si="49"/>
        <v>0</v>
      </c>
      <c r="AG126" s="162">
        <f>SUM(AG121:AG125)</f>
        <v>0</v>
      </c>
      <c r="AH126" s="163" t="str">
        <f t="shared" si="50"/>
        <v/>
      </c>
      <c r="AI126" s="164">
        <f t="shared" si="51"/>
        <v>0</v>
      </c>
    </row>
    <row r="127" spans="1:35" x14ac:dyDescent="0.2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2"/>
      <c r="AC127" s="140"/>
      <c r="AD127" s="511">
        <f>AD103+AD111+AD119-AD126</f>
        <v>0</v>
      </c>
      <c r="AE127" s="142"/>
      <c r="AF127" s="138"/>
      <c r="AG127" s="511">
        <f>AG103+AG111+AG119-AG126</f>
        <v>0</v>
      </c>
      <c r="AH127" s="142"/>
      <c r="AI127" s="138"/>
    </row>
    <row r="128" spans="1:35" x14ac:dyDescent="0.25">
      <c r="A128" s="11"/>
      <c r="B128" s="11"/>
      <c r="C128" s="208"/>
      <c r="D128" s="11"/>
      <c r="E128" s="11"/>
      <c r="F128" s="11"/>
      <c r="G128" s="11"/>
      <c r="H128" s="185"/>
      <c r="I128" s="122"/>
      <c r="J128" s="122"/>
      <c r="K128" s="11"/>
      <c r="L128" s="11"/>
      <c r="M128" s="11"/>
      <c r="N128" s="11"/>
      <c r="O128" s="170"/>
      <c r="P128" s="171"/>
      <c r="Q128" s="171"/>
      <c r="R128" s="171"/>
      <c r="S128" s="171"/>
      <c r="T128" s="171"/>
      <c r="U128" s="171"/>
      <c r="V128" s="171"/>
      <c r="W128" s="171"/>
      <c r="X128" s="171"/>
      <c r="Y128" s="171"/>
      <c r="Z128" s="171"/>
      <c r="AA128" s="171"/>
      <c r="AB128" s="172"/>
      <c r="AC128" s="140"/>
      <c r="AD128" s="170"/>
      <c r="AE128" s="171"/>
      <c r="AF128" s="172"/>
      <c r="AG128" s="170"/>
      <c r="AH128" s="171"/>
      <c r="AI128" s="172"/>
    </row>
    <row r="129" spans="1:35" ht="15.75" x14ac:dyDescent="0.2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2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38"/>
      <c r="P130" s="138"/>
      <c r="Q130" s="138"/>
      <c r="R130" s="138"/>
      <c r="S130" s="138"/>
      <c r="T130" s="138"/>
      <c r="U130" s="138"/>
      <c r="V130" s="138"/>
      <c r="W130" s="138"/>
      <c r="X130" s="138"/>
      <c r="Y130" s="138"/>
      <c r="Z130" s="138"/>
      <c r="AA130" s="138">
        <f>SUM(O130:Z130)</f>
        <v>0</v>
      </c>
      <c r="AB130" s="458" t="str">
        <f>IF(_epmOfflineCondition_,"",IF(AA130=0,"",IFERROR(AA130/_xll.EVGTS($B$1,1,_xll.EVPRO($B$1,$H130,"COSBASIS"),$B$3,$B$5,$B$6,$B$7,$B$9,AA$16,AA$17,AA$11),"")))</f>
        <v/>
      </c>
      <c r="AC130" s="140"/>
      <c r="AD130" s="138"/>
      <c r="AE130" s="458" t="str">
        <f>IF(_epmOfflineCondition_,"",IF(AD130=0,"",IFERROR(AD130/_xll.EVGTS($B$1,1,_xll.EVPRO($B$1,$H130,"COSBASIS"),$B$3,$B$5,$B$6,$B$7,$B$9,AD$16,AD$17,AD$18),"")))</f>
        <v/>
      </c>
      <c r="AF130" s="141">
        <f t="shared" ref="AF130:AF141" si="58">IF(AND($AA130="",AD130=""),"",$AA130-AD130)</f>
        <v>0</v>
      </c>
      <c r="AG130" s="138"/>
      <c r="AH130" s="458" t="str">
        <f>IF(_epmOfflineCondition_,"",IF(AG130=0,"",IFERROR(AG130/_xll.EVGTS($B$1,1,_xll.EVPRO($B$1,$H130,"COSBASIS"),$B$3,$B$5,$B$6,$B$7,$B$9,AG$16,AG$17,AG$18),"")))</f>
        <v/>
      </c>
      <c r="AI130" s="141">
        <f t="shared" ref="AI130:AI141" si="59">IF(AND($AA130="",AG130=""),"",$AA130-AG130)</f>
        <v>0</v>
      </c>
    </row>
    <row r="131" spans="1:35" x14ac:dyDescent="0.2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58"/>
      <c r="AC131" s="140"/>
      <c r="AD131" s="508"/>
      <c r="AE131" s="458"/>
      <c r="AF131" s="521" t="str">
        <f t="shared" si="58"/>
        <v/>
      </c>
      <c r="AG131" s="508"/>
      <c r="AH131" s="458"/>
      <c r="AI131" s="521" t="str">
        <f t="shared" si="59"/>
        <v/>
      </c>
    </row>
    <row r="132" spans="1:35" x14ac:dyDescent="0.2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38"/>
      <c r="P132" s="138"/>
      <c r="Q132" s="138"/>
      <c r="R132" s="138"/>
      <c r="S132" s="138"/>
      <c r="T132" s="138"/>
      <c r="U132" s="138"/>
      <c r="V132" s="138"/>
      <c r="W132" s="138"/>
      <c r="X132" s="138"/>
      <c r="Y132" s="138"/>
      <c r="Z132" s="138"/>
      <c r="AA132" s="138">
        <f>SUM(O132:Z132)</f>
        <v>0</v>
      </c>
      <c r="AB132" s="458" t="str">
        <f>IF(_epmOfflineCondition_,"",IF(AA132=0,"",IFERROR(AA132/_xll.EVGTS($B$1,1,_xll.EVPRO($B$1,$H132,"COSBASIS"),$B$3,$B$5,$B$6,$B$7,$B$9,AA$16,AA$17,AA$11),"")))</f>
        <v/>
      </c>
      <c r="AC132" s="140"/>
      <c r="AD132" s="138"/>
      <c r="AE132" s="458" t="str">
        <f>IF(_epmOfflineCondition_,"",IF(AD132=0,"",IFERROR(AD132/_xll.EVGTS($B$1,1,_xll.EVPRO($B$1,$H132,"COSBASIS"),$B$3,$B$5,$B$6,$B$7,$B$9,AD$16,AD$17,AD$18),"")))</f>
        <v/>
      </c>
      <c r="AF132" s="141">
        <f t="shared" si="58"/>
        <v>0</v>
      </c>
      <c r="AG132" s="138"/>
      <c r="AH132" s="458" t="str">
        <f>IF(_epmOfflineCondition_,"",IF(AG132=0,"",IFERROR(AG132/_xll.EVGTS($B$1,1,_xll.EVPRO($B$1,$H132,"COSBASIS"),$B$3,$B$5,$B$6,$B$7,$B$9,AG$16,AG$17,AG$18),"")))</f>
        <v/>
      </c>
      <c r="AI132" s="141">
        <f t="shared" si="59"/>
        <v>0</v>
      </c>
    </row>
    <row r="133" spans="1:35" x14ac:dyDescent="0.2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58"/>
      <c r="AC133" s="140"/>
      <c r="AD133" s="508"/>
      <c r="AE133" s="458"/>
      <c r="AF133" s="521" t="str">
        <f t="shared" si="58"/>
        <v/>
      </c>
      <c r="AG133" s="508"/>
      <c r="AH133" s="458"/>
      <c r="AI133" s="521" t="str">
        <f t="shared" si="59"/>
        <v/>
      </c>
    </row>
    <row r="134" spans="1:35" x14ac:dyDescent="0.2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38"/>
      <c r="P134" s="138"/>
      <c r="Q134" s="138"/>
      <c r="R134" s="138"/>
      <c r="S134" s="138"/>
      <c r="T134" s="138"/>
      <c r="U134" s="138"/>
      <c r="V134" s="138"/>
      <c r="W134" s="138"/>
      <c r="X134" s="138"/>
      <c r="Y134" s="138"/>
      <c r="Z134" s="138"/>
      <c r="AA134" s="138">
        <f>SUM(O134:Z134)</f>
        <v>0</v>
      </c>
      <c r="AB134" s="458" t="str">
        <f>IF(_epmOfflineCondition_,"",IF(AA134=0,"",IFERROR(AA134/_xll.EVGTS($B$1,1,_xll.EVPRO($B$1,$H134,"COSBASIS"),$B$3,$B$5,$B$6,$B$7,$B$9,AA$16,AA$17,AA$11),"")))</f>
        <v/>
      </c>
      <c r="AC134" s="140"/>
      <c r="AD134" s="138"/>
      <c r="AE134" s="458" t="str">
        <f>IF(_epmOfflineCondition_,"",IF(AD134=0,"",IFERROR(AD134/_xll.EVGTS($B$1,1,_xll.EVPRO($B$1,$H134,"COSBASIS"),$B$3,$B$5,$B$6,$B$7,$B$9,AD$16,AD$17,AD$18),"")))</f>
        <v/>
      </c>
      <c r="AF134" s="141">
        <f t="shared" si="58"/>
        <v>0</v>
      </c>
      <c r="AG134" s="138"/>
      <c r="AH134" s="458" t="str">
        <f>IF(_epmOfflineCondition_,"",IF(AG134=0,"",IFERROR(AG134/_xll.EVGTS($B$1,1,_xll.EVPRO($B$1,$H134,"COSBASIS"),$B$3,$B$5,$B$6,$B$7,$B$9,AG$16,AG$17,AG$18),"")))</f>
        <v/>
      </c>
      <c r="AI134" s="141">
        <f t="shared" si="59"/>
        <v>0</v>
      </c>
    </row>
    <row r="135" spans="1:35" x14ac:dyDescent="0.2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58"/>
      <c r="AC135" s="140"/>
      <c r="AD135" s="508"/>
      <c r="AE135" s="458"/>
      <c r="AF135" s="521" t="str">
        <f t="shared" si="58"/>
        <v/>
      </c>
      <c r="AG135" s="508"/>
      <c r="AH135" s="458"/>
      <c r="AI135" s="521" t="str">
        <f t="shared" si="59"/>
        <v/>
      </c>
    </row>
    <row r="136" spans="1:35" x14ac:dyDescent="0.2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38"/>
      <c r="P136" s="138"/>
      <c r="Q136" s="138"/>
      <c r="R136" s="138"/>
      <c r="S136" s="138"/>
      <c r="T136" s="138"/>
      <c r="U136" s="138"/>
      <c r="V136" s="138"/>
      <c r="W136" s="138"/>
      <c r="X136" s="138"/>
      <c r="Y136" s="138"/>
      <c r="Z136" s="138"/>
      <c r="AA136" s="138">
        <f>SUM(O136:Z136)</f>
        <v>0</v>
      </c>
      <c r="AB136" s="458" t="str">
        <f>IF(_epmOfflineCondition_,"",IF(AA136=0,"",IFERROR(AA136/_xll.EVGTS($B$1,1,_xll.EVPRO($B$1,$H136,"COSBASIS"),$B$3,$B$5,$B$6,$B$7,$B$9,AA$16,AA$17,AA$11),"")))</f>
        <v/>
      </c>
      <c r="AC136" s="140"/>
      <c r="AD136" s="138"/>
      <c r="AE136" s="458" t="str">
        <f>IF(_epmOfflineCondition_,"",IF(AD136=0,"",IFERROR(AD136/_xll.EVGTS($B$1,1,_xll.EVPRO($B$1,$H136,"COSBASIS"),$B$3,$B$5,$B$6,$B$7,$B$9,AD$16,AD$17,AD$18),"")))</f>
        <v/>
      </c>
      <c r="AF136" s="141">
        <f t="shared" si="58"/>
        <v>0</v>
      </c>
      <c r="AG136" s="138"/>
      <c r="AH136" s="458" t="str">
        <f>IF(_epmOfflineCondition_,"",IF(AG136=0,"",IFERROR(AG136/_xll.EVGTS($B$1,1,_xll.EVPRO($B$1,$H136,"COSBASIS"),$B$3,$B$5,$B$6,$B$7,$B$9,AG$16,AG$17,AG$18),"")))</f>
        <v/>
      </c>
      <c r="AI136" s="141">
        <f t="shared" si="59"/>
        <v>0</v>
      </c>
    </row>
    <row r="137" spans="1:35" x14ac:dyDescent="0.2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58"/>
      <c r="AC137" s="140"/>
      <c r="AD137" s="508"/>
      <c r="AE137" s="458"/>
      <c r="AF137" s="521" t="str">
        <f t="shared" si="58"/>
        <v/>
      </c>
      <c r="AG137" s="508"/>
      <c r="AH137" s="458"/>
      <c r="AI137" s="521" t="str">
        <f t="shared" si="59"/>
        <v/>
      </c>
    </row>
    <row r="138" spans="1:35" x14ac:dyDescent="0.2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38"/>
      <c r="P138" s="138"/>
      <c r="Q138" s="138"/>
      <c r="R138" s="138"/>
      <c r="S138" s="138"/>
      <c r="T138" s="138"/>
      <c r="U138" s="138"/>
      <c r="V138" s="138"/>
      <c r="W138" s="138"/>
      <c r="X138" s="138"/>
      <c r="Y138" s="138"/>
      <c r="Z138" s="138"/>
      <c r="AA138" s="138">
        <f>SUM(O138:Z138)</f>
        <v>0</v>
      </c>
      <c r="AB138" s="458" t="str">
        <f>IF(_epmOfflineCondition_,"",IF(AA138=0,"",IFERROR(AA138/_xll.EVGTS($B$1,1,_xll.EVPRO($B$1,$H138,"COSBASIS"),$B$3,$B$5,$B$6,$B$7,$B$9,AA$16,AA$17,AA$11),"")))</f>
        <v/>
      </c>
      <c r="AC138" s="140"/>
      <c r="AD138" s="138"/>
      <c r="AE138" s="458" t="str">
        <f>IF(_epmOfflineCondition_,"",IF(AD138=0,"",IFERROR(AD138/_xll.EVGTS($B$1,1,_xll.EVPRO($B$1,$H138,"COSBASIS"),$B$3,$B$5,$B$6,$B$7,$B$9,AD$16,AD$17,AD$18),"")))</f>
        <v/>
      </c>
      <c r="AF138" s="141">
        <f t="shared" si="58"/>
        <v>0</v>
      </c>
      <c r="AG138" s="138"/>
      <c r="AH138" s="458" t="str">
        <f>IF(_epmOfflineCondition_,"",IF(AG138=0,"",IFERROR(AG138/_xll.EVGTS($B$1,1,_xll.EVPRO($B$1,$H138,"COSBASIS"),$B$3,$B$5,$B$6,$B$7,$B$9,AG$16,AG$17,AG$18),"")))</f>
        <v/>
      </c>
      <c r="AI138" s="141">
        <f t="shared" si="59"/>
        <v>0</v>
      </c>
    </row>
    <row r="139" spans="1:35" x14ac:dyDescent="0.2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58"/>
      <c r="AC139" s="140"/>
      <c r="AD139" s="508"/>
      <c r="AE139" s="458"/>
      <c r="AF139" s="521" t="str">
        <f t="shared" si="58"/>
        <v/>
      </c>
      <c r="AG139" s="508"/>
      <c r="AH139" s="458"/>
      <c r="AI139" s="521" t="str">
        <f t="shared" si="59"/>
        <v/>
      </c>
    </row>
    <row r="140" spans="1:35" x14ac:dyDescent="0.2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38"/>
      <c r="P140" s="138"/>
      <c r="Q140" s="138"/>
      <c r="R140" s="138"/>
      <c r="S140" s="138"/>
      <c r="T140" s="138"/>
      <c r="U140" s="138"/>
      <c r="V140" s="138"/>
      <c r="W140" s="138"/>
      <c r="X140" s="138"/>
      <c r="Y140" s="138"/>
      <c r="Z140" s="138"/>
      <c r="AA140" s="138">
        <f>SUM(O140:Z140)</f>
        <v>0</v>
      </c>
      <c r="AB140" s="458" t="str">
        <f>IF(_epmOfflineCondition_,"",IF(AA140=0,"",IFERROR(AA140/_xll.EVGTS($B$1,1,_xll.EVPRO($B$1,$H140,"COSBASIS"),$B$3,$B$5,$B$6,$B$7,$B$9,AA$16,AA$17,AA$11),"")))</f>
        <v/>
      </c>
      <c r="AC140" s="140"/>
      <c r="AD140" s="138"/>
      <c r="AE140" s="458" t="str">
        <f>IF(_epmOfflineCondition_,"",IF(AD140=0,"",IFERROR(AD140/_xll.EVGTS($B$1,1,_xll.EVPRO($B$1,$H140,"COSBASIS"),$B$3,$B$5,$B$6,$B$7,$B$9,AD$16,AD$17,AD$18),"")))</f>
        <v/>
      </c>
      <c r="AF140" s="141">
        <f t="shared" si="58"/>
        <v>0</v>
      </c>
      <c r="AG140" s="138"/>
      <c r="AH140" s="458" t="str">
        <f>IF(_epmOfflineCondition_,"",IF(AG140=0,"",IFERROR(AG140/_xll.EVGTS($B$1,1,_xll.EVPRO($B$1,$H140,"COSBASIS"),$B$3,$B$5,$B$6,$B$7,$B$9,AG$16,AG$17,AG$18),"")))</f>
        <v/>
      </c>
      <c r="AI140" s="141">
        <f t="shared" si="59"/>
        <v>0</v>
      </c>
    </row>
    <row r="141" spans="1:35" x14ac:dyDescent="0.2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58"/>
      <c r="AC141" s="140"/>
      <c r="AD141" s="508" t="str">
        <f>IFERROR(AD140/AD85,"")</f>
        <v/>
      </c>
      <c r="AE141" s="458"/>
      <c r="AF141" s="521" t="str">
        <f t="shared" si="58"/>
        <v/>
      </c>
      <c r="AG141" s="508" t="str">
        <f>IFERROR(AG140/AG85,"")</f>
        <v/>
      </c>
      <c r="AH141" s="458"/>
      <c r="AI141" s="521" t="str">
        <f t="shared" si="59"/>
        <v/>
      </c>
    </row>
    <row r="142" spans="1:35" x14ac:dyDescent="0.2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2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2"/>
      <c r="AC143" s="140"/>
      <c r="AD143" s="511">
        <f>AD39+AD49+AD59+AD69+AD79+AD83-AD85</f>
        <v>0</v>
      </c>
      <c r="AE143" s="142"/>
      <c r="AF143" s="138"/>
      <c r="AG143" s="511">
        <f>AG39+AG49+AG59+AG69+AG79+AG83-AG85</f>
        <v>0</v>
      </c>
      <c r="AH143" s="142"/>
      <c r="AI143" s="138"/>
    </row>
    <row r="144" spans="1:35" x14ac:dyDescent="0.2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2"/>
      <c r="AC144" s="140"/>
      <c r="AD144" s="511">
        <f>AD41+AD51+AD61+AD71+AD80-AD87</f>
        <v>0</v>
      </c>
      <c r="AE144" s="142"/>
      <c r="AF144" s="138"/>
      <c r="AG144" s="511">
        <f>AG41+AG51+AG61+AG71+AG80-AG87</f>
        <v>0</v>
      </c>
      <c r="AH144" s="142"/>
      <c r="AI144" s="138"/>
    </row>
    <row r="145" spans="1:35" x14ac:dyDescent="0.2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2"/>
      <c r="AC145" s="140"/>
      <c r="AD145" s="510" t="e">
        <f>IFERROR(AD$85/AD87,"")-AD88</f>
        <v>#VALUE!</v>
      </c>
      <c r="AE145" s="142"/>
      <c r="AF145" s="138"/>
      <c r="AG145" s="510" t="e">
        <f>IFERROR(AG$85/AG87,"")-AG88</f>
        <v>#VALUE!</v>
      </c>
      <c r="AH145" s="142"/>
      <c r="AI145" s="138"/>
    </row>
    <row r="146" spans="1:35" x14ac:dyDescent="0.2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2"/>
      <c r="AC146" s="140"/>
      <c r="AD146" s="511">
        <f>(AD130+AD132)-AD140</f>
        <v>0</v>
      </c>
      <c r="AE146" s="142"/>
      <c r="AF146" s="138"/>
      <c r="AG146" s="511">
        <f>(AG130+AG132)-AG140</f>
        <v>0</v>
      </c>
      <c r="AH146" s="142"/>
      <c r="AI146" s="138"/>
    </row>
    <row r="147" spans="1:35" x14ac:dyDescent="0.2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2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2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2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2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D97nqrVQkz8yjnSgcx8SdR7Fd8K8ymtP30/tPPMR2mNrd3XjeE6I9ZVv/xS8ewhHL+8LV32FLlV2vSWtdVj5Vg==" saltValue="AY2EnYK2kaLFNhDd964/Lg==" spinCount="100000" sheet="1" scenarios="1"/>
  <mergeCells count="2">
    <mergeCell ref="AD31:AE31"/>
    <mergeCell ref="AG31:AH31"/>
  </mergeCells>
  <conditionalFormatting sqref="AD43 AF43:AG43 O43:AA43">
    <cfRule type="expression" dxfId="95" priority="15">
      <formula>ROUND(O42,2)&lt;&gt;ROUND(O43,2)</formula>
    </cfRule>
  </conditionalFormatting>
  <conditionalFormatting sqref="N43">
    <cfRule type="expression" dxfId="94" priority="14">
      <formula>$G43&lt;&gt;0</formula>
    </cfRule>
  </conditionalFormatting>
  <conditionalFormatting sqref="O53:AA53 AD53 AF53:AG53">
    <cfRule type="expression" dxfId="93" priority="13">
      <formula>ROUND(O52,2)&lt;&gt;ROUND(O53,2)</formula>
    </cfRule>
  </conditionalFormatting>
  <conditionalFormatting sqref="N53">
    <cfRule type="expression" dxfId="92" priority="12">
      <formula>$G53&lt;&gt;0</formula>
    </cfRule>
  </conditionalFormatting>
  <conditionalFormatting sqref="O63:AA63 AD63 AF63:AG63">
    <cfRule type="expression" dxfId="91" priority="11">
      <formula>ROUND(O62,2)&lt;&gt;ROUND(O63,2)</formula>
    </cfRule>
  </conditionalFormatting>
  <conditionalFormatting sqref="N63">
    <cfRule type="expression" dxfId="90" priority="10">
      <formula>$G63&lt;&gt;0</formula>
    </cfRule>
  </conditionalFormatting>
  <conditionalFormatting sqref="O73:AA73 AD73 AF73:AG73">
    <cfRule type="expression" dxfId="89" priority="9">
      <formula>ROUND(O72,2)&lt;&gt;ROUND(O73,2)</formula>
    </cfRule>
  </conditionalFormatting>
  <conditionalFormatting sqref="N73">
    <cfRule type="expression" dxfId="88" priority="8">
      <formula>$G73&lt;&gt;0</formula>
    </cfRule>
  </conditionalFormatting>
  <conditionalFormatting sqref="N82">
    <cfRule type="expression" dxfId="87" priority="7">
      <formula>$G82&lt;&gt;0</formula>
    </cfRule>
  </conditionalFormatting>
  <conditionalFormatting sqref="AD82 AF82:AG82 O82:AA82">
    <cfRule type="expression" dxfId="86" priority="6">
      <formula>ROUND(O81,2)&lt;&gt;ROUND(O82,2)</formula>
    </cfRule>
  </conditionalFormatting>
  <conditionalFormatting sqref="AI43">
    <cfRule type="expression" dxfId="85" priority="5">
      <formula>ROUND(AI42,2)&lt;&gt;ROUND(AI43,2)</formula>
    </cfRule>
  </conditionalFormatting>
  <conditionalFormatting sqref="AI53">
    <cfRule type="expression" dxfId="84" priority="4">
      <formula>ROUND(AI52,2)&lt;&gt;ROUND(AI53,2)</formula>
    </cfRule>
  </conditionalFormatting>
  <conditionalFormatting sqref="AI63">
    <cfRule type="expression" dxfId="83" priority="3">
      <formula>ROUND(AI62,2)&lt;&gt;ROUND(AI63,2)</formula>
    </cfRule>
  </conditionalFormatting>
  <conditionalFormatting sqref="AI73">
    <cfRule type="expression" dxfId="82" priority="2">
      <formula>ROUND(AI72,2)&lt;&gt;ROUND(AI73,2)</formula>
    </cfRule>
  </conditionalFormatting>
  <conditionalFormatting sqref="AI82">
    <cfRule type="expression" dxfId="81" priority="1">
      <formula>ROUND(AI81,2)&lt;&gt;ROUND(AI82,2)</formula>
    </cfRule>
  </conditionalFormatting>
  <dataValidations count="2">
    <dataValidation type="list" allowBlank="1" sqref="B29" xr:uid="{00000000-0002-0000-1000-000000000000}">
      <formula1>"SELF,ALL,BAS,DEP,BASMEMBERS,MEMBERS,NOEXPAND,GDEP"</formula1>
    </dataValidation>
    <dataValidation type="list" allowBlank="1" sqref="B28" xr:uid="{00000000-0002-0000-1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4">
    <tabColor theme="6" tint="0.39997558519241921"/>
    <pageSetUpPr fitToPage="1"/>
  </sheetPr>
  <dimension ref="A1:AO194"/>
  <sheetViews>
    <sheetView topLeftCell="K1" zoomScale="85" zoomScaleNormal="85" workbookViewId="0">
      <pane xSplit="4" ySplit="32"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IF(_epmOfflineCondition_,"",IF(OR(_xll.EVCGT($B$1,$B$6,$H$1,$H$2,$H$3,$H$4,$H$5,$H$6,$H$7,$H$8)="#RFR",_xll.EVCGT($B$1,$B$6,$H$1,$H$2,$H$3,$H$4,$H$5,$H$6,$H$7,$H$8)="#NODATA"),"",_xll.EVCGT($B$1,$B$6,$H$1,$H$2,$H$3,$H$4,$H$5,$H$6,$H$7,$H$8)))</f>
        <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788</v>
      </c>
      <c r="C6" s="11" t="str">
        <f>IF(_epmOfflineCondition_,"Venue 6",_xll.EVDES(B6,$B$1))</f>
        <v>Venue 6</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IF(_epmOfflineCondition_,"'Venue6'!$B$2:$B$10",_xll.EVRNG($B$2:$B$10))</f>
        <v>'Venue6'!$B$2:$B$10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IF(_epmOfflineCondition_,"'Venue6'!$O$16:$AN$18",_xll.EVRNG($O$16:$AN$18))</f>
        <v>'Venue6'!$O$16:$AN$18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IF(_epmOfflineCondition_,"'Venue6'!$H$35:$H$58",_xll.EVRNG(H35:H58))</f>
        <v>'Venue6'!$H$35:$H$58</v>
      </c>
      <c r="C19" s="11"/>
      <c r="D19" s="11"/>
      <c r="E19" s="11"/>
      <c r="F19" s="11"/>
      <c r="G19" s="67" t="str">
        <f>$B$6</f>
        <v>D2144</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25">
      <c r="A20" s="65" t="s">
        <v>5</v>
      </c>
      <c r="B20" s="66"/>
      <c r="C20" s="11"/>
      <c r="D20" s="11"/>
      <c r="E20" s="11"/>
      <c r="F20" s="11"/>
      <c r="G20" s="67" t="str">
        <f>$B$6</f>
        <v>D2144</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IF(_epmOfflineCondition_,"'Venue6'!$A$36:$F$44",_xll.EVRNG(A36:F44))</f>
        <v>'Venue6'!$A$36:$F$44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IF(_epmOfflineCondition_,"'Venue6'!$A$125:$B$146",_xll.EVRNG($A$125:$B$146))</f>
        <v>'Venue6'!$A$125:$B$146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IF(_epmOfflineCondition_,"Venue 6 Department",IF($N$1="",IF(_xll.EVDES(B6,$B$1)="#NODATA","",_xll.EVDES(B6,$B$1)&amp;" Department"),$N$1))</f>
        <v>Venue 6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57"/>
      <c r="P35" s="210"/>
      <c r="Q35" s="210"/>
      <c r="R35" s="210"/>
      <c r="S35" s="210"/>
      <c r="T35" s="210"/>
      <c r="U35" s="210"/>
      <c r="V35" s="210"/>
      <c r="W35" s="210"/>
      <c r="X35" s="210"/>
      <c r="Y35" s="210"/>
      <c r="Z35" s="210"/>
      <c r="AA35" s="210">
        <f t="shared" ref="AA35:AA58" si="1">IF($I35="B1","",SUM(O35:Z35))</f>
        <v>0</v>
      </c>
      <c r="AB35" s="458" t="str">
        <f t="shared" ref="AB35:AB58" si="2">IF(AA35=0,"",IFERROR(AA35/AA$19,""))</f>
        <v/>
      </c>
      <c r="AC35" s="528"/>
      <c r="AD35" s="210"/>
      <c r="AE35" s="458" t="str">
        <f t="shared" ref="AE35:AE58" si="3">IF(AD35=0,"",IFERROR(AD35/AD$19,""))</f>
        <v/>
      </c>
      <c r="AF35" s="460">
        <f t="shared" ref="AF35:AF58" si="4">IF(AND($AA35="",AD35=""),"",$AA35-AD35)</f>
        <v>0</v>
      </c>
      <c r="AG35" s="210"/>
      <c r="AH35" s="458" t="str">
        <f t="shared" ref="AH35:AH58" si="5">IF(AG35=0,"",IFERROR(AG35/AG$19,""))</f>
        <v/>
      </c>
      <c r="AI35" s="461">
        <f t="shared" ref="AI35:AI58" si="6">IF(AND($AA35="",AG35=""),"",$AA35-AG35)</f>
        <v>0</v>
      </c>
      <c r="AJ35" s="462">
        <f t="shared" ref="AJ35:AJ58" si="7">IFERROR(AA35/AA$20,0)</f>
        <v>0</v>
      </c>
      <c r="AK35" s="463">
        <f t="shared" ref="AK35:AK58" si="8">IFERROR(AD35/AD$20,0)</f>
        <v>0</v>
      </c>
      <c r="AL35" s="464">
        <f t="shared" ref="AL35:AL58" si="9">IFERROR(AG35/AG$20,0)</f>
        <v>0</v>
      </c>
      <c r="AM35" s="465">
        <f t="shared" ref="AM35:AM58" si="10">+IFERROR(ROUND(($AB35-AE35)*100,2)&amp;" pts.",0)</f>
        <v>0</v>
      </c>
      <c r="AN35" s="466">
        <f t="shared" ref="AN35:AN58" si="11">+IFERROR(ROUND(($AB35-AH35)*100,2)&amp;" pts.",0)</f>
        <v>0</v>
      </c>
      <c r="AO35" s="11"/>
    </row>
    <row r="36" spans="1:41" x14ac:dyDescent="0.2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57"/>
      <c r="P36" s="210"/>
      <c r="Q36" s="210"/>
      <c r="R36" s="210"/>
      <c r="S36" s="210"/>
      <c r="T36" s="210"/>
      <c r="U36" s="210"/>
      <c r="V36" s="210"/>
      <c r="W36" s="210"/>
      <c r="X36" s="210"/>
      <c r="Y36" s="210"/>
      <c r="Z36" s="210"/>
      <c r="AA36" s="210">
        <f t="shared" si="1"/>
        <v>0</v>
      </c>
      <c r="AB36" s="458" t="str">
        <f t="shared" si="2"/>
        <v/>
      </c>
      <c r="AC36" s="528"/>
      <c r="AD36" s="210"/>
      <c r="AE36" s="458" t="str">
        <f t="shared" si="3"/>
        <v/>
      </c>
      <c r="AF36" s="460">
        <f t="shared" si="4"/>
        <v>0</v>
      </c>
      <c r="AG36" s="210"/>
      <c r="AH36" s="458" t="str">
        <f t="shared" si="5"/>
        <v/>
      </c>
      <c r="AI36" s="461">
        <f t="shared" si="6"/>
        <v>0</v>
      </c>
      <c r="AJ36" s="462">
        <f t="shared" si="7"/>
        <v>0</v>
      </c>
      <c r="AK36" s="463">
        <f t="shared" si="8"/>
        <v>0</v>
      </c>
      <c r="AL36" s="464">
        <f t="shared" si="9"/>
        <v>0</v>
      </c>
      <c r="AM36" s="465">
        <f t="shared" si="10"/>
        <v>0</v>
      </c>
      <c r="AN36" s="466">
        <f t="shared" si="11"/>
        <v>0</v>
      </c>
      <c r="AO36" s="11"/>
    </row>
    <row r="37" spans="1:41" x14ac:dyDescent="0.2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57"/>
      <c r="P37" s="210"/>
      <c r="Q37" s="210"/>
      <c r="R37" s="210"/>
      <c r="S37" s="210"/>
      <c r="T37" s="210"/>
      <c r="U37" s="210"/>
      <c r="V37" s="210"/>
      <c r="W37" s="210"/>
      <c r="X37" s="210"/>
      <c r="Y37" s="210"/>
      <c r="Z37" s="210"/>
      <c r="AA37" s="210">
        <f t="shared" si="1"/>
        <v>0</v>
      </c>
      <c r="AB37" s="458" t="str">
        <f t="shared" si="2"/>
        <v/>
      </c>
      <c r="AC37" s="528"/>
      <c r="AD37" s="210"/>
      <c r="AE37" s="458" t="str">
        <f t="shared" si="3"/>
        <v/>
      </c>
      <c r="AF37" s="460">
        <f t="shared" si="4"/>
        <v>0</v>
      </c>
      <c r="AG37" s="210"/>
      <c r="AH37" s="458" t="str">
        <f t="shared" si="5"/>
        <v/>
      </c>
      <c r="AI37" s="461">
        <f t="shared" si="6"/>
        <v>0</v>
      </c>
      <c r="AJ37" s="462">
        <f t="shared" si="7"/>
        <v>0</v>
      </c>
      <c r="AK37" s="463">
        <f t="shared" si="8"/>
        <v>0</v>
      </c>
      <c r="AL37" s="464">
        <f t="shared" si="9"/>
        <v>0</v>
      </c>
      <c r="AM37" s="465">
        <f t="shared" si="10"/>
        <v>0</v>
      </c>
      <c r="AN37" s="466">
        <f t="shared" si="11"/>
        <v>0</v>
      </c>
      <c r="AO37" s="11"/>
    </row>
    <row r="38" spans="1:41" x14ac:dyDescent="0.2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57"/>
      <c r="P38" s="210"/>
      <c r="Q38" s="210"/>
      <c r="R38" s="210"/>
      <c r="S38" s="210"/>
      <c r="T38" s="210"/>
      <c r="U38" s="210"/>
      <c r="V38" s="210"/>
      <c r="W38" s="210"/>
      <c r="X38" s="210"/>
      <c r="Y38" s="210"/>
      <c r="Z38" s="210"/>
      <c r="AA38" s="210">
        <f t="shared" si="1"/>
        <v>0</v>
      </c>
      <c r="AB38" s="458" t="str">
        <f t="shared" si="2"/>
        <v/>
      </c>
      <c r="AC38" s="528"/>
      <c r="AD38" s="210"/>
      <c r="AE38" s="458" t="str">
        <f t="shared" si="3"/>
        <v/>
      </c>
      <c r="AF38" s="460">
        <f t="shared" si="4"/>
        <v>0</v>
      </c>
      <c r="AG38" s="210"/>
      <c r="AH38" s="458" t="str">
        <f t="shared" si="5"/>
        <v/>
      </c>
      <c r="AI38" s="461">
        <f t="shared" si="6"/>
        <v>0</v>
      </c>
      <c r="AJ38" s="462">
        <f t="shared" si="7"/>
        <v>0</v>
      </c>
      <c r="AK38" s="463">
        <f t="shared" si="8"/>
        <v>0</v>
      </c>
      <c r="AL38" s="464">
        <f t="shared" si="9"/>
        <v>0</v>
      </c>
      <c r="AM38" s="465">
        <f t="shared" si="10"/>
        <v>0</v>
      </c>
      <c r="AN38" s="466">
        <f t="shared" si="11"/>
        <v>0</v>
      </c>
      <c r="AO38" s="11"/>
    </row>
    <row r="39" spans="1:41" x14ac:dyDescent="0.2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67"/>
      <c r="P39" s="216"/>
      <c r="Q39" s="216"/>
      <c r="R39" s="216"/>
      <c r="S39" s="216"/>
      <c r="T39" s="216"/>
      <c r="U39" s="216"/>
      <c r="V39" s="216"/>
      <c r="W39" s="216"/>
      <c r="X39" s="216"/>
      <c r="Y39" s="216"/>
      <c r="Z39" s="216"/>
      <c r="AA39" s="216">
        <f t="shared" si="1"/>
        <v>0</v>
      </c>
      <c r="AB39" s="468" t="str">
        <f t="shared" si="2"/>
        <v/>
      </c>
      <c r="AC39" s="459"/>
      <c r="AD39" s="216"/>
      <c r="AE39" s="468" t="str">
        <f t="shared" si="3"/>
        <v/>
      </c>
      <c r="AF39" s="469">
        <f t="shared" si="4"/>
        <v>0</v>
      </c>
      <c r="AG39" s="216"/>
      <c r="AH39" s="468" t="str">
        <f t="shared" si="5"/>
        <v/>
      </c>
      <c r="AI39" s="470">
        <f t="shared" si="6"/>
        <v>0</v>
      </c>
      <c r="AJ39" s="471">
        <f t="shared" si="7"/>
        <v>0</v>
      </c>
      <c r="AK39" s="472">
        <f t="shared" si="8"/>
        <v>0</v>
      </c>
      <c r="AL39" s="473">
        <f t="shared" si="9"/>
        <v>0</v>
      </c>
      <c r="AM39" s="474">
        <f t="shared" si="10"/>
        <v>0</v>
      </c>
      <c r="AN39" s="475">
        <f t="shared" si="11"/>
        <v>0</v>
      </c>
      <c r="AO39" s="11"/>
    </row>
    <row r="40" spans="1:41" x14ac:dyDescent="0.2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76"/>
      <c r="P40" s="223"/>
      <c r="Q40" s="223"/>
      <c r="R40" s="223"/>
      <c r="S40" s="223"/>
      <c r="T40" s="223"/>
      <c r="U40" s="223"/>
      <c r="V40" s="223"/>
      <c r="W40" s="223"/>
      <c r="X40" s="223"/>
      <c r="Y40" s="223"/>
      <c r="Z40" s="223"/>
      <c r="AA40" s="223">
        <f t="shared" si="1"/>
        <v>0</v>
      </c>
      <c r="AB40" s="224" t="str">
        <f t="shared" si="2"/>
        <v/>
      </c>
      <c r="AC40" s="225"/>
      <c r="AD40" s="223"/>
      <c r="AE40" s="224" t="str">
        <f t="shared" si="3"/>
        <v/>
      </c>
      <c r="AF40" s="226">
        <f t="shared" si="4"/>
        <v>0</v>
      </c>
      <c r="AG40" s="223"/>
      <c r="AH40" s="224" t="str">
        <f t="shared" si="5"/>
        <v/>
      </c>
      <c r="AI40" s="477">
        <f t="shared" si="6"/>
        <v>0</v>
      </c>
      <c r="AJ40" s="227">
        <f t="shared" si="7"/>
        <v>0</v>
      </c>
      <c r="AK40" s="228">
        <f t="shared" si="8"/>
        <v>0</v>
      </c>
      <c r="AL40" s="230">
        <f t="shared" si="9"/>
        <v>0</v>
      </c>
      <c r="AM40" s="427">
        <f t="shared" si="10"/>
        <v>0</v>
      </c>
      <c r="AN40" s="478">
        <f t="shared" si="11"/>
        <v>0</v>
      </c>
      <c r="AO40" s="11"/>
    </row>
    <row r="41" spans="1:41" x14ac:dyDescent="0.2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79"/>
      <c r="P41" s="232"/>
      <c r="Q41" s="232"/>
      <c r="R41" s="232"/>
      <c r="S41" s="232"/>
      <c r="T41" s="232"/>
      <c r="U41" s="232"/>
      <c r="V41" s="232"/>
      <c r="W41" s="232"/>
      <c r="X41" s="232"/>
      <c r="Y41" s="232"/>
      <c r="Z41" s="232"/>
      <c r="AA41" s="232" t="str">
        <f t="shared" si="1"/>
        <v/>
      </c>
      <c r="AB41" s="480" t="str">
        <f t="shared" si="2"/>
        <v/>
      </c>
      <c r="AC41" s="529"/>
      <c r="AD41" s="232"/>
      <c r="AE41" s="480" t="str">
        <f t="shared" si="3"/>
        <v/>
      </c>
      <c r="AF41" s="482" t="str">
        <f t="shared" si="4"/>
        <v/>
      </c>
      <c r="AG41" s="232"/>
      <c r="AH41" s="480" t="str">
        <f t="shared" si="5"/>
        <v/>
      </c>
      <c r="AI41" s="483" t="str">
        <f t="shared" si="6"/>
        <v/>
      </c>
      <c r="AJ41" s="235">
        <f t="shared" si="7"/>
        <v>0</v>
      </c>
      <c r="AK41" s="236">
        <f t="shared" si="8"/>
        <v>0</v>
      </c>
      <c r="AL41" s="238">
        <f t="shared" si="9"/>
        <v>0</v>
      </c>
      <c r="AM41" s="429">
        <f t="shared" si="10"/>
        <v>0</v>
      </c>
      <c r="AN41" s="484">
        <f t="shared" si="11"/>
        <v>0</v>
      </c>
      <c r="AO41" s="11"/>
    </row>
    <row r="42" spans="1:41" x14ac:dyDescent="0.2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57"/>
      <c r="P42" s="210"/>
      <c r="Q42" s="210"/>
      <c r="R42" s="210"/>
      <c r="S42" s="210"/>
      <c r="T42" s="210"/>
      <c r="U42" s="210"/>
      <c r="V42" s="210"/>
      <c r="W42" s="210"/>
      <c r="X42" s="210"/>
      <c r="Y42" s="210"/>
      <c r="Z42" s="210"/>
      <c r="AA42" s="210">
        <f t="shared" si="1"/>
        <v>0</v>
      </c>
      <c r="AB42" s="458" t="str">
        <f t="shared" si="2"/>
        <v/>
      </c>
      <c r="AC42" s="528"/>
      <c r="AD42" s="210"/>
      <c r="AE42" s="458" t="str">
        <f t="shared" si="3"/>
        <v/>
      </c>
      <c r="AF42" s="460">
        <f t="shared" si="4"/>
        <v>0</v>
      </c>
      <c r="AG42" s="210"/>
      <c r="AH42" s="458" t="str">
        <f t="shared" si="5"/>
        <v/>
      </c>
      <c r="AI42" s="461">
        <f t="shared" si="6"/>
        <v>0</v>
      </c>
      <c r="AJ42" s="462">
        <f t="shared" si="7"/>
        <v>0</v>
      </c>
      <c r="AK42" s="463">
        <f t="shared" si="8"/>
        <v>0</v>
      </c>
      <c r="AL42" s="464">
        <f t="shared" si="9"/>
        <v>0</v>
      </c>
      <c r="AM42" s="465">
        <f t="shared" si="10"/>
        <v>0</v>
      </c>
      <c r="AN42" s="466">
        <f t="shared" si="11"/>
        <v>0</v>
      </c>
      <c r="AO42" s="11"/>
    </row>
    <row r="43" spans="1:41" x14ac:dyDescent="0.2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57"/>
      <c r="P43" s="210"/>
      <c r="Q43" s="210"/>
      <c r="R43" s="210"/>
      <c r="S43" s="210"/>
      <c r="T43" s="210"/>
      <c r="U43" s="210"/>
      <c r="V43" s="210"/>
      <c r="W43" s="210"/>
      <c r="X43" s="210"/>
      <c r="Y43" s="210"/>
      <c r="Z43" s="210"/>
      <c r="AA43" s="210">
        <f t="shared" si="1"/>
        <v>0</v>
      </c>
      <c r="AB43" s="458" t="str">
        <f t="shared" si="2"/>
        <v/>
      </c>
      <c r="AC43" s="528"/>
      <c r="AD43" s="210"/>
      <c r="AE43" s="458" t="str">
        <f t="shared" si="3"/>
        <v/>
      </c>
      <c r="AF43" s="460">
        <f t="shared" si="4"/>
        <v>0</v>
      </c>
      <c r="AG43" s="210"/>
      <c r="AH43" s="458" t="str">
        <f t="shared" si="5"/>
        <v/>
      </c>
      <c r="AI43" s="461">
        <f t="shared" si="6"/>
        <v>0</v>
      </c>
      <c r="AJ43" s="462">
        <f t="shared" si="7"/>
        <v>0</v>
      </c>
      <c r="AK43" s="463">
        <f t="shared" si="8"/>
        <v>0</v>
      </c>
      <c r="AL43" s="464">
        <f t="shared" si="9"/>
        <v>0</v>
      </c>
      <c r="AM43" s="465">
        <f t="shared" si="10"/>
        <v>0</v>
      </c>
      <c r="AN43" s="466">
        <f t="shared" si="11"/>
        <v>0</v>
      </c>
      <c r="AO43" s="11"/>
    </row>
    <row r="44" spans="1:41" x14ac:dyDescent="0.2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57"/>
      <c r="P44" s="210"/>
      <c r="Q44" s="210"/>
      <c r="R44" s="210"/>
      <c r="S44" s="210"/>
      <c r="T44" s="210"/>
      <c r="U44" s="210"/>
      <c r="V44" s="210"/>
      <c r="W44" s="210"/>
      <c r="X44" s="210"/>
      <c r="Y44" s="210"/>
      <c r="Z44" s="210"/>
      <c r="AA44" s="210">
        <f t="shared" si="1"/>
        <v>0</v>
      </c>
      <c r="AB44" s="458" t="str">
        <f t="shared" si="2"/>
        <v/>
      </c>
      <c r="AC44" s="528"/>
      <c r="AD44" s="210"/>
      <c r="AE44" s="458" t="str">
        <f t="shared" si="3"/>
        <v/>
      </c>
      <c r="AF44" s="460">
        <f t="shared" si="4"/>
        <v>0</v>
      </c>
      <c r="AG44" s="210"/>
      <c r="AH44" s="458" t="str">
        <f t="shared" si="5"/>
        <v/>
      </c>
      <c r="AI44" s="461">
        <f t="shared" si="6"/>
        <v>0</v>
      </c>
      <c r="AJ44" s="462">
        <f t="shared" si="7"/>
        <v>0</v>
      </c>
      <c r="AK44" s="463">
        <f t="shared" si="8"/>
        <v>0</v>
      </c>
      <c r="AL44" s="464">
        <f t="shared" si="9"/>
        <v>0</v>
      </c>
      <c r="AM44" s="465">
        <f t="shared" si="10"/>
        <v>0</v>
      </c>
      <c r="AN44" s="466">
        <f t="shared" si="11"/>
        <v>0</v>
      </c>
      <c r="AO44" s="11"/>
    </row>
    <row r="45" spans="1:41" x14ac:dyDescent="0.2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57"/>
      <c r="P45" s="210"/>
      <c r="Q45" s="210"/>
      <c r="R45" s="210"/>
      <c r="S45" s="210"/>
      <c r="T45" s="210"/>
      <c r="U45" s="210"/>
      <c r="V45" s="210"/>
      <c r="W45" s="210"/>
      <c r="X45" s="210"/>
      <c r="Y45" s="210"/>
      <c r="Z45" s="210"/>
      <c r="AA45" s="210">
        <f t="shared" si="1"/>
        <v>0</v>
      </c>
      <c r="AB45" s="458" t="str">
        <f t="shared" si="2"/>
        <v/>
      </c>
      <c r="AC45" s="528"/>
      <c r="AD45" s="210"/>
      <c r="AE45" s="458" t="str">
        <f t="shared" si="3"/>
        <v/>
      </c>
      <c r="AF45" s="460">
        <f t="shared" si="4"/>
        <v>0</v>
      </c>
      <c r="AG45" s="210"/>
      <c r="AH45" s="458" t="str">
        <f t="shared" si="5"/>
        <v/>
      </c>
      <c r="AI45" s="461">
        <f t="shared" si="6"/>
        <v>0</v>
      </c>
      <c r="AJ45" s="462">
        <f t="shared" si="7"/>
        <v>0</v>
      </c>
      <c r="AK45" s="463">
        <f t="shared" si="8"/>
        <v>0</v>
      </c>
      <c r="AL45" s="464">
        <f t="shared" si="9"/>
        <v>0</v>
      </c>
      <c r="AM45" s="465">
        <f t="shared" si="10"/>
        <v>0</v>
      </c>
      <c r="AN45" s="466">
        <f t="shared" si="11"/>
        <v>0</v>
      </c>
      <c r="AO45" s="11"/>
    </row>
    <row r="46" spans="1:41" x14ac:dyDescent="0.2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67"/>
      <c r="P46" s="216"/>
      <c r="Q46" s="216"/>
      <c r="R46" s="216"/>
      <c r="S46" s="216"/>
      <c r="T46" s="216"/>
      <c r="U46" s="216"/>
      <c r="V46" s="216"/>
      <c r="W46" s="216"/>
      <c r="X46" s="216"/>
      <c r="Y46" s="216"/>
      <c r="Z46" s="216"/>
      <c r="AA46" s="216">
        <f t="shared" si="1"/>
        <v>0</v>
      </c>
      <c r="AB46" s="468" t="str">
        <f t="shared" si="2"/>
        <v/>
      </c>
      <c r="AC46" s="459"/>
      <c r="AD46" s="216"/>
      <c r="AE46" s="468" t="str">
        <f t="shared" si="3"/>
        <v/>
      </c>
      <c r="AF46" s="469">
        <f t="shared" si="4"/>
        <v>0</v>
      </c>
      <c r="AG46" s="216"/>
      <c r="AH46" s="468" t="str">
        <f t="shared" si="5"/>
        <v/>
      </c>
      <c r="AI46" s="470">
        <f t="shared" si="6"/>
        <v>0</v>
      </c>
      <c r="AJ46" s="471">
        <f t="shared" si="7"/>
        <v>0</v>
      </c>
      <c r="AK46" s="472">
        <f t="shared" si="8"/>
        <v>0</v>
      </c>
      <c r="AL46" s="473">
        <f t="shared" si="9"/>
        <v>0</v>
      </c>
      <c r="AM46" s="474">
        <f t="shared" si="10"/>
        <v>0</v>
      </c>
      <c r="AN46" s="475">
        <f t="shared" si="11"/>
        <v>0</v>
      </c>
      <c r="AO46" s="11"/>
    </row>
    <row r="47" spans="1:41" x14ac:dyDescent="0.2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76"/>
      <c r="P47" s="223"/>
      <c r="Q47" s="223"/>
      <c r="R47" s="223"/>
      <c r="S47" s="223"/>
      <c r="T47" s="223"/>
      <c r="U47" s="223"/>
      <c r="V47" s="223"/>
      <c r="W47" s="223"/>
      <c r="X47" s="223"/>
      <c r="Y47" s="223"/>
      <c r="Z47" s="223"/>
      <c r="AA47" s="223">
        <f t="shared" si="1"/>
        <v>0</v>
      </c>
      <c r="AB47" s="224" t="str">
        <f t="shared" si="2"/>
        <v/>
      </c>
      <c r="AC47" s="225"/>
      <c r="AD47" s="223"/>
      <c r="AE47" s="224" t="str">
        <f t="shared" si="3"/>
        <v/>
      </c>
      <c r="AF47" s="226">
        <f t="shared" si="4"/>
        <v>0</v>
      </c>
      <c r="AG47" s="223"/>
      <c r="AH47" s="224" t="str">
        <f t="shared" si="5"/>
        <v/>
      </c>
      <c r="AI47" s="477">
        <f t="shared" si="6"/>
        <v>0</v>
      </c>
      <c r="AJ47" s="227">
        <f t="shared" si="7"/>
        <v>0</v>
      </c>
      <c r="AK47" s="228">
        <f t="shared" si="8"/>
        <v>0</v>
      </c>
      <c r="AL47" s="230">
        <f t="shared" si="9"/>
        <v>0</v>
      </c>
      <c r="AM47" s="427">
        <f t="shared" si="10"/>
        <v>0</v>
      </c>
      <c r="AN47" s="478">
        <f t="shared" si="11"/>
        <v>0</v>
      </c>
      <c r="AO47" s="11"/>
    </row>
    <row r="48" spans="1:41" x14ac:dyDescent="0.2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39"/>
      <c r="Q48" s="239"/>
      <c r="R48" s="239"/>
      <c r="S48" s="239"/>
      <c r="T48" s="239"/>
      <c r="U48" s="239"/>
      <c r="V48" s="239"/>
      <c r="W48" s="239"/>
      <c r="X48" s="239"/>
      <c r="Y48" s="239"/>
      <c r="Z48" s="239"/>
      <c r="AA48" s="239">
        <f t="shared" si="1"/>
        <v>0</v>
      </c>
      <c r="AB48" s="240" t="str">
        <f t="shared" si="2"/>
        <v/>
      </c>
      <c r="AC48" s="481"/>
      <c r="AD48" s="239"/>
      <c r="AE48" s="240" t="str">
        <f t="shared" si="3"/>
        <v/>
      </c>
      <c r="AF48" s="241">
        <f t="shared" si="4"/>
        <v>0</v>
      </c>
      <c r="AG48" s="239"/>
      <c r="AH48" s="240" t="str">
        <f t="shared" si="5"/>
        <v/>
      </c>
      <c r="AI48" s="531">
        <f t="shared" si="6"/>
        <v>0</v>
      </c>
      <c r="AJ48" s="532">
        <f t="shared" si="7"/>
        <v>0</v>
      </c>
      <c r="AK48" s="533">
        <f t="shared" si="8"/>
        <v>0</v>
      </c>
      <c r="AL48" s="534">
        <f t="shared" si="9"/>
        <v>0</v>
      </c>
      <c r="AM48" s="535">
        <f t="shared" si="10"/>
        <v>0</v>
      </c>
      <c r="AN48" s="536">
        <f t="shared" si="11"/>
        <v>0</v>
      </c>
      <c r="AO48" s="11"/>
    </row>
    <row r="49" spans="1:41" x14ac:dyDescent="0.2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76"/>
      <c r="P49" s="223"/>
      <c r="Q49" s="223"/>
      <c r="R49" s="223"/>
      <c r="S49" s="223"/>
      <c r="T49" s="223"/>
      <c r="U49" s="223"/>
      <c r="V49" s="223"/>
      <c r="W49" s="223"/>
      <c r="X49" s="223"/>
      <c r="Y49" s="223"/>
      <c r="Z49" s="223"/>
      <c r="AA49" s="223">
        <f t="shared" si="1"/>
        <v>0</v>
      </c>
      <c r="AB49" s="224" t="str">
        <f t="shared" si="2"/>
        <v/>
      </c>
      <c r="AC49" s="225"/>
      <c r="AD49" s="223"/>
      <c r="AE49" s="224" t="str">
        <f t="shared" si="3"/>
        <v/>
      </c>
      <c r="AF49" s="226">
        <f t="shared" si="4"/>
        <v>0</v>
      </c>
      <c r="AG49" s="223"/>
      <c r="AH49" s="224" t="str">
        <f t="shared" si="5"/>
        <v/>
      </c>
      <c r="AI49" s="477">
        <f t="shared" si="6"/>
        <v>0</v>
      </c>
      <c r="AJ49" s="227">
        <f t="shared" si="7"/>
        <v>0</v>
      </c>
      <c r="AK49" s="228">
        <f t="shared" si="8"/>
        <v>0</v>
      </c>
      <c r="AL49" s="230">
        <f t="shared" si="9"/>
        <v>0</v>
      </c>
      <c r="AM49" s="427">
        <f t="shared" si="10"/>
        <v>0</v>
      </c>
      <c r="AN49" s="478">
        <f t="shared" si="11"/>
        <v>0</v>
      </c>
      <c r="AO49" s="11"/>
    </row>
    <row r="50" spans="1:41" x14ac:dyDescent="0.25">
      <c r="A50" s="65" t="s">
        <v>2</v>
      </c>
      <c r="B50" s="66" t="str">
        <f>IF(_epmOfflineCondition_,"'Venue6'!$B$2:$B$10",_xll.EVRNG($B$2:$B$10))</f>
        <v>'Venue6'!$B$2:$B$10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79"/>
      <c r="P50" s="232"/>
      <c r="Q50" s="232"/>
      <c r="R50" s="232"/>
      <c r="S50" s="232"/>
      <c r="T50" s="232"/>
      <c r="U50" s="232"/>
      <c r="V50" s="232"/>
      <c r="W50" s="232"/>
      <c r="X50" s="232"/>
      <c r="Y50" s="232"/>
      <c r="Z50" s="232"/>
      <c r="AA50" s="232" t="str">
        <f t="shared" si="1"/>
        <v/>
      </c>
      <c r="AB50" s="480" t="str">
        <f t="shared" si="2"/>
        <v/>
      </c>
      <c r="AC50" s="529"/>
      <c r="AD50" s="232"/>
      <c r="AE50" s="480" t="str">
        <f t="shared" si="3"/>
        <v/>
      </c>
      <c r="AF50" s="482" t="str">
        <f t="shared" si="4"/>
        <v/>
      </c>
      <c r="AG50" s="232"/>
      <c r="AH50" s="480" t="str">
        <f t="shared" si="5"/>
        <v/>
      </c>
      <c r="AI50" s="483" t="str">
        <f t="shared" si="6"/>
        <v/>
      </c>
      <c r="AJ50" s="235">
        <f t="shared" si="7"/>
        <v>0</v>
      </c>
      <c r="AK50" s="236">
        <f t="shared" si="8"/>
        <v>0</v>
      </c>
      <c r="AL50" s="238">
        <f t="shared" si="9"/>
        <v>0</v>
      </c>
      <c r="AM50" s="429">
        <f t="shared" si="10"/>
        <v>0</v>
      </c>
      <c r="AN50" s="484">
        <f t="shared" si="11"/>
        <v>0</v>
      </c>
      <c r="AO50" s="11"/>
    </row>
    <row r="51" spans="1:41" x14ac:dyDescent="0.25">
      <c r="A51" s="65" t="s">
        <v>3</v>
      </c>
      <c r="B51" s="66" t="str">
        <f>IF(_epmOfflineCondition_,"'Venue6'!$O$16:$AN$18",_xll.EVRNG($O$16:$AN$18))</f>
        <v>'Venue6'!$O$16:$AN$18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57"/>
      <c r="P51" s="210"/>
      <c r="Q51" s="210"/>
      <c r="R51" s="210"/>
      <c r="S51" s="210"/>
      <c r="T51" s="210"/>
      <c r="U51" s="210"/>
      <c r="V51" s="210"/>
      <c r="W51" s="210"/>
      <c r="X51" s="210"/>
      <c r="Y51" s="210"/>
      <c r="Z51" s="210"/>
      <c r="AA51" s="210">
        <f t="shared" si="1"/>
        <v>0</v>
      </c>
      <c r="AB51" s="458" t="str">
        <f t="shared" si="2"/>
        <v/>
      </c>
      <c r="AC51" s="528"/>
      <c r="AD51" s="210"/>
      <c r="AE51" s="458" t="str">
        <f t="shared" si="3"/>
        <v/>
      </c>
      <c r="AF51" s="460">
        <f t="shared" si="4"/>
        <v>0</v>
      </c>
      <c r="AG51" s="210"/>
      <c r="AH51" s="458" t="str">
        <f t="shared" si="5"/>
        <v/>
      </c>
      <c r="AI51" s="461">
        <f t="shared" si="6"/>
        <v>0</v>
      </c>
      <c r="AJ51" s="462">
        <f t="shared" si="7"/>
        <v>0</v>
      </c>
      <c r="AK51" s="463">
        <f t="shared" si="8"/>
        <v>0</v>
      </c>
      <c r="AL51" s="464">
        <f t="shared" si="9"/>
        <v>0</v>
      </c>
      <c r="AM51" s="465">
        <f t="shared" si="10"/>
        <v>0</v>
      </c>
      <c r="AN51" s="466">
        <f t="shared" si="11"/>
        <v>0</v>
      </c>
      <c r="AO51" s="11"/>
    </row>
    <row r="52" spans="1:41" x14ac:dyDescent="0.25">
      <c r="A52" s="65" t="s">
        <v>4</v>
      </c>
      <c r="B52" s="66" t="str">
        <f>IF(_epmOfflineCondition_,"'Venue6'!$H$62:$H$70",_xll.EVRNG(H62:H70))</f>
        <v>'Venue6'!$H$62:$H$70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57"/>
      <c r="P52" s="210"/>
      <c r="Q52" s="210"/>
      <c r="R52" s="210"/>
      <c r="S52" s="210"/>
      <c r="T52" s="210"/>
      <c r="U52" s="210"/>
      <c r="V52" s="210"/>
      <c r="W52" s="210"/>
      <c r="X52" s="210"/>
      <c r="Y52" s="210"/>
      <c r="Z52" s="210"/>
      <c r="AA52" s="210">
        <f t="shared" si="1"/>
        <v>0</v>
      </c>
      <c r="AB52" s="458" t="str">
        <f t="shared" si="2"/>
        <v/>
      </c>
      <c r="AC52" s="528"/>
      <c r="AD52" s="210"/>
      <c r="AE52" s="458" t="str">
        <f t="shared" si="3"/>
        <v/>
      </c>
      <c r="AF52" s="460">
        <f t="shared" si="4"/>
        <v>0</v>
      </c>
      <c r="AG52" s="210"/>
      <c r="AH52" s="458" t="str">
        <f t="shared" si="5"/>
        <v/>
      </c>
      <c r="AI52" s="461">
        <f t="shared" si="6"/>
        <v>0</v>
      </c>
      <c r="AJ52" s="462">
        <f t="shared" si="7"/>
        <v>0</v>
      </c>
      <c r="AK52" s="463">
        <f t="shared" si="8"/>
        <v>0</v>
      </c>
      <c r="AL52" s="464">
        <f t="shared" si="9"/>
        <v>0</v>
      </c>
      <c r="AM52" s="465">
        <f t="shared" si="10"/>
        <v>0</v>
      </c>
      <c r="AN52" s="466">
        <f t="shared" si="11"/>
        <v>0</v>
      </c>
      <c r="AO52" s="11"/>
    </row>
    <row r="53" spans="1:41" x14ac:dyDescent="0.2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57"/>
      <c r="P53" s="210"/>
      <c r="Q53" s="210"/>
      <c r="R53" s="210"/>
      <c r="S53" s="210"/>
      <c r="T53" s="210"/>
      <c r="U53" s="210"/>
      <c r="V53" s="210"/>
      <c r="W53" s="210"/>
      <c r="X53" s="210"/>
      <c r="Y53" s="210"/>
      <c r="Z53" s="210"/>
      <c r="AA53" s="210">
        <f t="shared" si="1"/>
        <v>0</v>
      </c>
      <c r="AB53" s="458" t="str">
        <f t="shared" si="2"/>
        <v/>
      </c>
      <c r="AC53" s="528"/>
      <c r="AD53" s="210"/>
      <c r="AE53" s="458" t="str">
        <f t="shared" si="3"/>
        <v/>
      </c>
      <c r="AF53" s="460">
        <f t="shared" si="4"/>
        <v>0</v>
      </c>
      <c r="AG53" s="210"/>
      <c r="AH53" s="458" t="str">
        <f t="shared" si="5"/>
        <v/>
      </c>
      <c r="AI53" s="461">
        <f t="shared" si="6"/>
        <v>0</v>
      </c>
      <c r="AJ53" s="462">
        <f t="shared" si="7"/>
        <v>0</v>
      </c>
      <c r="AK53" s="463">
        <f t="shared" si="8"/>
        <v>0</v>
      </c>
      <c r="AL53" s="464">
        <f t="shared" si="9"/>
        <v>0</v>
      </c>
      <c r="AM53" s="465">
        <f t="shared" si="10"/>
        <v>0</v>
      </c>
      <c r="AN53" s="466">
        <f t="shared" si="11"/>
        <v>0</v>
      </c>
      <c r="AO53" s="11"/>
    </row>
    <row r="54" spans="1:41" x14ac:dyDescent="0.2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57"/>
      <c r="P54" s="210"/>
      <c r="Q54" s="210"/>
      <c r="R54" s="210"/>
      <c r="S54" s="210"/>
      <c r="T54" s="210"/>
      <c r="U54" s="210"/>
      <c r="V54" s="210"/>
      <c r="W54" s="210"/>
      <c r="X54" s="210"/>
      <c r="Y54" s="210"/>
      <c r="Z54" s="210"/>
      <c r="AA54" s="210">
        <f t="shared" si="1"/>
        <v>0</v>
      </c>
      <c r="AB54" s="458" t="str">
        <f t="shared" si="2"/>
        <v/>
      </c>
      <c r="AC54" s="528"/>
      <c r="AD54" s="210"/>
      <c r="AE54" s="458" t="str">
        <f t="shared" si="3"/>
        <v/>
      </c>
      <c r="AF54" s="460">
        <f t="shared" si="4"/>
        <v>0</v>
      </c>
      <c r="AG54" s="210"/>
      <c r="AH54" s="458" t="str">
        <f t="shared" si="5"/>
        <v/>
      </c>
      <c r="AI54" s="461">
        <f t="shared" si="6"/>
        <v>0</v>
      </c>
      <c r="AJ54" s="462">
        <f t="shared" si="7"/>
        <v>0</v>
      </c>
      <c r="AK54" s="463">
        <f t="shared" si="8"/>
        <v>0</v>
      </c>
      <c r="AL54" s="464">
        <f t="shared" si="9"/>
        <v>0</v>
      </c>
      <c r="AM54" s="465">
        <f t="shared" si="10"/>
        <v>0</v>
      </c>
      <c r="AN54" s="466">
        <f t="shared" si="11"/>
        <v>0</v>
      </c>
      <c r="AO54" s="11"/>
    </row>
    <row r="55" spans="1:41" x14ac:dyDescent="0.25">
      <c r="A55" s="65" t="s">
        <v>7</v>
      </c>
      <c r="B55" s="66" t="str">
        <f>IF(_epmOfflineCondition_,"'Venue6'!$A$69:$F$77",_xll.EVRNG(A69:F77))</f>
        <v>'Venue6'!$A$69:$F$77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57"/>
      <c r="P55" s="210"/>
      <c r="Q55" s="210"/>
      <c r="R55" s="210"/>
      <c r="S55" s="210"/>
      <c r="T55" s="210"/>
      <c r="U55" s="210"/>
      <c r="V55" s="210"/>
      <c r="W55" s="210"/>
      <c r="X55" s="210"/>
      <c r="Y55" s="210"/>
      <c r="Z55" s="210"/>
      <c r="AA55" s="210">
        <f t="shared" si="1"/>
        <v>0</v>
      </c>
      <c r="AB55" s="458" t="str">
        <f t="shared" si="2"/>
        <v/>
      </c>
      <c r="AC55" s="528"/>
      <c r="AD55" s="210"/>
      <c r="AE55" s="458" t="str">
        <f t="shared" si="3"/>
        <v/>
      </c>
      <c r="AF55" s="460">
        <f t="shared" si="4"/>
        <v>0</v>
      </c>
      <c r="AG55" s="210"/>
      <c r="AH55" s="458" t="str">
        <f t="shared" si="5"/>
        <v/>
      </c>
      <c r="AI55" s="461">
        <f t="shared" si="6"/>
        <v>0</v>
      </c>
      <c r="AJ55" s="462">
        <f t="shared" si="7"/>
        <v>0</v>
      </c>
      <c r="AK55" s="463">
        <f t="shared" si="8"/>
        <v>0</v>
      </c>
      <c r="AL55" s="464">
        <f t="shared" si="9"/>
        <v>0</v>
      </c>
      <c r="AM55" s="465">
        <f t="shared" si="10"/>
        <v>0</v>
      </c>
      <c r="AN55" s="466">
        <f t="shared" si="11"/>
        <v>0</v>
      </c>
      <c r="AO55" s="11"/>
    </row>
    <row r="56" spans="1:41" x14ac:dyDescent="0.25">
      <c r="A56" s="65" t="s">
        <v>47</v>
      </c>
      <c r="B56" s="66" t="str">
        <f>IF(_epmOfflineCondition_,"'Venue6'!$A$125:$B$146",_xll.EVRNG($A$125:$B$146))</f>
        <v>'Venue6'!$A$125:$B$146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67"/>
      <c r="P56" s="216"/>
      <c r="Q56" s="216"/>
      <c r="R56" s="216"/>
      <c r="S56" s="216"/>
      <c r="T56" s="216"/>
      <c r="U56" s="216"/>
      <c r="V56" s="216"/>
      <c r="W56" s="216"/>
      <c r="X56" s="216"/>
      <c r="Y56" s="216"/>
      <c r="Z56" s="216"/>
      <c r="AA56" s="216">
        <f t="shared" si="1"/>
        <v>0</v>
      </c>
      <c r="AB56" s="468" t="str">
        <f t="shared" si="2"/>
        <v/>
      </c>
      <c r="AC56" s="459"/>
      <c r="AD56" s="216"/>
      <c r="AE56" s="468" t="str">
        <f t="shared" si="3"/>
        <v/>
      </c>
      <c r="AF56" s="469">
        <f t="shared" si="4"/>
        <v>0</v>
      </c>
      <c r="AG56" s="216"/>
      <c r="AH56" s="468" t="str">
        <f t="shared" si="5"/>
        <v/>
      </c>
      <c r="AI56" s="470">
        <f t="shared" si="6"/>
        <v>0</v>
      </c>
      <c r="AJ56" s="471">
        <f t="shared" si="7"/>
        <v>0</v>
      </c>
      <c r="AK56" s="472">
        <f t="shared" si="8"/>
        <v>0</v>
      </c>
      <c r="AL56" s="473">
        <f t="shared" si="9"/>
        <v>0</v>
      </c>
      <c r="AM56" s="474">
        <f t="shared" si="10"/>
        <v>0</v>
      </c>
      <c r="AN56" s="475">
        <f t="shared" si="11"/>
        <v>0</v>
      </c>
      <c r="AO56" s="11"/>
    </row>
    <row r="57" spans="1:41" x14ac:dyDescent="0.2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85"/>
      <c r="P57" s="242"/>
      <c r="Q57" s="242"/>
      <c r="R57" s="242"/>
      <c r="S57" s="242"/>
      <c r="T57" s="242"/>
      <c r="U57" s="242"/>
      <c r="V57" s="242"/>
      <c r="W57" s="242"/>
      <c r="X57" s="242"/>
      <c r="Y57" s="242"/>
      <c r="Z57" s="242"/>
      <c r="AA57" s="242">
        <f t="shared" si="1"/>
        <v>0</v>
      </c>
      <c r="AB57" s="243" t="str">
        <f t="shared" si="2"/>
        <v/>
      </c>
      <c r="AC57" s="244"/>
      <c r="AD57" s="242"/>
      <c r="AE57" s="243" t="str">
        <f t="shared" si="3"/>
        <v/>
      </c>
      <c r="AF57" s="245">
        <f t="shared" si="4"/>
        <v>0</v>
      </c>
      <c r="AG57" s="242"/>
      <c r="AH57" s="243" t="str">
        <f t="shared" si="5"/>
        <v/>
      </c>
      <c r="AI57" s="486">
        <f t="shared" si="6"/>
        <v>0</v>
      </c>
      <c r="AJ57" s="246">
        <f t="shared" si="7"/>
        <v>0</v>
      </c>
      <c r="AK57" s="247">
        <f t="shared" si="8"/>
        <v>0</v>
      </c>
      <c r="AL57" s="249">
        <f t="shared" si="9"/>
        <v>0</v>
      </c>
      <c r="AM57" s="431">
        <f t="shared" si="10"/>
        <v>0</v>
      </c>
      <c r="AN57" s="487">
        <f t="shared" si="11"/>
        <v>0</v>
      </c>
      <c r="AO57" s="11"/>
    </row>
    <row r="58" spans="1:41" x14ac:dyDescent="0.2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76"/>
      <c r="P58" s="223"/>
      <c r="Q58" s="223"/>
      <c r="R58" s="223"/>
      <c r="S58" s="223"/>
      <c r="T58" s="223"/>
      <c r="U58" s="223"/>
      <c r="V58" s="223"/>
      <c r="W58" s="223"/>
      <c r="X58" s="223"/>
      <c r="Y58" s="223"/>
      <c r="Z58" s="223"/>
      <c r="AA58" s="223">
        <f t="shared" si="1"/>
        <v>0</v>
      </c>
      <c r="AB58" s="224" t="str">
        <f t="shared" si="2"/>
        <v/>
      </c>
      <c r="AC58" s="225"/>
      <c r="AD58" s="223"/>
      <c r="AE58" s="224" t="str">
        <f t="shared" si="3"/>
        <v/>
      </c>
      <c r="AF58" s="226">
        <f t="shared" si="4"/>
        <v>0</v>
      </c>
      <c r="AG58" s="223"/>
      <c r="AH58" s="224" t="str">
        <f t="shared" si="5"/>
        <v/>
      </c>
      <c r="AI58" s="477">
        <f t="shared" si="6"/>
        <v>0</v>
      </c>
      <c r="AJ58" s="227">
        <f t="shared" si="7"/>
        <v>0</v>
      </c>
      <c r="AK58" s="228">
        <f t="shared" si="8"/>
        <v>0</v>
      </c>
      <c r="AL58" s="230">
        <f t="shared" si="9"/>
        <v>0</v>
      </c>
      <c r="AM58" s="427">
        <f t="shared" si="10"/>
        <v>0</v>
      </c>
      <c r="AN58" s="478">
        <f t="shared" si="11"/>
        <v>0</v>
      </c>
      <c r="AO58" s="11"/>
    </row>
    <row r="59" spans="1:41" x14ac:dyDescent="0.2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2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2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2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57"/>
      <c r="P62" s="210"/>
      <c r="Q62" s="210"/>
      <c r="R62" s="210"/>
      <c r="S62" s="210"/>
      <c r="T62" s="210"/>
      <c r="U62" s="210"/>
      <c r="V62" s="210"/>
      <c r="W62" s="210"/>
      <c r="X62" s="210"/>
      <c r="Y62" s="210"/>
      <c r="Z62" s="210"/>
      <c r="AA62" s="210">
        <f t="shared" ref="AA62:AA70" si="13">IF($I62="B1","",SUM(O62:Z62))</f>
        <v>0</v>
      </c>
      <c r="AB62" s="458" t="str">
        <f>IF(_epmOfflineCondition_,"",IF(AA62=0,"",IFERROR(AA62/_xll.EVGTS($B$1,1,_xll.EVPRO($B$1,$H62,"COSBASIS"),$B$3,$B$5,$B$6,$B$7,$B$9,AA$16,AA$17,AA$11),"")))</f>
        <v/>
      </c>
      <c r="AC62" s="528"/>
      <c r="AD62" s="210"/>
      <c r="AE62" s="458" t="str">
        <f>IF(_epmOfflineCondition_,"",IF(AD62=0,"",IFERROR(AD62/_xll.EVGTS($B$1,1,_xll.EVPRO($B$1,$H62,"COSBASIS"),$B$3,$B$5,$B$6,$B$7,$B$9,AD$16,AD$17,AD$18),"")))</f>
        <v/>
      </c>
      <c r="AF62" s="460">
        <f t="shared" ref="AF62:AF72" si="14">IF(AND($AA62="",AD62=""),"",$AA62-AD62)</f>
        <v>0</v>
      </c>
      <c r="AG62" s="210"/>
      <c r="AH62" s="458" t="str">
        <f>IF(_epmOfflineCondition_,"",IF(AG62=0,"",IFERROR(AG62/_xll.EVGTS($B$1,1,_xll.EVPRO($B$1,$H62,"COSBASIS"),$B$3,$B$5,$B$6,$B$7,$B$9,AG$16,AG$17,AG$18),"")))</f>
        <v/>
      </c>
      <c r="AI62" s="461">
        <f t="shared" ref="AI62:AI72" si="15">IF(AND($AA62="",AG62=""),"",$AA62-AG62)</f>
        <v>0</v>
      </c>
      <c r="AJ62" s="462">
        <f t="shared" ref="AJ62:AJ70" si="16">IFERROR(AA62/AA$20,0)</f>
        <v>0</v>
      </c>
      <c r="AK62" s="463">
        <f t="shared" ref="AK62:AK70" si="17">IFERROR(AD62/AD$20,0)</f>
        <v>0</v>
      </c>
      <c r="AL62" s="464">
        <f t="shared" ref="AL62:AL70" si="18">IFERROR(AG62/AG$20,0)</f>
        <v>0</v>
      </c>
      <c r="AM62" s="465">
        <f t="shared" ref="AM62:AM70" si="19">+IFERROR(ROUND(($AB62-AE62)*100,2)&amp;" pts.",0)</f>
        <v>0</v>
      </c>
      <c r="AN62" s="466">
        <f t="shared" ref="AN62:AN70" si="20">+IFERROR(ROUND(($AB62-AH62)*100,2)&amp;" pts.",0)</f>
        <v>0</v>
      </c>
      <c r="AO62" s="11"/>
    </row>
    <row r="63" spans="1:41" x14ac:dyDescent="0.2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67"/>
      <c r="P63" s="216"/>
      <c r="Q63" s="216"/>
      <c r="R63" s="216"/>
      <c r="S63" s="216"/>
      <c r="T63" s="216"/>
      <c r="U63" s="216"/>
      <c r="V63" s="216"/>
      <c r="W63" s="216"/>
      <c r="X63" s="216"/>
      <c r="Y63" s="216"/>
      <c r="Z63" s="216"/>
      <c r="AA63" s="216">
        <f t="shared" si="13"/>
        <v>0</v>
      </c>
      <c r="AB63" s="468" t="str">
        <f>IF(_epmOfflineCondition_,"",IF(AA63=0,"",IFERROR(AA63/_xll.EVGTS($B$1,1,_xll.EVPRO($B$1,$H63,"COSBASIS"),$B$3,$B$5,$B$6,$B$7,$B$9,AA$16,AA$17,AA$11),"")))</f>
        <v/>
      </c>
      <c r="AC63" s="459"/>
      <c r="AD63" s="216"/>
      <c r="AE63" s="468" t="str">
        <f>IF(_epmOfflineCondition_,"",IF(AD63=0,"",IFERROR(AD63/_xll.EVGTS($B$1,1,_xll.EVPRO($B$1,$H63,"COSBASIS"),$B$3,$B$5,$B$6,$B$7,$B$9,AD$16,AD$17,AD$18),"")))</f>
        <v/>
      </c>
      <c r="AF63" s="469">
        <f t="shared" si="14"/>
        <v>0</v>
      </c>
      <c r="AG63" s="216"/>
      <c r="AH63" s="468" t="str">
        <f>IF(_epmOfflineCondition_,"",IF(AG63=0,"",IFERROR(AG63/_xll.EVGTS($B$1,1,_xll.EVPRO($B$1,$H63,"COSBASIS"),$B$3,$B$5,$B$6,$B$7,$B$9,AG$16,AG$17,AG$18),"")))</f>
        <v/>
      </c>
      <c r="AI63" s="470">
        <f t="shared" si="15"/>
        <v>0</v>
      </c>
      <c r="AJ63" s="471">
        <f t="shared" si="16"/>
        <v>0</v>
      </c>
      <c r="AK63" s="472">
        <f t="shared" si="17"/>
        <v>0</v>
      </c>
      <c r="AL63" s="473">
        <f t="shared" si="18"/>
        <v>0</v>
      </c>
      <c r="AM63" s="474">
        <f t="shared" si="19"/>
        <v>0</v>
      </c>
      <c r="AN63" s="475">
        <f t="shared" si="20"/>
        <v>0</v>
      </c>
      <c r="AO63" s="11"/>
    </row>
    <row r="64" spans="1:41" x14ac:dyDescent="0.2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76"/>
      <c r="P64" s="223"/>
      <c r="Q64" s="223"/>
      <c r="R64" s="223"/>
      <c r="S64" s="223"/>
      <c r="T64" s="223"/>
      <c r="U64" s="223"/>
      <c r="V64" s="223"/>
      <c r="W64" s="223"/>
      <c r="X64" s="223"/>
      <c r="Y64" s="223"/>
      <c r="Z64" s="223"/>
      <c r="AA64" s="223">
        <f t="shared" si="13"/>
        <v>0</v>
      </c>
      <c r="AB64" s="224" t="str">
        <f>IF(_epmOfflineCondition_,"",IF(AA64=0,"",IFERROR(AA64/_xll.EVGTS($B$1,1,_xll.EVPRO($B$1,$H64,"COSBASIS"),$B$3,$B$5,$B$6,$B$7,$B$9,AA$16,AA$17,AA$11),"")))</f>
        <v/>
      </c>
      <c r="AC64" s="225"/>
      <c r="AD64" s="223"/>
      <c r="AE64" s="224" t="str">
        <f>IF(_epmOfflineCondition_,"",IF(AD64=0,"",IFERROR(AD64/_xll.EVGTS($B$1,1,_xll.EVPRO($B$1,$H64,"COSBASIS"),$B$3,$B$5,$B$6,$B$7,$B$9,AD$16,AD$17,AD$18),"")))</f>
        <v/>
      </c>
      <c r="AF64" s="226">
        <f t="shared" si="14"/>
        <v>0</v>
      </c>
      <c r="AG64" s="223"/>
      <c r="AH64" s="224" t="str">
        <f>IF(_epmOfflineCondition_,"",IF(AG64=0,"",IFERROR(AG64/_xll.EVGTS($B$1,1,_xll.EVPRO($B$1,$H64,"COSBASIS"),$B$3,$B$5,$B$6,$B$7,$B$9,AG$16,AG$17,AG$18),"")))</f>
        <v/>
      </c>
      <c r="AI64" s="477">
        <f t="shared" si="15"/>
        <v>0</v>
      </c>
      <c r="AJ64" s="227">
        <f t="shared" si="16"/>
        <v>0</v>
      </c>
      <c r="AK64" s="228">
        <f t="shared" si="17"/>
        <v>0</v>
      </c>
      <c r="AL64" s="230">
        <f t="shared" si="18"/>
        <v>0</v>
      </c>
      <c r="AM64" s="427">
        <f t="shared" si="19"/>
        <v>0</v>
      </c>
      <c r="AN64" s="478">
        <f t="shared" si="20"/>
        <v>0</v>
      </c>
      <c r="AO64" s="11"/>
    </row>
    <row r="65" spans="1:41" x14ac:dyDescent="0.2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79"/>
      <c r="P65" s="232"/>
      <c r="Q65" s="232"/>
      <c r="R65" s="232"/>
      <c r="S65" s="232"/>
      <c r="T65" s="232"/>
      <c r="U65" s="232"/>
      <c r="V65" s="232"/>
      <c r="W65" s="232"/>
      <c r="X65" s="232"/>
      <c r="Y65" s="232"/>
      <c r="Z65" s="232"/>
      <c r="AA65" s="232" t="str">
        <f t="shared" si="13"/>
        <v/>
      </c>
      <c r="AB65" s="480" t="str">
        <f>IF(_epmOfflineCondition_,"",IF(AA65=0,"",IFERROR(AA65/_xll.EVGTS($B$1,1,_xll.EVPRO($B$1,$H65,"COSBASIS"),$B$3,$B$5,$B$6,$B$7,$B$9,AA$16,AA$17,AA$11),"")))</f>
        <v/>
      </c>
      <c r="AC65" s="529"/>
      <c r="AD65" s="232"/>
      <c r="AE65" s="480" t="str">
        <f>IF(_epmOfflineCondition_,"",IF(AD65=0,"",IFERROR(AD65/_xll.EVGTS($B$1,1,_xll.EVPRO($B$1,$H65,"COSBASIS"),$B$3,$B$5,$B$6,$B$7,$B$9,AD$16,AD$17,AD$18),"")))</f>
        <v/>
      </c>
      <c r="AF65" s="482" t="str">
        <f t="shared" si="14"/>
        <v/>
      </c>
      <c r="AG65" s="232"/>
      <c r="AH65" s="480" t="str">
        <f>IF(_epmOfflineCondition_,"",IF(AG65=0,"",IFERROR(AG65/_xll.EVGTS($B$1,1,_xll.EVPRO($B$1,$H65,"COSBASIS"),$B$3,$B$5,$B$6,$B$7,$B$9,AG$16,AG$17,AG$18),"")))</f>
        <v/>
      </c>
      <c r="AI65" s="483" t="str">
        <f t="shared" si="15"/>
        <v/>
      </c>
      <c r="AJ65" s="235">
        <f t="shared" si="16"/>
        <v>0</v>
      </c>
      <c r="AK65" s="236">
        <f t="shared" si="17"/>
        <v>0</v>
      </c>
      <c r="AL65" s="238">
        <f t="shared" si="18"/>
        <v>0</v>
      </c>
      <c r="AM65" s="429">
        <f t="shared" si="19"/>
        <v>0</v>
      </c>
      <c r="AN65" s="484">
        <f t="shared" si="20"/>
        <v>0</v>
      </c>
      <c r="AO65" s="11"/>
    </row>
    <row r="66" spans="1:41" x14ac:dyDescent="0.2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57"/>
      <c r="P66" s="210"/>
      <c r="Q66" s="210"/>
      <c r="R66" s="210"/>
      <c r="S66" s="210"/>
      <c r="T66" s="210"/>
      <c r="U66" s="210"/>
      <c r="V66" s="210"/>
      <c r="W66" s="210"/>
      <c r="X66" s="210"/>
      <c r="Y66" s="210"/>
      <c r="Z66" s="210"/>
      <c r="AA66" s="210">
        <f t="shared" si="13"/>
        <v>0</v>
      </c>
      <c r="AB66" s="458" t="str">
        <f>IF(_epmOfflineCondition_,"",IF(AA66=0,"",IFERROR(AA66/_xll.EVGTS($B$1,1,_xll.EVPRO($B$1,$H66,"COSBASIS"),$B$3,$B$5,$B$6,$B$7,$B$9,AA$16,AA$17,AA$11),"")))</f>
        <v/>
      </c>
      <c r="AC66" s="528"/>
      <c r="AD66" s="210"/>
      <c r="AE66" s="458" t="str">
        <f>IF(_epmOfflineCondition_,"",IF(AD66=0,"",IFERROR(AD66/_xll.EVGTS($B$1,1,_xll.EVPRO($B$1,$H66,"COSBASIS"),$B$3,$B$5,$B$6,$B$7,$B$9,AD$16,AD$17,AD$18),"")))</f>
        <v/>
      </c>
      <c r="AF66" s="460">
        <f t="shared" si="14"/>
        <v>0</v>
      </c>
      <c r="AG66" s="210"/>
      <c r="AH66" s="458" t="str">
        <f>IF(_epmOfflineCondition_,"",IF(AG66=0,"",IFERROR(AG66/_xll.EVGTS($B$1,1,_xll.EVPRO($B$1,$H66,"COSBASIS"),$B$3,$B$5,$B$6,$B$7,$B$9,AG$16,AG$17,AG$18),"")))</f>
        <v/>
      </c>
      <c r="AI66" s="461">
        <f t="shared" si="15"/>
        <v>0</v>
      </c>
      <c r="AJ66" s="462">
        <f t="shared" si="16"/>
        <v>0</v>
      </c>
      <c r="AK66" s="463">
        <f t="shared" si="17"/>
        <v>0</v>
      </c>
      <c r="AL66" s="464">
        <f t="shared" si="18"/>
        <v>0</v>
      </c>
      <c r="AM66" s="465">
        <f t="shared" si="19"/>
        <v>0</v>
      </c>
      <c r="AN66" s="466">
        <f t="shared" si="20"/>
        <v>0</v>
      </c>
      <c r="AO66" s="11"/>
    </row>
    <row r="67" spans="1:41" x14ac:dyDescent="0.2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57"/>
      <c r="P67" s="210"/>
      <c r="Q67" s="210"/>
      <c r="R67" s="210"/>
      <c r="S67" s="210"/>
      <c r="T67" s="210"/>
      <c r="U67" s="210"/>
      <c r="V67" s="210"/>
      <c r="W67" s="210"/>
      <c r="X67" s="210"/>
      <c r="Y67" s="210"/>
      <c r="Z67" s="210"/>
      <c r="AA67" s="210">
        <f t="shared" si="13"/>
        <v>0</v>
      </c>
      <c r="AB67" s="458" t="str">
        <f>IF(_epmOfflineCondition_,"",IF(AA67=0,"",IFERROR(AA67/_xll.EVGTS($B$1,1,_xll.EVPRO($B$1,$H67,"COSBASIS"),$B$3,$B$5,$B$6,$B$7,$B$9,AA$16,AA$17,AA$11),"")))</f>
        <v/>
      </c>
      <c r="AC67" s="528"/>
      <c r="AD67" s="210"/>
      <c r="AE67" s="458" t="str">
        <f>IF(_epmOfflineCondition_,"",IF(AD67=0,"",IFERROR(AD67/_xll.EVGTS($B$1,1,_xll.EVPRO($B$1,$H67,"COSBASIS"),$B$3,$B$5,$B$6,$B$7,$B$9,AD$16,AD$17,AD$18),"")))</f>
        <v/>
      </c>
      <c r="AF67" s="460">
        <f t="shared" si="14"/>
        <v>0</v>
      </c>
      <c r="AG67" s="210"/>
      <c r="AH67" s="458" t="str">
        <f>IF(_epmOfflineCondition_,"",IF(AG67=0,"",IFERROR(AG67/_xll.EVGTS($B$1,1,_xll.EVPRO($B$1,$H67,"COSBASIS"),$B$3,$B$5,$B$6,$B$7,$B$9,AG$16,AG$17,AG$18),"")))</f>
        <v/>
      </c>
      <c r="AI67" s="461">
        <f t="shared" si="15"/>
        <v>0</v>
      </c>
      <c r="AJ67" s="462">
        <f t="shared" si="16"/>
        <v>0</v>
      </c>
      <c r="AK67" s="463">
        <f t="shared" si="17"/>
        <v>0</v>
      </c>
      <c r="AL67" s="464">
        <f t="shared" si="18"/>
        <v>0</v>
      </c>
      <c r="AM67" s="465">
        <f t="shared" si="19"/>
        <v>0</v>
      </c>
      <c r="AN67" s="466">
        <f t="shared" si="20"/>
        <v>0</v>
      </c>
      <c r="AO67" s="11"/>
    </row>
    <row r="68" spans="1:41" x14ac:dyDescent="0.2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67"/>
      <c r="P68" s="216"/>
      <c r="Q68" s="216"/>
      <c r="R68" s="216"/>
      <c r="S68" s="216"/>
      <c r="T68" s="216"/>
      <c r="U68" s="216"/>
      <c r="V68" s="216"/>
      <c r="W68" s="216"/>
      <c r="X68" s="216"/>
      <c r="Y68" s="216"/>
      <c r="Z68" s="216"/>
      <c r="AA68" s="216">
        <f t="shared" si="13"/>
        <v>0</v>
      </c>
      <c r="AB68" s="468" t="str">
        <f>IF(_epmOfflineCondition_,"",IF(AA68=0,"",IFERROR(AA68/_xll.EVGTS($B$1,1,_xll.EVPRO($B$1,$H68,"COSBASIS"),$B$3,$B$5,$B$6,$B$7,$B$9,AA$16,AA$17,AA$11),"")))</f>
        <v/>
      </c>
      <c r="AC68" s="459"/>
      <c r="AD68" s="216"/>
      <c r="AE68" s="468" t="str">
        <f>IF(_epmOfflineCondition_,"",IF(AD68=0,"",IFERROR(AD68/_xll.EVGTS($B$1,1,_xll.EVPRO($B$1,$H68,"COSBASIS"),$B$3,$B$5,$B$6,$B$7,$B$9,AD$16,AD$17,AD$18),"")))</f>
        <v/>
      </c>
      <c r="AF68" s="469">
        <f t="shared" si="14"/>
        <v>0</v>
      </c>
      <c r="AG68" s="216"/>
      <c r="AH68" s="468" t="str">
        <f>IF(_epmOfflineCondition_,"",IF(AG68=0,"",IFERROR(AG68/_xll.EVGTS($B$1,1,_xll.EVPRO($B$1,$H68,"COSBASIS"),$B$3,$B$5,$B$6,$B$7,$B$9,AG$16,AG$17,AG$18),"")))</f>
        <v/>
      </c>
      <c r="AI68" s="470">
        <f t="shared" si="15"/>
        <v>0</v>
      </c>
      <c r="AJ68" s="471">
        <f t="shared" si="16"/>
        <v>0</v>
      </c>
      <c r="AK68" s="472">
        <f t="shared" si="17"/>
        <v>0</v>
      </c>
      <c r="AL68" s="473">
        <f t="shared" si="18"/>
        <v>0</v>
      </c>
      <c r="AM68" s="474">
        <f t="shared" si="19"/>
        <v>0</v>
      </c>
      <c r="AN68" s="475">
        <f t="shared" si="20"/>
        <v>0</v>
      </c>
      <c r="AO68" s="11"/>
    </row>
    <row r="69" spans="1:41" x14ac:dyDescent="0.2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85"/>
      <c r="P69" s="242"/>
      <c r="Q69" s="242"/>
      <c r="R69" s="242"/>
      <c r="S69" s="242"/>
      <c r="T69" s="242"/>
      <c r="U69" s="242"/>
      <c r="V69" s="242"/>
      <c r="W69" s="242"/>
      <c r="X69" s="242"/>
      <c r="Y69" s="242"/>
      <c r="Z69" s="242"/>
      <c r="AA69" s="242">
        <f t="shared" si="13"/>
        <v>0</v>
      </c>
      <c r="AB69" s="243" t="str">
        <f>IF(_epmOfflineCondition_,"",IF(AA69=0,"",IFERROR(AA69/_xll.EVGTS($B$1,1,_xll.EVPRO($B$1,$H69,"COSBASIS"),$B$3,$B$5,$B$6,$B$7,$B$9,AA$16,AA$17,AA$11),"")))</f>
        <v/>
      </c>
      <c r="AC69" s="244"/>
      <c r="AD69" s="242"/>
      <c r="AE69" s="243" t="str">
        <f>IF(_epmOfflineCondition_,"",IF(AD69=0,"",IFERROR(AD69/_xll.EVGTS($B$1,1,_xll.EVPRO($B$1,$H69,"COSBASIS"),$B$3,$B$5,$B$6,$B$7,$B$9,AD$16,AD$17,AD$18),"")))</f>
        <v/>
      </c>
      <c r="AF69" s="245">
        <f t="shared" si="14"/>
        <v>0</v>
      </c>
      <c r="AG69" s="242"/>
      <c r="AH69" s="243" t="str">
        <f>IF(_epmOfflineCondition_,"",IF(AG69=0,"",IFERROR(AG69/_xll.EVGTS($B$1,1,_xll.EVPRO($B$1,$H69,"COSBASIS"),$B$3,$B$5,$B$6,$B$7,$B$9,AG$16,AG$17,AG$18),"")))</f>
        <v/>
      </c>
      <c r="AI69" s="486">
        <f t="shared" si="15"/>
        <v>0</v>
      </c>
      <c r="AJ69" s="246">
        <f t="shared" si="16"/>
        <v>0</v>
      </c>
      <c r="AK69" s="247">
        <f t="shared" si="17"/>
        <v>0</v>
      </c>
      <c r="AL69" s="249">
        <f t="shared" si="18"/>
        <v>0</v>
      </c>
      <c r="AM69" s="431">
        <f t="shared" si="19"/>
        <v>0</v>
      </c>
      <c r="AN69" s="487">
        <f t="shared" si="20"/>
        <v>0</v>
      </c>
      <c r="AO69" s="11"/>
    </row>
    <row r="70" spans="1:41" x14ac:dyDescent="0.2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76"/>
      <c r="P70" s="223"/>
      <c r="Q70" s="223"/>
      <c r="R70" s="223"/>
      <c r="S70" s="223"/>
      <c r="T70" s="223"/>
      <c r="U70" s="223"/>
      <c r="V70" s="223"/>
      <c r="W70" s="223"/>
      <c r="X70" s="223"/>
      <c r="Y70" s="223"/>
      <c r="Z70" s="223"/>
      <c r="AA70" s="223">
        <f t="shared" si="13"/>
        <v>0</v>
      </c>
      <c r="AB70" s="224" t="str">
        <f>IF(_epmOfflineCondition_,"",IF(AA70=0,"",IFERROR(AA70/_xll.EVGTS($B$1,1,_xll.EVPRO($B$1,$H70,"COSBASIS"),$B$3,$B$5,$B$6,$B$7,$B$9,AA$16,AA$17,AA$11),"")))</f>
        <v/>
      </c>
      <c r="AC70" s="225"/>
      <c r="AD70" s="223"/>
      <c r="AE70" s="224" t="str">
        <f>IF(_epmOfflineCondition_,"",IF(AD70=0,"",IFERROR(AD70/_xll.EVGTS($B$1,1,_xll.EVPRO($B$1,$H70,"COSBASIS"),$B$3,$B$5,$B$6,$B$7,$B$9,AD$16,AD$17,AD$18),"")))</f>
        <v/>
      </c>
      <c r="AF70" s="226">
        <f t="shared" si="14"/>
        <v>0</v>
      </c>
      <c r="AG70" s="223"/>
      <c r="AH70" s="224" t="str">
        <f>IF(_epmOfflineCondition_,"",IF(AG70=0,"",IFERROR(AG70/_xll.EVGTS($B$1,1,_xll.EVPRO($B$1,$H70,"COSBASIS"),$B$3,$B$5,$B$6,$B$7,$B$9,AG$16,AG$17,AG$18),"")))</f>
        <v/>
      </c>
      <c r="AI70" s="477">
        <f t="shared" si="15"/>
        <v>0</v>
      </c>
      <c r="AJ70" s="227">
        <f t="shared" si="16"/>
        <v>0</v>
      </c>
      <c r="AK70" s="228">
        <f t="shared" si="17"/>
        <v>0</v>
      </c>
      <c r="AL70" s="230">
        <f t="shared" si="18"/>
        <v>0</v>
      </c>
      <c r="AM70" s="427">
        <f t="shared" si="19"/>
        <v>0</v>
      </c>
      <c r="AN70" s="478">
        <f t="shared" si="20"/>
        <v>0</v>
      </c>
      <c r="AO70" s="11"/>
    </row>
    <row r="71" spans="1:41" x14ac:dyDescent="0.2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11"/>
      <c r="AK71" s="11"/>
      <c r="AL71" s="11"/>
      <c r="AM71" s="11"/>
      <c r="AN71" s="11"/>
      <c r="AO71" s="11"/>
    </row>
    <row r="72" spans="1:41" x14ac:dyDescent="0.2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0</v>
      </c>
      <c r="P72" s="123">
        <f t="shared" si="21"/>
        <v>0</v>
      </c>
      <c r="Q72" s="123">
        <f t="shared" si="21"/>
        <v>0</v>
      </c>
      <c r="R72" s="123">
        <f t="shared" si="21"/>
        <v>0</v>
      </c>
      <c r="S72" s="123">
        <f t="shared" si="21"/>
        <v>0</v>
      </c>
      <c r="T72" s="123">
        <f t="shared" si="21"/>
        <v>0</v>
      </c>
      <c r="U72" s="123">
        <f t="shared" si="21"/>
        <v>0</v>
      </c>
      <c r="V72" s="123">
        <f t="shared" si="21"/>
        <v>0</v>
      </c>
      <c r="W72" s="123">
        <f t="shared" si="21"/>
        <v>0</v>
      </c>
      <c r="X72" s="123">
        <f t="shared" si="21"/>
        <v>0</v>
      </c>
      <c r="Y72" s="123">
        <f t="shared" si="21"/>
        <v>0</v>
      </c>
      <c r="Z72" s="123">
        <f t="shared" si="21"/>
        <v>0</v>
      </c>
      <c r="AA72" s="191">
        <f>IF($I72="B1","",SUM(O72:Z72))</f>
        <v>0</v>
      </c>
      <c r="AB72" s="192" t="str">
        <f>IF(AA72=0,"",IFERROR(AA72/AA$19,""))</f>
        <v/>
      </c>
      <c r="AC72" s="11"/>
      <c r="AD72" s="123">
        <f>SUMIF($H$35:$H$70,"400000",AD35:AD70)-SUMIF($H$35:$H$70,"500001",AD35:AD70)</f>
        <v>0</v>
      </c>
      <c r="AE72" s="192" t="str">
        <f>IF(AD72=0,"",IFERROR(AD72/AD$19,""))</f>
        <v/>
      </c>
      <c r="AF72" s="125">
        <f t="shared" si="14"/>
        <v>0</v>
      </c>
      <c r="AG72" s="123">
        <f>SUMIF($H$35:$H$70,"400000",AG35:AG70)-SUMIF($H$35:$H$70,"500001",AG35:AG70)</f>
        <v>0</v>
      </c>
      <c r="AH72" s="192" t="str">
        <f>IF(AG72=0,"",IFERROR(AG72/AG$19,""))</f>
        <v/>
      </c>
      <c r="AI72" s="125">
        <f t="shared" si="15"/>
        <v>0</v>
      </c>
      <c r="AJ72" s="193">
        <f>IFERROR(AA72/AA$20,0)</f>
        <v>0</v>
      </c>
      <c r="AK72" s="194">
        <f>IFERROR(AD72/AD$20,0)</f>
        <v>0</v>
      </c>
      <c r="AL72" s="195">
        <f>IFERROR(AG72/AG$20,0)</f>
        <v>0</v>
      </c>
      <c r="AM72" s="407">
        <f>+IFERROR(ROUND(($AB72-AE72)*100,2)&amp;" pts.",0)</f>
        <v>0</v>
      </c>
      <c r="AN72" s="408">
        <f>+IFERROR(ROUND(($AB72-AH72)*100,2)&amp;" pts.",0)</f>
        <v>0</v>
      </c>
      <c r="AO72" s="11"/>
    </row>
    <row r="73" spans="1:41" x14ac:dyDescent="0.2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2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2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2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IF(AND(I76&gt;="T3"),"&gt;","")</f>
        <v/>
      </c>
      <c r="L76" s="90" t="str">
        <f>IF(_epmOfflineCondition_,"",_xll.EVPRO($B$1,H76,"JDEID"))</f>
        <v/>
      </c>
      <c r="M76" s="90" t="str">
        <f>IF(_epmOfflineCondition_,"",IF(AND(I76="N",J76="N"),_xll.EVPRO($B$1,H76,"PSFTID"),""))</f>
        <v/>
      </c>
      <c r="N76" s="90" t="str">
        <f>IF(_epmOfflineCondition_,"",IF(_xll.EVDES(H76,$B$1)="#NODATA","",_xll.EVDES(H76,$B$1)))</f>
        <v/>
      </c>
      <c r="O76" s="231"/>
      <c r="P76" s="231"/>
      <c r="Q76" s="231"/>
      <c r="R76" s="231"/>
      <c r="S76" s="231"/>
      <c r="T76" s="231"/>
      <c r="U76" s="231"/>
      <c r="V76" s="231"/>
      <c r="W76" s="231"/>
      <c r="X76" s="231"/>
      <c r="Y76" s="231"/>
      <c r="Z76" s="231"/>
      <c r="AA76" s="210">
        <f>IF($I76="B1","",SUM(O76:Z76))</f>
        <v>0</v>
      </c>
      <c r="AB76" s="233" t="str">
        <f>IF(AA76=0,"",IFERROR(AA76/AA$19,""))</f>
        <v/>
      </c>
      <c r="AC76" s="140"/>
      <c r="AD76" s="231"/>
      <c r="AE76" s="233" t="str">
        <f>IF(AD76=0,"",IFERROR(AD76/AD$19,""))</f>
        <v/>
      </c>
      <c r="AF76" s="234">
        <f>IF(AND($AA76="",AD76=""),"",$AA76-AD76)</f>
        <v>0</v>
      </c>
      <c r="AG76" s="231"/>
      <c r="AH76" s="233" t="str">
        <f>IF(AG76=0,"",IFERROR(AG76/AG$19,""))</f>
        <v/>
      </c>
      <c r="AI76" s="234">
        <f>IF(AND($AA76="",AG76=""),"",$AA76-AG76)</f>
        <v>0</v>
      </c>
      <c r="AJ76" s="462">
        <f>IFERROR(AA76/AA$20,0)</f>
        <v>0</v>
      </c>
      <c r="AK76" s="463">
        <f>IFERROR(AD76/AD$20,0)</f>
        <v>0</v>
      </c>
      <c r="AL76" s="464">
        <f>IFERROR(AG76/AG$20,0)</f>
        <v>0</v>
      </c>
      <c r="AM76" s="465">
        <f>+IFERROR(ROUND(($AB76-AE76)*100,2)&amp;" pts.",0)</f>
        <v>0</v>
      </c>
      <c r="AN76" s="466">
        <f>+IFERROR(ROUND(($AB76-AH76)*100,2)&amp;" pts.",0)</f>
        <v>0</v>
      </c>
      <c r="AO76" s="11"/>
    </row>
    <row r="77" spans="1:41" hidden="1" x14ac:dyDescent="0.25">
      <c r="A77" s="11" t="s">
        <v>108</v>
      </c>
      <c r="B77" s="11"/>
      <c r="C77" s="196" t="s">
        <v>101</v>
      </c>
      <c r="D77" s="11" t="s">
        <v>107</v>
      </c>
      <c r="E77" s="11"/>
      <c r="F77" s="11" t="s">
        <v>99</v>
      </c>
      <c r="G77" s="11"/>
      <c r="H77" s="88"/>
      <c r="I77" s="122" t="str">
        <f>IF(_epmOfflineCondition_,"",_xll.EVPRO($B$1,$H77,"STYLE"))</f>
        <v/>
      </c>
      <c r="J77" s="122" t="str">
        <f>IF(_epmOfflineCondition_,"",_xll.EVPRO($B$1,$H77,"CALC"))</f>
        <v/>
      </c>
      <c r="K77" s="179" t="str">
        <f>IF(AND(I77&gt;="T3"),"&gt;","")</f>
        <v/>
      </c>
      <c r="L77" s="90" t="str">
        <f>IF(_epmOfflineCondition_,"",_xll.EVPRO($B$1,H77,"JDEID"))</f>
        <v/>
      </c>
      <c r="M77" s="90" t="str">
        <f>IF(_epmOfflineCondition_,"",IF(AND(I77="N",J77="N"),_xll.EVPRO($B$1,H77,"PSFTID"),""))</f>
        <v/>
      </c>
      <c r="N77" s="90" t="str">
        <f>IF(_epmOfflineCondition_,"",IF(_xll.EVDES(H77,$B$1)="#NODATA","",_xll.EVDES(H77,$B$1)))</f>
        <v/>
      </c>
      <c r="O77" s="231"/>
      <c r="P77" s="231"/>
      <c r="Q77" s="231"/>
      <c r="R77" s="231"/>
      <c r="S77" s="231"/>
      <c r="T77" s="231"/>
      <c r="U77" s="231"/>
      <c r="V77" s="231"/>
      <c r="W77" s="231"/>
      <c r="X77" s="231"/>
      <c r="Y77" s="231"/>
      <c r="Z77" s="231"/>
      <c r="AA77" s="210">
        <f>IF($I77="B1","",SUM(O77:Z77))</f>
        <v>0</v>
      </c>
      <c r="AB77" s="233" t="str">
        <f>IF(AA77=0,"",IFERROR(AA77/AA$19,""))</f>
        <v/>
      </c>
      <c r="AC77" s="140"/>
      <c r="AD77" s="231"/>
      <c r="AE77" s="233" t="str">
        <f>IF(AD77=0,"",IFERROR(AD77/AD$19,""))</f>
        <v/>
      </c>
      <c r="AF77" s="234">
        <f>IF(AND($AA77="",AD77=""),"",$AA77-AD77)</f>
        <v>0</v>
      </c>
      <c r="AG77" s="231"/>
      <c r="AH77" s="233" t="str">
        <f>IF(AG77=0,"",IFERROR(AG77/AG$19,""))</f>
        <v/>
      </c>
      <c r="AI77" s="234">
        <f>IF(AND($AA77="",AG77=""),"",$AA77-AG77)</f>
        <v>0</v>
      </c>
      <c r="AJ77" s="462">
        <f>IFERROR(AA77/AA$20,0)</f>
        <v>0</v>
      </c>
      <c r="AK77" s="463">
        <f>IFERROR(AD77/AD$20,0)</f>
        <v>0</v>
      </c>
      <c r="AL77" s="464">
        <f>IFERROR(AG77/AG$20,0)</f>
        <v>0</v>
      </c>
      <c r="AM77" s="465">
        <f>+IFERROR(ROUND(($AB77-AE77)*100,2)&amp;" pts.",0)</f>
        <v>0</v>
      </c>
      <c r="AN77" s="466">
        <f>+IFERROR(ROUND(($AB77-AH77)*100,2)&amp;" pts.",0)</f>
        <v>0</v>
      </c>
      <c r="AO77" s="11"/>
    </row>
    <row r="78" spans="1:41" x14ac:dyDescent="0.25">
      <c r="A78" s="11"/>
      <c r="B78" s="11"/>
      <c r="C78" s="11"/>
      <c r="D78" s="11"/>
      <c r="E78" s="11"/>
      <c r="F78" s="11"/>
      <c r="G78" s="11"/>
      <c r="H78" s="88" t="s">
        <v>75</v>
      </c>
      <c r="I78" s="89" t="str">
        <f>IF(_epmOfflineCondition_,"B1",_xll.EVPRO($B$1,$H78,"STYLE"))</f>
        <v>B1</v>
      </c>
      <c r="J78" s="89" t="str">
        <f>IF(_epmOfflineCondition_,"Y",_xll.EVPRO($B$1,$H78,"CALC"))</f>
        <v>Y</v>
      </c>
      <c r="K78" s="265" t="str">
        <f>IF(AND(I78&gt;="T3"),"&gt;","")</f>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IF($I78="B1","",SUM(O78:Z78))</f>
        <v/>
      </c>
      <c r="AB78" s="198" t="str">
        <f>IF(AA78=0,"",IFERROR(AA78/AA$19,""))</f>
        <v/>
      </c>
      <c r="AC78" s="11"/>
      <c r="AD78" s="197"/>
      <c r="AE78" s="198" t="str">
        <f>IF(AD78=0,"",IFERROR(AD78/AD$19,""))</f>
        <v/>
      </c>
      <c r="AF78" s="199" t="str">
        <f>IF(AND($AA78="",AD78=""),"",$AA78-AD78)</f>
        <v/>
      </c>
      <c r="AG78" s="197"/>
      <c r="AH78" s="198" t="str">
        <f>IF(AG78=0,"",IFERROR(AG78/AG$19,""))</f>
        <v/>
      </c>
      <c r="AI78" s="199" t="str">
        <f>IF(AND($AA78="",AG78=""),"",$AA78-AG78)</f>
        <v/>
      </c>
      <c r="AJ78" s="397">
        <f>IFERROR(AA78/AA$20,0)</f>
        <v>0</v>
      </c>
      <c r="AK78" s="398">
        <f>IFERROR(AD78/AD$20,0)</f>
        <v>0</v>
      </c>
      <c r="AL78" s="399">
        <f>IFERROR(AG78/AG$20,0)</f>
        <v>0</v>
      </c>
      <c r="AM78" s="400">
        <f>+IFERROR(ROUND(($AB78-AE78)*100,2)&amp;" pts.",0)</f>
        <v>0</v>
      </c>
      <c r="AN78" s="401">
        <f>+IFERROR(ROUND(($AB78-AH78)*100,2)&amp;" pts.",0)</f>
        <v>0</v>
      </c>
      <c r="AO78" s="11"/>
    </row>
    <row r="79" spans="1:41" hidden="1" x14ac:dyDescent="0.25">
      <c r="A79" s="11"/>
      <c r="B79" s="11"/>
      <c r="C79" s="208"/>
      <c r="D79" s="11"/>
      <c r="E79" s="11"/>
      <c r="F79" s="11"/>
      <c r="G79" s="11"/>
      <c r="H79" s="88" t="s">
        <v>667</v>
      </c>
      <c r="I79" s="122" t="str">
        <f>IF(_epmOfflineCondition_,"",_xll.EVPRO($B$1,$H79,"STYLE"))</f>
        <v/>
      </c>
      <c r="J79" s="122" t="str">
        <f>IF(_epmOfflineCondition_,"",_xll.EVPRO($B$1,$H79,"CALC"))</f>
        <v/>
      </c>
      <c r="K79" s="179" t="str">
        <f>IF(AND(I79&gt;="T3"),"&gt;","")</f>
        <v/>
      </c>
      <c r="L79" s="90" t="str">
        <f>IF(_epmOfflineCondition_,"",_xll.EVPRO($B$1,H79,"JDEID"))</f>
        <v/>
      </c>
      <c r="M79" s="90" t="str">
        <f>IF(_epmOfflineCondition_,"",IF(AND(I79="N",J79="N"),_xll.EVPRO($B$1,H79,"PSFTID"),""))</f>
        <v/>
      </c>
      <c r="N79" s="90" t="str">
        <f>IF(_epmOfflineCondition_,"",IF(_xll.EVDES(H79,$B$1)="#NODATA","",_xll.EVDES(H79,$B$1)))</f>
        <v/>
      </c>
      <c r="O79" s="239"/>
      <c r="P79" s="239"/>
      <c r="Q79" s="239"/>
      <c r="R79" s="239"/>
      <c r="S79" s="239"/>
      <c r="T79" s="239"/>
      <c r="U79" s="239"/>
      <c r="V79" s="239"/>
      <c r="W79" s="239"/>
      <c r="X79" s="239"/>
      <c r="Y79" s="239"/>
      <c r="Z79" s="239"/>
      <c r="AA79" s="216">
        <f>IF($I79="B1","",SUM(O79:Z79))</f>
        <v>0</v>
      </c>
      <c r="AB79" s="240" t="str">
        <f>IF(AA79=0,"",IFERROR(AA79/AA$19,""))</f>
        <v/>
      </c>
      <c r="AC79" s="140"/>
      <c r="AD79" s="239"/>
      <c r="AE79" s="240" t="str">
        <f>IF(AD79=0,"",IFERROR(AD79/AD$19,""))</f>
        <v/>
      </c>
      <c r="AF79" s="241">
        <f>IF(AND($AA79="",AD79=""),"",$AA79-AD79)</f>
        <v>0</v>
      </c>
      <c r="AG79" s="239"/>
      <c r="AH79" s="240" t="str">
        <f>IF(AG79=0,"",IFERROR(AG79/AG$19,""))</f>
        <v/>
      </c>
      <c r="AI79" s="241">
        <f>IF(AND($AA79="",AG79=""),"",$AA79-AG79)</f>
        <v>0</v>
      </c>
      <c r="AJ79" s="462">
        <f>IFERROR(AA79/AA$20,0)</f>
        <v>0</v>
      </c>
      <c r="AK79" s="463">
        <f>IFERROR(AD79/AD$20,0)</f>
        <v>0</v>
      </c>
      <c r="AL79" s="464">
        <f>IFERROR(AG79/AG$20,0)</f>
        <v>0</v>
      </c>
      <c r="AM79" s="465">
        <f>+IFERROR(ROUND(($AB79-AE79)*100,2)&amp;" pts.",0)</f>
        <v>0</v>
      </c>
      <c r="AN79" s="466">
        <f>+IFERROR(ROUND(($AB79-AH79)*100,2)&amp;" pts.",0)</f>
        <v>0</v>
      </c>
      <c r="AO79" s="11"/>
    </row>
    <row r="80" spans="1:41" hidden="1" x14ac:dyDescent="0.25">
      <c r="A80" s="61" t="str">
        <f>IF(_epmOfflineCondition_,"Evdre:Ok",_xll.EVDRE($B$1,A83:B90,A93:B99))</f>
        <v>Evdre:Ok</v>
      </c>
      <c r="B80" s="11"/>
      <c r="C80" s="11"/>
      <c r="D80" s="11"/>
      <c r="E80" s="11"/>
      <c r="F80" s="11"/>
      <c r="G80" s="11"/>
      <c r="H80" s="88"/>
      <c r="I80" s="122" t="str">
        <f>IF(_epmOfflineCondition_,"",_xll.EVPRO($B$1,$H80,"STYLE"))</f>
        <v/>
      </c>
      <c r="J80" s="122" t="str">
        <f>IF(_epmOfflineCondition_,"",_xll.EVPRO($B$1,$H80,"CALC"))</f>
        <v/>
      </c>
      <c r="K80" s="179" t="str">
        <f>IF(AND(I80&gt;="T3"),"&gt;","")</f>
        <v/>
      </c>
      <c r="L80" s="90" t="str">
        <f>IF(_epmOfflineCondition_,"",_xll.EVPRO($B$1,H80,"JDEID"))</f>
        <v/>
      </c>
      <c r="M80" s="90" t="str">
        <f>IF(_epmOfflineCondition_,"",IF(AND(I80="N",J80="N"),_xll.EVPRO($B$1,H80,"PSFTID"),""))</f>
        <v/>
      </c>
      <c r="N80" s="90" t="str">
        <f>IF(_epmOfflineCondition_,"",IF(_xll.EVDES(H80,$B$1)="#NODATA","",_xll.EVDES(H80,$B$1)))</f>
        <v/>
      </c>
      <c r="O80" s="239"/>
      <c r="P80" s="239"/>
      <c r="Q80" s="239"/>
      <c r="R80" s="239"/>
      <c r="S80" s="239"/>
      <c r="T80" s="239"/>
      <c r="U80" s="239"/>
      <c r="V80" s="239"/>
      <c r="W80" s="239"/>
      <c r="X80" s="239"/>
      <c r="Y80" s="239"/>
      <c r="Z80" s="239"/>
      <c r="AA80" s="216">
        <f>IF($I80="B1","",SUM(O80:Z80))</f>
        <v>0</v>
      </c>
      <c r="AB80" s="240" t="str">
        <f>IF(AA80=0,"",IFERROR(AA80/AA$19,""))</f>
        <v/>
      </c>
      <c r="AC80" s="140"/>
      <c r="AD80" s="239"/>
      <c r="AE80" s="240" t="str">
        <f>IF(AD80=0,"",IFERROR(AD80/AD$19,""))</f>
        <v/>
      </c>
      <c r="AF80" s="241">
        <f>IF(AND($AA80="",AD80=""),"",$AA80-AD80)</f>
        <v>0</v>
      </c>
      <c r="AG80" s="239"/>
      <c r="AH80" s="240" t="str">
        <f>IF(AG80=0,"",IFERROR(AG80/AG$19,""))</f>
        <v/>
      </c>
      <c r="AI80" s="241">
        <f>IF(AND($AA80="",AG80=""),"",$AA80-AG80)</f>
        <v>0</v>
      </c>
      <c r="AJ80" s="462">
        <f>IFERROR(AA80/AA$20,0)</f>
        <v>0</v>
      </c>
      <c r="AK80" s="463">
        <f>IFERROR(AD80/AD$20,0)</f>
        <v>0</v>
      </c>
      <c r="AL80" s="464">
        <f>IFERROR(AG80/AG$20,0)</f>
        <v>0</v>
      </c>
      <c r="AM80" s="465">
        <f>+IFERROR(ROUND(($AB80-AE80)*100,2)&amp;" pts.",0)</f>
        <v>0</v>
      </c>
      <c r="AN80" s="466">
        <f>+IFERROR(ROUND(($AB80-AH80)*100,2)&amp;" pts.",0)</f>
        <v>0</v>
      </c>
      <c r="AO80" s="11"/>
    </row>
    <row r="81" spans="1:41" x14ac:dyDescent="0.25">
      <c r="A81" s="11"/>
      <c r="B81" s="11"/>
      <c r="C81" s="11"/>
      <c r="D81" s="11"/>
      <c r="E81" s="11"/>
      <c r="F81" s="11"/>
      <c r="G81" s="11"/>
      <c r="H81" s="11"/>
      <c r="I81" s="59"/>
      <c r="J81" s="59"/>
      <c r="K81" s="11"/>
      <c r="L81" s="11"/>
      <c r="M81" s="11"/>
      <c r="N81" s="11"/>
      <c r="O81" s="129"/>
      <c r="P81" s="130"/>
      <c r="Q81" s="130"/>
      <c r="R81" s="130"/>
      <c r="S81" s="130"/>
      <c r="T81" s="130"/>
      <c r="U81" s="130"/>
      <c r="V81" s="130"/>
      <c r="W81" s="130"/>
      <c r="X81" s="130"/>
      <c r="Y81" s="130"/>
      <c r="Z81" s="130"/>
      <c r="AA81" s="130"/>
      <c r="AB81" s="131"/>
      <c r="AC81" s="11"/>
      <c r="AD81" s="129"/>
      <c r="AE81" s="130"/>
      <c r="AF81" s="131"/>
      <c r="AG81" s="129"/>
      <c r="AH81" s="130"/>
      <c r="AI81" s="131"/>
      <c r="AJ81" s="11"/>
      <c r="AK81" s="11"/>
      <c r="AL81" s="11"/>
      <c r="AM81" s="11"/>
      <c r="AN81" s="11"/>
      <c r="AO81" s="11"/>
    </row>
    <row r="82" spans="1:41" x14ac:dyDescent="0.25">
      <c r="A82" s="62" t="s">
        <v>0</v>
      </c>
      <c r="B82" s="63" t="s">
        <v>1</v>
      </c>
      <c r="C82" s="11"/>
      <c r="D82" s="11"/>
      <c r="E82" s="11"/>
      <c r="F82" s="11"/>
      <c r="G82" s="11"/>
      <c r="H82" s="11" t="s">
        <v>82</v>
      </c>
      <c r="I82" s="59" t="str">
        <f>IF(_epmOfflineCondition_,"B1",_xll.EVPRO($B$1,$H82,"STYLE"))</f>
        <v>B1</v>
      </c>
      <c r="J82" s="59" t="str">
        <f>IF(_epmOfflineCondition_,"Y",_xll.EVPRO($B$1,$H82,"CALC"))</f>
        <v>Y</v>
      </c>
      <c r="K82" s="11"/>
      <c r="L82" s="11"/>
      <c r="M82" s="11"/>
      <c r="N82" s="105" t="str">
        <f>IF(_epmOfflineCondition_,"Other Expenses",IF(_xll.EVDES(H82,$B$1)="#NODATA","",_xll.EVDES(H82,$B$1)))</f>
        <v>Other Expenses</v>
      </c>
      <c r="O82" s="119"/>
      <c r="P82" s="120"/>
      <c r="Q82" s="120"/>
      <c r="R82" s="120"/>
      <c r="S82" s="120"/>
      <c r="T82" s="120"/>
      <c r="U82" s="120"/>
      <c r="V82" s="120"/>
      <c r="W82" s="120"/>
      <c r="X82" s="120"/>
      <c r="Y82" s="120"/>
      <c r="Z82" s="120"/>
      <c r="AA82" s="120"/>
      <c r="AB82" s="121"/>
      <c r="AC82" s="11"/>
      <c r="AD82" s="119"/>
      <c r="AE82" s="120"/>
      <c r="AF82" s="121"/>
      <c r="AG82" s="119"/>
      <c r="AH82" s="120"/>
      <c r="AI82" s="121"/>
      <c r="AJ82" s="11"/>
      <c r="AK82" s="11"/>
      <c r="AL82" s="11"/>
      <c r="AM82" s="11"/>
      <c r="AN82" s="11"/>
      <c r="AO82" s="11"/>
    </row>
    <row r="83" spans="1:41" hidden="1" x14ac:dyDescent="0.25">
      <c r="A83" s="65" t="s">
        <v>2</v>
      </c>
      <c r="B83" s="66" t="str">
        <f>IF(_epmOfflineCondition_,"'Venue6'!$B$2:$B$10",_xll.EVRNG($B$2:$B$10))</f>
        <v>'Venue6'!$B$2:$B$10</v>
      </c>
      <c r="C83" s="11"/>
      <c r="D83" s="11"/>
      <c r="E83" s="11"/>
      <c r="F83" s="11"/>
      <c r="G83" s="11"/>
      <c r="H83" s="88" t="s">
        <v>667</v>
      </c>
      <c r="I83" s="122" t="str">
        <f>IF(_epmOfflineCondition_,"",_xll.EVPRO($B$1,$H83,"STYLE"))</f>
        <v/>
      </c>
      <c r="J83" s="122" t="str">
        <f>IF(_epmOfflineCondition_,"",_xll.EVPRO($B$1,$H83,"CALC"))</f>
        <v/>
      </c>
      <c r="K83" s="179" t="str">
        <f>IF(AND(I83&lt;&gt;"B1",J83="Y"),"&gt;","")</f>
        <v/>
      </c>
      <c r="L83" s="90" t="str">
        <f>IF(_epmOfflineCondition_,"",_xll.EVPRO($B$1,H83,"JDEID"))</f>
        <v/>
      </c>
      <c r="M83" s="90" t="str">
        <f>IF(_epmOfflineCondition_,"",IF(AND(I83="N",J83="N"),_xll.EVPRO($B$1,H83,"PSFTID"),""))</f>
        <v/>
      </c>
      <c r="N83" s="90" t="str">
        <f>IF(_epmOfflineCondition_,"",IF(_xll.EVDES(H83,$B$1)="#NODATA","",_xll.EVDES(H83,$B$1)))</f>
        <v/>
      </c>
      <c r="O83" s="138"/>
      <c r="P83" s="138"/>
      <c r="Q83" s="138"/>
      <c r="R83" s="138"/>
      <c r="S83" s="138"/>
      <c r="T83" s="138"/>
      <c r="U83" s="138"/>
      <c r="V83" s="138"/>
      <c r="W83" s="138"/>
      <c r="X83" s="138"/>
      <c r="Y83" s="138"/>
      <c r="Z83" s="138"/>
      <c r="AA83" s="210">
        <f>IF($I83="B1","",SUM(O83:Z83))</f>
        <v>0</v>
      </c>
      <c r="AB83" s="142" t="str">
        <f>IF(AA83=0,"",IFERROR(AA83/AA$19,""))</f>
        <v/>
      </c>
      <c r="AC83" s="140"/>
      <c r="AD83" s="138"/>
      <c r="AE83" s="142" t="str">
        <f>IF(AD83=0,"",IFERROR(AD83/AD$19,""))</f>
        <v/>
      </c>
      <c r="AF83" s="141">
        <f>IF(AND($AA83="",AD83=""),"",$AA83-AD83)</f>
        <v>0</v>
      </c>
      <c r="AG83" s="138"/>
      <c r="AH83" s="142" t="str">
        <f>IF(AG83=0,"",IFERROR(AG83/AG$19,""))</f>
        <v/>
      </c>
      <c r="AI83" s="141">
        <f>IF(AND($AA83="",AG83=""),"",$AA83-AG83)</f>
        <v>0</v>
      </c>
      <c r="AJ83" s="462">
        <f>IFERROR(AA83/AA$20,0)</f>
        <v>0</v>
      </c>
      <c r="AK83" s="463">
        <f>IFERROR(AD83/AD$20,0)</f>
        <v>0</v>
      </c>
      <c r="AL83" s="464">
        <f>IFERROR(AG83/AG$20,0)</f>
        <v>0</v>
      </c>
      <c r="AM83" s="465">
        <f>+IFERROR(ROUND(($AB83-AE83)*100,2)&amp;" pts.",0)</f>
        <v>0</v>
      </c>
      <c r="AN83" s="466">
        <f>+IFERROR(ROUND(($AB83-AH83)*100,2)&amp;" pts.",0)</f>
        <v>0</v>
      </c>
      <c r="AO83" s="11"/>
    </row>
    <row r="84" spans="1:41" hidden="1" x14ac:dyDescent="0.25">
      <c r="A84" s="65" t="s">
        <v>3</v>
      </c>
      <c r="B84" s="66" t="str">
        <f>IF(_epmOfflineCondition_,"'Venue6'!$O$16:$AN$18",_xll.EVRNG($O$16:$AN$18))</f>
        <v>'Venue6'!$O$16:$AN$18</v>
      </c>
      <c r="C84" s="11"/>
      <c r="D84" s="11"/>
      <c r="E84" s="11"/>
      <c r="F84" s="11"/>
      <c r="G84" s="11"/>
      <c r="H84" s="88"/>
      <c r="I84" s="122" t="str">
        <f>IF(_epmOfflineCondition_,"",_xll.EVPRO($B$1,$H84,"STYLE"))</f>
        <v/>
      </c>
      <c r="J84" s="122" t="str">
        <f>IF(_epmOfflineCondition_,"",_xll.EVPRO($B$1,$H84,"CALC"))</f>
        <v/>
      </c>
      <c r="K84" s="179" t="str">
        <f>IF(AND(I84&lt;&gt;"B1",J84="Y"),"&gt;","")</f>
        <v/>
      </c>
      <c r="L84" s="90" t="str">
        <f>IF(_epmOfflineCondition_,"",_xll.EVPRO($B$1,H84,"JDEID"))</f>
        <v/>
      </c>
      <c r="M84" s="90" t="str">
        <f>IF(_epmOfflineCondition_,"",IF(AND(I84="N",J84="N"),_xll.EVPRO($B$1,H84,"PSFTID"),""))</f>
        <v/>
      </c>
      <c r="N84" s="90" t="str">
        <f>IF(_epmOfflineCondition_,"",IF(_xll.EVDES(H84,$B$1)="#NODATA","",_xll.EVDES(H84,$B$1)))</f>
        <v/>
      </c>
      <c r="O84" s="138"/>
      <c r="P84" s="138"/>
      <c r="Q84" s="138"/>
      <c r="R84" s="138"/>
      <c r="S84" s="138"/>
      <c r="T84" s="138"/>
      <c r="U84" s="138"/>
      <c r="V84" s="138"/>
      <c r="W84" s="138"/>
      <c r="X84" s="138"/>
      <c r="Y84" s="138"/>
      <c r="Z84" s="138"/>
      <c r="AA84" s="210">
        <f>IF($I84="B1","",SUM(O84:Z84))</f>
        <v>0</v>
      </c>
      <c r="AB84" s="142" t="str">
        <f>IF(AA84=0,"",IFERROR(AA84/AA$19,""))</f>
        <v/>
      </c>
      <c r="AC84" s="140"/>
      <c r="AD84" s="138"/>
      <c r="AE84" s="142" t="str">
        <f>IF(AD84=0,"",IFERROR(AD84/AD$19,""))</f>
        <v/>
      </c>
      <c r="AF84" s="141">
        <f>IF(AND($AA84="",AD84=""),"",$AA84-AD84)</f>
        <v>0</v>
      </c>
      <c r="AG84" s="138"/>
      <c r="AH84" s="142" t="str">
        <f>IF(AG84=0,"",IFERROR(AG84/AG$19,""))</f>
        <v/>
      </c>
      <c r="AI84" s="141">
        <f>IF(AND($AA84="",AG84=""),"",$AA84-AG84)</f>
        <v>0</v>
      </c>
      <c r="AJ84" s="462">
        <f>IFERROR(AA84/AA$20,0)</f>
        <v>0</v>
      </c>
      <c r="AK84" s="463">
        <f>IFERROR(AD84/AD$20,0)</f>
        <v>0</v>
      </c>
      <c r="AL84" s="464">
        <f>IFERROR(AG84/AG$20,0)</f>
        <v>0</v>
      </c>
      <c r="AM84" s="465">
        <f>+IFERROR(ROUND(($AB84-AE84)*100,2)&amp;" pts.",0)</f>
        <v>0</v>
      </c>
      <c r="AN84" s="466">
        <f>+IFERROR(ROUND(($AB84-AH84)*100,2)&amp;" pts.",0)</f>
        <v>0</v>
      </c>
      <c r="AO84" s="11"/>
    </row>
    <row r="85" spans="1:41" x14ac:dyDescent="0.25">
      <c r="A85" s="65" t="s">
        <v>4</v>
      </c>
      <c r="B85" s="66" t="str">
        <f>IF(_epmOfflineCondition_,"'Venue6'!$H$76:$H$77,'Venue6'!$H$79:$H$80,'Venue6'!$H$83:$H$84",_xll.EVRNG(H76:H77,H79:H80,H83:H84))</f>
        <v>'Venue6'!$H$76:$H$77,'Venue6'!$H$79:$H$80,'Venue6'!$H$83:$H$84</v>
      </c>
      <c r="C85" s="11"/>
      <c r="D85" s="11"/>
      <c r="E85" s="11"/>
      <c r="F85" s="11"/>
      <c r="G85" s="11"/>
      <c r="H85" s="88" t="s">
        <v>79</v>
      </c>
      <c r="I85" s="136" t="str">
        <f>IF(_epmOfflineCondition_,"T3",_xll.EVPRO($B$1,$H85,"STYLE"))</f>
        <v>T3</v>
      </c>
      <c r="J85" s="136" t="str">
        <f>IF(_epmOfflineCondition_,"Y",_xll.EVPRO($B$1,$H85,"CALC"))</f>
        <v>Y</v>
      </c>
      <c r="K85" s="104"/>
      <c r="L85" s="104"/>
      <c r="M85" s="104"/>
      <c r="N85" s="106" t="str">
        <f>IF(_epmOfflineCondition_,"Total Operations Expense",IF(_xll.EVDES(H85,$B$1)="#NODATA","",_xll.EVDES(H85,$B$1)))</f>
        <v>Total Operations Expense</v>
      </c>
      <c r="O85" s="150"/>
      <c r="P85" s="150"/>
      <c r="Q85" s="150"/>
      <c r="R85" s="150"/>
      <c r="S85" s="150"/>
      <c r="T85" s="150"/>
      <c r="U85" s="150"/>
      <c r="V85" s="150"/>
      <c r="W85" s="150"/>
      <c r="X85" s="150"/>
      <c r="Y85" s="150"/>
      <c r="Z85" s="150"/>
      <c r="AA85" s="150">
        <f>IF($I85="B1","",SUM(O85:Z85))</f>
        <v>0</v>
      </c>
      <c r="AB85" s="151" t="str">
        <f>IF(AA85=0,"",IFERROR(AA85/AA$19,""))</f>
        <v/>
      </c>
      <c r="AC85" s="140"/>
      <c r="AD85" s="150"/>
      <c r="AE85" s="151" t="str">
        <f>IF(AD85=0,"",IFERROR(AD85/AD$19,""))</f>
        <v/>
      </c>
      <c r="AF85" s="152">
        <f>IF(AND($AA85="",AD85=""),"",$AA85-AD85)</f>
        <v>0</v>
      </c>
      <c r="AG85" s="150"/>
      <c r="AH85" s="151" t="str">
        <f>IF(AG85=0,"",IFERROR(AG85/AG$19,""))</f>
        <v/>
      </c>
      <c r="AI85" s="152">
        <f>IF(AND($AA85="",AG85=""),"",$AA85-AG85)</f>
        <v>0</v>
      </c>
      <c r="AJ85" s="446">
        <f>IFERROR(AA85/AA$20,0)</f>
        <v>0</v>
      </c>
      <c r="AK85" s="447">
        <f>IFERROR(AD85/AD$20,0)</f>
        <v>0</v>
      </c>
      <c r="AL85" s="448">
        <f>IFERROR(AG85/AG$20,0)</f>
        <v>0</v>
      </c>
      <c r="AM85" s="449">
        <f>+IFERROR(ROUND(($AB85-AE85)*100,2)&amp;" pts.",0)</f>
        <v>0</v>
      </c>
      <c r="AN85" s="546">
        <f>+IFERROR(ROUND(($AB85-AH85)*100,2)&amp;" pts.",0)</f>
        <v>0</v>
      </c>
      <c r="AO85" s="11"/>
    </row>
    <row r="86" spans="1:41" x14ac:dyDescent="0.25">
      <c r="A86" s="65" t="s">
        <v>5</v>
      </c>
      <c r="B86" s="66"/>
      <c r="C86" s="11"/>
      <c r="D86" s="11"/>
      <c r="E86" s="11"/>
      <c r="F86" s="11"/>
      <c r="G86" s="11"/>
      <c r="H86" s="11"/>
      <c r="I86" s="59"/>
      <c r="J86" s="59"/>
      <c r="K86" s="11"/>
      <c r="L86" s="11"/>
      <c r="M86" s="11"/>
      <c r="N86" s="11"/>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1"/>
    </row>
    <row r="87" spans="1:41" x14ac:dyDescent="0.25">
      <c r="A87" s="65" t="s">
        <v>6</v>
      </c>
      <c r="B87" s="66"/>
      <c r="C87" s="11"/>
      <c r="D87" s="11"/>
      <c r="E87" s="11"/>
      <c r="F87" s="11"/>
      <c r="G87" s="11"/>
      <c r="H87" s="88" t="s">
        <v>80</v>
      </c>
      <c r="I87" s="136" t="str">
        <f>IF(_epmOfflineCondition_,"T3",_xll.EVPRO($B$1,$H87,"STYLE"))</f>
        <v>T3</v>
      </c>
      <c r="J87" s="136" t="str">
        <f>IF(_epmOfflineCondition_,"Y",_xll.EVPRO($B$1,$H87,"CALC"))</f>
        <v>Y</v>
      </c>
      <c r="K87" s="106"/>
      <c r="L87" s="106"/>
      <c r="M87" s="106"/>
      <c r="N87" s="106" t="str">
        <f>IF(_epmOfflineCondition_,"Total Expenses",IF(_xll.EVDES(H87,$B$1)="#NODATA","",_xll.EVDES(H87,$B$1)))</f>
        <v>Total Expenses</v>
      </c>
      <c r="O87" s="242"/>
      <c r="P87" s="242"/>
      <c r="Q87" s="242"/>
      <c r="R87" s="242"/>
      <c r="S87" s="242"/>
      <c r="T87" s="242"/>
      <c r="U87" s="242"/>
      <c r="V87" s="242"/>
      <c r="W87" s="242"/>
      <c r="X87" s="242"/>
      <c r="Y87" s="242"/>
      <c r="Z87" s="242"/>
      <c r="AA87" s="242">
        <f>IF($I87="B1","",SUM(O87:Z87))</f>
        <v>0</v>
      </c>
      <c r="AB87" s="243" t="str">
        <f>IF(AA87=0,"",IFERROR(AA87/AA$19,""))</f>
        <v/>
      </c>
      <c r="AC87" s="140"/>
      <c r="AD87" s="242"/>
      <c r="AE87" s="243" t="str">
        <f>IF(AD87=0,"",IFERROR(AD87/AD$19,""))</f>
        <v/>
      </c>
      <c r="AF87" s="254">
        <f>IF(AND($AA87="",AD87=""),"",$AA87-AD87)</f>
        <v>0</v>
      </c>
      <c r="AG87" s="255"/>
      <c r="AH87" s="256" t="str">
        <f>IF(AG87=0,"",IFERROR(AG87/AG$19,""))</f>
        <v/>
      </c>
      <c r="AI87" s="254">
        <f>IF(AND($AA87="",AG87=""),"",$AA87-AG87)</f>
        <v>0</v>
      </c>
      <c r="AJ87" s="435">
        <f>IFERROR(AA87/AA$20,0)</f>
        <v>0</v>
      </c>
      <c r="AK87" s="436">
        <f>IFERROR(AD87/AD$20,0)</f>
        <v>0</v>
      </c>
      <c r="AL87" s="437">
        <f>IFERROR(AG87/AG$20,0)</f>
        <v>0</v>
      </c>
      <c r="AM87" s="438">
        <f>+IFERROR(ROUND(($AB87-AE87)*100,2)&amp;" pts.",0)</f>
        <v>0</v>
      </c>
      <c r="AN87" s="547">
        <f>+IFERROR(ROUND(($AB87-AH87)*100,2)&amp;" pts.",0)</f>
        <v>0</v>
      </c>
      <c r="AO87" s="11"/>
    </row>
    <row r="88" spans="1:41" ht="15.75" thickBot="1" x14ac:dyDescent="0.3">
      <c r="A88" s="65" t="s">
        <v>7</v>
      </c>
      <c r="B88" s="66" t="str">
        <f>IF(_epmOfflineCondition_,"'Venue6'!$A$102:$F$108",_xll.EVRNG(A102:F108))</f>
        <v>'Venue6'!$A$102:$F$108</v>
      </c>
      <c r="C88" s="11"/>
      <c r="D88" s="11"/>
      <c r="E88" s="11"/>
      <c r="F88" s="11"/>
      <c r="G88" s="11"/>
      <c r="H88" s="88" t="s">
        <v>81</v>
      </c>
      <c r="I88" s="136" t="str">
        <f>IF(_epmOfflineCondition_,"T3",_xll.EVPRO($B$1,$H88,"STYLE"))</f>
        <v>T3</v>
      </c>
      <c r="J88" s="136" t="str">
        <f>IF(_epmOfflineCondition_,"Y",_xll.EVPRO($B$1,$H88,"CALC"))</f>
        <v>Y</v>
      </c>
      <c r="K88" s="106"/>
      <c r="L88" s="106"/>
      <c r="M88" s="106"/>
      <c r="N88" s="106" t="str">
        <f>IF(_epmOfflineCondition_,"Department Profit (Loss)",IF(_xll.EVDES(H88,$B$1)="#NODATA","",_xll.EVDES(H88,$B$1)))</f>
        <v>Department Profit (Loss)</v>
      </c>
      <c r="O88" s="165"/>
      <c r="P88" s="165"/>
      <c r="Q88" s="165"/>
      <c r="R88" s="165"/>
      <c r="S88" s="165"/>
      <c r="T88" s="165"/>
      <c r="U88" s="165"/>
      <c r="V88" s="165"/>
      <c r="W88" s="165"/>
      <c r="X88" s="165"/>
      <c r="Y88" s="165"/>
      <c r="Z88" s="165"/>
      <c r="AA88" s="165">
        <f>IF($I88="B1","",SUM(O88:Z88))</f>
        <v>0</v>
      </c>
      <c r="AB88" s="166" t="str">
        <f>IF(AA88=0,"",IFERROR(AA88/AA$19,""))</f>
        <v/>
      </c>
      <c r="AC88" s="140"/>
      <c r="AD88" s="165"/>
      <c r="AE88" s="166" t="str">
        <f>IF(AD88=0,"",IFERROR(AD88/AD$19,""))</f>
        <v/>
      </c>
      <c r="AF88" s="167">
        <f>IF(AND($AA88="",AD88=""),"",$AA88-AD88)</f>
        <v>0</v>
      </c>
      <c r="AG88" s="165"/>
      <c r="AH88" s="166" t="str">
        <f>IF(AG88=0,"",IFERROR(AG88/AG$19,""))</f>
        <v/>
      </c>
      <c r="AI88" s="167">
        <f>IF(AND($AA88="",AG88=""),"",$AA88-AG88)</f>
        <v>0</v>
      </c>
      <c r="AJ88" s="452">
        <f>IFERROR(AA88/AA$20,0)</f>
        <v>0</v>
      </c>
      <c r="AK88" s="453">
        <f>IFERROR(AD88/AD$20,0)</f>
        <v>0</v>
      </c>
      <c r="AL88" s="454">
        <f>IFERROR(AG88/AG$20,0)</f>
        <v>0</v>
      </c>
      <c r="AM88" s="455">
        <f>+IFERROR(ROUND(($AB88-AE88)*100,2)&amp;" pts.",0)</f>
        <v>0</v>
      </c>
      <c r="AN88" s="548">
        <f>+IFERROR(ROUND(($AB88-AH88)*100,2)&amp;" pts.",0)</f>
        <v>0</v>
      </c>
      <c r="AO88" s="11"/>
    </row>
    <row r="89" spans="1:41" ht="15.75" thickTop="1" x14ac:dyDescent="0.25">
      <c r="A89" s="65" t="s">
        <v>47</v>
      </c>
      <c r="B89" s="66" t="str">
        <f>IF(_epmOfflineCondition_,"'Venue6'!$A$125:$B$146",_xll.EVRNG($A$125:$B$146))</f>
        <v>'Venue6'!$A$125:$B$146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8</v>
      </c>
      <c r="B90" s="66"/>
      <c r="C90" s="11"/>
      <c r="D90" s="11"/>
      <c r="E90" s="11"/>
      <c r="F90" s="11"/>
      <c r="G90" s="11"/>
      <c r="H90" s="11"/>
      <c r="I90" s="59"/>
      <c r="J90" s="59"/>
      <c r="K90" s="11"/>
      <c r="L90" s="11"/>
      <c r="M90" s="11"/>
      <c r="N90" s="104" t="str">
        <f>N87&amp;" - Check"</f>
        <v>Total Expenses - Check</v>
      </c>
      <c r="O90" s="209">
        <f t="shared" ref="O90:AA90" si="22">SUMIF($H$35:$H$88,"600000",O$35:O$88)+SUMIF($H$35:$H$88,"700000",O$35:O$88)-SUMIF($H$35:$H$88,"TOTDEPTEXP",O$35:O$88)</f>
        <v>0</v>
      </c>
      <c r="P90" s="209">
        <f t="shared" si="22"/>
        <v>0</v>
      </c>
      <c r="Q90" s="209">
        <f t="shared" si="22"/>
        <v>0</v>
      </c>
      <c r="R90" s="209">
        <f t="shared" si="22"/>
        <v>0</v>
      </c>
      <c r="S90" s="209">
        <f t="shared" si="22"/>
        <v>0</v>
      </c>
      <c r="T90" s="209">
        <f t="shared" si="22"/>
        <v>0</v>
      </c>
      <c r="U90" s="209">
        <f t="shared" si="22"/>
        <v>0</v>
      </c>
      <c r="V90" s="209">
        <f t="shared" si="22"/>
        <v>0</v>
      </c>
      <c r="W90" s="209">
        <f t="shared" si="22"/>
        <v>0</v>
      </c>
      <c r="X90" s="209">
        <f t="shared" si="22"/>
        <v>0</v>
      </c>
      <c r="Y90" s="209">
        <f t="shared" si="22"/>
        <v>0</v>
      </c>
      <c r="Z90" s="209">
        <f t="shared" si="22"/>
        <v>0</v>
      </c>
      <c r="AA90" s="209">
        <f t="shared" si="22"/>
        <v>0</v>
      </c>
      <c r="AB90" s="100"/>
      <c r="AC90" s="11"/>
      <c r="AD90" s="209">
        <f>SUMIF($H$35:$H$88,"600000",AD$35:AD$88)+SUMIF($H$35:$H$88,"700000",AD$35:AD$88)-SUMIF($H$35:$H$88,"TOTDEPTEXP",AD$35:AD$88)</f>
        <v>0</v>
      </c>
      <c r="AE90" s="100"/>
      <c r="AF90" s="91"/>
      <c r="AG90" s="209">
        <f>SUMIF($H$35:$H$88,"600000",AG$35:AG$88)+SUMIF($H$35:$H$88,"700000",AG$35:AG$88)-SUMIF($H$35:$H$88,"TOTDEPTEXP",AG$35:AG$88)</f>
        <v>0</v>
      </c>
      <c r="AH90" s="100"/>
      <c r="AI90" s="91"/>
      <c r="AJ90" s="11"/>
      <c r="AK90" s="11"/>
      <c r="AL90" s="11"/>
      <c r="AM90" s="11"/>
      <c r="AN90" s="11"/>
      <c r="AO90" s="11"/>
    </row>
    <row r="91" spans="1:41" x14ac:dyDescent="0.25">
      <c r="A91" s="11"/>
      <c r="B91" s="11"/>
      <c r="C91" s="11"/>
      <c r="D91" s="11"/>
      <c r="E91" s="11"/>
      <c r="F91" s="11"/>
      <c r="G91" s="76"/>
      <c r="H91" s="11"/>
      <c r="I91" s="59"/>
      <c r="J91" s="59"/>
      <c r="K91" s="11"/>
      <c r="L91" s="11"/>
      <c r="M91" s="11"/>
      <c r="N91" s="104" t="str">
        <f>N88&amp;" - Check"</f>
        <v>Department Profit (Loss) - Check</v>
      </c>
      <c r="O91" s="209">
        <f t="shared" ref="O91:AA91" si="23">SUMIF($H$35:$H$88,"KPI_GP",O$35:O$88)-SUMIF($H$35:$H$88,"TOTDEPTEXP",O$35:O$88)-SUMIF($H$35:$H$88,"TOTDEPTPL",O$35:O$88)</f>
        <v>0</v>
      </c>
      <c r="P91" s="209">
        <f t="shared" si="23"/>
        <v>0</v>
      </c>
      <c r="Q91" s="209">
        <f t="shared" si="23"/>
        <v>0</v>
      </c>
      <c r="R91" s="209">
        <f t="shared" si="23"/>
        <v>0</v>
      </c>
      <c r="S91" s="209">
        <f t="shared" si="23"/>
        <v>0</v>
      </c>
      <c r="T91" s="209">
        <f t="shared" si="23"/>
        <v>0</v>
      </c>
      <c r="U91" s="209">
        <f t="shared" si="23"/>
        <v>0</v>
      </c>
      <c r="V91" s="209">
        <f t="shared" si="23"/>
        <v>0</v>
      </c>
      <c r="W91" s="209">
        <f t="shared" si="23"/>
        <v>0</v>
      </c>
      <c r="X91" s="209">
        <f t="shared" si="23"/>
        <v>0</v>
      </c>
      <c r="Y91" s="209">
        <f t="shared" si="23"/>
        <v>0</v>
      </c>
      <c r="Z91" s="209">
        <f t="shared" si="23"/>
        <v>0</v>
      </c>
      <c r="AA91" s="209">
        <f t="shared" si="23"/>
        <v>0</v>
      </c>
      <c r="AB91" s="100"/>
      <c r="AC91" s="11"/>
      <c r="AD91" s="209">
        <f>SUMIF($H$35:$H$88,"KPI_GP",AD$35:AD$88)-SUMIF($H$35:$H$88,"TOTDEPTEXP",AD$35:AD$88)-SUMIF($H$35:$H$88,"TOTDEPTPL",AD$35:AD$88)</f>
        <v>0</v>
      </c>
      <c r="AE91" s="100"/>
      <c r="AF91" s="91"/>
      <c r="AG91" s="209">
        <f>SUMIF($H$35:$H$88,"KPI_GP",AG$35:AG$88)-SUMIF($H$35:$H$88,"TOTDEPTEXP",AG$35:AG$88)-SUMIF($H$35:$H$88,"TOTDEPTPL",AG$35:AG$88)</f>
        <v>0</v>
      </c>
      <c r="AH91" s="100"/>
      <c r="AI91" s="91"/>
      <c r="AJ91" s="11"/>
      <c r="AK91" s="11"/>
      <c r="AL91" s="11"/>
      <c r="AM91" s="11"/>
      <c r="AN91" s="11"/>
      <c r="AO91" s="11"/>
    </row>
    <row r="92" spans="1:41" x14ac:dyDescent="0.2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5" t="s">
        <v>11</v>
      </c>
      <c r="B93" s="66" t="s">
        <v>21</v>
      </c>
      <c r="C93" s="11"/>
      <c r="D93" s="11"/>
      <c r="E93" s="11"/>
      <c r="F93" s="11"/>
      <c r="G93" s="11"/>
      <c r="H93" s="11"/>
      <c r="I93" s="59"/>
      <c r="J93" s="59"/>
      <c r="K93" s="11"/>
      <c r="L93" s="11"/>
      <c r="M93" s="11"/>
      <c r="N93" s="11"/>
      <c r="O93" s="137"/>
      <c r="P93" s="137"/>
      <c r="Q93" s="137"/>
      <c r="R93" s="137"/>
      <c r="S93" s="137"/>
      <c r="T93" s="137"/>
      <c r="U93" s="137"/>
      <c r="V93" s="137"/>
      <c r="W93" s="137"/>
      <c r="X93" s="137"/>
      <c r="Y93" s="137"/>
      <c r="Z93" s="137"/>
      <c r="AA93" s="137"/>
      <c r="AB93" s="11"/>
      <c r="AC93" s="11"/>
      <c r="AD93" s="137"/>
      <c r="AE93" s="11"/>
      <c r="AF93" s="11"/>
      <c r="AG93" s="137"/>
      <c r="AH93" s="11"/>
      <c r="AI93" s="11"/>
      <c r="AJ93" s="11"/>
      <c r="AK93" s="11"/>
      <c r="AL93" s="11"/>
      <c r="AM93" s="11"/>
      <c r="AN93" s="11"/>
      <c r="AO93" s="11"/>
    </row>
    <row r="94" spans="1:41" x14ac:dyDescent="0.2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13</v>
      </c>
      <c r="B95" s="66" t="s">
        <v>737</v>
      </c>
      <c r="C95" s="11"/>
      <c r="D95" s="11"/>
      <c r="E95" s="11"/>
      <c r="F95" s="11"/>
      <c r="G95" s="11"/>
      <c r="H95" s="11"/>
      <c r="I95" s="59"/>
      <c r="J95" s="59"/>
      <c r="K95" s="11"/>
      <c r="L95" s="11"/>
      <c r="M95" s="11"/>
      <c r="N95" s="11"/>
      <c r="O95" s="137"/>
      <c r="P95" s="137"/>
      <c r="Q95" s="137"/>
      <c r="R95" s="137"/>
      <c r="S95" s="137"/>
      <c r="T95" s="137"/>
      <c r="U95" s="137"/>
      <c r="V95" s="137"/>
      <c r="W95" s="137"/>
      <c r="X95" s="137"/>
      <c r="Y95" s="137"/>
      <c r="Z95" s="137"/>
      <c r="AA95" s="137"/>
      <c r="AB95" s="11"/>
      <c r="AC95" s="11"/>
      <c r="AD95" s="137"/>
      <c r="AE95" s="11"/>
      <c r="AF95" s="11"/>
      <c r="AG95" s="137"/>
      <c r="AH95" s="11"/>
      <c r="AI95" s="11"/>
      <c r="AJ95" s="11"/>
      <c r="AK95" s="11"/>
      <c r="AL95" s="11"/>
      <c r="AM95" s="11"/>
      <c r="AN95" s="11"/>
      <c r="AO95" s="11"/>
    </row>
    <row r="96" spans="1:41" x14ac:dyDescent="0.2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t="s">
        <v>109</v>
      </c>
      <c r="B105" s="11"/>
      <c r="C105" s="106" t="s">
        <v>101</v>
      </c>
      <c r="D105" s="11" t="s">
        <v>106</v>
      </c>
      <c r="E105" s="11"/>
      <c r="F105" s="11" t="s">
        <v>98</v>
      </c>
      <c r="G105" s="76"/>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t="s">
        <v>110</v>
      </c>
      <c r="B108" s="11"/>
      <c r="C108" s="109" t="s">
        <v>101</v>
      </c>
      <c r="D108" s="11" t="s">
        <v>107</v>
      </c>
      <c r="E108" s="11"/>
      <c r="F108" s="11" t="s">
        <v>99</v>
      </c>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208"/>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1" t="str">
        <f>IF(_epmOfflineCondition_,"Evdre:Ok",_xll.EVDRE($B$1,A114:B121))</f>
        <v>Evdre:Ok</v>
      </c>
      <c r="B111" s="11" t="s">
        <v>736</v>
      </c>
      <c r="C111" s="11"/>
      <c r="D111" s="11"/>
      <c r="E111" s="11"/>
      <c r="F111" s="11"/>
      <c r="G111" s="76"/>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2" t="s">
        <v>0</v>
      </c>
      <c r="B113" s="63" t="s">
        <v>1</v>
      </c>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5" t="s">
        <v>2</v>
      </c>
      <c r="B114" s="66" t="str">
        <f>IF(_epmOfflineCondition_,"'Venue6'!$B$2:$B$10",_xll.EVRNG($B$2:$B$10))</f>
        <v>'Venue6'!$B$2:$B$10</v>
      </c>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3</v>
      </c>
      <c r="B115" s="66" t="str">
        <f>IF(_epmOfflineCondition_,"'Venue6'!$O$16:$AN$18",_xll.EVRNG($O$16:$AN$18))</f>
        <v>'Venue6'!$O$16:$AN$18</v>
      </c>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4</v>
      </c>
      <c r="B116" s="66" t="str">
        <f>IF(_epmOfflineCondition_,"'Venue6'!$H$85:$H$88",_xll.EVRNG(H85:H88))</f>
        <v>'Venue6'!$H$85:$H$88</v>
      </c>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5</v>
      </c>
      <c r="B117" s="66"/>
      <c r="C117" s="11"/>
      <c r="D117" s="11"/>
      <c r="E117" s="11"/>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47</v>
      </c>
      <c r="B120" s="66" t="str">
        <f>IF(_epmOfflineCondition_,"'Venue6'!$A$125:$B$146",_xll.EVRNG($A$125:$B$146))</f>
        <v>'Venue6'!$A$125:$B$146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267"/>
      <c r="J161" s="11"/>
      <c r="K161" s="267"/>
      <c r="L161" s="267"/>
      <c r="M161" s="267"/>
      <c r="N161" s="11"/>
      <c r="O161" s="267"/>
      <c r="P161" s="267"/>
      <c r="Q161" s="267"/>
      <c r="R161" s="267"/>
      <c r="S161" s="267"/>
      <c r="T161" s="267"/>
      <c r="U161" s="267"/>
      <c r="V161" s="267"/>
      <c r="W161" s="267"/>
      <c r="X161" s="267"/>
      <c r="Y161" s="267"/>
      <c r="Z161" s="267"/>
      <c r="AA161" s="267"/>
      <c r="AB161" s="11"/>
      <c r="AC161" s="11"/>
      <c r="AD161" s="267"/>
      <c r="AE161" s="11"/>
      <c r="AF161" s="267"/>
      <c r="AG161" s="11"/>
      <c r="AH161" s="267"/>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2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2vZfiir5OlSLqvBf8jW6ggTw3LPIhO1oYXlemprVN2FUjTcT/VrcVZBuUGZag6vRGtjkpLNUy0HUJT7oDV6Ymg==" saltValue="SRvSQt0BrNPvnPhIz7NTGg==" spinCount="100000" sheet="1" scenarios="1"/>
  <mergeCells count="2">
    <mergeCell ref="AD31:AE31"/>
    <mergeCell ref="AG31:AH31"/>
  </mergeCells>
  <dataValidations count="2">
    <dataValidation type="list" allowBlank="1" sqref="B29 B95 B62" xr:uid="{00000000-0002-0000-1100-000000000000}">
      <formula1>"SELF,ALL,BAS,DEP,BASMEMBERS,MEMBERS,NOEXPAND,GDEP"</formula1>
    </dataValidation>
    <dataValidation type="list" allowBlank="1" sqref="B28 B94 B61" xr:uid="{00000000-0002-0000-11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32449"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32449" r:id="rId7" name="FPMExcelClientSheetOptionstb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5">
    <tabColor theme="6" tint="0.39997558519241921"/>
    <pageSetUpPr fitToPage="1"/>
  </sheetPr>
  <dimension ref="A1:AI211"/>
  <sheetViews>
    <sheetView topLeftCell="K25" zoomScale="85" zoomScaleNormal="85" workbookViewId="0">
      <pane xSplit="4" ySplit="8" topLeftCell="O33" activePane="bottomRight" state="frozen"/>
      <selection activeCell="M11" sqref="M11:Z18"/>
      <selection pane="topRight" activeCell="M11" sqref="M11:Z18"/>
      <selection pane="bottomLeft" activeCell="M11" sqref="M11:Z18"/>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t="str">
        <f>Venue6!N1</f>
        <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788</v>
      </c>
      <c r="C6" s="11" t="str">
        <f>IF(_epmOfflineCondition_,"Venue 6",_xll.EVDES(B6,$B$1))</f>
        <v>Venue 6</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IF(_epmOfflineCondition_,"'Venue6_KPI'!$B$2:$B$10",_xll.EVRNG($B$2:$B$10))</f>
        <v>'Venue6_KPI'!$B$2:$B$10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IF(_epmOfflineCondition_,"'Venue6_KPI'!$O$16:$AI$18",_xll.EVRNG(O16:AI18))</f>
        <v>'Venue6_KPI'!$O$16:$AI$18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IF(_epmOfflineCondition_,"'Venue6_KPI'!$H$35:$H$146",_xll.EVRNG(H35:H146))</f>
        <v>'Venue6_KPI'!$H$35:$H$146</v>
      </c>
      <c r="C19" s="11"/>
      <c r="D19" s="11"/>
      <c r="E19" s="11"/>
      <c r="F19" s="11"/>
      <c r="G19" s="67" t="str">
        <f>$B$6</f>
        <v>D2144</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25">
      <c r="A20" s="65" t="s">
        <v>5</v>
      </c>
      <c r="B20" s="66"/>
      <c r="C20" s="11"/>
      <c r="D20" s="11"/>
      <c r="E20" s="11"/>
      <c r="F20" s="11"/>
      <c r="G20" s="67" t="str">
        <f>$B$6</f>
        <v>D2144</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IF(_epmOfflineCondition_,"'Venue6_KPI'!$A$37:$B$58",_xll.EVRNG($A$37:$B$58))</f>
        <v>'Venue6_KPI'!$A$37:$B$58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IF(_epmOfflineCondition_,"Venue 6 Department",IF($N$1="",IF(_xll.EVDES(B6,$B$1)="#NODATA","",_xll.EVDES(B6,$B$1)&amp;" Department"),$N$1))</f>
        <v>Venue 6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c r="P35" s="138"/>
      <c r="Q35" s="138"/>
      <c r="R35" s="138"/>
      <c r="S35" s="138"/>
      <c r="T35" s="138"/>
      <c r="U35" s="138"/>
      <c r="V35" s="138"/>
      <c r="W35" s="138"/>
      <c r="X35" s="138"/>
      <c r="Y35" s="138"/>
      <c r="Z35" s="138"/>
      <c r="AA35" s="138">
        <f t="shared" ref="AA35:AA41" si="0">SUM(O35:Z35)</f>
        <v>0</v>
      </c>
      <c r="AB35" s="142" t="str">
        <f>IF(AA35=0,"",IFERROR(AA35/AA$19,""))</f>
        <v/>
      </c>
      <c r="AC35" s="140"/>
      <c r="AD35" s="138"/>
      <c r="AE35" s="142" t="str">
        <f>IF(AD35=0,"",IFERROR(AD35/AD$19,""))</f>
        <v/>
      </c>
      <c r="AF35" s="141">
        <f t="shared" ref="AF35:AF42" si="1">IF(AND($AA35="",AD35=""),"",$AA35-AD35)</f>
        <v>0</v>
      </c>
      <c r="AG35" s="138"/>
      <c r="AH35" s="142" t="str">
        <f>IF(AG35=0,"",IFERROR(AG35/AG$19,""))</f>
        <v/>
      </c>
      <c r="AI35" s="141">
        <f t="shared" ref="AI35:AI42" si="2">IF(AND($AA35="",AG35=""),"",$AA35-AG35)</f>
        <v>0</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c r="P36" s="138"/>
      <c r="Q36" s="138"/>
      <c r="R36" s="138"/>
      <c r="S36" s="138"/>
      <c r="T36" s="138"/>
      <c r="U36" s="138"/>
      <c r="V36" s="138"/>
      <c r="W36" s="138"/>
      <c r="X36" s="138"/>
      <c r="Y36" s="138"/>
      <c r="Z36" s="138"/>
      <c r="AA36" s="138">
        <f t="shared" si="0"/>
        <v>0</v>
      </c>
      <c r="AB36" s="142" t="str">
        <f>IF(AA36=0,"",IFERROR(AA36/AA$19,""))</f>
        <v/>
      </c>
      <c r="AC36" s="140"/>
      <c r="AD36" s="138"/>
      <c r="AE36" s="142" t="str">
        <f>IF(AD36=0,"",IFERROR(AD36/AD$19,""))</f>
        <v/>
      </c>
      <c r="AF36" s="141">
        <f t="shared" si="1"/>
        <v>0</v>
      </c>
      <c r="AG36" s="138"/>
      <c r="AH36" s="142" t="str">
        <f>IF(AG36=0,"",IFERROR(AG36/AG$19,""))</f>
        <v/>
      </c>
      <c r="AI36" s="141">
        <f t="shared" si="2"/>
        <v>0</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c r="P37" s="138"/>
      <c r="Q37" s="138"/>
      <c r="R37" s="138"/>
      <c r="S37" s="138"/>
      <c r="T37" s="138"/>
      <c r="U37" s="138"/>
      <c r="V37" s="138"/>
      <c r="W37" s="138"/>
      <c r="X37" s="138"/>
      <c r="Y37" s="138"/>
      <c r="Z37" s="138"/>
      <c r="AA37" s="138">
        <f t="shared" si="0"/>
        <v>0</v>
      </c>
      <c r="AB37" s="142" t="str">
        <f>IF(AA37=0,"",IFERROR(AA37/AA$19,""))</f>
        <v/>
      </c>
      <c r="AC37" s="140"/>
      <c r="AD37" s="138"/>
      <c r="AE37" s="142" t="str">
        <f>IF(AD37=0,"",IFERROR(AD37/AD$19,""))</f>
        <v/>
      </c>
      <c r="AF37" s="141">
        <f t="shared" si="1"/>
        <v>0</v>
      </c>
      <c r="AG37" s="138"/>
      <c r="AH37" s="142" t="str">
        <f>IF(AG37=0,"",IFERROR(AG37/AG$19,""))</f>
        <v/>
      </c>
      <c r="AI37" s="141">
        <f t="shared" si="2"/>
        <v>0</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c r="P38" s="215"/>
      <c r="Q38" s="215"/>
      <c r="R38" s="215"/>
      <c r="S38" s="215"/>
      <c r="T38" s="215"/>
      <c r="U38" s="215"/>
      <c r="V38" s="215"/>
      <c r="W38" s="215"/>
      <c r="X38" s="215"/>
      <c r="Y38" s="215"/>
      <c r="Z38" s="215"/>
      <c r="AA38" s="215">
        <f t="shared" si="0"/>
        <v>0</v>
      </c>
      <c r="AB38" s="217" t="str">
        <f>IF(AA38=0,"",IFERROR(AA38/AA$19,""))</f>
        <v/>
      </c>
      <c r="AC38" s="140"/>
      <c r="AD38" s="215"/>
      <c r="AE38" s="217" t="str">
        <f>IF(AD38=0,"",IFERROR(AD38/AD$19,""))</f>
        <v/>
      </c>
      <c r="AF38" s="218">
        <f t="shared" si="1"/>
        <v>0</v>
      </c>
      <c r="AG38" s="215"/>
      <c r="AH38" s="217" t="str">
        <f>IF(AG38=0,"",IFERROR(AG38/AG$19,""))</f>
        <v/>
      </c>
      <c r="AI38" s="218">
        <f t="shared" si="2"/>
        <v>0</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c r="P39" s="162"/>
      <c r="Q39" s="162"/>
      <c r="R39" s="162"/>
      <c r="S39" s="162"/>
      <c r="T39" s="162"/>
      <c r="U39" s="162"/>
      <c r="V39" s="162"/>
      <c r="W39" s="162"/>
      <c r="X39" s="162"/>
      <c r="Y39" s="162"/>
      <c r="Z39" s="162"/>
      <c r="AA39" s="162">
        <f t="shared" si="0"/>
        <v>0</v>
      </c>
      <c r="AB39" s="163" t="str">
        <f>IF(AA39=0,"",IFERROR(AA39/AA$19,""))</f>
        <v/>
      </c>
      <c r="AC39" s="140"/>
      <c r="AD39" s="162"/>
      <c r="AE39" s="163" t="str">
        <f>IF(AD39=0,"",IFERROR(AD39/AD$19,""))</f>
        <v/>
      </c>
      <c r="AF39" s="164">
        <f t="shared" si="1"/>
        <v>0</v>
      </c>
      <c r="AG39" s="162"/>
      <c r="AH39" s="163" t="str">
        <f>IF(AG39=0,"",IFERROR(AG39/AG$19,""))</f>
        <v/>
      </c>
      <c r="AI39" s="164">
        <f t="shared" si="2"/>
        <v>0</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c r="P40" s="231"/>
      <c r="Q40" s="231"/>
      <c r="R40" s="231"/>
      <c r="S40" s="231"/>
      <c r="T40" s="231"/>
      <c r="U40" s="231"/>
      <c r="V40" s="231"/>
      <c r="W40" s="231"/>
      <c r="X40" s="231"/>
      <c r="Y40" s="231"/>
      <c r="Z40" s="231"/>
      <c r="AA40" s="231">
        <f t="shared" si="0"/>
        <v>0</v>
      </c>
      <c r="AB40" s="233"/>
      <c r="AC40" s="140"/>
      <c r="AD40" s="231"/>
      <c r="AE40" s="233"/>
      <c r="AF40" s="234">
        <f t="shared" si="1"/>
        <v>0</v>
      </c>
      <c r="AG40" s="231"/>
      <c r="AH40" s="233"/>
      <c r="AI40" s="234">
        <f t="shared" si="2"/>
        <v>0</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c r="P41" s="231"/>
      <c r="Q41" s="231"/>
      <c r="R41" s="231"/>
      <c r="S41" s="231"/>
      <c r="T41" s="231"/>
      <c r="U41" s="231"/>
      <c r="V41" s="231"/>
      <c r="W41" s="231"/>
      <c r="X41" s="231"/>
      <c r="Y41" s="231"/>
      <c r="Z41" s="231"/>
      <c r="AA41" s="231">
        <f t="shared" si="0"/>
        <v>0</v>
      </c>
      <c r="AB41" s="233" t="str">
        <f>IF(AA41=0,"",IFERROR(AA41/AA$87,""))</f>
        <v/>
      </c>
      <c r="AC41" s="140"/>
      <c r="AD41" s="231"/>
      <c r="AE41" s="233" t="str">
        <f>IF(AD41=0,"",IFERROR(AD41/AD$87,""))</f>
        <v/>
      </c>
      <c r="AF41" s="234">
        <f t="shared" si="1"/>
        <v>0</v>
      </c>
      <c r="AG41" s="231"/>
      <c r="AH41" s="233" t="str">
        <f>IF(AG41=0,"",IFERROR(AG41/AG$87,""))</f>
        <v/>
      </c>
      <c r="AI41" s="234">
        <f t="shared" si="2"/>
        <v>0</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2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5"/>
      <c r="AG43" s="497">
        <f>ROUND(IFERROR(AG39/AG41,0),2)</f>
        <v>0</v>
      </c>
      <c r="AH43" s="498"/>
      <c r="AI43" s="155"/>
    </row>
    <row r="44" spans="1:35" x14ac:dyDescent="0.2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c r="P45" s="138"/>
      <c r="Q45" s="138"/>
      <c r="R45" s="138"/>
      <c r="S45" s="138"/>
      <c r="T45" s="138"/>
      <c r="U45" s="138"/>
      <c r="V45" s="138"/>
      <c r="W45" s="138"/>
      <c r="X45" s="138"/>
      <c r="Y45" s="138"/>
      <c r="Z45" s="138"/>
      <c r="AA45" s="138">
        <f t="shared" ref="AA45:AA51" si="5">SUM(O45:Z45)</f>
        <v>0</v>
      </c>
      <c r="AB45" s="142" t="str">
        <f>IF(AA45=0,"",IFERROR(AA45/AA$19,""))</f>
        <v/>
      </c>
      <c r="AC45" s="140"/>
      <c r="AD45" s="138"/>
      <c r="AE45" s="142" t="str">
        <f>IF(AD45=0,"",IFERROR(AD45/AD$19,""))</f>
        <v/>
      </c>
      <c r="AF45" s="141">
        <f t="shared" ref="AF45:AF52" si="6">IF(AND($AA45="",AD45=""),"",$AA45-AD45)</f>
        <v>0</v>
      </c>
      <c r="AG45" s="138"/>
      <c r="AH45" s="142" t="str">
        <f>IF(AG45=0,"",IFERROR(AG45/AG$19,""))</f>
        <v/>
      </c>
      <c r="AI45" s="141">
        <f t="shared" ref="AI45:AI52" si="7">IF(AND($AA45="",AG45=""),"",$AA45-AG45)</f>
        <v>0</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c r="P46" s="138"/>
      <c r="Q46" s="138"/>
      <c r="R46" s="138"/>
      <c r="S46" s="138"/>
      <c r="T46" s="138"/>
      <c r="U46" s="138"/>
      <c r="V46" s="138"/>
      <c r="W46" s="138"/>
      <c r="X46" s="138"/>
      <c r="Y46" s="138"/>
      <c r="Z46" s="138"/>
      <c r="AA46" s="138">
        <f t="shared" si="5"/>
        <v>0</v>
      </c>
      <c r="AB46" s="142" t="str">
        <f>IF(AA46=0,"",IFERROR(AA46/AA$19,""))</f>
        <v/>
      </c>
      <c r="AC46" s="140"/>
      <c r="AD46" s="138"/>
      <c r="AE46" s="142" t="str">
        <f>IF(AD46=0,"",IFERROR(AD46/AD$19,""))</f>
        <v/>
      </c>
      <c r="AF46" s="141">
        <f t="shared" si="6"/>
        <v>0</v>
      </c>
      <c r="AG46" s="138"/>
      <c r="AH46" s="142" t="str">
        <f>IF(AG46=0,"",IFERROR(AG46/AG$19,""))</f>
        <v/>
      </c>
      <c r="AI46" s="141">
        <f t="shared" si="7"/>
        <v>0</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c r="P47" s="138"/>
      <c r="Q47" s="138"/>
      <c r="R47" s="138"/>
      <c r="S47" s="138"/>
      <c r="T47" s="138"/>
      <c r="U47" s="138"/>
      <c r="V47" s="138"/>
      <c r="W47" s="138"/>
      <c r="X47" s="138"/>
      <c r="Y47" s="138"/>
      <c r="Z47" s="138"/>
      <c r="AA47" s="138">
        <f t="shared" si="5"/>
        <v>0</v>
      </c>
      <c r="AB47" s="142" t="str">
        <f>IF(AA47=0,"",IFERROR(AA47/AA$19,""))</f>
        <v/>
      </c>
      <c r="AC47" s="140"/>
      <c r="AD47" s="138"/>
      <c r="AE47" s="142" t="str">
        <f>IF(AD47=0,"",IFERROR(AD47/AD$19,""))</f>
        <v/>
      </c>
      <c r="AF47" s="141">
        <f t="shared" si="6"/>
        <v>0</v>
      </c>
      <c r="AG47" s="138"/>
      <c r="AH47" s="142" t="str">
        <f>IF(AG47=0,"",IFERROR(AG47/AG$19,""))</f>
        <v/>
      </c>
      <c r="AI47" s="141">
        <f t="shared" si="7"/>
        <v>0</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c r="P48" s="215"/>
      <c r="Q48" s="215"/>
      <c r="R48" s="215"/>
      <c r="S48" s="215"/>
      <c r="T48" s="215"/>
      <c r="U48" s="215"/>
      <c r="V48" s="215"/>
      <c r="W48" s="215"/>
      <c r="X48" s="215"/>
      <c r="Y48" s="215"/>
      <c r="Z48" s="215"/>
      <c r="AA48" s="215">
        <f t="shared" si="5"/>
        <v>0</v>
      </c>
      <c r="AB48" s="217" t="str">
        <f>IF(AA48=0,"",IFERROR(AA48/AA$19,""))</f>
        <v/>
      </c>
      <c r="AC48" s="140"/>
      <c r="AD48" s="215"/>
      <c r="AE48" s="217" t="str">
        <f>IF(AD48=0,"",IFERROR(AD48/AD$19,""))</f>
        <v/>
      </c>
      <c r="AF48" s="218">
        <f t="shared" si="6"/>
        <v>0</v>
      </c>
      <c r="AG48" s="215"/>
      <c r="AH48" s="217" t="str">
        <f>IF(AG48=0,"",IFERROR(AG48/AG$19,""))</f>
        <v/>
      </c>
      <c r="AI48" s="218">
        <f t="shared" si="7"/>
        <v>0</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c r="P49" s="162"/>
      <c r="Q49" s="162"/>
      <c r="R49" s="162"/>
      <c r="S49" s="162"/>
      <c r="T49" s="162"/>
      <c r="U49" s="162"/>
      <c r="V49" s="162"/>
      <c r="W49" s="162"/>
      <c r="X49" s="162"/>
      <c r="Y49" s="162"/>
      <c r="Z49" s="162"/>
      <c r="AA49" s="162">
        <f t="shared" si="5"/>
        <v>0</v>
      </c>
      <c r="AB49" s="163" t="str">
        <f>IF(AA49=0,"",IFERROR(AA49/AA$19,""))</f>
        <v/>
      </c>
      <c r="AC49" s="140"/>
      <c r="AD49" s="162"/>
      <c r="AE49" s="163" t="str">
        <f>IF(AD49=0,"",IFERROR(AD49/AD$19,""))</f>
        <v/>
      </c>
      <c r="AF49" s="164">
        <f t="shared" si="6"/>
        <v>0</v>
      </c>
      <c r="AG49" s="162"/>
      <c r="AH49" s="163" t="str">
        <f>IF(AG49=0,"",IFERROR(AG49/AG$19,""))</f>
        <v/>
      </c>
      <c r="AI49" s="164">
        <f t="shared" si="7"/>
        <v>0</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c r="P50" s="231"/>
      <c r="Q50" s="231"/>
      <c r="R50" s="231"/>
      <c r="S50" s="231"/>
      <c r="T50" s="231"/>
      <c r="U50" s="231"/>
      <c r="V50" s="231"/>
      <c r="W50" s="231"/>
      <c r="X50" s="231"/>
      <c r="Y50" s="231"/>
      <c r="Z50" s="231"/>
      <c r="AA50" s="231">
        <f t="shared" si="5"/>
        <v>0</v>
      </c>
      <c r="AB50" s="233"/>
      <c r="AC50" s="140"/>
      <c r="AD50" s="231"/>
      <c r="AE50" s="233"/>
      <c r="AF50" s="234">
        <f t="shared" si="6"/>
        <v>0</v>
      </c>
      <c r="AG50" s="231"/>
      <c r="AH50" s="233"/>
      <c r="AI50" s="234">
        <f t="shared" si="7"/>
        <v>0</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c r="P51" s="231"/>
      <c r="Q51" s="231"/>
      <c r="R51" s="231"/>
      <c r="S51" s="231"/>
      <c r="T51" s="231"/>
      <c r="U51" s="231"/>
      <c r="V51" s="231"/>
      <c r="W51" s="231"/>
      <c r="X51" s="231"/>
      <c r="Y51" s="231"/>
      <c r="Z51" s="231"/>
      <c r="AA51" s="231">
        <f t="shared" si="5"/>
        <v>0</v>
      </c>
      <c r="AB51" s="233" t="str">
        <f>IF(AA51=0,"",IFERROR(AA51/AA$87,""))</f>
        <v/>
      </c>
      <c r="AC51" s="140"/>
      <c r="AD51" s="231"/>
      <c r="AE51" s="233" t="str">
        <f>IF(AD51=0,"",IFERROR(AD51/AD$87,""))</f>
        <v/>
      </c>
      <c r="AF51" s="234">
        <f t="shared" si="6"/>
        <v>0</v>
      </c>
      <c r="AG51" s="231"/>
      <c r="AH51" s="233" t="str">
        <f>IF(AG51=0,"",IFERROR(AG51/AG$87,""))</f>
        <v/>
      </c>
      <c r="AI51" s="234">
        <f t="shared" si="7"/>
        <v>0</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2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5"/>
      <c r="AG53" s="497">
        <f>ROUND(IFERROR(AG49/AG51,0),2)</f>
        <v>0</v>
      </c>
      <c r="AH53" s="498"/>
      <c r="AI53" s="155"/>
    </row>
    <row r="54" spans="1:35" x14ac:dyDescent="0.2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c r="P55" s="138"/>
      <c r="Q55" s="138"/>
      <c r="R55" s="138"/>
      <c r="S55" s="138"/>
      <c r="T55" s="138"/>
      <c r="U55" s="138"/>
      <c r="V55" s="138"/>
      <c r="W55" s="138"/>
      <c r="X55" s="138"/>
      <c r="Y55" s="138"/>
      <c r="Z55" s="138"/>
      <c r="AA55" s="138">
        <f t="shared" ref="AA55:AA61" si="10">SUM(O55:Z55)</f>
        <v>0</v>
      </c>
      <c r="AB55" s="142" t="str">
        <f>IF(AA55=0,"",IFERROR(AA55/AA$19,""))</f>
        <v/>
      </c>
      <c r="AC55" s="140"/>
      <c r="AD55" s="138"/>
      <c r="AE55" s="142" t="str">
        <f>IF(AD55=0,"",IFERROR(AD55/AD$19,""))</f>
        <v/>
      </c>
      <c r="AF55" s="141">
        <f t="shared" ref="AF55:AF62" si="11">IF(AND($AA55="",AD55=""),"",$AA55-AD55)</f>
        <v>0</v>
      </c>
      <c r="AG55" s="138"/>
      <c r="AH55" s="142" t="str">
        <f>IF(AG55=0,"",IFERROR(AG55/AG$19,""))</f>
        <v/>
      </c>
      <c r="AI55" s="141">
        <f t="shared" ref="AI55:AI62" si="12">IF(AND($AA55="",AG55=""),"",$AA55-AG55)</f>
        <v>0</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c r="P56" s="138"/>
      <c r="Q56" s="138"/>
      <c r="R56" s="138"/>
      <c r="S56" s="138"/>
      <c r="T56" s="138"/>
      <c r="U56" s="138"/>
      <c r="V56" s="138"/>
      <c r="W56" s="138"/>
      <c r="X56" s="138"/>
      <c r="Y56" s="138"/>
      <c r="Z56" s="138"/>
      <c r="AA56" s="138">
        <f t="shared" si="10"/>
        <v>0</v>
      </c>
      <c r="AB56" s="142" t="str">
        <f>IF(AA56=0,"",IFERROR(AA56/AA$19,""))</f>
        <v/>
      </c>
      <c r="AC56" s="140"/>
      <c r="AD56" s="138"/>
      <c r="AE56" s="142" t="str">
        <f>IF(AD56=0,"",IFERROR(AD56/AD$19,""))</f>
        <v/>
      </c>
      <c r="AF56" s="141">
        <f t="shared" si="11"/>
        <v>0</v>
      </c>
      <c r="AG56" s="138"/>
      <c r="AH56" s="142" t="str">
        <f>IF(AG56=0,"",IFERROR(AG56/AG$19,""))</f>
        <v/>
      </c>
      <c r="AI56" s="141">
        <f t="shared" si="12"/>
        <v>0</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c r="P57" s="138"/>
      <c r="Q57" s="138"/>
      <c r="R57" s="138"/>
      <c r="S57" s="138"/>
      <c r="T57" s="138"/>
      <c r="U57" s="138"/>
      <c r="V57" s="138"/>
      <c r="W57" s="138"/>
      <c r="X57" s="138"/>
      <c r="Y57" s="138"/>
      <c r="Z57" s="138"/>
      <c r="AA57" s="138">
        <f t="shared" si="10"/>
        <v>0</v>
      </c>
      <c r="AB57" s="142" t="str">
        <f>IF(AA57=0,"",IFERROR(AA57/AA$19,""))</f>
        <v/>
      </c>
      <c r="AC57" s="140"/>
      <c r="AD57" s="138"/>
      <c r="AE57" s="142" t="str">
        <f>IF(AD57=0,"",IFERROR(AD57/AD$19,""))</f>
        <v/>
      </c>
      <c r="AF57" s="141">
        <f t="shared" si="11"/>
        <v>0</v>
      </c>
      <c r="AG57" s="138"/>
      <c r="AH57" s="142" t="str">
        <f>IF(AG57=0,"",IFERROR(AG57/AG$19,""))</f>
        <v/>
      </c>
      <c r="AI57" s="141">
        <f t="shared" si="12"/>
        <v>0</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c r="P58" s="215"/>
      <c r="Q58" s="215"/>
      <c r="R58" s="215"/>
      <c r="S58" s="215"/>
      <c r="T58" s="215"/>
      <c r="U58" s="215"/>
      <c r="V58" s="215"/>
      <c r="W58" s="215"/>
      <c r="X58" s="215"/>
      <c r="Y58" s="215"/>
      <c r="Z58" s="215"/>
      <c r="AA58" s="215">
        <f t="shared" si="10"/>
        <v>0</v>
      </c>
      <c r="AB58" s="217" t="str">
        <f>IF(AA58=0,"",IFERROR(AA58/AA$19,""))</f>
        <v/>
      </c>
      <c r="AC58" s="140"/>
      <c r="AD58" s="215"/>
      <c r="AE58" s="217" t="str">
        <f>IF(AD58=0,"",IFERROR(AD58/AD$19,""))</f>
        <v/>
      </c>
      <c r="AF58" s="218">
        <f t="shared" si="11"/>
        <v>0</v>
      </c>
      <c r="AG58" s="215"/>
      <c r="AH58" s="217" t="str">
        <f>IF(AG58=0,"",IFERROR(AG58/AG$19,""))</f>
        <v/>
      </c>
      <c r="AI58" s="218">
        <f t="shared" si="12"/>
        <v>0</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c r="P59" s="162"/>
      <c r="Q59" s="162"/>
      <c r="R59" s="162"/>
      <c r="S59" s="162"/>
      <c r="T59" s="162"/>
      <c r="U59" s="162"/>
      <c r="V59" s="162"/>
      <c r="W59" s="162"/>
      <c r="X59" s="162"/>
      <c r="Y59" s="162"/>
      <c r="Z59" s="162"/>
      <c r="AA59" s="162">
        <f t="shared" si="10"/>
        <v>0</v>
      </c>
      <c r="AB59" s="163" t="str">
        <f>IF(AA59=0,"",IFERROR(AA59/AA$19,""))</f>
        <v/>
      </c>
      <c r="AC59" s="140"/>
      <c r="AD59" s="162"/>
      <c r="AE59" s="163" t="str">
        <f>IF(AD59=0,"",IFERROR(AD59/AD$19,""))</f>
        <v/>
      </c>
      <c r="AF59" s="164">
        <f t="shared" si="11"/>
        <v>0</v>
      </c>
      <c r="AG59" s="162"/>
      <c r="AH59" s="163" t="str">
        <f>IF(AG59=0,"",IFERROR(AG59/AG$19,""))</f>
        <v/>
      </c>
      <c r="AI59" s="164">
        <f t="shared" si="12"/>
        <v>0</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c r="P60" s="231"/>
      <c r="Q60" s="231"/>
      <c r="R60" s="231"/>
      <c r="S60" s="231"/>
      <c r="T60" s="231"/>
      <c r="U60" s="231"/>
      <c r="V60" s="231"/>
      <c r="W60" s="231"/>
      <c r="X60" s="231"/>
      <c r="Y60" s="231"/>
      <c r="Z60" s="231"/>
      <c r="AA60" s="231">
        <f t="shared" si="10"/>
        <v>0</v>
      </c>
      <c r="AB60" s="233"/>
      <c r="AC60" s="140"/>
      <c r="AD60" s="231"/>
      <c r="AE60" s="233"/>
      <c r="AF60" s="234">
        <f t="shared" si="11"/>
        <v>0</v>
      </c>
      <c r="AG60" s="231"/>
      <c r="AH60" s="233"/>
      <c r="AI60" s="234">
        <f t="shared" si="12"/>
        <v>0</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c r="P61" s="231"/>
      <c r="Q61" s="231"/>
      <c r="R61" s="231"/>
      <c r="S61" s="231"/>
      <c r="T61" s="231"/>
      <c r="U61" s="231"/>
      <c r="V61" s="231"/>
      <c r="W61" s="231"/>
      <c r="X61" s="231"/>
      <c r="Y61" s="231"/>
      <c r="Z61" s="231"/>
      <c r="AA61" s="231">
        <f t="shared" si="10"/>
        <v>0</v>
      </c>
      <c r="AB61" s="233" t="str">
        <f>IF(AA61=0,"",IFERROR(AA61/AA$87,""))</f>
        <v/>
      </c>
      <c r="AC61" s="140"/>
      <c r="AD61" s="231"/>
      <c r="AE61" s="233" t="str">
        <f>IF(AD61=0,"",IFERROR(AD61/AD$87,""))</f>
        <v/>
      </c>
      <c r="AF61" s="234">
        <f t="shared" si="11"/>
        <v>0</v>
      </c>
      <c r="AG61" s="231"/>
      <c r="AH61" s="233" t="str">
        <f>IF(AG61=0,"",IFERROR(AG61/AG$87,""))</f>
        <v/>
      </c>
      <c r="AI61" s="234">
        <f t="shared" si="12"/>
        <v>0</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2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5"/>
      <c r="AG63" s="497">
        <f>ROUND(IFERROR(AG59/AG61,0),2)</f>
        <v>0</v>
      </c>
      <c r="AH63" s="498"/>
      <c r="AI63" s="155"/>
    </row>
    <row r="64" spans="1:35" x14ac:dyDescent="0.2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38"/>
      <c r="P65" s="138"/>
      <c r="Q65" s="138"/>
      <c r="R65" s="138"/>
      <c r="S65" s="138"/>
      <c r="T65" s="138"/>
      <c r="U65" s="138"/>
      <c r="V65" s="138"/>
      <c r="W65" s="138"/>
      <c r="X65" s="138"/>
      <c r="Y65" s="138"/>
      <c r="Z65" s="138"/>
      <c r="AA65" s="138">
        <f t="shared" ref="AA65:AA71" si="15">SUM(O65:Z65)</f>
        <v>0</v>
      </c>
      <c r="AB65" s="142" t="str">
        <f>IF(AA65=0,"",IFERROR(AA65/AA$19,""))</f>
        <v/>
      </c>
      <c r="AC65" s="140"/>
      <c r="AD65" s="138"/>
      <c r="AE65" s="142" t="str">
        <f>IF(AD65=0,"",IFERROR(AD65/AD$19,""))</f>
        <v/>
      </c>
      <c r="AF65" s="141">
        <f t="shared" ref="AF65:AF72" si="16">IF(AND($AA65="",AD65=""),"",$AA65-AD65)</f>
        <v>0</v>
      </c>
      <c r="AG65" s="138"/>
      <c r="AH65" s="142" t="str">
        <f>IF(AG65=0,"",IFERROR(AG65/AG$19,""))</f>
        <v/>
      </c>
      <c r="AI65" s="141">
        <f t="shared" ref="AI65:AI72" si="17">IF(AND($AA65="",AG65=""),"",$AA65-AG65)</f>
        <v>0</v>
      </c>
    </row>
    <row r="66" spans="1:35" x14ac:dyDescent="0.2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38"/>
      <c r="P66" s="138"/>
      <c r="Q66" s="138"/>
      <c r="R66" s="138"/>
      <c r="S66" s="138"/>
      <c r="T66" s="138"/>
      <c r="U66" s="138"/>
      <c r="V66" s="138"/>
      <c r="W66" s="138"/>
      <c r="X66" s="138"/>
      <c r="Y66" s="138"/>
      <c r="Z66" s="138"/>
      <c r="AA66" s="138">
        <f t="shared" si="15"/>
        <v>0</v>
      </c>
      <c r="AB66" s="142" t="str">
        <f>IF(AA66=0,"",IFERROR(AA66/AA$19,""))</f>
        <v/>
      </c>
      <c r="AC66" s="140"/>
      <c r="AD66" s="138"/>
      <c r="AE66" s="142" t="str">
        <f>IF(AD66=0,"",IFERROR(AD66/AD$19,""))</f>
        <v/>
      </c>
      <c r="AF66" s="141">
        <f t="shared" si="16"/>
        <v>0</v>
      </c>
      <c r="AG66" s="138"/>
      <c r="AH66" s="142" t="str">
        <f>IF(AG66=0,"",IFERROR(AG66/AG$19,""))</f>
        <v/>
      </c>
      <c r="AI66" s="141">
        <f t="shared" si="17"/>
        <v>0</v>
      </c>
    </row>
    <row r="67" spans="1:35" x14ac:dyDescent="0.2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38"/>
      <c r="P67" s="138"/>
      <c r="Q67" s="138"/>
      <c r="R67" s="138"/>
      <c r="S67" s="138"/>
      <c r="T67" s="138"/>
      <c r="U67" s="138"/>
      <c r="V67" s="138"/>
      <c r="W67" s="138"/>
      <c r="X67" s="138"/>
      <c r="Y67" s="138"/>
      <c r="Z67" s="138"/>
      <c r="AA67" s="138">
        <f t="shared" si="15"/>
        <v>0</v>
      </c>
      <c r="AB67" s="142" t="str">
        <f>IF(AA67=0,"",IFERROR(AA67/AA$19,""))</f>
        <v/>
      </c>
      <c r="AC67" s="140"/>
      <c r="AD67" s="138"/>
      <c r="AE67" s="142" t="str">
        <f>IF(AD67=0,"",IFERROR(AD67/AD$19,""))</f>
        <v/>
      </c>
      <c r="AF67" s="141">
        <f t="shared" si="16"/>
        <v>0</v>
      </c>
      <c r="AG67" s="138"/>
      <c r="AH67" s="142" t="str">
        <f>IF(AG67=0,"",IFERROR(AG67/AG$19,""))</f>
        <v/>
      </c>
      <c r="AI67" s="141">
        <f t="shared" si="17"/>
        <v>0</v>
      </c>
    </row>
    <row r="68" spans="1:35" x14ac:dyDescent="0.2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5"/>
      <c r="P68" s="215"/>
      <c r="Q68" s="215"/>
      <c r="R68" s="215"/>
      <c r="S68" s="215"/>
      <c r="T68" s="215"/>
      <c r="U68" s="215"/>
      <c r="V68" s="215"/>
      <c r="W68" s="215"/>
      <c r="X68" s="215"/>
      <c r="Y68" s="215"/>
      <c r="Z68" s="215"/>
      <c r="AA68" s="215">
        <f t="shared" si="15"/>
        <v>0</v>
      </c>
      <c r="AB68" s="217" t="str">
        <f>IF(AA68=0,"",IFERROR(AA68/AA$19,""))</f>
        <v/>
      </c>
      <c r="AC68" s="140"/>
      <c r="AD68" s="215"/>
      <c r="AE68" s="217" t="str">
        <f>IF(AD68=0,"",IFERROR(AD68/AD$19,""))</f>
        <v/>
      </c>
      <c r="AF68" s="218">
        <f t="shared" si="16"/>
        <v>0</v>
      </c>
      <c r="AG68" s="215"/>
      <c r="AH68" s="217" t="str">
        <f>IF(AG68=0,"",IFERROR(AG68/AG$19,""))</f>
        <v/>
      </c>
      <c r="AI68" s="218">
        <f t="shared" si="17"/>
        <v>0</v>
      </c>
    </row>
    <row r="69" spans="1:35" x14ac:dyDescent="0.2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2"/>
      <c r="P69" s="162"/>
      <c r="Q69" s="162"/>
      <c r="R69" s="162"/>
      <c r="S69" s="162"/>
      <c r="T69" s="162"/>
      <c r="U69" s="162"/>
      <c r="V69" s="162"/>
      <c r="W69" s="162"/>
      <c r="X69" s="162"/>
      <c r="Y69" s="162"/>
      <c r="Z69" s="162"/>
      <c r="AA69" s="162">
        <f t="shared" si="15"/>
        <v>0</v>
      </c>
      <c r="AB69" s="163" t="str">
        <f>IF(AA69=0,"",IFERROR(AA69/AA$19,""))</f>
        <v/>
      </c>
      <c r="AC69" s="140"/>
      <c r="AD69" s="162"/>
      <c r="AE69" s="163" t="str">
        <f>IF(AD69=0,"",IFERROR(AD69/AD$19,""))</f>
        <v/>
      </c>
      <c r="AF69" s="164">
        <f t="shared" si="16"/>
        <v>0</v>
      </c>
      <c r="AG69" s="162"/>
      <c r="AH69" s="163" t="str">
        <f>IF(AG69=0,"",IFERROR(AG69/AG$19,""))</f>
        <v/>
      </c>
      <c r="AI69" s="164">
        <f t="shared" si="17"/>
        <v>0</v>
      </c>
    </row>
    <row r="70" spans="1:35" x14ac:dyDescent="0.2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31"/>
      <c r="P70" s="231"/>
      <c r="Q70" s="231"/>
      <c r="R70" s="231"/>
      <c r="S70" s="231"/>
      <c r="T70" s="231"/>
      <c r="U70" s="231"/>
      <c r="V70" s="231"/>
      <c r="W70" s="231"/>
      <c r="X70" s="231"/>
      <c r="Y70" s="231"/>
      <c r="Z70" s="231"/>
      <c r="AA70" s="231">
        <f t="shared" si="15"/>
        <v>0</v>
      </c>
      <c r="AB70" s="233"/>
      <c r="AC70" s="140"/>
      <c r="AD70" s="231"/>
      <c r="AE70" s="233"/>
      <c r="AF70" s="234">
        <f t="shared" si="16"/>
        <v>0</v>
      </c>
      <c r="AG70" s="231"/>
      <c r="AH70" s="233"/>
      <c r="AI70" s="234">
        <f t="shared" si="17"/>
        <v>0</v>
      </c>
    </row>
    <row r="71" spans="1:35" x14ac:dyDescent="0.2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31"/>
      <c r="P71" s="231"/>
      <c r="Q71" s="231"/>
      <c r="R71" s="231"/>
      <c r="S71" s="231"/>
      <c r="T71" s="231"/>
      <c r="U71" s="231"/>
      <c r="V71" s="231"/>
      <c r="W71" s="231"/>
      <c r="X71" s="231"/>
      <c r="Y71" s="231"/>
      <c r="Z71" s="231"/>
      <c r="AA71" s="231">
        <f t="shared" si="15"/>
        <v>0</v>
      </c>
      <c r="AB71" s="233" t="str">
        <f>IF(AA71=0,"",IFERROR(AA71/AA$87,""))</f>
        <v/>
      </c>
      <c r="AC71" s="140"/>
      <c r="AD71" s="231"/>
      <c r="AE71" s="233" t="str">
        <f>IF(AD71=0,"",IFERROR(AD71/AD$87,""))</f>
        <v/>
      </c>
      <c r="AF71" s="234">
        <f t="shared" si="16"/>
        <v>0</v>
      </c>
      <c r="AG71" s="231"/>
      <c r="AH71" s="233" t="str">
        <f>IF(AG71=0,"",IFERROR(AG71/AG$87,""))</f>
        <v/>
      </c>
      <c r="AI71" s="234">
        <f t="shared" si="17"/>
        <v>0</v>
      </c>
    </row>
    <row r="72" spans="1:35" x14ac:dyDescent="0.2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2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5"/>
      <c r="AG73" s="497">
        <f>ROUND(IFERROR(AG69/AG71,0),2)</f>
        <v>0</v>
      </c>
      <c r="AH73" s="498"/>
      <c r="AI73" s="155"/>
    </row>
    <row r="74" spans="1:35" x14ac:dyDescent="0.2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2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38"/>
      <c r="P75" s="138"/>
      <c r="Q75" s="138"/>
      <c r="R75" s="138"/>
      <c r="S75" s="138"/>
      <c r="T75" s="138"/>
      <c r="U75" s="138"/>
      <c r="V75" s="138"/>
      <c r="W75" s="138"/>
      <c r="X75" s="138"/>
      <c r="Y75" s="138"/>
      <c r="Z75" s="138"/>
      <c r="AA75" s="138">
        <f t="shared" ref="AA75:AA80" si="20">SUM(O75:Z75)</f>
        <v>0</v>
      </c>
      <c r="AB75" s="142" t="str">
        <f>IF(AA75=0,"",IFERROR(AA75/AA$19,""))</f>
        <v/>
      </c>
      <c r="AC75" s="140"/>
      <c r="AD75" s="138"/>
      <c r="AE75" s="142" t="str">
        <f>IF(AD75=0,"",IFERROR(AD75/AD$19,""))</f>
        <v/>
      </c>
      <c r="AF75" s="141">
        <f t="shared" ref="AF75:AF81" si="21">IF(AND($AA75="",AD75=""),"",$AA75-AD75)</f>
        <v>0</v>
      </c>
      <c r="AG75" s="138"/>
      <c r="AH75" s="142" t="str">
        <f>IF(AG75=0,"",IFERROR(AG75/AG$19,""))</f>
        <v/>
      </c>
      <c r="AI75" s="141">
        <f t="shared" ref="AI75:AI81" si="22">IF(AND($AA75="",AG75=""),"",$AA75-AG75)</f>
        <v>0</v>
      </c>
    </row>
    <row r="76" spans="1:35" x14ac:dyDescent="0.2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38"/>
      <c r="P76" s="138"/>
      <c r="Q76" s="138"/>
      <c r="R76" s="138"/>
      <c r="S76" s="138"/>
      <c r="T76" s="138"/>
      <c r="U76" s="138"/>
      <c r="V76" s="138"/>
      <c r="W76" s="138"/>
      <c r="X76" s="138"/>
      <c r="Y76" s="138"/>
      <c r="Z76" s="138"/>
      <c r="AA76" s="138">
        <f t="shared" si="20"/>
        <v>0</v>
      </c>
      <c r="AB76" s="142" t="str">
        <f>IF(AA76=0,"",IFERROR(AA76/AA$19,""))</f>
        <v/>
      </c>
      <c r="AC76" s="140"/>
      <c r="AD76" s="138"/>
      <c r="AE76" s="142" t="str">
        <f>IF(AD76=0,"",IFERROR(AD76/AD$19,""))</f>
        <v/>
      </c>
      <c r="AF76" s="141">
        <f t="shared" si="21"/>
        <v>0</v>
      </c>
      <c r="AG76" s="138"/>
      <c r="AH76" s="142" t="str">
        <f>IF(AG76=0,"",IFERROR(AG76/AG$19,""))</f>
        <v/>
      </c>
      <c r="AI76" s="141">
        <f t="shared" si="22"/>
        <v>0</v>
      </c>
    </row>
    <row r="77" spans="1:35" x14ac:dyDescent="0.2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38"/>
      <c r="P77" s="138"/>
      <c r="Q77" s="138"/>
      <c r="R77" s="138"/>
      <c r="S77" s="138"/>
      <c r="T77" s="138"/>
      <c r="U77" s="138"/>
      <c r="V77" s="138"/>
      <c r="W77" s="138"/>
      <c r="X77" s="138"/>
      <c r="Y77" s="138"/>
      <c r="Z77" s="138"/>
      <c r="AA77" s="138">
        <f t="shared" si="20"/>
        <v>0</v>
      </c>
      <c r="AB77" s="142" t="str">
        <f>IF(AA77=0,"",IFERROR(AA77/AA$19,""))</f>
        <v/>
      </c>
      <c r="AC77" s="140"/>
      <c r="AD77" s="138"/>
      <c r="AE77" s="142" t="str">
        <f>IF(AD77=0,"",IFERROR(AD77/AD$19,""))</f>
        <v/>
      </c>
      <c r="AF77" s="141">
        <f t="shared" si="21"/>
        <v>0</v>
      </c>
      <c r="AG77" s="138"/>
      <c r="AH77" s="142" t="str">
        <f>IF(AG77=0,"",IFERROR(AG77/AG$19,""))</f>
        <v/>
      </c>
      <c r="AI77" s="141">
        <f t="shared" si="22"/>
        <v>0</v>
      </c>
    </row>
    <row r="78" spans="1:35" x14ac:dyDescent="0.2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5"/>
      <c r="P78" s="215"/>
      <c r="Q78" s="215"/>
      <c r="R78" s="215"/>
      <c r="S78" s="215"/>
      <c r="T78" s="215"/>
      <c r="U78" s="215"/>
      <c r="V78" s="215"/>
      <c r="W78" s="215"/>
      <c r="X78" s="215"/>
      <c r="Y78" s="215"/>
      <c r="Z78" s="215"/>
      <c r="AA78" s="215">
        <f t="shared" si="20"/>
        <v>0</v>
      </c>
      <c r="AB78" s="217" t="str">
        <f>IF(AA78=0,"",IFERROR(AA78/AA$19,""))</f>
        <v/>
      </c>
      <c r="AC78" s="140"/>
      <c r="AD78" s="215"/>
      <c r="AE78" s="217" t="str">
        <f>IF(AD78=0,"",IFERROR(AD78/AD$19,""))</f>
        <v/>
      </c>
      <c r="AF78" s="218">
        <f t="shared" si="21"/>
        <v>0</v>
      </c>
      <c r="AG78" s="215"/>
      <c r="AH78" s="217" t="str">
        <f>IF(AG78=0,"",IFERROR(AG78/AG$19,""))</f>
        <v/>
      </c>
      <c r="AI78" s="218">
        <f t="shared" si="22"/>
        <v>0</v>
      </c>
    </row>
    <row r="79" spans="1:35" x14ac:dyDescent="0.2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2"/>
      <c r="P79" s="162"/>
      <c r="Q79" s="162"/>
      <c r="R79" s="162"/>
      <c r="S79" s="162"/>
      <c r="T79" s="162"/>
      <c r="U79" s="162"/>
      <c r="V79" s="162"/>
      <c r="W79" s="162"/>
      <c r="X79" s="162"/>
      <c r="Y79" s="162"/>
      <c r="Z79" s="162"/>
      <c r="AA79" s="162">
        <f t="shared" si="20"/>
        <v>0</v>
      </c>
      <c r="AB79" s="163" t="str">
        <f>IF(AA79=0,"",IFERROR(AA79/AA$19,""))</f>
        <v/>
      </c>
      <c r="AC79" s="140"/>
      <c r="AD79" s="162"/>
      <c r="AE79" s="163" t="str">
        <f>IF(AD79=0,"",IFERROR(AD79/AD$19,""))</f>
        <v/>
      </c>
      <c r="AF79" s="164">
        <f t="shared" si="21"/>
        <v>0</v>
      </c>
      <c r="AG79" s="162"/>
      <c r="AH79" s="163" t="str">
        <f>IF(AG79=0,"",IFERROR(AG79/AG$19,""))</f>
        <v/>
      </c>
      <c r="AI79" s="164">
        <f t="shared" si="22"/>
        <v>0</v>
      </c>
    </row>
    <row r="80" spans="1:35" x14ac:dyDescent="0.2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31"/>
      <c r="P80" s="231"/>
      <c r="Q80" s="231"/>
      <c r="R80" s="231"/>
      <c r="S80" s="231"/>
      <c r="T80" s="231"/>
      <c r="U80" s="231"/>
      <c r="V80" s="231"/>
      <c r="W80" s="231"/>
      <c r="X80" s="231"/>
      <c r="Y80" s="231"/>
      <c r="Z80" s="231"/>
      <c r="AA80" s="231">
        <f t="shared" si="20"/>
        <v>0</v>
      </c>
      <c r="AB80" s="233" t="str">
        <f>IF(AA80=0,"",IFERROR(AA80/AA$87,""))</f>
        <v/>
      </c>
      <c r="AC80" s="140"/>
      <c r="AD80" s="231"/>
      <c r="AE80" s="233" t="str">
        <f>IF(AD80=0,"",IFERROR(AD80/AD$87,""))</f>
        <v/>
      </c>
      <c r="AF80" s="234">
        <f t="shared" si="21"/>
        <v>0</v>
      </c>
      <c r="AG80" s="231"/>
      <c r="AH80" s="233" t="str">
        <f>IF(AG80=0,"",IFERROR(AG80/AG$87,""))</f>
        <v/>
      </c>
      <c r="AI80" s="234">
        <f t="shared" si="22"/>
        <v>0</v>
      </c>
    </row>
    <row r="81" spans="1:35" x14ac:dyDescent="0.2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2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5"/>
      <c r="AG82" s="497">
        <f>ROUND(IFERROR(AG79/AG80,0),2)</f>
        <v>0</v>
      </c>
      <c r="AH82" s="498"/>
      <c r="AI82" s="155"/>
    </row>
    <row r="83" spans="1:35" x14ac:dyDescent="0.2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38"/>
      <c r="P83" s="138"/>
      <c r="Q83" s="138"/>
      <c r="R83" s="138"/>
      <c r="S83" s="138"/>
      <c r="T83" s="138"/>
      <c r="U83" s="138"/>
      <c r="V83" s="138"/>
      <c r="W83" s="138"/>
      <c r="X83" s="138"/>
      <c r="Y83" s="138"/>
      <c r="Z83" s="138"/>
      <c r="AA83" s="138">
        <f>SUM(O83:Z83)</f>
        <v>0</v>
      </c>
      <c r="AB83" s="142" t="str">
        <f>IF(AA83=0,"",IFERROR(AA83/AA$19,""))</f>
        <v/>
      </c>
      <c r="AC83" s="140"/>
      <c r="AD83" s="138"/>
      <c r="AE83" s="142" t="str">
        <f>IF(AD83=0,"",IFERROR(AD83/AD$19,""))</f>
        <v/>
      </c>
      <c r="AF83" s="141">
        <f>IF(AND($AA83="",AD83=""),"",$AA83-AD83)</f>
        <v>0</v>
      </c>
      <c r="AG83" s="138"/>
      <c r="AH83" s="142" t="str">
        <f>IF(AG83=0,"",IFERROR(AG83/AG$19,""))</f>
        <v/>
      </c>
      <c r="AI83" s="141">
        <f>IF(AND($AA83="",AG83=""),"",$AA83-AG83)</f>
        <v>0</v>
      </c>
    </row>
    <row r="84" spans="1:35" x14ac:dyDescent="0.2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2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2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2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2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25">
      <c r="A89" s="11"/>
      <c r="B89" s="11"/>
      <c r="C89" s="208"/>
      <c r="D89" s="11"/>
      <c r="E89" s="11"/>
      <c r="F89" s="11"/>
      <c r="G89" s="11"/>
      <c r="H89" s="185"/>
      <c r="I89" s="122"/>
      <c r="J89" s="122"/>
      <c r="K89" s="11"/>
      <c r="L89" s="90"/>
      <c r="M89" s="90"/>
      <c r="N89" s="90"/>
      <c r="O89" s="170"/>
      <c r="P89" s="171"/>
      <c r="Q89" s="171"/>
      <c r="R89" s="171"/>
      <c r="S89" s="171"/>
      <c r="T89" s="171"/>
      <c r="U89" s="171"/>
      <c r="V89" s="171"/>
      <c r="W89" s="171"/>
      <c r="X89" s="171"/>
      <c r="Y89" s="171"/>
      <c r="Z89" s="171"/>
      <c r="AA89" s="171"/>
      <c r="AB89" s="172"/>
      <c r="AC89" s="140"/>
      <c r="AD89" s="170"/>
      <c r="AE89" s="171"/>
      <c r="AF89" s="172"/>
      <c r="AG89" s="170"/>
      <c r="AH89" s="171"/>
      <c r="AI89" s="172"/>
    </row>
    <row r="90" spans="1:35" x14ac:dyDescent="0.25">
      <c r="A90" s="11"/>
      <c r="B90" s="11"/>
      <c r="C90" s="208"/>
      <c r="D90" s="11"/>
      <c r="E90" s="11"/>
      <c r="F90" s="11"/>
      <c r="G90" s="11"/>
      <c r="H90" s="185"/>
      <c r="I90" s="122"/>
      <c r="J90" s="122"/>
      <c r="K90" s="11"/>
      <c r="L90" s="90"/>
      <c r="M90" s="90"/>
      <c r="N90" s="53" t="s">
        <v>334</v>
      </c>
      <c r="O90" s="158"/>
      <c r="P90" s="159"/>
      <c r="Q90" s="159"/>
      <c r="R90" s="159"/>
      <c r="S90" s="159"/>
      <c r="T90" s="159"/>
      <c r="U90" s="159"/>
      <c r="V90" s="159"/>
      <c r="W90" s="159"/>
      <c r="X90" s="159"/>
      <c r="Y90" s="159"/>
      <c r="Z90" s="159"/>
      <c r="AA90" s="159"/>
      <c r="AB90" s="160"/>
      <c r="AC90" s="140"/>
      <c r="AD90" s="158"/>
      <c r="AE90" s="159"/>
      <c r="AF90" s="160"/>
      <c r="AG90" s="158"/>
      <c r="AH90" s="159"/>
      <c r="AI90" s="160"/>
    </row>
    <row r="91" spans="1:35" hidden="1" outlineLevel="1" x14ac:dyDescent="0.2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38"/>
      <c r="P91" s="138"/>
      <c r="Q91" s="138"/>
      <c r="R91" s="138"/>
      <c r="S91" s="138"/>
      <c r="T91" s="138"/>
      <c r="U91" s="138"/>
      <c r="V91" s="138"/>
      <c r="W91" s="138"/>
      <c r="X91" s="138"/>
      <c r="Y91" s="138"/>
      <c r="Z91" s="138"/>
      <c r="AA91" s="138">
        <f>SUM(O91:Z91)</f>
        <v>0</v>
      </c>
      <c r="AB91" s="142"/>
      <c r="AC91" s="140"/>
      <c r="AD91" s="138"/>
      <c r="AE91" s="142"/>
      <c r="AF91" s="141">
        <f>IF(AND($AA91="",AD91=""),"",$AA91-AD91)</f>
        <v>0</v>
      </c>
      <c r="AG91" s="138"/>
      <c r="AH91" s="142"/>
      <c r="AI91" s="141">
        <f>IF(AND($AA91="",AG91=""),"",$AA91-AG91)</f>
        <v>0</v>
      </c>
    </row>
    <row r="92" spans="1:35" hidden="1" outlineLevel="1" x14ac:dyDescent="0.2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38"/>
      <c r="P92" s="138"/>
      <c r="Q92" s="138"/>
      <c r="R92" s="138"/>
      <c r="S92" s="138"/>
      <c r="T92" s="138"/>
      <c r="U92" s="138"/>
      <c r="V92" s="138"/>
      <c r="W92" s="138"/>
      <c r="X92" s="138"/>
      <c r="Y92" s="138"/>
      <c r="Z92" s="138"/>
      <c r="AA92" s="138">
        <f>SUM(O92:Z92)</f>
        <v>0</v>
      </c>
      <c r="AB92" s="142"/>
      <c r="AC92" s="140"/>
      <c r="AD92" s="138"/>
      <c r="AE92" s="142"/>
      <c r="AF92" s="141">
        <f>IF(AND($AA92="",AD92=""),"",$AA92-AD92)</f>
        <v>0</v>
      </c>
      <c r="AG92" s="138"/>
      <c r="AH92" s="142"/>
      <c r="AI92" s="141">
        <f>IF(AND($AA92="",AG92=""),"",$AA92-AG92)</f>
        <v>0</v>
      </c>
    </row>
    <row r="93" spans="1:35" collapsed="1" x14ac:dyDescent="0.2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3" t="str">
        <f>IF(AND($AA93="",AD93=""),"",$AA93-AD93)</f>
        <v/>
      </c>
      <c r="AG93" s="510" t="str">
        <f>IFERROR(AG$87/AG91,"")</f>
        <v/>
      </c>
      <c r="AH93" s="511"/>
      <c r="AI93" s="213" t="str">
        <f>IF(AND($AA93="",AG93=""),"",$AA93-AG93)</f>
        <v/>
      </c>
    </row>
    <row r="94" spans="1:35" x14ac:dyDescent="0.2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3" t="str">
        <f>IF(AND($AA94="",AD94=""),"",$AA94-AD94)</f>
        <v/>
      </c>
      <c r="AG94" s="510" t="str">
        <f>IFERROR(AG$87/AG92,"")</f>
        <v/>
      </c>
      <c r="AH94" s="511"/>
      <c r="AI94" s="213" t="str">
        <f>IF(AND($AA94="",AG94=""),"",$AA94-AG94)</f>
        <v/>
      </c>
    </row>
    <row r="95" spans="1:35" x14ac:dyDescent="0.2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57"/>
      <c r="AC95" s="140"/>
      <c r="AD95" s="514"/>
      <c r="AE95" s="481"/>
      <c r="AF95" s="157"/>
      <c r="AG95" s="481"/>
      <c r="AH95" s="481"/>
      <c r="AI95" s="157"/>
    </row>
    <row r="96" spans="1:35" x14ac:dyDescent="0.25">
      <c r="A96" s="11"/>
      <c r="B96" s="11"/>
      <c r="C96" s="208"/>
      <c r="D96" s="11"/>
      <c r="E96" s="11"/>
      <c r="F96" s="11"/>
      <c r="G96" s="11"/>
      <c r="H96" s="185"/>
      <c r="I96" s="122"/>
      <c r="J96" s="122"/>
      <c r="K96" s="11"/>
      <c r="L96" s="90"/>
      <c r="M96" s="90"/>
      <c r="N96" s="53" t="s">
        <v>343</v>
      </c>
      <c r="O96" s="514"/>
      <c r="P96" s="481"/>
      <c r="Q96" s="481"/>
      <c r="R96" s="481"/>
      <c r="S96" s="481"/>
      <c r="T96" s="481"/>
      <c r="U96" s="481"/>
      <c r="V96" s="481"/>
      <c r="W96" s="481"/>
      <c r="X96" s="481"/>
      <c r="Y96" s="481"/>
      <c r="Z96" s="481"/>
      <c r="AA96" s="481"/>
      <c r="AB96" s="515"/>
      <c r="AC96" s="140"/>
      <c r="AD96" s="516"/>
      <c r="AE96" s="517"/>
      <c r="AF96" s="157"/>
      <c r="AG96" s="481"/>
      <c r="AH96" s="517"/>
      <c r="AI96" s="157"/>
    </row>
    <row r="97" spans="1:35" x14ac:dyDescent="0.25">
      <c r="A97" s="11"/>
      <c r="B97" s="11"/>
      <c r="C97" s="208"/>
      <c r="D97" s="11"/>
      <c r="E97" s="11"/>
      <c r="F97" s="11"/>
      <c r="G97" s="11"/>
      <c r="H97" s="185"/>
      <c r="I97" s="122"/>
      <c r="J97" s="122"/>
      <c r="K97" s="11"/>
      <c r="L97" s="90"/>
      <c r="M97" s="90"/>
      <c r="N97" s="53" t="s">
        <v>337</v>
      </c>
      <c r="O97" s="158"/>
      <c r="P97" s="159"/>
      <c r="Q97" s="159"/>
      <c r="R97" s="159"/>
      <c r="S97" s="159"/>
      <c r="T97" s="159"/>
      <c r="U97" s="159"/>
      <c r="V97" s="159"/>
      <c r="W97" s="159"/>
      <c r="X97" s="159"/>
      <c r="Y97" s="159"/>
      <c r="Z97" s="159"/>
      <c r="AA97" s="159"/>
      <c r="AB97" s="160"/>
      <c r="AC97" s="140"/>
      <c r="AD97" s="158"/>
      <c r="AE97" s="159"/>
      <c r="AF97" s="160"/>
      <c r="AG97" s="159"/>
      <c r="AH97" s="159"/>
      <c r="AI97" s="160"/>
    </row>
    <row r="98" spans="1:35" x14ac:dyDescent="0.2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38"/>
      <c r="P98" s="138"/>
      <c r="Q98" s="138"/>
      <c r="R98" s="138"/>
      <c r="S98" s="138"/>
      <c r="T98" s="138"/>
      <c r="U98" s="138"/>
      <c r="V98" s="138"/>
      <c r="W98" s="138"/>
      <c r="X98" s="138"/>
      <c r="Y98" s="138"/>
      <c r="Z98" s="138"/>
      <c r="AA98" s="138">
        <f t="shared" ref="AA98:AA103" si="27">SUM(O98:Z98)</f>
        <v>0</v>
      </c>
      <c r="AB98" s="142" t="str">
        <f t="shared" ref="AB98:AB103" si="28">IF(AA98=0,"",IFERROR(AA98/AA$19,""))</f>
        <v/>
      </c>
      <c r="AC98" s="140"/>
      <c r="AD98" s="138"/>
      <c r="AE98" s="142" t="str">
        <f t="shared" ref="AE98:AE103" si="29">IF(AD98=0,"",IFERROR(AD98/AD$19,""))</f>
        <v/>
      </c>
      <c r="AF98" s="141">
        <f t="shared" ref="AF98:AF103" si="30">IF(AND($AA98="",AD98=""),"",$AA98-AD98)</f>
        <v>0</v>
      </c>
      <c r="AG98" s="138"/>
      <c r="AH98" s="142" t="str">
        <f t="shared" ref="AH98:AH103" si="31">IF(AG98=0,"",IFERROR(AG98/AG$19,""))</f>
        <v/>
      </c>
      <c r="AI98" s="141">
        <f t="shared" ref="AI98:AI103" si="32">IF(AND($AA98="",AG98=""),"",$AA98-AG98)</f>
        <v>0</v>
      </c>
    </row>
    <row r="99" spans="1:35" x14ac:dyDescent="0.2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38"/>
      <c r="P99" s="138"/>
      <c r="Q99" s="138"/>
      <c r="R99" s="138"/>
      <c r="S99" s="138"/>
      <c r="T99" s="138"/>
      <c r="U99" s="138"/>
      <c r="V99" s="138"/>
      <c r="W99" s="138"/>
      <c r="X99" s="138"/>
      <c r="Y99" s="138"/>
      <c r="Z99" s="138"/>
      <c r="AA99" s="138">
        <f t="shared" si="27"/>
        <v>0</v>
      </c>
      <c r="AB99" s="142" t="str">
        <f t="shared" si="28"/>
        <v/>
      </c>
      <c r="AC99" s="140"/>
      <c r="AD99" s="138"/>
      <c r="AE99" s="142" t="str">
        <f t="shared" si="29"/>
        <v/>
      </c>
      <c r="AF99" s="141">
        <f t="shared" si="30"/>
        <v>0</v>
      </c>
      <c r="AG99" s="138"/>
      <c r="AH99" s="142" t="str">
        <f t="shared" si="31"/>
        <v/>
      </c>
      <c r="AI99" s="141">
        <f t="shared" si="32"/>
        <v>0</v>
      </c>
    </row>
    <row r="100" spans="1:35" x14ac:dyDescent="0.2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38"/>
      <c r="P100" s="138"/>
      <c r="Q100" s="138"/>
      <c r="R100" s="138"/>
      <c r="S100" s="138"/>
      <c r="T100" s="138"/>
      <c r="U100" s="138"/>
      <c r="V100" s="138"/>
      <c r="W100" s="138"/>
      <c r="X100" s="138"/>
      <c r="Y100" s="138"/>
      <c r="Z100" s="138"/>
      <c r="AA100" s="138">
        <f t="shared" si="27"/>
        <v>0</v>
      </c>
      <c r="AB100" s="142" t="str">
        <f t="shared" si="28"/>
        <v/>
      </c>
      <c r="AC100" s="140"/>
      <c r="AD100" s="138"/>
      <c r="AE100" s="142" t="str">
        <f t="shared" si="29"/>
        <v/>
      </c>
      <c r="AF100" s="141">
        <f t="shared" si="30"/>
        <v>0</v>
      </c>
      <c r="AG100" s="138"/>
      <c r="AH100" s="142" t="str">
        <f t="shared" si="31"/>
        <v/>
      </c>
      <c r="AI100" s="141">
        <f t="shared" si="32"/>
        <v>0</v>
      </c>
    </row>
    <row r="101" spans="1:35" x14ac:dyDescent="0.2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38"/>
      <c r="P101" s="138"/>
      <c r="Q101" s="138"/>
      <c r="R101" s="138"/>
      <c r="S101" s="138"/>
      <c r="T101" s="138"/>
      <c r="U101" s="138"/>
      <c r="V101" s="138"/>
      <c r="W101" s="138"/>
      <c r="X101" s="138"/>
      <c r="Y101" s="138"/>
      <c r="Z101" s="138"/>
      <c r="AA101" s="138">
        <f t="shared" si="27"/>
        <v>0</v>
      </c>
      <c r="AB101" s="142" t="str">
        <f t="shared" si="28"/>
        <v/>
      </c>
      <c r="AC101" s="140"/>
      <c r="AD101" s="138"/>
      <c r="AE101" s="142" t="str">
        <f t="shared" si="29"/>
        <v/>
      </c>
      <c r="AF101" s="141">
        <f t="shared" si="30"/>
        <v>0</v>
      </c>
      <c r="AG101" s="138"/>
      <c r="AH101" s="142" t="str">
        <f t="shared" si="31"/>
        <v/>
      </c>
      <c r="AI101" s="141">
        <f t="shared" si="32"/>
        <v>0</v>
      </c>
    </row>
    <row r="102" spans="1:35" x14ac:dyDescent="0.2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38"/>
      <c r="P102" s="138"/>
      <c r="Q102" s="138"/>
      <c r="R102" s="138"/>
      <c r="S102" s="138"/>
      <c r="T102" s="138"/>
      <c r="U102" s="138"/>
      <c r="V102" s="138"/>
      <c r="W102" s="138"/>
      <c r="X102" s="138"/>
      <c r="Y102" s="138"/>
      <c r="Z102" s="138"/>
      <c r="AA102" s="138">
        <f t="shared" si="27"/>
        <v>0</v>
      </c>
      <c r="AB102" s="142" t="str">
        <f t="shared" si="28"/>
        <v/>
      </c>
      <c r="AC102" s="140"/>
      <c r="AD102" s="138"/>
      <c r="AE102" s="142" t="str">
        <f t="shared" si="29"/>
        <v/>
      </c>
      <c r="AF102" s="141">
        <f t="shared" si="30"/>
        <v>0</v>
      </c>
      <c r="AG102" s="138"/>
      <c r="AH102" s="142" t="str">
        <f t="shared" si="31"/>
        <v/>
      </c>
      <c r="AI102" s="141">
        <f t="shared" si="32"/>
        <v>0</v>
      </c>
    </row>
    <row r="103" spans="1:35" x14ac:dyDescent="0.2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2"/>
      <c r="P103" s="162"/>
      <c r="Q103" s="162"/>
      <c r="R103" s="162"/>
      <c r="S103" s="162"/>
      <c r="T103" s="162"/>
      <c r="U103" s="162"/>
      <c r="V103" s="162"/>
      <c r="W103" s="162"/>
      <c r="X103" s="162"/>
      <c r="Y103" s="162"/>
      <c r="Z103" s="162"/>
      <c r="AA103" s="162">
        <f t="shared" si="27"/>
        <v>0</v>
      </c>
      <c r="AB103" s="163" t="str">
        <f t="shared" si="28"/>
        <v/>
      </c>
      <c r="AC103" s="140"/>
      <c r="AD103" s="162"/>
      <c r="AE103" s="163" t="str">
        <f t="shared" si="29"/>
        <v/>
      </c>
      <c r="AF103" s="164">
        <f t="shared" si="30"/>
        <v>0</v>
      </c>
      <c r="AG103" s="162"/>
      <c r="AH103" s="163" t="str">
        <f t="shared" si="31"/>
        <v/>
      </c>
      <c r="AI103" s="164">
        <f t="shared" si="32"/>
        <v>0</v>
      </c>
    </row>
    <row r="104" spans="1:35" x14ac:dyDescent="0.25">
      <c r="A104" s="11"/>
      <c r="B104" s="11"/>
      <c r="C104" s="208"/>
      <c r="D104" s="11"/>
      <c r="E104" s="11"/>
      <c r="F104" s="11"/>
      <c r="G104" s="11"/>
      <c r="H104" s="185"/>
      <c r="I104" s="122"/>
      <c r="J104" s="122"/>
      <c r="K104" s="11"/>
      <c r="L104" s="90"/>
      <c r="M104" s="90"/>
      <c r="N104" s="53"/>
      <c r="O104" s="170"/>
      <c r="P104" s="171"/>
      <c r="Q104" s="171"/>
      <c r="R104" s="171"/>
      <c r="S104" s="171"/>
      <c r="T104" s="171"/>
      <c r="U104" s="171"/>
      <c r="V104" s="171"/>
      <c r="W104" s="171"/>
      <c r="X104" s="171"/>
      <c r="Y104" s="171"/>
      <c r="Z104" s="171"/>
      <c r="AA104" s="171"/>
      <c r="AB104" s="172"/>
      <c r="AC104" s="140"/>
      <c r="AD104" s="170"/>
      <c r="AE104" s="171"/>
      <c r="AF104" s="172"/>
      <c r="AG104" s="170"/>
      <c r="AH104" s="171"/>
      <c r="AI104" s="172"/>
    </row>
    <row r="105" spans="1:35" x14ac:dyDescent="0.25">
      <c r="A105" s="11"/>
      <c r="B105" s="11"/>
      <c r="C105" s="208"/>
      <c r="D105" s="11"/>
      <c r="E105" s="11"/>
      <c r="F105" s="11"/>
      <c r="G105" s="11"/>
      <c r="H105" s="185"/>
      <c r="I105" s="122"/>
      <c r="J105" s="122"/>
      <c r="K105" s="11"/>
      <c r="L105" s="90"/>
      <c r="M105" s="90"/>
      <c r="N105" s="53" t="s">
        <v>339</v>
      </c>
      <c r="O105" s="158"/>
      <c r="P105" s="159"/>
      <c r="Q105" s="159"/>
      <c r="R105" s="159"/>
      <c r="S105" s="159"/>
      <c r="T105" s="159"/>
      <c r="U105" s="159"/>
      <c r="V105" s="159"/>
      <c r="W105" s="159"/>
      <c r="X105" s="159"/>
      <c r="Y105" s="159"/>
      <c r="Z105" s="159"/>
      <c r="AA105" s="159"/>
      <c r="AB105" s="160"/>
      <c r="AC105" s="140"/>
      <c r="AD105" s="158"/>
      <c r="AE105" s="159"/>
      <c r="AF105" s="160"/>
      <c r="AG105" s="158"/>
      <c r="AH105" s="159"/>
      <c r="AI105" s="160"/>
    </row>
    <row r="106" spans="1:35" x14ac:dyDescent="0.2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38"/>
      <c r="P106" s="138"/>
      <c r="Q106" s="138"/>
      <c r="R106" s="138"/>
      <c r="S106" s="138"/>
      <c r="T106" s="138"/>
      <c r="U106" s="138"/>
      <c r="V106" s="138"/>
      <c r="W106" s="138"/>
      <c r="X106" s="138"/>
      <c r="Y106" s="138"/>
      <c r="Z106" s="138"/>
      <c r="AA106" s="138">
        <f t="shared" ref="AA106:AA111" si="33">SUM(O106:Z106)</f>
        <v>0</v>
      </c>
      <c r="AB106" s="142" t="str">
        <f t="shared" ref="AB106:AB111" si="34">IF(AA106=0,"",IFERROR(AA106/AA$19,""))</f>
        <v/>
      </c>
      <c r="AC106" s="140"/>
      <c r="AD106" s="138"/>
      <c r="AE106" s="142" t="str">
        <f t="shared" ref="AE106:AE111" si="35">IF(AD106=0,"",IFERROR(AD106/AD$19,""))</f>
        <v/>
      </c>
      <c r="AF106" s="141">
        <f t="shared" ref="AF106:AF111" si="36">IF(AND($AA106="",AD106=""),"",$AA106-AD106)</f>
        <v>0</v>
      </c>
      <c r="AG106" s="138"/>
      <c r="AH106" s="142" t="str">
        <f t="shared" ref="AH106:AH111" si="37">IF(AG106=0,"",IFERROR(AG106/AG$19,""))</f>
        <v/>
      </c>
      <c r="AI106" s="141">
        <f t="shared" ref="AI106:AI111" si="38">IF(AND($AA106="",AG106=""),"",$AA106-AG106)</f>
        <v>0</v>
      </c>
    </row>
    <row r="107" spans="1:35" x14ac:dyDescent="0.2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38"/>
      <c r="P107" s="138"/>
      <c r="Q107" s="138"/>
      <c r="R107" s="138"/>
      <c r="S107" s="138"/>
      <c r="T107" s="138"/>
      <c r="U107" s="138"/>
      <c r="V107" s="138"/>
      <c r="W107" s="138"/>
      <c r="X107" s="138"/>
      <c r="Y107" s="138"/>
      <c r="Z107" s="138"/>
      <c r="AA107" s="138">
        <f t="shared" si="33"/>
        <v>0</v>
      </c>
      <c r="AB107" s="142" t="str">
        <f t="shared" si="34"/>
        <v/>
      </c>
      <c r="AC107" s="140"/>
      <c r="AD107" s="138"/>
      <c r="AE107" s="142" t="str">
        <f t="shared" si="35"/>
        <v/>
      </c>
      <c r="AF107" s="141">
        <f t="shared" si="36"/>
        <v>0</v>
      </c>
      <c r="AG107" s="138"/>
      <c r="AH107" s="142" t="str">
        <f t="shared" si="37"/>
        <v/>
      </c>
      <c r="AI107" s="141">
        <f t="shared" si="38"/>
        <v>0</v>
      </c>
    </row>
    <row r="108" spans="1:35" x14ac:dyDescent="0.2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38"/>
      <c r="P108" s="138"/>
      <c r="Q108" s="138"/>
      <c r="R108" s="138"/>
      <c r="S108" s="138"/>
      <c r="T108" s="138"/>
      <c r="U108" s="138"/>
      <c r="V108" s="138"/>
      <c r="W108" s="138"/>
      <c r="X108" s="138"/>
      <c r="Y108" s="138"/>
      <c r="Z108" s="138"/>
      <c r="AA108" s="138">
        <f t="shared" si="33"/>
        <v>0</v>
      </c>
      <c r="AB108" s="142" t="str">
        <f t="shared" si="34"/>
        <v/>
      </c>
      <c r="AC108" s="140"/>
      <c r="AD108" s="138"/>
      <c r="AE108" s="142" t="str">
        <f t="shared" si="35"/>
        <v/>
      </c>
      <c r="AF108" s="141">
        <f t="shared" si="36"/>
        <v>0</v>
      </c>
      <c r="AG108" s="138"/>
      <c r="AH108" s="142" t="str">
        <f t="shared" si="37"/>
        <v/>
      </c>
      <c r="AI108" s="141">
        <f t="shared" si="38"/>
        <v>0</v>
      </c>
    </row>
    <row r="109" spans="1:35" x14ac:dyDescent="0.2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38"/>
      <c r="P109" s="138"/>
      <c r="Q109" s="138"/>
      <c r="R109" s="138"/>
      <c r="S109" s="138"/>
      <c r="T109" s="138"/>
      <c r="U109" s="138"/>
      <c r="V109" s="138"/>
      <c r="W109" s="138"/>
      <c r="X109" s="138"/>
      <c r="Y109" s="138"/>
      <c r="Z109" s="138"/>
      <c r="AA109" s="138">
        <f t="shared" si="33"/>
        <v>0</v>
      </c>
      <c r="AB109" s="142" t="str">
        <f t="shared" si="34"/>
        <v/>
      </c>
      <c r="AC109" s="140"/>
      <c r="AD109" s="138"/>
      <c r="AE109" s="142" t="str">
        <f t="shared" si="35"/>
        <v/>
      </c>
      <c r="AF109" s="141">
        <f t="shared" si="36"/>
        <v>0</v>
      </c>
      <c r="AG109" s="138"/>
      <c r="AH109" s="142" t="str">
        <f t="shared" si="37"/>
        <v/>
      </c>
      <c r="AI109" s="141">
        <f t="shared" si="38"/>
        <v>0</v>
      </c>
    </row>
    <row r="110" spans="1:35" x14ac:dyDescent="0.2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38"/>
      <c r="P110" s="138"/>
      <c r="Q110" s="138"/>
      <c r="R110" s="138"/>
      <c r="S110" s="138"/>
      <c r="T110" s="138"/>
      <c r="U110" s="138"/>
      <c r="V110" s="138"/>
      <c r="W110" s="138"/>
      <c r="X110" s="138"/>
      <c r="Y110" s="138"/>
      <c r="Z110" s="138"/>
      <c r="AA110" s="138">
        <f t="shared" si="33"/>
        <v>0</v>
      </c>
      <c r="AB110" s="142" t="str">
        <f t="shared" si="34"/>
        <v/>
      </c>
      <c r="AC110" s="140"/>
      <c r="AD110" s="138"/>
      <c r="AE110" s="142" t="str">
        <f t="shared" si="35"/>
        <v/>
      </c>
      <c r="AF110" s="141">
        <f t="shared" si="36"/>
        <v>0</v>
      </c>
      <c r="AG110" s="138"/>
      <c r="AH110" s="142" t="str">
        <f t="shared" si="37"/>
        <v/>
      </c>
      <c r="AI110" s="141">
        <f t="shared" si="38"/>
        <v>0</v>
      </c>
    </row>
    <row r="111" spans="1:35" x14ac:dyDescent="0.2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2"/>
      <c r="P111" s="162"/>
      <c r="Q111" s="162"/>
      <c r="R111" s="162"/>
      <c r="S111" s="162"/>
      <c r="T111" s="162"/>
      <c r="U111" s="162"/>
      <c r="V111" s="162"/>
      <c r="W111" s="162"/>
      <c r="X111" s="162"/>
      <c r="Y111" s="162"/>
      <c r="Z111" s="162"/>
      <c r="AA111" s="162">
        <f t="shared" si="33"/>
        <v>0</v>
      </c>
      <c r="AB111" s="163" t="str">
        <f t="shared" si="34"/>
        <v/>
      </c>
      <c r="AC111" s="140"/>
      <c r="AD111" s="162"/>
      <c r="AE111" s="163" t="str">
        <f t="shared" si="35"/>
        <v/>
      </c>
      <c r="AF111" s="164">
        <f t="shared" si="36"/>
        <v>0</v>
      </c>
      <c r="AG111" s="162"/>
      <c r="AH111" s="163" t="str">
        <f t="shared" si="37"/>
        <v/>
      </c>
      <c r="AI111" s="164">
        <f t="shared" si="38"/>
        <v>0</v>
      </c>
    </row>
    <row r="112" spans="1:35" x14ac:dyDescent="0.25">
      <c r="A112" s="11"/>
      <c r="B112" s="11"/>
      <c r="C112" s="208"/>
      <c r="D112" s="11"/>
      <c r="E112" s="11"/>
      <c r="F112" s="11"/>
      <c r="G112" s="11"/>
      <c r="H112" s="185"/>
      <c r="I112" s="122"/>
      <c r="J112" s="122"/>
      <c r="K112" s="11"/>
      <c r="L112" s="90"/>
      <c r="M112" s="90"/>
      <c r="N112" s="53"/>
      <c r="O112" s="170"/>
      <c r="P112" s="171"/>
      <c r="Q112" s="171"/>
      <c r="R112" s="171"/>
      <c r="S112" s="171"/>
      <c r="T112" s="171"/>
      <c r="U112" s="171"/>
      <c r="V112" s="171"/>
      <c r="W112" s="171"/>
      <c r="X112" s="171"/>
      <c r="Y112" s="171"/>
      <c r="Z112" s="171"/>
      <c r="AA112" s="171"/>
      <c r="AB112" s="172"/>
      <c r="AC112" s="140"/>
      <c r="AD112" s="170"/>
      <c r="AE112" s="171"/>
      <c r="AF112" s="172"/>
      <c r="AG112" s="170"/>
      <c r="AH112" s="171"/>
      <c r="AI112" s="172"/>
    </row>
    <row r="113" spans="1:35" x14ac:dyDescent="0.25">
      <c r="A113" s="11"/>
      <c r="B113" s="11"/>
      <c r="C113" s="208"/>
      <c r="D113" s="11"/>
      <c r="E113" s="11"/>
      <c r="F113" s="11"/>
      <c r="G113" s="11"/>
      <c r="H113" s="185"/>
      <c r="I113" s="122"/>
      <c r="J113" s="122"/>
      <c r="K113" s="11"/>
      <c r="L113" s="90"/>
      <c r="M113" s="90"/>
      <c r="N113" s="53" t="s">
        <v>338</v>
      </c>
      <c r="O113" s="158"/>
      <c r="P113" s="159"/>
      <c r="Q113" s="159"/>
      <c r="R113" s="159"/>
      <c r="S113" s="159"/>
      <c r="T113" s="159"/>
      <c r="U113" s="159"/>
      <c r="V113" s="159"/>
      <c r="W113" s="159"/>
      <c r="X113" s="159"/>
      <c r="Y113" s="159"/>
      <c r="Z113" s="159"/>
      <c r="AA113" s="159"/>
      <c r="AB113" s="160"/>
      <c r="AC113" s="140"/>
      <c r="AD113" s="158"/>
      <c r="AE113" s="159"/>
      <c r="AF113" s="160"/>
      <c r="AG113" s="158"/>
      <c r="AH113" s="159"/>
      <c r="AI113" s="160"/>
    </row>
    <row r="114" spans="1:35" x14ac:dyDescent="0.2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38"/>
      <c r="P114" s="138"/>
      <c r="Q114" s="138"/>
      <c r="R114" s="138"/>
      <c r="S114" s="138"/>
      <c r="T114" s="138"/>
      <c r="U114" s="138"/>
      <c r="V114" s="138"/>
      <c r="W114" s="138"/>
      <c r="X114" s="138"/>
      <c r="Y114" s="138"/>
      <c r="Z114" s="138"/>
      <c r="AA114" s="138">
        <f t="shared" ref="AA114:AA119" si="39">SUM(O114:Z114)</f>
        <v>0</v>
      </c>
      <c r="AB114" s="142" t="str">
        <f t="shared" ref="AB114:AB119" si="40">IF(AA114=0,"",IFERROR(AA114/AA$19,""))</f>
        <v/>
      </c>
      <c r="AC114" s="140"/>
      <c r="AD114" s="138"/>
      <c r="AE114" s="142" t="str">
        <f t="shared" ref="AE114:AE119" si="41">IF(AD114=0,"",IFERROR(AD114/AD$19,""))</f>
        <v/>
      </c>
      <c r="AF114" s="141">
        <f t="shared" ref="AF114:AF119" si="42">IF(AND($AA114="",AD114=""),"",$AA114-AD114)</f>
        <v>0</v>
      </c>
      <c r="AG114" s="138"/>
      <c r="AH114" s="142" t="str">
        <f t="shared" ref="AH114:AH119" si="43">IF(AG114=0,"",IFERROR(AG114/AG$19,""))</f>
        <v/>
      </c>
      <c r="AI114" s="141">
        <f t="shared" ref="AI114:AI119" si="44">IF(AND($AA114="",AG114=""),"",$AA114-AG114)</f>
        <v>0</v>
      </c>
    </row>
    <row r="115" spans="1:35" x14ac:dyDescent="0.2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38"/>
      <c r="P115" s="138"/>
      <c r="Q115" s="138"/>
      <c r="R115" s="138"/>
      <c r="S115" s="138"/>
      <c r="T115" s="138"/>
      <c r="U115" s="138"/>
      <c r="V115" s="138"/>
      <c r="W115" s="138"/>
      <c r="X115" s="138"/>
      <c r="Y115" s="138"/>
      <c r="Z115" s="138"/>
      <c r="AA115" s="138">
        <f t="shared" si="39"/>
        <v>0</v>
      </c>
      <c r="AB115" s="142" t="str">
        <f t="shared" si="40"/>
        <v/>
      </c>
      <c r="AC115" s="140"/>
      <c r="AD115" s="138"/>
      <c r="AE115" s="142" t="str">
        <f t="shared" si="41"/>
        <v/>
      </c>
      <c r="AF115" s="141">
        <f t="shared" si="42"/>
        <v>0</v>
      </c>
      <c r="AG115" s="138"/>
      <c r="AH115" s="142" t="str">
        <f t="shared" si="43"/>
        <v/>
      </c>
      <c r="AI115" s="141">
        <f t="shared" si="44"/>
        <v>0</v>
      </c>
    </row>
    <row r="116" spans="1:35" x14ac:dyDescent="0.2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38"/>
      <c r="P116" s="138"/>
      <c r="Q116" s="138"/>
      <c r="R116" s="138"/>
      <c r="S116" s="138"/>
      <c r="T116" s="138"/>
      <c r="U116" s="138"/>
      <c r="V116" s="138"/>
      <c r="W116" s="138"/>
      <c r="X116" s="138"/>
      <c r="Y116" s="138"/>
      <c r="Z116" s="138"/>
      <c r="AA116" s="138">
        <f t="shared" si="39"/>
        <v>0</v>
      </c>
      <c r="AB116" s="142" t="str">
        <f t="shared" si="40"/>
        <v/>
      </c>
      <c r="AC116" s="140"/>
      <c r="AD116" s="138"/>
      <c r="AE116" s="142" t="str">
        <f t="shared" si="41"/>
        <v/>
      </c>
      <c r="AF116" s="141">
        <f t="shared" si="42"/>
        <v>0</v>
      </c>
      <c r="AG116" s="138"/>
      <c r="AH116" s="142" t="str">
        <f t="shared" si="43"/>
        <v/>
      </c>
      <c r="AI116" s="141">
        <f t="shared" si="44"/>
        <v>0</v>
      </c>
    </row>
    <row r="117" spans="1:35" x14ac:dyDescent="0.2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38"/>
      <c r="P117" s="138"/>
      <c r="Q117" s="138"/>
      <c r="R117" s="138"/>
      <c r="S117" s="138"/>
      <c r="T117" s="138"/>
      <c r="U117" s="138"/>
      <c r="V117" s="138"/>
      <c r="W117" s="138"/>
      <c r="X117" s="138"/>
      <c r="Y117" s="138"/>
      <c r="Z117" s="138"/>
      <c r="AA117" s="138">
        <f t="shared" si="39"/>
        <v>0</v>
      </c>
      <c r="AB117" s="142" t="str">
        <f t="shared" si="40"/>
        <v/>
      </c>
      <c r="AC117" s="140"/>
      <c r="AD117" s="138"/>
      <c r="AE117" s="142" t="str">
        <f t="shared" si="41"/>
        <v/>
      </c>
      <c r="AF117" s="141">
        <f t="shared" si="42"/>
        <v>0</v>
      </c>
      <c r="AG117" s="138"/>
      <c r="AH117" s="142" t="str">
        <f t="shared" si="43"/>
        <v/>
      </c>
      <c r="AI117" s="141">
        <f t="shared" si="44"/>
        <v>0</v>
      </c>
    </row>
    <row r="118" spans="1:35" x14ac:dyDescent="0.2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38"/>
      <c r="P118" s="138"/>
      <c r="Q118" s="138"/>
      <c r="R118" s="138"/>
      <c r="S118" s="138"/>
      <c r="T118" s="138"/>
      <c r="U118" s="138"/>
      <c r="V118" s="138"/>
      <c r="W118" s="138"/>
      <c r="X118" s="138"/>
      <c r="Y118" s="138"/>
      <c r="Z118" s="138"/>
      <c r="AA118" s="138">
        <f t="shared" si="39"/>
        <v>0</v>
      </c>
      <c r="AB118" s="142" t="str">
        <f t="shared" si="40"/>
        <v/>
      </c>
      <c r="AC118" s="140"/>
      <c r="AD118" s="138"/>
      <c r="AE118" s="142" t="str">
        <f t="shared" si="41"/>
        <v/>
      </c>
      <c r="AF118" s="141">
        <f t="shared" si="42"/>
        <v>0</v>
      </c>
      <c r="AG118" s="138"/>
      <c r="AH118" s="142" t="str">
        <f t="shared" si="43"/>
        <v/>
      </c>
      <c r="AI118" s="141">
        <f t="shared" si="44"/>
        <v>0</v>
      </c>
    </row>
    <row r="119" spans="1:35" x14ac:dyDescent="0.2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2"/>
      <c r="P119" s="162"/>
      <c r="Q119" s="162"/>
      <c r="R119" s="162"/>
      <c r="S119" s="162"/>
      <c r="T119" s="162"/>
      <c r="U119" s="162"/>
      <c r="V119" s="162"/>
      <c r="W119" s="162"/>
      <c r="X119" s="162"/>
      <c r="Y119" s="162"/>
      <c r="Z119" s="162"/>
      <c r="AA119" s="162">
        <f t="shared" si="39"/>
        <v>0</v>
      </c>
      <c r="AB119" s="163" t="str">
        <f t="shared" si="40"/>
        <v/>
      </c>
      <c r="AC119" s="140"/>
      <c r="AD119" s="162"/>
      <c r="AE119" s="163" t="str">
        <f t="shared" si="41"/>
        <v/>
      </c>
      <c r="AF119" s="164">
        <f t="shared" si="42"/>
        <v>0</v>
      </c>
      <c r="AG119" s="162"/>
      <c r="AH119" s="163" t="str">
        <f t="shared" si="43"/>
        <v/>
      </c>
      <c r="AI119" s="164">
        <f t="shared" si="44"/>
        <v>0</v>
      </c>
    </row>
    <row r="120" spans="1:35" x14ac:dyDescent="0.25">
      <c r="A120" s="11"/>
      <c r="B120" s="11"/>
      <c r="C120" s="208"/>
      <c r="D120" s="11"/>
      <c r="E120" s="11"/>
      <c r="F120" s="11"/>
      <c r="G120" s="11"/>
      <c r="H120" s="185"/>
      <c r="I120" s="122"/>
      <c r="J120" s="122"/>
      <c r="K120" s="11"/>
      <c r="L120" s="90"/>
      <c r="M120" s="90"/>
      <c r="N120" s="11"/>
      <c r="O120" s="170"/>
      <c r="P120" s="171"/>
      <c r="Q120" s="171"/>
      <c r="R120" s="171"/>
      <c r="S120" s="171"/>
      <c r="T120" s="171"/>
      <c r="U120" s="171"/>
      <c r="V120" s="171"/>
      <c r="W120" s="171"/>
      <c r="X120" s="171"/>
      <c r="Y120" s="171"/>
      <c r="Z120" s="171"/>
      <c r="AA120" s="171"/>
      <c r="AB120" s="172"/>
      <c r="AC120" s="140"/>
      <c r="AD120" s="170"/>
      <c r="AE120" s="171"/>
      <c r="AF120" s="172"/>
      <c r="AG120" s="170"/>
      <c r="AH120" s="171"/>
      <c r="AI120" s="172"/>
    </row>
    <row r="121" spans="1:35" x14ac:dyDescent="0.2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38">
        <f t="shared" ref="O121:Z121" si="45">O98+O106+O114</f>
        <v>0</v>
      </c>
      <c r="P121" s="138">
        <f t="shared" si="45"/>
        <v>0</v>
      </c>
      <c r="Q121" s="138">
        <f t="shared" si="45"/>
        <v>0</v>
      </c>
      <c r="R121" s="138">
        <f t="shared" si="45"/>
        <v>0</v>
      </c>
      <c r="S121" s="138">
        <f t="shared" si="45"/>
        <v>0</v>
      </c>
      <c r="T121" s="138">
        <f t="shared" si="45"/>
        <v>0</v>
      </c>
      <c r="U121" s="138">
        <f t="shared" si="45"/>
        <v>0</v>
      </c>
      <c r="V121" s="138">
        <f t="shared" si="45"/>
        <v>0</v>
      </c>
      <c r="W121" s="138">
        <f t="shared" si="45"/>
        <v>0</v>
      </c>
      <c r="X121" s="138">
        <f t="shared" si="45"/>
        <v>0</v>
      </c>
      <c r="Y121" s="138">
        <f t="shared" si="45"/>
        <v>0</v>
      </c>
      <c r="Z121" s="138">
        <f t="shared" si="45"/>
        <v>0</v>
      </c>
      <c r="AA121" s="138">
        <f t="shared" ref="AA121:AA126" si="46">SUM(O121:Z121)</f>
        <v>0</v>
      </c>
      <c r="AB121" s="142" t="str">
        <f t="shared" ref="AB121:AB126" si="47">IF(AA121=0,"",IFERROR(AA121/AA$19,""))</f>
        <v/>
      </c>
      <c r="AC121" s="140"/>
      <c r="AD121" s="138">
        <f>AD98+AD106+AD114</f>
        <v>0</v>
      </c>
      <c r="AE121" s="142" t="str">
        <f t="shared" ref="AE121:AE126" si="48">IF(AD121=0,"",IFERROR(AD121/AD$19,""))</f>
        <v/>
      </c>
      <c r="AF121" s="141">
        <f t="shared" ref="AF121:AF126" si="49">IF(AND($AA121="",AD121=""),"",$AA121-AD121)</f>
        <v>0</v>
      </c>
      <c r="AG121" s="138">
        <f>AG98+AG106+AG114</f>
        <v>0</v>
      </c>
      <c r="AH121" s="142" t="str">
        <f t="shared" ref="AH121:AH126" si="50">IF(AG121=0,"",IFERROR(AG121/AG$19,""))</f>
        <v/>
      </c>
      <c r="AI121" s="141">
        <f t="shared" ref="AI121:AI126" si="51">IF(AND($AA121="",AG121=""),"",$AA121-AG121)</f>
        <v>0</v>
      </c>
    </row>
    <row r="122" spans="1:35" x14ac:dyDescent="0.2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38">
        <f t="shared" ref="O122:Z122" si="52">O99+O107+O115</f>
        <v>0</v>
      </c>
      <c r="P122" s="138">
        <f t="shared" si="52"/>
        <v>0</v>
      </c>
      <c r="Q122" s="138">
        <f t="shared" si="52"/>
        <v>0</v>
      </c>
      <c r="R122" s="138">
        <f t="shared" si="52"/>
        <v>0</v>
      </c>
      <c r="S122" s="138">
        <f t="shared" si="52"/>
        <v>0</v>
      </c>
      <c r="T122" s="138">
        <f t="shared" si="52"/>
        <v>0</v>
      </c>
      <c r="U122" s="138">
        <f t="shared" si="52"/>
        <v>0</v>
      </c>
      <c r="V122" s="138">
        <f t="shared" si="52"/>
        <v>0</v>
      </c>
      <c r="W122" s="138">
        <f t="shared" si="52"/>
        <v>0</v>
      </c>
      <c r="X122" s="138">
        <f t="shared" si="52"/>
        <v>0</v>
      </c>
      <c r="Y122" s="138">
        <f t="shared" si="52"/>
        <v>0</v>
      </c>
      <c r="Z122" s="138">
        <f t="shared" si="52"/>
        <v>0</v>
      </c>
      <c r="AA122" s="138">
        <f t="shared" si="46"/>
        <v>0</v>
      </c>
      <c r="AB122" s="142" t="str">
        <f t="shared" si="47"/>
        <v/>
      </c>
      <c r="AC122" s="140"/>
      <c r="AD122" s="138">
        <f>AD99+AD107+AD115</f>
        <v>0</v>
      </c>
      <c r="AE122" s="142" t="str">
        <f t="shared" si="48"/>
        <v/>
      </c>
      <c r="AF122" s="141">
        <f t="shared" si="49"/>
        <v>0</v>
      </c>
      <c r="AG122" s="138">
        <f>AG99+AG107+AG115</f>
        <v>0</v>
      </c>
      <c r="AH122" s="142" t="str">
        <f t="shared" si="50"/>
        <v/>
      </c>
      <c r="AI122" s="141">
        <f t="shared" si="51"/>
        <v>0</v>
      </c>
    </row>
    <row r="123" spans="1:35" x14ac:dyDescent="0.2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38">
        <f t="shared" ref="O123:Z123" si="53">O100+O108+O116</f>
        <v>0</v>
      </c>
      <c r="P123" s="138">
        <f t="shared" si="53"/>
        <v>0</v>
      </c>
      <c r="Q123" s="138">
        <f t="shared" si="53"/>
        <v>0</v>
      </c>
      <c r="R123" s="138">
        <f t="shared" si="53"/>
        <v>0</v>
      </c>
      <c r="S123" s="138">
        <f t="shared" si="53"/>
        <v>0</v>
      </c>
      <c r="T123" s="138">
        <f t="shared" si="53"/>
        <v>0</v>
      </c>
      <c r="U123" s="138">
        <f t="shared" si="53"/>
        <v>0</v>
      </c>
      <c r="V123" s="138">
        <f t="shared" si="53"/>
        <v>0</v>
      </c>
      <c r="W123" s="138">
        <f t="shared" si="53"/>
        <v>0</v>
      </c>
      <c r="X123" s="138">
        <f t="shared" si="53"/>
        <v>0</v>
      </c>
      <c r="Y123" s="138">
        <f t="shared" si="53"/>
        <v>0</v>
      </c>
      <c r="Z123" s="138">
        <f t="shared" si="53"/>
        <v>0</v>
      </c>
      <c r="AA123" s="138">
        <f t="shared" si="46"/>
        <v>0</v>
      </c>
      <c r="AB123" s="142" t="str">
        <f t="shared" si="47"/>
        <v/>
      </c>
      <c r="AC123" s="140"/>
      <c r="AD123" s="138">
        <f>AD100+AD108+AD116</f>
        <v>0</v>
      </c>
      <c r="AE123" s="142" t="str">
        <f t="shared" si="48"/>
        <v/>
      </c>
      <c r="AF123" s="141">
        <f t="shared" si="49"/>
        <v>0</v>
      </c>
      <c r="AG123" s="138">
        <f>AG100+AG108+AG116</f>
        <v>0</v>
      </c>
      <c r="AH123" s="142" t="str">
        <f t="shared" si="50"/>
        <v/>
      </c>
      <c r="AI123" s="141">
        <f t="shared" si="51"/>
        <v>0</v>
      </c>
    </row>
    <row r="124" spans="1:35" x14ac:dyDescent="0.2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38">
        <f t="shared" ref="O124:Z124" si="54">O101+O109+O117</f>
        <v>0</v>
      </c>
      <c r="P124" s="138">
        <f t="shared" si="54"/>
        <v>0</v>
      </c>
      <c r="Q124" s="138">
        <f t="shared" si="54"/>
        <v>0</v>
      </c>
      <c r="R124" s="138">
        <f t="shared" si="54"/>
        <v>0</v>
      </c>
      <c r="S124" s="138">
        <f t="shared" si="54"/>
        <v>0</v>
      </c>
      <c r="T124" s="138">
        <f t="shared" si="54"/>
        <v>0</v>
      </c>
      <c r="U124" s="138">
        <f t="shared" si="54"/>
        <v>0</v>
      </c>
      <c r="V124" s="138">
        <f t="shared" si="54"/>
        <v>0</v>
      </c>
      <c r="W124" s="138">
        <f t="shared" si="54"/>
        <v>0</v>
      </c>
      <c r="X124" s="138">
        <f t="shared" si="54"/>
        <v>0</v>
      </c>
      <c r="Y124" s="138">
        <f t="shared" si="54"/>
        <v>0</v>
      </c>
      <c r="Z124" s="138">
        <f t="shared" si="54"/>
        <v>0</v>
      </c>
      <c r="AA124" s="138">
        <f t="shared" si="46"/>
        <v>0</v>
      </c>
      <c r="AB124" s="142" t="str">
        <f t="shared" si="47"/>
        <v/>
      </c>
      <c r="AC124" s="140"/>
      <c r="AD124" s="138">
        <f>AD101+AD109+AD117</f>
        <v>0</v>
      </c>
      <c r="AE124" s="142" t="str">
        <f t="shared" si="48"/>
        <v/>
      </c>
      <c r="AF124" s="141">
        <f t="shared" si="49"/>
        <v>0</v>
      </c>
      <c r="AG124" s="138">
        <f>AG101+AG109+AG117</f>
        <v>0</v>
      </c>
      <c r="AH124" s="142" t="str">
        <f t="shared" si="50"/>
        <v/>
      </c>
      <c r="AI124" s="141">
        <f t="shared" si="51"/>
        <v>0</v>
      </c>
    </row>
    <row r="125" spans="1:35" x14ac:dyDescent="0.2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38">
        <f t="shared" ref="O125:Z125" si="55">O102+O110+O118</f>
        <v>0</v>
      </c>
      <c r="P125" s="138">
        <f t="shared" si="55"/>
        <v>0</v>
      </c>
      <c r="Q125" s="138">
        <f t="shared" si="55"/>
        <v>0</v>
      </c>
      <c r="R125" s="138">
        <f t="shared" si="55"/>
        <v>0</v>
      </c>
      <c r="S125" s="138">
        <f t="shared" si="55"/>
        <v>0</v>
      </c>
      <c r="T125" s="138">
        <f t="shared" si="55"/>
        <v>0</v>
      </c>
      <c r="U125" s="138">
        <f t="shared" si="55"/>
        <v>0</v>
      </c>
      <c r="V125" s="138">
        <f t="shared" si="55"/>
        <v>0</v>
      </c>
      <c r="W125" s="138">
        <f t="shared" si="55"/>
        <v>0</v>
      </c>
      <c r="X125" s="138">
        <f t="shared" si="55"/>
        <v>0</v>
      </c>
      <c r="Y125" s="138">
        <f t="shared" si="55"/>
        <v>0</v>
      </c>
      <c r="Z125" s="138">
        <f t="shared" si="55"/>
        <v>0</v>
      </c>
      <c r="AA125" s="138">
        <f t="shared" si="46"/>
        <v>0</v>
      </c>
      <c r="AB125" s="142" t="str">
        <f t="shared" si="47"/>
        <v/>
      </c>
      <c r="AC125" s="140"/>
      <c r="AD125" s="138">
        <f>AD102+AD110+AD118</f>
        <v>0</v>
      </c>
      <c r="AE125" s="142" t="str">
        <f t="shared" si="48"/>
        <v/>
      </c>
      <c r="AF125" s="141">
        <f t="shared" si="49"/>
        <v>0</v>
      </c>
      <c r="AG125" s="138">
        <f>AG102+AG110+AG118</f>
        <v>0</v>
      </c>
      <c r="AH125" s="142" t="str">
        <f t="shared" si="50"/>
        <v/>
      </c>
      <c r="AI125" s="141">
        <f t="shared" si="51"/>
        <v>0</v>
      </c>
    </row>
    <row r="126" spans="1:35" x14ac:dyDescent="0.2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2">
        <f t="shared" ref="O126:Z126" si="56">SUM(O121:O125)</f>
        <v>0</v>
      </c>
      <c r="P126" s="162">
        <f t="shared" si="56"/>
        <v>0</v>
      </c>
      <c r="Q126" s="162">
        <f t="shared" si="56"/>
        <v>0</v>
      </c>
      <c r="R126" s="162">
        <f t="shared" si="56"/>
        <v>0</v>
      </c>
      <c r="S126" s="162">
        <f t="shared" si="56"/>
        <v>0</v>
      </c>
      <c r="T126" s="162">
        <f t="shared" si="56"/>
        <v>0</v>
      </c>
      <c r="U126" s="162">
        <f t="shared" si="56"/>
        <v>0</v>
      </c>
      <c r="V126" s="162">
        <f t="shared" si="56"/>
        <v>0</v>
      </c>
      <c r="W126" s="162">
        <f t="shared" si="56"/>
        <v>0</v>
      </c>
      <c r="X126" s="162">
        <f t="shared" si="56"/>
        <v>0</v>
      </c>
      <c r="Y126" s="162">
        <f t="shared" si="56"/>
        <v>0</v>
      </c>
      <c r="Z126" s="162">
        <f t="shared" si="56"/>
        <v>0</v>
      </c>
      <c r="AA126" s="162">
        <f t="shared" si="46"/>
        <v>0</v>
      </c>
      <c r="AB126" s="163" t="str">
        <f t="shared" si="47"/>
        <v/>
      </c>
      <c r="AC126" s="140"/>
      <c r="AD126" s="162">
        <f>SUM(AD121:AD125)</f>
        <v>0</v>
      </c>
      <c r="AE126" s="163" t="str">
        <f t="shared" si="48"/>
        <v/>
      </c>
      <c r="AF126" s="164">
        <f t="shared" si="49"/>
        <v>0</v>
      </c>
      <c r="AG126" s="162">
        <f>SUM(AG121:AG125)</f>
        <v>0</v>
      </c>
      <c r="AH126" s="163" t="str">
        <f t="shared" si="50"/>
        <v/>
      </c>
      <c r="AI126" s="164">
        <f t="shared" si="51"/>
        <v>0</v>
      </c>
    </row>
    <row r="127" spans="1:35" x14ac:dyDescent="0.2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2"/>
      <c r="AC127" s="140"/>
      <c r="AD127" s="511">
        <f>AD103+AD111+AD119-AD126</f>
        <v>0</v>
      </c>
      <c r="AE127" s="142"/>
      <c r="AF127" s="138"/>
      <c r="AG127" s="511">
        <f>AG103+AG111+AG119-AG126</f>
        <v>0</v>
      </c>
      <c r="AH127" s="142"/>
      <c r="AI127" s="138"/>
    </row>
    <row r="128" spans="1:35" x14ac:dyDescent="0.25">
      <c r="A128" s="11"/>
      <c r="B128" s="11"/>
      <c r="C128" s="208"/>
      <c r="D128" s="11"/>
      <c r="E128" s="11"/>
      <c r="F128" s="11"/>
      <c r="G128" s="11"/>
      <c r="H128" s="185"/>
      <c r="I128" s="122"/>
      <c r="J128" s="122"/>
      <c r="K128" s="11"/>
      <c r="L128" s="11"/>
      <c r="M128" s="11"/>
      <c r="N128" s="11"/>
      <c r="O128" s="170"/>
      <c r="P128" s="171"/>
      <c r="Q128" s="171"/>
      <c r="R128" s="171"/>
      <c r="S128" s="171"/>
      <c r="T128" s="171"/>
      <c r="U128" s="171"/>
      <c r="V128" s="171"/>
      <c r="W128" s="171"/>
      <c r="X128" s="171"/>
      <c r="Y128" s="171"/>
      <c r="Z128" s="171"/>
      <c r="AA128" s="171"/>
      <c r="AB128" s="172"/>
      <c r="AC128" s="140"/>
      <c r="AD128" s="170"/>
      <c r="AE128" s="171"/>
      <c r="AF128" s="172"/>
      <c r="AG128" s="170"/>
      <c r="AH128" s="171"/>
      <c r="AI128" s="172"/>
    </row>
    <row r="129" spans="1:35" ht="15.75" x14ac:dyDescent="0.2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2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38"/>
      <c r="P130" s="138"/>
      <c r="Q130" s="138"/>
      <c r="R130" s="138"/>
      <c r="S130" s="138"/>
      <c r="T130" s="138"/>
      <c r="U130" s="138"/>
      <c r="V130" s="138"/>
      <c r="W130" s="138"/>
      <c r="X130" s="138"/>
      <c r="Y130" s="138"/>
      <c r="Z130" s="138"/>
      <c r="AA130" s="138">
        <f>SUM(O130:Z130)</f>
        <v>0</v>
      </c>
      <c r="AB130" s="458" t="str">
        <f>IF(_epmOfflineCondition_,"",IF(AA130=0,"",IFERROR(AA130/_xll.EVGTS($B$1,1,_xll.EVPRO($B$1,$H130,"COSBASIS"),$B$3,$B$5,$B$6,$B$7,$B$9,AA$16,AA$17,AA$11),"")))</f>
        <v/>
      </c>
      <c r="AC130" s="140"/>
      <c r="AD130" s="138"/>
      <c r="AE130" s="458" t="str">
        <f>IF(_epmOfflineCondition_,"",IF(AD130=0,"",IFERROR(AD130/_xll.EVGTS($B$1,1,_xll.EVPRO($B$1,$H130,"COSBASIS"),$B$3,$B$5,$B$6,$B$7,$B$9,AD$16,AD$17,AD$18),"")))</f>
        <v/>
      </c>
      <c r="AF130" s="141">
        <f t="shared" ref="AF130:AF141" si="58">IF(AND($AA130="",AD130=""),"",$AA130-AD130)</f>
        <v>0</v>
      </c>
      <c r="AG130" s="138"/>
      <c r="AH130" s="458" t="str">
        <f>IF(_epmOfflineCondition_,"",IF(AG130=0,"",IFERROR(AG130/_xll.EVGTS($B$1,1,_xll.EVPRO($B$1,$H130,"COSBASIS"),$B$3,$B$5,$B$6,$B$7,$B$9,AG$16,AG$17,AG$18),"")))</f>
        <v/>
      </c>
      <c r="AI130" s="141">
        <f t="shared" ref="AI130:AI141" si="59">IF(AND($AA130="",AG130=""),"",$AA130-AG130)</f>
        <v>0</v>
      </c>
    </row>
    <row r="131" spans="1:35" x14ac:dyDescent="0.2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58"/>
      <c r="AC131" s="140"/>
      <c r="AD131" s="508"/>
      <c r="AE131" s="458"/>
      <c r="AF131" s="521" t="str">
        <f t="shared" si="58"/>
        <v/>
      </c>
      <c r="AG131" s="508"/>
      <c r="AH131" s="458"/>
      <c r="AI131" s="521" t="str">
        <f t="shared" si="59"/>
        <v/>
      </c>
    </row>
    <row r="132" spans="1:35" x14ac:dyDescent="0.2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38"/>
      <c r="P132" s="138"/>
      <c r="Q132" s="138"/>
      <c r="R132" s="138"/>
      <c r="S132" s="138"/>
      <c r="T132" s="138"/>
      <c r="U132" s="138"/>
      <c r="V132" s="138"/>
      <c r="W132" s="138"/>
      <c r="X132" s="138"/>
      <c r="Y132" s="138"/>
      <c r="Z132" s="138"/>
      <c r="AA132" s="138">
        <f>SUM(O132:Z132)</f>
        <v>0</v>
      </c>
      <c r="AB132" s="458" t="str">
        <f>IF(_epmOfflineCondition_,"",IF(AA132=0,"",IFERROR(AA132/_xll.EVGTS($B$1,1,_xll.EVPRO($B$1,$H132,"COSBASIS"),$B$3,$B$5,$B$6,$B$7,$B$9,AA$16,AA$17,AA$11),"")))</f>
        <v/>
      </c>
      <c r="AC132" s="140"/>
      <c r="AD132" s="138"/>
      <c r="AE132" s="458" t="str">
        <f>IF(_epmOfflineCondition_,"",IF(AD132=0,"",IFERROR(AD132/_xll.EVGTS($B$1,1,_xll.EVPRO($B$1,$H132,"COSBASIS"),$B$3,$B$5,$B$6,$B$7,$B$9,AD$16,AD$17,AD$18),"")))</f>
        <v/>
      </c>
      <c r="AF132" s="141">
        <f t="shared" si="58"/>
        <v>0</v>
      </c>
      <c r="AG132" s="138"/>
      <c r="AH132" s="458" t="str">
        <f>IF(_epmOfflineCondition_,"",IF(AG132=0,"",IFERROR(AG132/_xll.EVGTS($B$1,1,_xll.EVPRO($B$1,$H132,"COSBASIS"),$B$3,$B$5,$B$6,$B$7,$B$9,AG$16,AG$17,AG$18),"")))</f>
        <v/>
      </c>
      <c r="AI132" s="141">
        <f t="shared" si="59"/>
        <v>0</v>
      </c>
    </row>
    <row r="133" spans="1:35" x14ac:dyDescent="0.2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58"/>
      <c r="AC133" s="140"/>
      <c r="AD133" s="508"/>
      <c r="AE133" s="458"/>
      <c r="AF133" s="521" t="str">
        <f t="shared" si="58"/>
        <v/>
      </c>
      <c r="AG133" s="508"/>
      <c r="AH133" s="458"/>
      <c r="AI133" s="521" t="str">
        <f t="shared" si="59"/>
        <v/>
      </c>
    </row>
    <row r="134" spans="1:35" x14ac:dyDescent="0.2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38"/>
      <c r="P134" s="138"/>
      <c r="Q134" s="138"/>
      <c r="R134" s="138"/>
      <c r="S134" s="138"/>
      <c r="T134" s="138"/>
      <c r="U134" s="138"/>
      <c r="V134" s="138"/>
      <c r="W134" s="138"/>
      <c r="X134" s="138"/>
      <c r="Y134" s="138"/>
      <c r="Z134" s="138"/>
      <c r="AA134" s="138">
        <f>SUM(O134:Z134)</f>
        <v>0</v>
      </c>
      <c r="AB134" s="458" t="str">
        <f>IF(_epmOfflineCondition_,"",IF(AA134=0,"",IFERROR(AA134/_xll.EVGTS($B$1,1,_xll.EVPRO($B$1,$H134,"COSBASIS"),$B$3,$B$5,$B$6,$B$7,$B$9,AA$16,AA$17,AA$11),"")))</f>
        <v/>
      </c>
      <c r="AC134" s="140"/>
      <c r="AD134" s="138"/>
      <c r="AE134" s="458" t="str">
        <f>IF(_epmOfflineCondition_,"",IF(AD134=0,"",IFERROR(AD134/_xll.EVGTS($B$1,1,_xll.EVPRO($B$1,$H134,"COSBASIS"),$B$3,$B$5,$B$6,$B$7,$B$9,AD$16,AD$17,AD$18),"")))</f>
        <v/>
      </c>
      <c r="AF134" s="141">
        <f t="shared" si="58"/>
        <v>0</v>
      </c>
      <c r="AG134" s="138"/>
      <c r="AH134" s="458" t="str">
        <f>IF(_epmOfflineCondition_,"",IF(AG134=0,"",IFERROR(AG134/_xll.EVGTS($B$1,1,_xll.EVPRO($B$1,$H134,"COSBASIS"),$B$3,$B$5,$B$6,$B$7,$B$9,AG$16,AG$17,AG$18),"")))</f>
        <v/>
      </c>
      <c r="AI134" s="141">
        <f t="shared" si="59"/>
        <v>0</v>
      </c>
    </row>
    <row r="135" spans="1:35" x14ac:dyDescent="0.2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58"/>
      <c r="AC135" s="140"/>
      <c r="AD135" s="508"/>
      <c r="AE135" s="458"/>
      <c r="AF135" s="521" t="str">
        <f t="shared" si="58"/>
        <v/>
      </c>
      <c r="AG135" s="508"/>
      <c r="AH135" s="458"/>
      <c r="AI135" s="521" t="str">
        <f t="shared" si="59"/>
        <v/>
      </c>
    </row>
    <row r="136" spans="1:35" x14ac:dyDescent="0.2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38"/>
      <c r="P136" s="138"/>
      <c r="Q136" s="138"/>
      <c r="R136" s="138"/>
      <c r="S136" s="138"/>
      <c r="T136" s="138"/>
      <c r="U136" s="138"/>
      <c r="V136" s="138"/>
      <c r="W136" s="138"/>
      <c r="X136" s="138"/>
      <c r="Y136" s="138"/>
      <c r="Z136" s="138"/>
      <c r="AA136" s="138">
        <f>SUM(O136:Z136)</f>
        <v>0</v>
      </c>
      <c r="AB136" s="458" t="str">
        <f>IF(_epmOfflineCondition_,"",IF(AA136=0,"",IFERROR(AA136/_xll.EVGTS($B$1,1,_xll.EVPRO($B$1,$H136,"COSBASIS"),$B$3,$B$5,$B$6,$B$7,$B$9,AA$16,AA$17,AA$11),"")))</f>
        <v/>
      </c>
      <c r="AC136" s="140"/>
      <c r="AD136" s="138"/>
      <c r="AE136" s="458" t="str">
        <f>IF(_epmOfflineCondition_,"",IF(AD136=0,"",IFERROR(AD136/_xll.EVGTS($B$1,1,_xll.EVPRO($B$1,$H136,"COSBASIS"),$B$3,$B$5,$B$6,$B$7,$B$9,AD$16,AD$17,AD$18),"")))</f>
        <v/>
      </c>
      <c r="AF136" s="141">
        <f t="shared" si="58"/>
        <v>0</v>
      </c>
      <c r="AG136" s="138"/>
      <c r="AH136" s="458" t="str">
        <f>IF(_epmOfflineCondition_,"",IF(AG136=0,"",IFERROR(AG136/_xll.EVGTS($B$1,1,_xll.EVPRO($B$1,$H136,"COSBASIS"),$B$3,$B$5,$B$6,$B$7,$B$9,AG$16,AG$17,AG$18),"")))</f>
        <v/>
      </c>
      <c r="AI136" s="141">
        <f t="shared" si="59"/>
        <v>0</v>
      </c>
    </row>
    <row r="137" spans="1:35" x14ac:dyDescent="0.2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58"/>
      <c r="AC137" s="140"/>
      <c r="AD137" s="508"/>
      <c r="AE137" s="458"/>
      <c r="AF137" s="521" t="str">
        <f t="shared" si="58"/>
        <v/>
      </c>
      <c r="AG137" s="508"/>
      <c r="AH137" s="458"/>
      <c r="AI137" s="521" t="str">
        <f t="shared" si="59"/>
        <v/>
      </c>
    </row>
    <row r="138" spans="1:35" x14ac:dyDescent="0.2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38"/>
      <c r="P138" s="138"/>
      <c r="Q138" s="138"/>
      <c r="R138" s="138"/>
      <c r="S138" s="138"/>
      <c r="T138" s="138"/>
      <c r="U138" s="138"/>
      <c r="V138" s="138"/>
      <c r="W138" s="138"/>
      <c r="X138" s="138"/>
      <c r="Y138" s="138"/>
      <c r="Z138" s="138"/>
      <c r="AA138" s="138">
        <f>SUM(O138:Z138)</f>
        <v>0</v>
      </c>
      <c r="AB138" s="458" t="str">
        <f>IF(_epmOfflineCondition_,"",IF(AA138=0,"",IFERROR(AA138/_xll.EVGTS($B$1,1,_xll.EVPRO($B$1,$H138,"COSBASIS"),$B$3,$B$5,$B$6,$B$7,$B$9,AA$16,AA$17,AA$11),"")))</f>
        <v/>
      </c>
      <c r="AC138" s="140"/>
      <c r="AD138" s="138"/>
      <c r="AE138" s="458" t="str">
        <f>IF(_epmOfflineCondition_,"",IF(AD138=0,"",IFERROR(AD138/_xll.EVGTS($B$1,1,_xll.EVPRO($B$1,$H138,"COSBASIS"),$B$3,$B$5,$B$6,$B$7,$B$9,AD$16,AD$17,AD$18),"")))</f>
        <v/>
      </c>
      <c r="AF138" s="141">
        <f t="shared" si="58"/>
        <v>0</v>
      </c>
      <c r="AG138" s="138"/>
      <c r="AH138" s="458" t="str">
        <f>IF(_epmOfflineCondition_,"",IF(AG138=0,"",IFERROR(AG138/_xll.EVGTS($B$1,1,_xll.EVPRO($B$1,$H138,"COSBASIS"),$B$3,$B$5,$B$6,$B$7,$B$9,AG$16,AG$17,AG$18),"")))</f>
        <v/>
      </c>
      <c r="AI138" s="141">
        <f t="shared" si="59"/>
        <v>0</v>
      </c>
    </row>
    <row r="139" spans="1:35" x14ac:dyDescent="0.2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58"/>
      <c r="AC139" s="140"/>
      <c r="AD139" s="508"/>
      <c r="AE139" s="458"/>
      <c r="AF139" s="521" t="str">
        <f t="shared" si="58"/>
        <v/>
      </c>
      <c r="AG139" s="508"/>
      <c r="AH139" s="458"/>
      <c r="AI139" s="521" t="str">
        <f t="shared" si="59"/>
        <v/>
      </c>
    </row>
    <row r="140" spans="1:35" x14ac:dyDescent="0.2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38"/>
      <c r="P140" s="138"/>
      <c r="Q140" s="138"/>
      <c r="R140" s="138"/>
      <c r="S140" s="138"/>
      <c r="T140" s="138"/>
      <c r="U140" s="138"/>
      <c r="V140" s="138"/>
      <c r="W140" s="138"/>
      <c r="X140" s="138"/>
      <c r="Y140" s="138"/>
      <c r="Z140" s="138"/>
      <c r="AA140" s="138">
        <f>SUM(O140:Z140)</f>
        <v>0</v>
      </c>
      <c r="AB140" s="458" t="str">
        <f>IF(_epmOfflineCondition_,"",IF(AA140=0,"",IFERROR(AA140/_xll.EVGTS($B$1,1,_xll.EVPRO($B$1,$H140,"COSBASIS"),$B$3,$B$5,$B$6,$B$7,$B$9,AA$16,AA$17,AA$11),"")))</f>
        <v/>
      </c>
      <c r="AC140" s="140"/>
      <c r="AD140" s="138"/>
      <c r="AE140" s="458" t="str">
        <f>IF(_epmOfflineCondition_,"",IF(AD140=0,"",IFERROR(AD140/_xll.EVGTS($B$1,1,_xll.EVPRO($B$1,$H140,"COSBASIS"),$B$3,$B$5,$B$6,$B$7,$B$9,AD$16,AD$17,AD$18),"")))</f>
        <v/>
      </c>
      <c r="AF140" s="141">
        <f t="shared" si="58"/>
        <v>0</v>
      </c>
      <c r="AG140" s="138"/>
      <c r="AH140" s="458" t="str">
        <f>IF(_epmOfflineCondition_,"",IF(AG140=0,"",IFERROR(AG140/_xll.EVGTS($B$1,1,_xll.EVPRO($B$1,$H140,"COSBASIS"),$B$3,$B$5,$B$6,$B$7,$B$9,AG$16,AG$17,AG$18),"")))</f>
        <v/>
      </c>
      <c r="AI140" s="141">
        <f t="shared" si="59"/>
        <v>0</v>
      </c>
    </row>
    <row r="141" spans="1:35" x14ac:dyDescent="0.2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58"/>
      <c r="AC141" s="140"/>
      <c r="AD141" s="508" t="str">
        <f>IFERROR(AD140/AD85,"")</f>
        <v/>
      </c>
      <c r="AE141" s="458"/>
      <c r="AF141" s="521" t="str">
        <f t="shared" si="58"/>
        <v/>
      </c>
      <c r="AG141" s="508" t="str">
        <f>IFERROR(AG140/AG85,"")</f>
        <v/>
      </c>
      <c r="AH141" s="458"/>
      <c r="AI141" s="521" t="str">
        <f t="shared" si="59"/>
        <v/>
      </c>
    </row>
    <row r="142" spans="1:35" x14ac:dyDescent="0.2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2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2"/>
      <c r="AC143" s="140"/>
      <c r="AD143" s="511">
        <f>AD39+AD49+AD59+AD69+AD79+AD83-AD85</f>
        <v>0</v>
      </c>
      <c r="AE143" s="142"/>
      <c r="AF143" s="138"/>
      <c r="AG143" s="511">
        <f>AG39+AG49+AG59+AG69+AG79+AG83-AG85</f>
        <v>0</v>
      </c>
      <c r="AH143" s="142"/>
      <c r="AI143" s="138"/>
    </row>
    <row r="144" spans="1:35" x14ac:dyDescent="0.2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2"/>
      <c r="AC144" s="140"/>
      <c r="AD144" s="511">
        <f>AD41+AD51+AD61+AD71+AD80-AD87</f>
        <v>0</v>
      </c>
      <c r="AE144" s="142"/>
      <c r="AF144" s="138"/>
      <c r="AG144" s="511">
        <f>AG41+AG51+AG61+AG71+AG80-AG87</f>
        <v>0</v>
      </c>
      <c r="AH144" s="142"/>
      <c r="AI144" s="138"/>
    </row>
    <row r="145" spans="1:35" x14ac:dyDescent="0.2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2"/>
      <c r="AC145" s="140"/>
      <c r="AD145" s="510" t="e">
        <f>IFERROR(AD$85/AD87,"")-AD88</f>
        <v>#VALUE!</v>
      </c>
      <c r="AE145" s="142"/>
      <c r="AF145" s="138"/>
      <c r="AG145" s="510" t="e">
        <f>IFERROR(AG$85/AG87,"")-AG88</f>
        <v>#VALUE!</v>
      </c>
      <c r="AH145" s="142"/>
      <c r="AI145" s="138"/>
    </row>
    <row r="146" spans="1:35" x14ac:dyDescent="0.2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2"/>
      <c r="AC146" s="140"/>
      <c r="AD146" s="511">
        <f>(AD130+AD132)-AD140</f>
        <v>0</v>
      </c>
      <c r="AE146" s="142"/>
      <c r="AF146" s="138"/>
      <c r="AG146" s="511">
        <f>(AG130+AG132)-AG140</f>
        <v>0</v>
      </c>
      <c r="AH146" s="142"/>
      <c r="AI146" s="138"/>
    </row>
    <row r="147" spans="1:35" x14ac:dyDescent="0.2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2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2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2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2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he8QBuW7RK5+AEGLirMncOgmRa2LWPSZ5eoaU3Ks8BVkx32aAUDYtQUvFNkotjvyvA2qndPuRUTXsb9eQoh6zA==" saltValue="QRjPUZzXv3wP70aIedHu7Q==" spinCount="100000" sheet="1" scenarios="1"/>
  <mergeCells count="2">
    <mergeCell ref="AD31:AE31"/>
    <mergeCell ref="AG31:AH31"/>
  </mergeCells>
  <conditionalFormatting sqref="AD43 AF43:AG43 O43:AA43">
    <cfRule type="expression" dxfId="80" priority="15">
      <formula>ROUND(O42,2)&lt;&gt;ROUND(O43,2)</formula>
    </cfRule>
  </conditionalFormatting>
  <conditionalFormatting sqref="N43">
    <cfRule type="expression" dxfId="79" priority="14">
      <formula>$G43&lt;&gt;0</formula>
    </cfRule>
  </conditionalFormatting>
  <conditionalFormatting sqref="O53:AA53 AD53 AF53:AG53">
    <cfRule type="expression" dxfId="78" priority="13">
      <formula>ROUND(O52,2)&lt;&gt;ROUND(O53,2)</formula>
    </cfRule>
  </conditionalFormatting>
  <conditionalFormatting sqref="N53">
    <cfRule type="expression" dxfId="77" priority="12">
      <formula>$G53&lt;&gt;0</formula>
    </cfRule>
  </conditionalFormatting>
  <conditionalFormatting sqref="O63:AA63 AD63 AF63:AG63">
    <cfRule type="expression" dxfId="76" priority="11">
      <formula>ROUND(O62,2)&lt;&gt;ROUND(O63,2)</formula>
    </cfRule>
  </conditionalFormatting>
  <conditionalFormatting sqref="N63">
    <cfRule type="expression" dxfId="75" priority="10">
      <formula>$G63&lt;&gt;0</formula>
    </cfRule>
  </conditionalFormatting>
  <conditionalFormatting sqref="O73:AA73 AD73 AF73:AG73">
    <cfRule type="expression" dxfId="74" priority="9">
      <formula>ROUND(O72,2)&lt;&gt;ROUND(O73,2)</formula>
    </cfRule>
  </conditionalFormatting>
  <conditionalFormatting sqref="N73">
    <cfRule type="expression" dxfId="73" priority="8">
      <formula>$G73&lt;&gt;0</formula>
    </cfRule>
  </conditionalFormatting>
  <conditionalFormatting sqref="N82">
    <cfRule type="expression" dxfId="72" priority="7">
      <formula>$G82&lt;&gt;0</formula>
    </cfRule>
  </conditionalFormatting>
  <conditionalFormatting sqref="AD82 AF82:AG82 O82:AA82">
    <cfRule type="expression" dxfId="71" priority="6">
      <formula>ROUND(O81,2)&lt;&gt;ROUND(O82,2)</formula>
    </cfRule>
  </conditionalFormatting>
  <conditionalFormatting sqref="AI43">
    <cfRule type="expression" dxfId="70" priority="5">
      <formula>ROUND(AI42,2)&lt;&gt;ROUND(AI43,2)</formula>
    </cfRule>
  </conditionalFormatting>
  <conditionalFormatting sqref="AI53">
    <cfRule type="expression" dxfId="69" priority="4">
      <formula>ROUND(AI52,2)&lt;&gt;ROUND(AI53,2)</formula>
    </cfRule>
  </conditionalFormatting>
  <conditionalFormatting sqref="AI63">
    <cfRule type="expression" dxfId="68" priority="3">
      <formula>ROUND(AI62,2)&lt;&gt;ROUND(AI63,2)</formula>
    </cfRule>
  </conditionalFormatting>
  <conditionalFormatting sqref="AI73">
    <cfRule type="expression" dxfId="67" priority="2">
      <formula>ROUND(AI72,2)&lt;&gt;ROUND(AI73,2)</formula>
    </cfRule>
  </conditionalFormatting>
  <conditionalFormatting sqref="AI82">
    <cfRule type="expression" dxfId="66" priority="1">
      <formula>ROUND(AI81,2)&lt;&gt;ROUND(AI82,2)</formula>
    </cfRule>
  </conditionalFormatting>
  <dataValidations count="2">
    <dataValidation type="list" allowBlank="1" sqref="B28" xr:uid="{00000000-0002-0000-1200-000000000000}">
      <formula1>"ACCOUNT,BUSINESSUNIT,CATEGORY,DATASRC,DEPARTMENT,INTCO,MEASURES,RPTCURRENCY,TIME"</formula1>
    </dataValidation>
    <dataValidation type="list" allowBlank="1" sqref="B29" xr:uid="{00000000-0002-0000-12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5">
    <tabColor theme="6"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522" t="s">
        <v>22</v>
      </c>
      <c r="H1" s="58" t="s">
        <v>728</v>
      </c>
      <c r="I1" s="11"/>
      <c r="J1" s="11"/>
      <c r="K1" s="11"/>
      <c r="L1" s="11"/>
      <c r="M1" s="11"/>
      <c r="N1" s="67" t="str">
        <f>IF(_epmOfflineCondition_,"Minnow Bar",IF(OR(_xll.EVCGT($B$1,$B$6,$H$1,$H$2,$H$3,$H$4,$H$5,$H$6,$H$7,$H$8)="#RFR",_xll.EVCGT($B$1,$B$6,$H$1,$H$2,$H$3,$H$4,$H$5,$H$6,$H$7,$H$8)="#NODATA"),"",_xll.EVCGT($B$1,$B$6,$H$1,$H$2,$H$3,$H$4,$H$5,$H$6,$H$7,$H$8)))</f>
        <v>Minnow Bar</v>
      </c>
      <c r="O1" s="11" t="s">
        <v>731</v>
      </c>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522" t="s">
        <v>50</v>
      </c>
      <c r="H2" s="58" t="str">
        <f>"BU"&amp;RIGHT(B3,4)</f>
        <v>BU1334</v>
      </c>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522" t="s">
        <v>19</v>
      </c>
      <c r="H3" s="58" t="s">
        <v>683</v>
      </c>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522" t="s">
        <v>51</v>
      </c>
      <c r="H4" s="58" t="s">
        <v>730</v>
      </c>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522" t="s">
        <v>53</v>
      </c>
      <c r="H5" s="58" t="s">
        <v>729</v>
      </c>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734</v>
      </c>
      <c r="C6" s="11" t="str">
        <f>IF(_epmOfflineCondition_,"Venue (Bar)",_xll.EVDES(B6,$B$1))</f>
        <v>Venue (Bar)</v>
      </c>
      <c r="D6" s="11"/>
      <c r="E6" s="58" t="str">
        <f>IF(_epmOfflineCondition_,"D_VENUES",_xll.EVPRO($B$1,$B$6,$F$6))</f>
        <v>D_VENUES</v>
      </c>
      <c r="F6" s="11" t="s">
        <v>278</v>
      </c>
      <c r="G6" s="522" t="s">
        <v>20</v>
      </c>
      <c r="H6" s="58" t="s">
        <v>55</v>
      </c>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522" t="s">
        <v>54</v>
      </c>
      <c r="H7" s="58" t="s">
        <v>62</v>
      </c>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522" t="s">
        <v>18</v>
      </c>
      <c r="H8" s="58" t="s">
        <v>727</v>
      </c>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IF(_epmOfflineCondition_,"'VenueBar'!$B$2:$B$10",_xll.EVRNG($B$2:$B$10))</f>
        <v>'VenueBar'!$B$2:$B$10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IF(_epmOfflineCondition_,"'VenueBar'!$O$16:$AN$18",_xll.EVRNG($O$16:$AN$18))</f>
        <v>'VenueBar'!$O$16:$AN$18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IF(_epmOfflineCondition_,"'VenueBar'!$H$35:$H$58",_xll.EVRNG(H35:H58))</f>
        <v>'VenueBar'!$H$35:$H$58</v>
      </c>
      <c r="C19" s="11"/>
      <c r="D19" s="11"/>
      <c r="E19" s="11"/>
      <c r="F19" s="11"/>
      <c r="G19" s="67" t="str">
        <f>$B$6</f>
        <v>D2146</v>
      </c>
      <c r="H19" s="67">
        <v>400000</v>
      </c>
      <c r="I19" s="68"/>
      <c r="J19" s="68"/>
      <c r="K19" s="67"/>
      <c r="L19" s="67"/>
      <c r="M19" s="67"/>
      <c r="N19" s="67" t="str">
        <f>IF(_epmOfflineCondition_,"Total Revenue",_xll.EVDES(H19))</f>
        <v>Total Revenue</v>
      </c>
      <c r="O19" s="69">
        <f>IF(_epmOfflineCondition_,45049.08,_xll.EVGTS($B$1,1,$B$3,$B$5,$B$7,$B$9,O$16,O$17,O$18,$G$19,$H$19))</f>
        <v>45049.08</v>
      </c>
      <c r="P19" s="69">
        <f>IF(_epmOfflineCondition_,57817.4,_xll.EVGTS($B$1,1,$B$3,$B$5,$B$7,$B$9,P$16,P$17,P$18,$G$19,$H$19))</f>
        <v>57817.4</v>
      </c>
      <c r="Q19" s="69">
        <f>IF(_epmOfflineCondition_,51318.52,_xll.EVGTS($B$1,1,$B$3,$B$5,$B$7,$B$9,Q$16,Q$17,Q$18,$G$19,$H$19))</f>
        <v>51318.52</v>
      </c>
      <c r="R19" s="69">
        <f>IF(_epmOfflineCondition_,44965.28,_xll.EVGTS($B$1,1,$B$3,$B$5,$B$7,$B$9,R$16,R$17,R$18,$G$19,$H$19))</f>
        <v>44965.279999999999</v>
      </c>
      <c r="S19" s="69">
        <f>IF(_epmOfflineCondition_,54444.23,_xll.EVGTS($B$1,1,$B$3,$B$5,$B$7,$B$9,S$16,S$17,S$18,$G$19,$H$19))</f>
        <v>54444.23</v>
      </c>
      <c r="T19" s="69">
        <f>IF(_epmOfflineCondition_,33779.42,_xll.EVGTS($B$1,1,$B$3,$B$5,$B$7,$B$9,T$16,T$17,T$18,$G$19,$H$19))</f>
        <v>33779.42</v>
      </c>
      <c r="U19" s="69">
        <f>IF(_epmOfflineCondition_,38010.64,_xll.EVGTS($B$1,1,$B$3,$B$5,$B$7,$B$9,U$16,U$17,U$18,$G$19,$H$19))</f>
        <v>38010.639999999999</v>
      </c>
      <c r="V19" s="69">
        <f>IF(_epmOfflineCondition_,25338.34,_xll.EVGTS($B$1,1,$B$3,$B$5,$B$7,$B$9,V$16,V$17,V$18,$G$19,$H$19))</f>
        <v>25338.34</v>
      </c>
      <c r="W19" s="69">
        <f>IF(_epmOfflineCondition_,27783.42,_xll.EVGTS($B$1,1,$B$3,$B$5,$B$7,$B$9,W$16,W$17,W$18,$G$19,$H$19))</f>
        <v>27783.42</v>
      </c>
      <c r="X19" s="69">
        <f>IF(_epmOfflineCondition_,29693.82,_xll.EVGTS($B$1,1,$B$3,$B$5,$B$7,$B$9,X$16,X$17,X$18,$G$19,$H$19))</f>
        <v>29693.82</v>
      </c>
      <c r="Y19" s="69">
        <f>IF(_epmOfflineCondition_,42433.03,_xll.EVGTS($B$1,1,$B$3,$B$5,$B$7,$B$9,Y$16,Y$17,Y$18,$G$19,$H$19))</f>
        <v>42433.03</v>
      </c>
      <c r="Z19" s="69">
        <f>IF(_epmOfflineCondition_,40732.42,_xll.EVGTS($B$1,1,$B$3,$B$5,$B$7,$B$9,Z$16,Z$17,Z$18,$G$19,$H$19))</f>
        <v>40732.42</v>
      </c>
      <c r="AA19" s="69">
        <f>SUM(O19:Z19)</f>
        <v>491365.60000000003</v>
      </c>
      <c r="AB19" s="67"/>
      <c r="AC19" s="67"/>
      <c r="AD19" s="69">
        <f>IF(_epmOfflineCondition_,472260.78,_xll.EVGTS($B$1,1,$B$3,$B$5,$B$7,$B$9,AD$16,AD$17,AD$18,$G$19,$H$19))</f>
        <v>472260.78</v>
      </c>
      <c r="AE19" s="67"/>
      <c r="AF19" s="67"/>
      <c r="AG19" s="69">
        <f>IF(_epmOfflineCondition_,669103.58,_xll.EVGTS($B$1,1,$B$3,$B$5,$B$7,$B$9,AG$16,AG$17,AG$18,$G$19,$H$19))</f>
        <v>669103.57999999996</v>
      </c>
      <c r="AH19" s="67"/>
      <c r="AI19" s="67"/>
      <c r="AJ19" s="11"/>
      <c r="AK19" s="11"/>
      <c r="AL19" s="11"/>
      <c r="AM19" s="11"/>
      <c r="AN19" s="11"/>
      <c r="AO19" s="11"/>
    </row>
    <row r="20" spans="1:41" hidden="1" outlineLevel="1" x14ac:dyDescent="0.25">
      <c r="A20" s="65" t="s">
        <v>5</v>
      </c>
      <c r="B20" s="66"/>
      <c r="C20" s="11"/>
      <c r="D20" s="11"/>
      <c r="E20" s="11"/>
      <c r="F20" s="11"/>
      <c r="G20" s="67" t="str">
        <f>$B$6</f>
        <v>D2146</v>
      </c>
      <c r="H20" s="67">
        <v>946000</v>
      </c>
      <c r="I20" s="68"/>
      <c r="J20" s="68"/>
      <c r="K20" s="67"/>
      <c r="L20" s="68"/>
      <c r="M20" s="68"/>
      <c r="N20" s="67" t="str">
        <f>IF(_epmOfflineCondition_,"Total Customers",_xll.EVDES(H20))</f>
        <v>Total Customers</v>
      </c>
      <c r="O20" s="69">
        <f>IF(_epmOfflineCondition_,1433,_xll.EVGTS($B$1,1,$B$3,$B$5,$B$7,$B$9,O$16,O$17,O$18,$G$20,$H$20))</f>
        <v>1433</v>
      </c>
      <c r="P20" s="69">
        <f>IF(_epmOfflineCondition_,1415,_xll.EVGTS($B$1,1,$B$3,$B$5,$B$7,$B$9,P$16,P$17,P$18,$G$20,$H$20))</f>
        <v>1415</v>
      </c>
      <c r="Q20" s="69">
        <f>IF(_epmOfflineCondition_,1418,_xll.EVGTS($B$1,1,$B$3,$B$5,$B$7,$B$9,Q$16,Q$17,Q$18,$G$20,$H$20))</f>
        <v>1418</v>
      </c>
      <c r="R20" s="69">
        <f>IF(_epmOfflineCondition_,1095,_xll.EVGTS($B$1,1,$B$3,$B$5,$B$7,$B$9,R$16,R$17,R$18,$G$20,$H$20))</f>
        <v>1095</v>
      </c>
      <c r="S20" s="69">
        <f>IF(_epmOfflineCondition_,1078,_xll.EVGTS($B$1,1,$B$3,$B$5,$B$7,$B$9,S$16,S$17,S$18,$G$20,$H$20))</f>
        <v>1078</v>
      </c>
      <c r="T20" s="69">
        <f>IF(_epmOfflineCondition_,870,_xll.EVGTS($B$1,1,$B$3,$B$5,$B$7,$B$9,T$16,T$17,T$18,$G$20,$H$20))</f>
        <v>870</v>
      </c>
      <c r="U20" s="69">
        <f>IF(_epmOfflineCondition_,1166,_xll.EVGTS($B$1,1,$B$3,$B$5,$B$7,$B$9,U$16,U$17,U$18,$G$20,$H$20))</f>
        <v>1166</v>
      </c>
      <c r="V20" s="69">
        <f>IF(_epmOfflineCondition_,825,_xll.EVGTS($B$1,1,$B$3,$B$5,$B$7,$B$9,V$16,V$17,V$18,$G$20,$H$20))</f>
        <v>825</v>
      </c>
      <c r="W20" s="69">
        <f>IF(_epmOfflineCondition_,814,_xll.EVGTS($B$1,1,$B$3,$B$5,$B$7,$B$9,W$16,W$17,W$18,$G$20,$H$20))</f>
        <v>814</v>
      </c>
      <c r="X20" s="69">
        <f>IF(_epmOfflineCondition_,974,_xll.EVGTS($B$1,1,$B$3,$B$5,$B$7,$B$9,X$16,X$17,X$18,$G$20,$H$20))</f>
        <v>974</v>
      </c>
      <c r="Y20" s="69">
        <f>IF(_epmOfflineCondition_,1190,_xll.EVGTS($B$1,1,$B$3,$B$5,$B$7,$B$9,Y$16,Y$17,Y$18,$G$20,$H$20))</f>
        <v>1190</v>
      </c>
      <c r="Z20" s="69">
        <f>IF(_epmOfflineCondition_,1066,_xll.EVGTS($B$1,1,$B$3,$B$5,$B$7,$B$9,Z$16,Z$17,Z$18,$G$20,$H$20))</f>
        <v>1066</v>
      </c>
      <c r="AA20" s="69">
        <f>SUM(O20:Z20)</f>
        <v>13344</v>
      </c>
      <c r="AB20" s="67"/>
      <c r="AC20" s="67"/>
      <c r="AD20" s="69">
        <f>IF(_epmOfflineCondition_,15300,_xll.EVGTS($B$1,1,$B$3,$B$5,$B$7,$B$9,AD$16,AD$17,AD$18,$G$20,$H$20))</f>
        <v>15300</v>
      </c>
      <c r="AE20" s="67"/>
      <c r="AF20" s="67"/>
      <c r="AG20" s="69">
        <f>IF(_epmOfflineCondition_,22969,_xll.EVGTS($B$1,1,$B$3,$B$5,$B$7,$B$9,AG$16,AG$17,AG$18,$G$20,$H$20))</f>
        <v>22969</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IF(_epmOfflineCondition_,"'VenueBar'!$A$36:$F$44",_xll.EVRNG(A36:F44))</f>
        <v>'VenueBar'!$A$36:$F$44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IF(_epmOfflineCondition_,"'VenueBar'!$A$125:$B$146",_xll.EVRNG($A$125:$B$146))</f>
        <v>'VenueBar'!$A$125:$B$146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IF(_epmOfflineCondition_,"Minnow Bar",IF($N$1="",IF(_xll.EVDES(B6,$B$1)="#NODATA","",_xll.EVDES(B6,$B$1)&amp;" Department"),$N$1))</f>
        <v>Minnow Bar</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D_VENUES=Y,REV_F,BEV,DEP(REV_BEV) AND D_VENUES=Y,REV_BEV,ALLOW_FB,REV_FB,OTHR_REV,DEP(REV_OTHR) AND D_VENUES=Y,REV_OTHR,400000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8"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457"/>
      <c r="P35" s="210"/>
      <c r="Q35" s="210"/>
      <c r="R35" s="210"/>
      <c r="S35" s="210"/>
      <c r="T35" s="210"/>
      <c r="U35" s="210"/>
      <c r="V35" s="210"/>
      <c r="W35" s="210"/>
      <c r="X35" s="210"/>
      <c r="Y35" s="210"/>
      <c r="Z35" s="210"/>
      <c r="AA35" s="210">
        <f t="shared" ref="AA35:AA58" si="1">IF($I35="B1","",SUM(O35:Z35))</f>
        <v>0</v>
      </c>
      <c r="AB35" s="458" t="str">
        <f t="shared" ref="AB35:AB58" si="2">IF(AA35=0,"",IFERROR(AA35/AA$19,""))</f>
        <v/>
      </c>
      <c r="AC35" s="528"/>
      <c r="AD35" s="210"/>
      <c r="AE35" s="458" t="str">
        <f t="shared" ref="AE35:AE58" si="3">IF(AD35=0,"",IFERROR(AD35/AD$19,""))</f>
        <v/>
      </c>
      <c r="AF35" s="460">
        <f t="shared" ref="AF35:AF58" si="4">IF(AND($AA35="",AD35=""),"",$AA35-AD35)</f>
        <v>0</v>
      </c>
      <c r="AG35" s="210"/>
      <c r="AH35" s="458" t="str">
        <f t="shared" ref="AH35:AH58" si="5">IF(AG35=0,"",IFERROR(AG35/AG$19,""))</f>
        <v/>
      </c>
      <c r="AI35" s="461">
        <f t="shared" ref="AI35:AI58" si="6">IF(AND($AA35="",AG35=""),"",$AA35-AG35)</f>
        <v>0</v>
      </c>
      <c r="AJ35" s="462">
        <f t="shared" ref="AJ35:AJ58" si="7">IFERROR(AA35/AA$20,0)</f>
        <v>0</v>
      </c>
      <c r="AK35" s="463">
        <f t="shared" ref="AK35:AK58" si="8">IFERROR(AD35/AD$20,0)</f>
        <v>0</v>
      </c>
      <c r="AL35" s="464">
        <f t="shared" ref="AL35:AL58" si="9">IFERROR(AG35/AG$20,0)</f>
        <v>0</v>
      </c>
      <c r="AM35" s="465">
        <f t="shared" ref="AM35:AM58" si="10">+IFERROR(ROUND(($AB35-AE35)*100,2)&amp;" pts.",0)</f>
        <v>0</v>
      </c>
      <c r="AN35" s="466">
        <f t="shared" ref="AN35:AN58" si="11">+IFERROR(ROUND(($AB35-AH35)*100,2)&amp;" pts.",0)</f>
        <v>0</v>
      </c>
      <c r="AO35" s="11"/>
    </row>
    <row r="36" spans="1:41" x14ac:dyDescent="0.2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457"/>
      <c r="P36" s="210"/>
      <c r="Q36" s="210"/>
      <c r="R36" s="210"/>
      <c r="S36" s="210"/>
      <c r="T36" s="210"/>
      <c r="U36" s="210"/>
      <c r="V36" s="210"/>
      <c r="W36" s="210"/>
      <c r="X36" s="210"/>
      <c r="Y36" s="210"/>
      <c r="Z36" s="210"/>
      <c r="AA36" s="210">
        <f t="shared" si="1"/>
        <v>0</v>
      </c>
      <c r="AB36" s="458" t="str">
        <f t="shared" si="2"/>
        <v/>
      </c>
      <c r="AC36" s="528"/>
      <c r="AD36" s="210"/>
      <c r="AE36" s="458" t="str">
        <f t="shared" si="3"/>
        <v/>
      </c>
      <c r="AF36" s="460">
        <f t="shared" si="4"/>
        <v>0</v>
      </c>
      <c r="AG36" s="210">
        <v>140477.38</v>
      </c>
      <c r="AH36" s="458">
        <f t="shared" si="5"/>
        <v>0.20994863007607883</v>
      </c>
      <c r="AI36" s="461">
        <f t="shared" si="6"/>
        <v>-140477.38</v>
      </c>
      <c r="AJ36" s="462">
        <f t="shared" si="7"/>
        <v>0</v>
      </c>
      <c r="AK36" s="463">
        <f t="shared" si="8"/>
        <v>0</v>
      </c>
      <c r="AL36" s="464">
        <f t="shared" si="9"/>
        <v>6.1159554181723195</v>
      </c>
      <c r="AM36" s="465">
        <f t="shared" si="10"/>
        <v>0</v>
      </c>
      <c r="AN36" s="466">
        <f t="shared" si="11"/>
        <v>0</v>
      </c>
      <c r="AO36" s="11"/>
    </row>
    <row r="37" spans="1:41" x14ac:dyDescent="0.2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57"/>
      <c r="P37" s="210"/>
      <c r="Q37" s="210"/>
      <c r="R37" s="210"/>
      <c r="S37" s="210"/>
      <c r="T37" s="210"/>
      <c r="U37" s="210"/>
      <c r="V37" s="210"/>
      <c r="W37" s="210"/>
      <c r="X37" s="210"/>
      <c r="Y37" s="210"/>
      <c r="Z37" s="210"/>
      <c r="AA37" s="210">
        <f t="shared" si="1"/>
        <v>0</v>
      </c>
      <c r="AB37" s="458" t="str">
        <f t="shared" si="2"/>
        <v/>
      </c>
      <c r="AC37" s="528"/>
      <c r="AD37" s="210"/>
      <c r="AE37" s="458" t="str">
        <f t="shared" si="3"/>
        <v/>
      </c>
      <c r="AF37" s="460">
        <f t="shared" si="4"/>
        <v>0</v>
      </c>
      <c r="AG37" s="210">
        <v>0</v>
      </c>
      <c r="AH37" s="458" t="str">
        <f t="shared" si="5"/>
        <v/>
      </c>
      <c r="AI37" s="461">
        <f t="shared" si="6"/>
        <v>0</v>
      </c>
      <c r="AJ37" s="462">
        <f t="shared" si="7"/>
        <v>0</v>
      </c>
      <c r="AK37" s="463">
        <f t="shared" si="8"/>
        <v>0</v>
      </c>
      <c r="AL37" s="464">
        <f t="shared" si="9"/>
        <v>0</v>
      </c>
      <c r="AM37" s="465">
        <f t="shared" si="10"/>
        <v>0</v>
      </c>
      <c r="AN37" s="466">
        <f t="shared" si="11"/>
        <v>0</v>
      </c>
      <c r="AO37" s="11"/>
    </row>
    <row r="38" spans="1:41" x14ac:dyDescent="0.25">
      <c r="A38" s="11" t="s">
        <v>105</v>
      </c>
      <c r="B38" s="11"/>
      <c r="C38" s="104" t="s">
        <v>101</v>
      </c>
      <c r="D38" s="11" t="s">
        <v>106</v>
      </c>
      <c r="E38" s="11"/>
      <c r="F38" s="11" t="s">
        <v>98</v>
      </c>
      <c r="G38" s="11"/>
      <c r="H38" s="88" t="s">
        <v>263</v>
      </c>
      <c r="I38" s="122" t="str">
        <f>IF(_epmOfflineCondition_,"T5",_xll.EVPRO($B$1,$H38,"STYLE"))</f>
        <v>T5</v>
      </c>
      <c r="J38" s="122" t="str">
        <f>IF(_epmOfflineCondition_,"Y",_xll.EVPRO($B$1,$H38,"CALC"))</f>
        <v>Y</v>
      </c>
      <c r="K38" s="179" t="str">
        <f t="shared" si="0"/>
        <v>&gt;</v>
      </c>
      <c r="L38" s="90" t="str">
        <f>IF(_epmOfflineCondition_,"464100",_xll.EVPRO($B$1,H38,"JDEID"))</f>
        <v>464100</v>
      </c>
      <c r="M38" s="90" t="str">
        <f>IF(_epmOfflineCondition_,"",IF(AND(I38="N",J38="N"),_xll.EVPRO($B$1,H38,"PSFTID"),""))</f>
        <v/>
      </c>
      <c r="N38" s="90" t="str">
        <f>IF(_epmOfflineCondition_,"Bar Food",IF(_xll.EVDES(H38,$B$1)="#NODATA","",_xll.EVDES(H38,$B$1)))</f>
        <v>Bar Food</v>
      </c>
      <c r="O38" s="457">
        <v>9761.5</v>
      </c>
      <c r="P38" s="210">
        <v>9193</v>
      </c>
      <c r="Q38" s="210">
        <v>10319</v>
      </c>
      <c r="R38" s="210">
        <v>10338</v>
      </c>
      <c r="S38" s="210">
        <v>12730.52</v>
      </c>
      <c r="T38" s="210">
        <v>10309.4</v>
      </c>
      <c r="U38" s="210">
        <v>9387</v>
      </c>
      <c r="V38" s="210">
        <v>6317.5</v>
      </c>
      <c r="W38" s="210">
        <v>6631.05</v>
      </c>
      <c r="X38" s="210">
        <v>6375</v>
      </c>
      <c r="Y38" s="210">
        <v>9117.09</v>
      </c>
      <c r="Z38" s="210">
        <v>10870.4</v>
      </c>
      <c r="AA38" s="210">
        <f t="shared" si="1"/>
        <v>111349.46</v>
      </c>
      <c r="AB38" s="458">
        <f t="shared" si="2"/>
        <v>0.22661224147559372</v>
      </c>
      <c r="AC38" s="528"/>
      <c r="AD38" s="210">
        <v>62032.653599999998</v>
      </c>
      <c r="AE38" s="458">
        <f t="shared" si="3"/>
        <v>0.13135254128026466</v>
      </c>
      <c r="AF38" s="460">
        <f t="shared" si="4"/>
        <v>49316.806400000009</v>
      </c>
      <c r="AG38" s="210">
        <v>23130.31</v>
      </c>
      <c r="AH38" s="458">
        <f t="shared" si="5"/>
        <v>3.4569102141106471E-2</v>
      </c>
      <c r="AI38" s="461">
        <f t="shared" si="6"/>
        <v>88219.150000000009</v>
      </c>
      <c r="AJ38" s="462">
        <f t="shared" si="7"/>
        <v>8.3445338729016783</v>
      </c>
      <c r="AK38" s="463">
        <f t="shared" si="8"/>
        <v>4.0544218039215689</v>
      </c>
      <c r="AL38" s="464">
        <f t="shared" si="9"/>
        <v>1.0070229439679568</v>
      </c>
      <c r="AM38" s="465" t="str">
        <f t="shared" si="10"/>
        <v>9.53 pts.</v>
      </c>
      <c r="AN38" s="466" t="str">
        <f t="shared" si="11"/>
        <v>19.2 pts.</v>
      </c>
      <c r="AO38" s="11"/>
    </row>
    <row r="39" spans="1:41" x14ac:dyDescent="0.25">
      <c r="A39" s="11" t="s">
        <v>104</v>
      </c>
      <c r="B39" s="11"/>
      <c r="C39" s="104" t="s">
        <v>101</v>
      </c>
      <c r="D39" s="11" t="s">
        <v>106</v>
      </c>
      <c r="E39" s="11"/>
      <c r="F39" s="11" t="s">
        <v>98</v>
      </c>
      <c r="G39" s="11"/>
      <c r="H39" s="88" t="s">
        <v>264</v>
      </c>
      <c r="I39" s="122" t="str">
        <f>IF(_epmOfflineCondition_,"T5",_xll.EVPRO($B$1,$H39,"STYLE"))</f>
        <v>T5</v>
      </c>
      <c r="J39" s="122" t="str">
        <f>IF(_epmOfflineCondition_,"Y",_xll.EVPRO($B$1,$H39,"CALC"))</f>
        <v>Y</v>
      </c>
      <c r="K39" s="179" t="str">
        <f t="shared" si="0"/>
        <v>&gt;</v>
      </c>
      <c r="L39" s="90" t="str">
        <f>IF(_epmOfflineCondition_,"465100",_xll.EVPRO($B$1,H39,"JDEID"))</f>
        <v>465100</v>
      </c>
      <c r="M39" s="90" t="str">
        <f>IF(_epmOfflineCondition_,"",IF(AND(I39="N",J39="N"),_xll.EVPRO($B$1,H39,"PSFTID"),""))</f>
        <v/>
      </c>
      <c r="N39" s="90" t="str">
        <f>IF(_epmOfflineCondition_,"Private Dining Food",IF(_xll.EVDES(H39,$B$1)="#NODATA","",_xll.EVDES(H39,$B$1)))</f>
        <v>Private Dining Food</v>
      </c>
      <c r="O39" s="467"/>
      <c r="P39" s="216"/>
      <c r="Q39" s="216"/>
      <c r="R39" s="216"/>
      <c r="S39" s="216"/>
      <c r="T39" s="216"/>
      <c r="U39" s="216"/>
      <c r="V39" s="216"/>
      <c r="W39" s="216"/>
      <c r="X39" s="216"/>
      <c r="Y39" s="216"/>
      <c r="Z39" s="216"/>
      <c r="AA39" s="216">
        <f t="shared" si="1"/>
        <v>0</v>
      </c>
      <c r="AB39" s="468" t="str">
        <f t="shared" si="2"/>
        <v/>
      </c>
      <c r="AC39" s="459"/>
      <c r="AD39" s="216"/>
      <c r="AE39" s="468" t="str">
        <f t="shared" si="3"/>
        <v/>
      </c>
      <c r="AF39" s="469">
        <f t="shared" si="4"/>
        <v>0</v>
      </c>
      <c r="AG39" s="216"/>
      <c r="AH39" s="468" t="str">
        <f t="shared" si="5"/>
        <v/>
      </c>
      <c r="AI39" s="470">
        <f t="shared" si="6"/>
        <v>0</v>
      </c>
      <c r="AJ39" s="471">
        <f t="shared" si="7"/>
        <v>0</v>
      </c>
      <c r="AK39" s="472">
        <f t="shared" si="8"/>
        <v>0</v>
      </c>
      <c r="AL39" s="473">
        <f t="shared" si="9"/>
        <v>0</v>
      </c>
      <c r="AM39" s="474">
        <f t="shared" si="10"/>
        <v>0</v>
      </c>
      <c r="AN39" s="475">
        <f t="shared" si="11"/>
        <v>0</v>
      </c>
      <c r="AO39" s="11"/>
    </row>
    <row r="40" spans="1:41" x14ac:dyDescent="0.2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76">
        <v>9761.5</v>
      </c>
      <c r="P40" s="223">
        <v>9193</v>
      </c>
      <c r="Q40" s="223">
        <v>10319</v>
      </c>
      <c r="R40" s="223">
        <v>10338</v>
      </c>
      <c r="S40" s="223">
        <v>12730.52</v>
      </c>
      <c r="T40" s="223">
        <v>10309.4</v>
      </c>
      <c r="U40" s="223">
        <v>9387</v>
      </c>
      <c r="V40" s="223">
        <v>6317.5</v>
      </c>
      <c r="W40" s="223">
        <v>6631.05</v>
      </c>
      <c r="X40" s="223">
        <v>6375</v>
      </c>
      <c r="Y40" s="223">
        <v>9117.09</v>
      </c>
      <c r="Z40" s="223">
        <v>10870.4</v>
      </c>
      <c r="AA40" s="223">
        <f t="shared" si="1"/>
        <v>111349.46</v>
      </c>
      <c r="AB40" s="224">
        <f t="shared" si="2"/>
        <v>0.22661224147559372</v>
      </c>
      <c r="AC40" s="225"/>
      <c r="AD40" s="223">
        <v>62032.653599999998</v>
      </c>
      <c r="AE40" s="224">
        <f t="shared" si="3"/>
        <v>0.13135254128026466</v>
      </c>
      <c r="AF40" s="226">
        <f t="shared" si="4"/>
        <v>49316.806400000009</v>
      </c>
      <c r="AG40" s="223">
        <v>163607.69</v>
      </c>
      <c r="AH40" s="224">
        <f t="shared" si="5"/>
        <v>0.24451773221718529</v>
      </c>
      <c r="AI40" s="477">
        <f t="shared" si="6"/>
        <v>-52258.229999999996</v>
      </c>
      <c r="AJ40" s="227">
        <f t="shared" si="7"/>
        <v>8.3445338729016783</v>
      </c>
      <c r="AK40" s="228">
        <f t="shared" si="8"/>
        <v>4.0544218039215689</v>
      </c>
      <c r="AL40" s="230">
        <f t="shared" si="9"/>
        <v>7.1229783621402758</v>
      </c>
      <c r="AM40" s="427" t="str">
        <f t="shared" si="10"/>
        <v>9.53 pts.</v>
      </c>
      <c r="AN40" s="478" t="str">
        <f t="shared" si="11"/>
        <v>-1.79 pts.</v>
      </c>
      <c r="AO40" s="11"/>
    </row>
    <row r="41" spans="1:41" x14ac:dyDescent="0.2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479"/>
      <c r="P41" s="232"/>
      <c r="Q41" s="232"/>
      <c r="R41" s="232"/>
      <c r="S41" s="232"/>
      <c r="T41" s="232"/>
      <c r="U41" s="232"/>
      <c r="V41" s="232"/>
      <c r="W41" s="232"/>
      <c r="X41" s="232"/>
      <c r="Y41" s="232"/>
      <c r="Z41" s="232"/>
      <c r="AA41" s="232" t="str">
        <f t="shared" si="1"/>
        <v/>
      </c>
      <c r="AB41" s="480" t="str">
        <f t="shared" si="2"/>
        <v/>
      </c>
      <c r="AC41" s="529"/>
      <c r="AD41" s="232"/>
      <c r="AE41" s="480" t="str">
        <f t="shared" si="3"/>
        <v/>
      </c>
      <c r="AF41" s="482" t="str">
        <f t="shared" si="4"/>
        <v/>
      </c>
      <c r="AG41" s="232"/>
      <c r="AH41" s="480" t="str">
        <f t="shared" si="5"/>
        <v/>
      </c>
      <c r="AI41" s="483" t="str">
        <f t="shared" si="6"/>
        <v/>
      </c>
      <c r="AJ41" s="235">
        <f t="shared" si="7"/>
        <v>0</v>
      </c>
      <c r="AK41" s="236">
        <f t="shared" si="8"/>
        <v>0</v>
      </c>
      <c r="AL41" s="238">
        <f t="shared" si="9"/>
        <v>0</v>
      </c>
      <c r="AM41" s="429">
        <f t="shared" si="10"/>
        <v>0</v>
      </c>
      <c r="AN41" s="484">
        <f t="shared" si="11"/>
        <v>0</v>
      </c>
      <c r="AO41" s="11"/>
    </row>
    <row r="42" spans="1:41" x14ac:dyDescent="0.2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457"/>
      <c r="P42" s="210"/>
      <c r="Q42" s="210"/>
      <c r="R42" s="210"/>
      <c r="S42" s="210"/>
      <c r="T42" s="210"/>
      <c r="U42" s="210"/>
      <c r="V42" s="210"/>
      <c r="W42" s="210"/>
      <c r="X42" s="210"/>
      <c r="Y42" s="210"/>
      <c r="Z42" s="210"/>
      <c r="AA42" s="210">
        <f t="shared" si="1"/>
        <v>0</v>
      </c>
      <c r="AB42" s="458" t="str">
        <f t="shared" si="2"/>
        <v/>
      </c>
      <c r="AC42" s="528"/>
      <c r="AD42" s="210"/>
      <c r="AE42" s="458" t="str">
        <f t="shared" si="3"/>
        <v/>
      </c>
      <c r="AF42" s="460">
        <f t="shared" si="4"/>
        <v>0</v>
      </c>
      <c r="AG42" s="210">
        <v>110</v>
      </c>
      <c r="AH42" s="458">
        <f t="shared" si="5"/>
        <v>1.6439906060583325E-4</v>
      </c>
      <c r="AI42" s="461">
        <f t="shared" si="6"/>
        <v>-110</v>
      </c>
      <c r="AJ42" s="462">
        <f t="shared" si="7"/>
        <v>0</v>
      </c>
      <c r="AK42" s="463">
        <f t="shared" si="8"/>
        <v>0</v>
      </c>
      <c r="AL42" s="464">
        <f t="shared" si="9"/>
        <v>4.7890635203970567E-3</v>
      </c>
      <c r="AM42" s="465">
        <f t="shared" si="10"/>
        <v>0</v>
      </c>
      <c r="AN42" s="466">
        <f t="shared" si="11"/>
        <v>0</v>
      </c>
      <c r="AO42" s="11"/>
    </row>
    <row r="43" spans="1:41" x14ac:dyDescent="0.2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457"/>
      <c r="P43" s="210"/>
      <c r="Q43" s="210"/>
      <c r="R43" s="210"/>
      <c r="S43" s="210"/>
      <c r="T43" s="210"/>
      <c r="U43" s="210"/>
      <c r="V43" s="210"/>
      <c r="W43" s="210"/>
      <c r="X43" s="210"/>
      <c r="Y43" s="210"/>
      <c r="Z43" s="210"/>
      <c r="AA43" s="210">
        <f t="shared" si="1"/>
        <v>0</v>
      </c>
      <c r="AB43" s="458" t="str">
        <f t="shared" si="2"/>
        <v/>
      </c>
      <c r="AC43" s="528"/>
      <c r="AD43" s="210"/>
      <c r="AE43" s="458" t="str">
        <f t="shared" si="3"/>
        <v/>
      </c>
      <c r="AF43" s="460">
        <f t="shared" si="4"/>
        <v>0</v>
      </c>
      <c r="AG43" s="210">
        <v>290659.81</v>
      </c>
      <c r="AH43" s="458">
        <f t="shared" si="5"/>
        <v>0.43440181563518165</v>
      </c>
      <c r="AI43" s="461">
        <f t="shared" si="6"/>
        <v>-290659.81</v>
      </c>
      <c r="AJ43" s="462">
        <f t="shared" si="7"/>
        <v>0</v>
      </c>
      <c r="AK43" s="463">
        <f t="shared" si="8"/>
        <v>0</v>
      </c>
      <c r="AL43" s="464">
        <f t="shared" si="9"/>
        <v>12.654439026513996</v>
      </c>
      <c r="AM43" s="465">
        <f t="shared" si="10"/>
        <v>0</v>
      </c>
      <c r="AN43" s="466">
        <f t="shared" si="11"/>
        <v>0</v>
      </c>
      <c r="AO43" s="11"/>
    </row>
    <row r="44" spans="1:41" x14ac:dyDescent="0.2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457"/>
      <c r="P44" s="210"/>
      <c r="Q44" s="210"/>
      <c r="R44" s="210"/>
      <c r="S44" s="210"/>
      <c r="T44" s="210"/>
      <c r="U44" s="210"/>
      <c r="V44" s="210"/>
      <c r="W44" s="210"/>
      <c r="X44" s="210"/>
      <c r="Y44" s="210"/>
      <c r="Z44" s="210"/>
      <c r="AA44" s="210">
        <f t="shared" si="1"/>
        <v>0</v>
      </c>
      <c r="AB44" s="458" t="str">
        <f t="shared" si="2"/>
        <v/>
      </c>
      <c r="AC44" s="528"/>
      <c r="AD44" s="210"/>
      <c r="AE44" s="458" t="str">
        <f t="shared" si="3"/>
        <v/>
      </c>
      <c r="AF44" s="460">
        <f t="shared" si="4"/>
        <v>0</v>
      </c>
      <c r="AG44" s="210">
        <v>0</v>
      </c>
      <c r="AH44" s="458" t="str">
        <f t="shared" si="5"/>
        <v/>
      </c>
      <c r="AI44" s="461">
        <f t="shared" si="6"/>
        <v>0</v>
      </c>
      <c r="AJ44" s="462">
        <f t="shared" si="7"/>
        <v>0</v>
      </c>
      <c r="AK44" s="463">
        <f t="shared" si="8"/>
        <v>0</v>
      </c>
      <c r="AL44" s="464">
        <f t="shared" si="9"/>
        <v>0</v>
      </c>
      <c r="AM44" s="465">
        <f t="shared" si="10"/>
        <v>0</v>
      </c>
      <c r="AN44" s="466">
        <f t="shared" si="11"/>
        <v>0</v>
      </c>
      <c r="AO44" s="11"/>
    </row>
    <row r="45" spans="1:41" x14ac:dyDescent="0.25">
      <c r="A45" s="11"/>
      <c r="B45" s="11"/>
      <c r="C45" s="11"/>
      <c r="D45" s="11"/>
      <c r="E45" s="11"/>
      <c r="F45" s="11"/>
      <c r="G45" s="11"/>
      <c r="H45" s="88" t="s">
        <v>270</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IF(_epmOfflineCondition_,"Bar Beverage Revenue",IF(_xll.EVDES(H45,$B$1)="#NODATA","",_xll.EVDES(H45,$B$1)))</f>
        <v>Bar Beverage Revenue</v>
      </c>
      <c r="O45" s="457">
        <v>28332</v>
      </c>
      <c r="P45" s="210">
        <v>39739.5</v>
      </c>
      <c r="Q45" s="210">
        <v>33005</v>
      </c>
      <c r="R45" s="210">
        <v>27680.2</v>
      </c>
      <c r="S45" s="210">
        <v>33325</v>
      </c>
      <c r="T45" s="210">
        <v>18232.8</v>
      </c>
      <c r="U45" s="210">
        <v>22814</v>
      </c>
      <c r="V45" s="210">
        <v>15082</v>
      </c>
      <c r="W45" s="210">
        <v>16770.52</v>
      </c>
      <c r="X45" s="210">
        <v>18766</v>
      </c>
      <c r="Y45" s="210">
        <v>26790.01</v>
      </c>
      <c r="Z45" s="210">
        <v>23605.279999999999</v>
      </c>
      <c r="AA45" s="210">
        <f t="shared" si="1"/>
        <v>304142.30999999994</v>
      </c>
      <c r="AB45" s="458">
        <f t="shared" si="2"/>
        <v>0.61897355044797586</v>
      </c>
      <c r="AC45" s="528"/>
      <c r="AD45" s="210">
        <v>338188.34639999998</v>
      </c>
      <c r="AE45" s="458">
        <f t="shared" si="3"/>
        <v>0.71610508583837928</v>
      </c>
      <c r="AF45" s="460">
        <f t="shared" si="4"/>
        <v>-34046.036400000041</v>
      </c>
      <c r="AG45" s="210">
        <v>112948.23</v>
      </c>
      <c r="AH45" s="458">
        <f t="shared" si="5"/>
        <v>0.16880529917355994</v>
      </c>
      <c r="AI45" s="461">
        <f t="shared" si="6"/>
        <v>191194.07999999996</v>
      </c>
      <c r="AJ45" s="462">
        <f t="shared" si="7"/>
        <v>22.792439298561145</v>
      </c>
      <c r="AK45" s="463">
        <f t="shared" si="8"/>
        <v>22.103813490196078</v>
      </c>
      <c r="AL45" s="464">
        <f t="shared" si="9"/>
        <v>4.9174204362401497</v>
      </c>
      <c r="AM45" s="465" t="str">
        <f t="shared" si="10"/>
        <v>-9.71 pts.</v>
      </c>
      <c r="AN45" s="466" t="str">
        <f t="shared" si="11"/>
        <v>45.02 pts.</v>
      </c>
      <c r="AO45" s="11"/>
    </row>
    <row r="46" spans="1:41" x14ac:dyDescent="0.25">
      <c r="A46" s="11"/>
      <c r="B46" s="11"/>
      <c r="C46" s="11"/>
      <c r="D46" s="11"/>
      <c r="E46" s="11"/>
      <c r="F46" s="11"/>
      <c r="G46" s="11"/>
      <c r="H46" s="88" t="s">
        <v>271</v>
      </c>
      <c r="I46" s="122" t="str">
        <f>IF(_epmOfflineCondition_,"T5",_xll.EVPRO($B$1,$H46,"STYLE"))</f>
        <v>T5</v>
      </c>
      <c r="J46" s="122" t="str">
        <f>IF(_epmOfflineCondition_,"Y",_xll.EVPRO($B$1,$H46,"CALC"))</f>
        <v>Y</v>
      </c>
      <c r="K46" s="179" t="str">
        <f t="shared" si="0"/>
        <v>&gt;</v>
      </c>
      <c r="L46" s="90" t="str">
        <f>IF(_epmOfflineCondition_,"",_xll.EVPRO($B$1,H46,"JDEID"))</f>
        <v/>
      </c>
      <c r="M46" s="90" t="str">
        <f>IF(_epmOfflineCondition_,"",IF(AND(I46="N",J46="N"),_xll.EVPRO($B$1,H46,"PSFTID"),""))</f>
        <v/>
      </c>
      <c r="N46" s="90" t="str">
        <f>IF(_epmOfflineCondition_,"Private Dining Beverage Revenue",IF(_xll.EVDES(H46,$B$1)="#NODATA","",_xll.EVDES(H46,$B$1)))</f>
        <v>Private Dining Beverage Revenue</v>
      </c>
      <c r="O46" s="467"/>
      <c r="P46" s="216"/>
      <c r="Q46" s="216"/>
      <c r="R46" s="216"/>
      <c r="S46" s="216"/>
      <c r="T46" s="216"/>
      <c r="U46" s="216"/>
      <c r="V46" s="216"/>
      <c r="W46" s="216"/>
      <c r="X46" s="216"/>
      <c r="Y46" s="216"/>
      <c r="Z46" s="216"/>
      <c r="AA46" s="216">
        <f t="shared" si="1"/>
        <v>0</v>
      </c>
      <c r="AB46" s="468" t="str">
        <f t="shared" si="2"/>
        <v/>
      </c>
      <c r="AC46" s="459"/>
      <c r="AD46" s="216"/>
      <c r="AE46" s="468" t="str">
        <f t="shared" si="3"/>
        <v/>
      </c>
      <c r="AF46" s="469">
        <f t="shared" si="4"/>
        <v>0</v>
      </c>
      <c r="AG46" s="216"/>
      <c r="AH46" s="468" t="str">
        <f t="shared" si="5"/>
        <v/>
      </c>
      <c r="AI46" s="470">
        <f t="shared" si="6"/>
        <v>0</v>
      </c>
      <c r="AJ46" s="471">
        <f t="shared" si="7"/>
        <v>0</v>
      </c>
      <c r="AK46" s="472">
        <f t="shared" si="8"/>
        <v>0</v>
      </c>
      <c r="AL46" s="473">
        <f t="shared" si="9"/>
        <v>0</v>
      </c>
      <c r="AM46" s="474">
        <f t="shared" si="10"/>
        <v>0</v>
      </c>
      <c r="AN46" s="475">
        <f t="shared" si="11"/>
        <v>0</v>
      </c>
      <c r="AO46" s="11"/>
    </row>
    <row r="47" spans="1:41" x14ac:dyDescent="0.25">
      <c r="A47" s="61" t="str">
        <f>IF(_epmOfflineCondition_,"Evdre:Ok",_xll.EVDRE($B$1,A50:B57,A60:B66))</f>
        <v>Evdre:Ok</v>
      </c>
      <c r="B47" s="11"/>
      <c r="C47" s="11"/>
      <c r="D47" s="11"/>
      <c r="E47" s="11"/>
      <c r="F47" s="11"/>
      <c r="G47" s="11"/>
      <c r="H47" s="88" t="s">
        <v>272</v>
      </c>
      <c r="I47" s="188" t="str">
        <f>IF(_epmOfflineCondition_,"T4",_xll.EVPRO($B$1,$H47,"STYLE"))</f>
        <v>T4</v>
      </c>
      <c r="J47" s="188" t="str">
        <f>IF(_epmOfflineCondition_,"Y",_xll.EVPRO($B$1,$H47,"CALC"))</f>
        <v>Y</v>
      </c>
      <c r="K47" s="189" t="str">
        <f t="shared" si="0"/>
        <v/>
      </c>
      <c r="L47" s="190" t="str">
        <f>IF(_epmOfflineCondition_,"",_xll.EVPRO($B$1,H47,"JDEID"))</f>
        <v/>
      </c>
      <c r="M47" s="190" t="str">
        <f>IF(_epmOfflineCondition_,"",IF(AND(I47="N",J47="N"),_xll.EVPRO($B$1,H47,"PSFTID"),""))</f>
        <v/>
      </c>
      <c r="N47" s="190" t="str">
        <f>IF(_epmOfflineCondition_,"Total Beverage Revenue",IF(_xll.EVDES(H47,$B$1)="#NODATA","",_xll.EVDES(H47,$B$1)))</f>
        <v>Total Beverage Revenue</v>
      </c>
      <c r="O47" s="476">
        <v>28332</v>
      </c>
      <c r="P47" s="223">
        <v>39739.5</v>
      </c>
      <c r="Q47" s="223">
        <v>33005</v>
      </c>
      <c r="R47" s="223">
        <v>27680.2</v>
      </c>
      <c r="S47" s="223">
        <v>33325</v>
      </c>
      <c r="T47" s="223">
        <v>18232.8</v>
      </c>
      <c r="U47" s="223">
        <v>22814</v>
      </c>
      <c r="V47" s="223">
        <v>15082</v>
      </c>
      <c r="W47" s="223">
        <v>16770.52</v>
      </c>
      <c r="X47" s="223">
        <v>18766</v>
      </c>
      <c r="Y47" s="223">
        <v>26790.01</v>
      </c>
      <c r="Z47" s="223">
        <v>23605.279999999999</v>
      </c>
      <c r="AA47" s="223">
        <f t="shared" si="1"/>
        <v>304142.30999999994</v>
      </c>
      <c r="AB47" s="224">
        <f t="shared" si="2"/>
        <v>0.61897355044797586</v>
      </c>
      <c r="AC47" s="225"/>
      <c r="AD47" s="223">
        <v>338188.34639999998</v>
      </c>
      <c r="AE47" s="224">
        <f t="shared" si="3"/>
        <v>0.71610508583837928</v>
      </c>
      <c r="AF47" s="226">
        <f t="shared" si="4"/>
        <v>-34046.036400000041</v>
      </c>
      <c r="AG47" s="223">
        <v>403718.04</v>
      </c>
      <c r="AH47" s="224">
        <f t="shared" si="5"/>
        <v>0.6033715138693474</v>
      </c>
      <c r="AI47" s="477">
        <f t="shared" si="6"/>
        <v>-99575.73000000004</v>
      </c>
      <c r="AJ47" s="227">
        <f t="shared" si="7"/>
        <v>22.792439298561145</v>
      </c>
      <c r="AK47" s="228">
        <f t="shared" si="8"/>
        <v>22.103813490196078</v>
      </c>
      <c r="AL47" s="230">
        <f t="shared" si="9"/>
        <v>17.576648526274543</v>
      </c>
      <c r="AM47" s="427" t="str">
        <f t="shared" si="10"/>
        <v>-9.71 pts.</v>
      </c>
      <c r="AN47" s="478" t="str">
        <f t="shared" si="11"/>
        <v>1.56 pts.</v>
      </c>
      <c r="AO47" s="11"/>
    </row>
    <row r="48" spans="1:41" x14ac:dyDescent="0.25">
      <c r="A48" s="11"/>
      <c r="B48" s="11"/>
      <c r="C48" s="11"/>
      <c r="D48" s="11"/>
      <c r="E48" s="11"/>
      <c r="F48" s="11"/>
      <c r="G48" s="11"/>
      <c r="H48" s="88" t="s">
        <v>486</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IF(_epmOfflineCondition_,"Food &amp; Beverage: Allowances",IF(_xll.EVDES(H48,$B$1)="#NODATA","",_xll.EVDES(H48,$B$1)))</f>
        <v>Food &amp; Beverage: Allowances</v>
      </c>
      <c r="O48" s="530"/>
      <c r="P48" s="239"/>
      <c r="Q48" s="239"/>
      <c r="R48" s="239"/>
      <c r="S48" s="239">
        <v>-139.66</v>
      </c>
      <c r="T48" s="239"/>
      <c r="U48" s="239">
        <v>-10</v>
      </c>
      <c r="V48" s="239"/>
      <c r="W48" s="239"/>
      <c r="X48" s="239"/>
      <c r="Y48" s="239">
        <v>-47.41</v>
      </c>
      <c r="Z48" s="239">
        <v>-61.82</v>
      </c>
      <c r="AA48" s="239">
        <f t="shared" si="1"/>
        <v>-258.89</v>
      </c>
      <c r="AB48" s="240">
        <f t="shared" si="2"/>
        <v>-5.268785604853086E-4</v>
      </c>
      <c r="AC48" s="481"/>
      <c r="AD48" s="239"/>
      <c r="AE48" s="240" t="str">
        <f t="shared" si="3"/>
        <v/>
      </c>
      <c r="AF48" s="241">
        <f t="shared" si="4"/>
        <v>-258.89</v>
      </c>
      <c r="AG48" s="239">
        <v>-406.55</v>
      </c>
      <c r="AH48" s="240">
        <f t="shared" si="5"/>
        <v>-6.0760398263001378E-4</v>
      </c>
      <c r="AI48" s="531">
        <f t="shared" si="6"/>
        <v>147.66000000000003</v>
      </c>
      <c r="AJ48" s="532">
        <f t="shared" si="7"/>
        <v>-1.9401229016786571E-2</v>
      </c>
      <c r="AK48" s="533">
        <f t="shared" si="8"/>
        <v>0</v>
      </c>
      <c r="AL48" s="534">
        <f t="shared" si="9"/>
        <v>-1.7699943401976576E-2</v>
      </c>
      <c r="AM48" s="535">
        <f t="shared" si="10"/>
        <v>0</v>
      </c>
      <c r="AN48" s="536" t="str">
        <f t="shared" si="11"/>
        <v>0.01 pts.</v>
      </c>
      <c r="AO48" s="11"/>
    </row>
    <row r="49" spans="1:41" x14ac:dyDescent="0.25">
      <c r="A49" s="62" t="s">
        <v>0</v>
      </c>
      <c r="B49" s="63" t="s">
        <v>1</v>
      </c>
      <c r="C49" s="11"/>
      <c r="D49" s="11"/>
      <c r="E49" s="11"/>
      <c r="F49" s="11"/>
      <c r="G49" s="11"/>
      <c r="H49" s="88" t="s">
        <v>273</v>
      </c>
      <c r="I49" s="188" t="str">
        <f>IF(_epmOfflineCondition_,"T4",_xll.EVPRO($B$1,$H49,"STYLE"))</f>
        <v>T4</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IF(_epmOfflineCondition_,"Total Food &amp; Beverage Revenue",IF(_xll.EVDES(H49,$B$1)="#NODATA","",_xll.EVDES(H49,$B$1)))</f>
        <v>Total Food &amp; Beverage Revenue</v>
      </c>
      <c r="O49" s="476">
        <v>38093.5</v>
      </c>
      <c r="P49" s="223">
        <v>48932.5</v>
      </c>
      <c r="Q49" s="223">
        <v>43324</v>
      </c>
      <c r="R49" s="223">
        <v>38018.199999999997</v>
      </c>
      <c r="S49" s="223">
        <v>45915.86</v>
      </c>
      <c r="T49" s="223">
        <v>28542.2</v>
      </c>
      <c r="U49" s="223">
        <v>32191</v>
      </c>
      <c r="V49" s="223">
        <v>21399.5</v>
      </c>
      <c r="W49" s="223">
        <v>23401.57</v>
      </c>
      <c r="X49" s="223">
        <v>25141</v>
      </c>
      <c r="Y49" s="223">
        <v>35859.69</v>
      </c>
      <c r="Z49" s="223">
        <v>34413.86</v>
      </c>
      <c r="AA49" s="223">
        <f t="shared" si="1"/>
        <v>415232.88</v>
      </c>
      <c r="AB49" s="224">
        <f t="shared" si="2"/>
        <v>0.84505891336308436</v>
      </c>
      <c r="AC49" s="225"/>
      <c r="AD49" s="223">
        <v>400221</v>
      </c>
      <c r="AE49" s="224">
        <f t="shared" si="3"/>
        <v>0.84745762711864403</v>
      </c>
      <c r="AF49" s="226">
        <f t="shared" si="4"/>
        <v>15011.880000000005</v>
      </c>
      <c r="AG49" s="223">
        <v>566919.18000000005</v>
      </c>
      <c r="AH49" s="224">
        <f t="shared" si="5"/>
        <v>0.84728164210390278</v>
      </c>
      <c r="AI49" s="477">
        <f t="shared" si="6"/>
        <v>-151686.30000000005</v>
      </c>
      <c r="AJ49" s="227">
        <f t="shared" si="7"/>
        <v>31.117571942446045</v>
      </c>
      <c r="AK49" s="228">
        <f t="shared" si="8"/>
        <v>26.158235294117649</v>
      </c>
      <c r="AL49" s="230">
        <f t="shared" si="9"/>
        <v>24.681926945012847</v>
      </c>
      <c r="AM49" s="427" t="str">
        <f t="shared" si="10"/>
        <v>-0.24 pts.</v>
      </c>
      <c r="AN49" s="478" t="str">
        <f t="shared" si="11"/>
        <v>-0.22 pts.</v>
      </c>
      <c r="AO49" s="11"/>
    </row>
    <row r="50" spans="1:41" x14ac:dyDescent="0.25">
      <c r="A50" s="65" t="s">
        <v>2</v>
      </c>
      <c r="B50" s="66" t="str">
        <f>IF(_epmOfflineCondition_,"'VenueBar'!$B$2:$B$10",_xll.EVRNG($B$2:$B$10))</f>
        <v>'VenueBar'!$B$2:$B$10</v>
      </c>
      <c r="C50" s="11"/>
      <c r="D50" s="11"/>
      <c r="E50" s="11"/>
      <c r="F50" s="11"/>
      <c r="G50" s="11"/>
      <c r="H50" s="88" t="s">
        <v>279</v>
      </c>
      <c r="I50" s="188" t="str">
        <f>IF(_epmOfflineCondition_,"B1",_xll.EVPRO($B$1,$H50,"STYLE"))</f>
        <v>B1</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IF(_epmOfflineCondition_,"Other Revenue",IF(_xll.EVDES(H50,$B$1)="#NODATA","",_xll.EVDES(H50,$B$1)))</f>
        <v>Other Revenue</v>
      </c>
      <c r="O50" s="479"/>
      <c r="P50" s="232"/>
      <c r="Q50" s="232"/>
      <c r="R50" s="232"/>
      <c r="S50" s="232"/>
      <c r="T50" s="232"/>
      <c r="U50" s="232"/>
      <c r="V50" s="232"/>
      <c r="W50" s="232"/>
      <c r="X50" s="232"/>
      <c r="Y50" s="232"/>
      <c r="Z50" s="232"/>
      <c r="AA50" s="232" t="str">
        <f t="shared" si="1"/>
        <v/>
      </c>
      <c r="AB50" s="480" t="str">
        <f t="shared" si="2"/>
        <v/>
      </c>
      <c r="AC50" s="529"/>
      <c r="AD50" s="232"/>
      <c r="AE50" s="480" t="str">
        <f t="shared" si="3"/>
        <v/>
      </c>
      <c r="AF50" s="482" t="str">
        <f t="shared" si="4"/>
        <v/>
      </c>
      <c r="AG50" s="232"/>
      <c r="AH50" s="480" t="str">
        <f t="shared" si="5"/>
        <v/>
      </c>
      <c r="AI50" s="483" t="str">
        <f t="shared" si="6"/>
        <v/>
      </c>
      <c r="AJ50" s="235">
        <f t="shared" si="7"/>
        <v>0</v>
      </c>
      <c r="AK50" s="236">
        <f t="shared" si="8"/>
        <v>0</v>
      </c>
      <c r="AL50" s="238">
        <f t="shared" si="9"/>
        <v>0</v>
      </c>
      <c r="AM50" s="429">
        <f t="shared" si="10"/>
        <v>0</v>
      </c>
      <c r="AN50" s="484">
        <f t="shared" si="11"/>
        <v>0</v>
      </c>
      <c r="AO50" s="11"/>
    </row>
    <row r="51" spans="1:41" x14ac:dyDescent="0.25">
      <c r="A51" s="65" t="s">
        <v>3</v>
      </c>
      <c r="B51" s="66" t="str">
        <f>IF(_epmOfflineCondition_,"'VenueBar'!$O$16:$AN$18",_xll.EVRNG($O$16:$AN$18))</f>
        <v>'VenueBar'!$O$16:$AN$18</v>
      </c>
      <c r="C51" s="11"/>
      <c r="D51" s="11"/>
      <c r="E51" s="11"/>
      <c r="F51" s="11"/>
      <c r="G51" s="11"/>
      <c r="H51" s="88" t="s">
        <v>274</v>
      </c>
      <c r="I51" s="122" t="str">
        <f>IF(_epmOfflineCondition_,"T5",_xll.EVPRO($B$1,$H51,"STYLE"))</f>
        <v>T5</v>
      </c>
      <c r="J51" s="122" t="str">
        <f>IF(_epmOfflineCondition_,"Y",_xll.EVPRO($B$1,$H51,"CALC"))</f>
        <v>Y</v>
      </c>
      <c r="K51" s="179" t="str">
        <f t="shared" si="0"/>
        <v>&gt;</v>
      </c>
      <c r="L51" s="90" t="str">
        <f>IF(_epmOfflineCondition_,"468300",_xll.EVPRO($B$1,H51,"JDEID"))</f>
        <v>468300</v>
      </c>
      <c r="M51" s="90" t="str">
        <f>IF(_epmOfflineCondition_,"",IF(AND(I51="N",J51="N"),_xll.EVPRO($B$1,H51,"PSFTID"),""))</f>
        <v/>
      </c>
      <c r="N51" s="90" t="str">
        <f>IF(_epmOfflineCondition_,"Audio/Visual Rentals",IF(_xll.EVDES(H51,$B$1)="#NODATA","",_xll.EVDES(H51,$B$1)))</f>
        <v>Audio/Visual Rentals</v>
      </c>
      <c r="O51" s="457"/>
      <c r="P51" s="210"/>
      <c r="Q51" s="210"/>
      <c r="R51" s="210"/>
      <c r="S51" s="210"/>
      <c r="T51" s="210"/>
      <c r="U51" s="210"/>
      <c r="V51" s="210"/>
      <c r="W51" s="210"/>
      <c r="X51" s="210"/>
      <c r="Y51" s="210"/>
      <c r="Z51" s="210"/>
      <c r="AA51" s="210">
        <f t="shared" si="1"/>
        <v>0</v>
      </c>
      <c r="AB51" s="458" t="str">
        <f t="shared" si="2"/>
        <v/>
      </c>
      <c r="AC51" s="528"/>
      <c r="AD51" s="210"/>
      <c r="AE51" s="458" t="str">
        <f t="shared" si="3"/>
        <v/>
      </c>
      <c r="AF51" s="460">
        <f t="shared" si="4"/>
        <v>0</v>
      </c>
      <c r="AG51" s="210"/>
      <c r="AH51" s="458" t="str">
        <f t="shared" si="5"/>
        <v/>
      </c>
      <c r="AI51" s="461">
        <f t="shared" si="6"/>
        <v>0</v>
      </c>
      <c r="AJ51" s="462">
        <f t="shared" si="7"/>
        <v>0</v>
      </c>
      <c r="AK51" s="463">
        <f t="shared" si="8"/>
        <v>0</v>
      </c>
      <c r="AL51" s="464">
        <f t="shared" si="9"/>
        <v>0</v>
      </c>
      <c r="AM51" s="465">
        <f t="shared" si="10"/>
        <v>0</v>
      </c>
      <c r="AN51" s="466">
        <f t="shared" si="11"/>
        <v>0</v>
      </c>
      <c r="AO51" s="11"/>
    </row>
    <row r="52" spans="1:41" x14ac:dyDescent="0.25">
      <c r="A52" s="65" t="s">
        <v>4</v>
      </c>
      <c r="B52" s="66" t="str">
        <f>IF(_epmOfflineCondition_,"'VenueBar'!$H$62:$H$70",_xll.EVRNG(H62:H70))</f>
        <v>'VenueBar'!$H$62:$H$70</v>
      </c>
      <c r="C52" s="11"/>
      <c r="D52" s="11"/>
      <c r="E52" s="11"/>
      <c r="F52" s="11"/>
      <c r="G52" s="11"/>
      <c r="H52" s="88" t="s">
        <v>275</v>
      </c>
      <c r="I52" s="122" t="str">
        <f>IF(_epmOfflineCondition_,"T5",_xll.EVPRO($B$1,$H52,"STYLE"))</f>
        <v>T5</v>
      </c>
      <c r="J52" s="122" t="str">
        <f>IF(_epmOfflineCondition_,"Y",_xll.EVPRO($B$1,$H52,"CALC"))</f>
        <v>Y</v>
      </c>
      <c r="K52" s="179" t="str">
        <f t="shared" si="0"/>
        <v>&gt;</v>
      </c>
      <c r="L52" s="90" t="str">
        <f>IF(_epmOfflineCondition_,"468350",_xll.EVPRO($B$1,H52,"JDEID"))</f>
        <v>468350</v>
      </c>
      <c r="M52" s="90" t="str">
        <f>IF(_epmOfflineCondition_,"",IF(AND(I52="N",J52="N"),_xll.EVPRO($B$1,H52,"PSFTID"),""))</f>
        <v/>
      </c>
      <c r="N52" s="90" t="str">
        <f>IF(_epmOfflineCondition_,"Public Room Rental",IF(_xll.EVDES(H52,$B$1)="#NODATA","",_xll.EVDES(H52,$B$1)))</f>
        <v>Public Room Rental</v>
      </c>
      <c r="O52" s="457"/>
      <c r="P52" s="210"/>
      <c r="Q52" s="210"/>
      <c r="R52" s="210"/>
      <c r="S52" s="210"/>
      <c r="T52" s="210"/>
      <c r="U52" s="210"/>
      <c r="V52" s="210"/>
      <c r="W52" s="210"/>
      <c r="X52" s="210"/>
      <c r="Y52" s="210"/>
      <c r="Z52" s="210"/>
      <c r="AA52" s="210">
        <f t="shared" si="1"/>
        <v>0</v>
      </c>
      <c r="AB52" s="458" t="str">
        <f t="shared" si="2"/>
        <v/>
      </c>
      <c r="AC52" s="528"/>
      <c r="AD52" s="210"/>
      <c r="AE52" s="458" t="str">
        <f t="shared" si="3"/>
        <v/>
      </c>
      <c r="AF52" s="460">
        <f t="shared" si="4"/>
        <v>0</v>
      </c>
      <c r="AG52" s="210"/>
      <c r="AH52" s="458" t="str">
        <f t="shared" si="5"/>
        <v/>
      </c>
      <c r="AI52" s="461">
        <f t="shared" si="6"/>
        <v>0</v>
      </c>
      <c r="AJ52" s="462">
        <f t="shared" si="7"/>
        <v>0</v>
      </c>
      <c r="AK52" s="463">
        <f t="shared" si="8"/>
        <v>0</v>
      </c>
      <c r="AL52" s="464">
        <f t="shared" si="9"/>
        <v>0</v>
      </c>
      <c r="AM52" s="465">
        <f t="shared" si="10"/>
        <v>0</v>
      </c>
      <c r="AN52" s="466">
        <f t="shared" si="11"/>
        <v>0</v>
      </c>
      <c r="AO52" s="11"/>
    </row>
    <row r="53" spans="1:41" x14ac:dyDescent="0.25">
      <c r="A53" s="65" t="s">
        <v>5</v>
      </c>
      <c r="B53" s="66"/>
      <c r="C53" s="11"/>
      <c r="D53" s="11"/>
      <c r="E53" s="11"/>
      <c r="F53" s="384"/>
      <c r="G53" s="11"/>
      <c r="H53" s="88" t="s">
        <v>276</v>
      </c>
      <c r="I53" s="122" t="str">
        <f>IF(_epmOfflineCondition_,"T5",_xll.EVPRO($B$1,$H53,"STYLE"))</f>
        <v>T5</v>
      </c>
      <c r="J53" s="122" t="str">
        <f>IF(_epmOfflineCondition_,"Y",_xll.EVPRO($B$1,$H53,"CALC"))</f>
        <v>Y</v>
      </c>
      <c r="K53" s="179" t="str">
        <f t="shared" si="0"/>
        <v>&gt;</v>
      </c>
      <c r="L53" s="90" t="str">
        <f>IF(_epmOfflineCondition_,"468550",_xll.EVPRO($B$1,H53,"JDEID"))</f>
        <v>468550</v>
      </c>
      <c r="M53" s="90" t="str">
        <f>IF(_epmOfflineCondition_,"",IF(AND(I53="N",J53="N"),_xll.EVPRO($B$1,H53,"PSFTID"),""))</f>
        <v/>
      </c>
      <c r="N53" s="90" t="str">
        <f>IF(_epmOfflineCondition_,"Cover Charge",IF(_xll.EVDES(H53,$B$1)="#NODATA","",_xll.EVDES(H53,$B$1)))</f>
        <v>Cover Charge</v>
      </c>
      <c r="O53" s="457"/>
      <c r="P53" s="210"/>
      <c r="Q53" s="210"/>
      <c r="R53" s="210"/>
      <c r="S53" s="210"/>
      <c r="T53" s="210"/>
      <c r="U53" s="210"/>
      <c r="V53" s="210"/>
      <c r="W53" s="210"/>
      <c r="X53" s="210"/>
      <c r="Y53" s="210"/>
      <c r="Z53" s="210"/>
      <c r="AA53" s="210">
        <f t="shared" si="1"/>
        <v>0</v>
      </c>
      <c r="AB53" s="458" t="str">
        <f t="shared" si="2"/>
        <v/>
      </c>
      <c r="AC53" s="528"/>
      <c r="AD53" s="210"/>
      <c r="AE53" s="458" t="str">
        <f t="shared" si="3"/>
        <v/>
      </c>
      <c r="AF53" s="460">
        <f t="shared" si="4"/>
        <v>0</v>
      </c>
      <c r="AG53" s="210"/>
      <c r="AH53" s="458" t="str">
        <f t="shared" si="5"/>
        <v/>
      </c>
      <c r="AI53" s="461">
        <f t="shared" si="6"/>
        <v>0</v>
      </c>
      <c r="AJ53" s="462">
        <f t="shared" si="7"/>
        <v>0</v>
      </c>
      <c r="AK53" s="463">
        <f t="shared" si="8"/>
        <v>0</v>
      </c>
      <c r="AL53" s="464">
        <f t="shared" si="9"/>
        <v>0</v>
      </c>
      <c r="AM53" s="465">
        <f t="shared" si="10"/>
        <v>0</v>
      </c>
      <c r="AN53" s="466">
        <f t="shared" si="11"/>
        <v>0</v>
      </c>
      <c r="AO53" s="11"/>
    </row>
    <row r="54" spans="1:41" x14ac:dyDescent="0.25">
      <c r="A54" s="65" t="s">
        <v>6</v>
      </c>
      <c r="B54" s="66"/>
      <c r="C54" s="11"/>
      <c r="D54" s="11"/>
      <c r="E54" s="11"/>
      <c r="F54" s="384"/>
      <c r="G54" s="11"/>
      <c r="H54" s="88" t="s">
        <v>282</v>
      </c>
      <c r="I54" s="122" t="str">
        <f>IF(_epmOfflineCondition_,"T5",_xll.EVPRO($B$1,$H54,"STYLE"))</f>
        <v>T5</v>
      </c>
      <c r="J54" s="122" t="str">
        <f>IF(_epmOfflineCondition_,"Y",_xll.EVPRO($B$1,$H54,"CALC"))</f>
        <v>Y</v>
      </c>
      <c r="K54" s="179" t="str">
        <f t="shared" si="0"/>
        <v>&gt;</v>
      </c>
      <c r="L54" s="90" t="str">
        <f>IF(_epmOfflineCondition_,"",_xll.EVPRO($B$1,H54,"JDEID"))</f>
        <v/>
      </c>
      <c r="M54" s="90" t="str">
        <f>IF(_epmOfflineCondition_,"",IF(AND(I54="N",J54="N"),_xll.EVPRO($B$1,H54,"PSFTID"),""))</f>
        <v/>
      </c>
      <c r="N54" s="90" t="str">
        <f>IF(_epmOfflineCondition_,"Surcharges &amp; Services Charges",IF(_xll.EVDES(H54,$B$1)="#NODATA","",_xll.EVDES(H54,$B$1)))</f>
        <v>Surcharges &amp; Services Charges</v>
      </c>
      <c r="O54" s="457">
        <v>6940.58</v>
      </c>
      <c r="P54" s="210">
        <v>8829.9</v>
      </c>
      <c r="Q54" s="210">
        <v>7834.52</v>
      </c>
      <c r="R54" s="210">
        <v>6852.08</v>
      </c>
      <c r="S54" s="210">
        <v>8288.3700000000008</v>
      </c>
      <c r="T54" s="210">
        <v>5162.22</v>
      </c>
      <c r="U54" s="210">
        <v>5769.64</v>
      </c>
      <c r="V54" s="210">
        <v>3903.84</v>
      </c>
      <c r="W54" s="210">
        <v>4331.8500000000004</v>
      </c>
      <c r="X54" s="210">
        <v>4506.66</v>
      </c>
      <c r="Y54" s="210">
        <v>6488.34</v>
      </c>
      <c r="Z54" s="210">
        <v>6273.56</v>
      </c>
      <c r="AA54" s="210">
        <f t="shared" si="1"/>
        <v>75181.56</v>
      </c>
      <c r="AB54" s="458">
        <f t="shared" si="2"/>
        <v>0.1530053385910613</v>
      </c>
      <c r="AC54" s="528"/>
      <c r="AD54" s="210">
        <v>72039.78</v>
      </c>
      <c r="AE54" s="458">
        <f t="shared" si="3"/>
        <v>0.15254237288135591</v>
      </c>
      <c r="AF54" s="460">
        <f t="shared" si="4"/>
        <v>3141.7799999999988</v>
      </c>
      <c r="AG54" s="210">
        <v>102184.4</v>
      </c>
      <c r="AH54" s="458">
        <f t="shared" si="5"/>
        <v>0.15271835789609733</v>
      </c>
      <c r="AI54" s="461">
        <f t="shared" si="6"/>
        <v>-27002.839999999997</v>
      </c>
      <c r="AJ54" s="462">
        <f t="shared" si="7"/>
        <v>5.6341097122302157</v>
      </c>
      <c r="AK54" s="463">
        <f t="shared" si="8"/>
        <v>4.7084823529411768</v>
      </c>
      <c r="AL54" s="464">
        <f t="shared" si="9"/>
        <v>4.4487962035787367</v>
      </c>
      <c r="AM54" s="465" t="str">
        <f t="shared" si="10"/>
        <v>0.05 pts.</v>
      </c>
      <c r="AN54" s="466" t="str">
        <f t="shared" si="11"/>
        <v>0.03 pts.</v>
      </c>
      <c r="AO54" s="11"/>
    </row>
    <row r="55" spans="1:41" x14ac:dyDescent="0.25">
      <c r="A55" s="65" t="s">
        <v>7</v>
      </c>
      <c r="B55" s="66" t="str">
        <f>IF(_epmOfflineCondition_,"'VenueBar'!$A$69:$F$77",_xll.EVRNG(A69:F77))</f>
        <v>'VenueBar'!$A$69:$F$77</v>
      </c>
      <c r="C55" s="11"/>
      <c r="D55" s="11"/>
      <c r="E55" s="11"/>
      <c r="F55" s="384"/>
      <c r="G55" s="11"/>
      <c r="H55" s="88" t="s">
        <v>283</v>
      </c>
      <c r="I55" s="122" t="str">
        <f>IF(_epmOfflineCondition_,"T5",_xll.EVPRO($B$1,$H55,"STYLE"))</f>
        <v>T5</v>
      </c>
      <c r="J55" s="122" t="str">
        <f>IF(_epmOfflineCondition_,"Y",_xll.EVPRO($B$1,$H55,"CALC"))</f>
        <v>Y</v>
      </c>
      <c r="K55" s="179" t="str">
        <f t="shared" si="0"/>
        <v>&gt;</v>
      </c>
      <c r="L55" s="90" t="str">
        <f>IF(_epmOfflineCondition_,"",_xll.EVPRO($B$1,H55,"JDEID"))</f>
        <v/>
      </c>
      <c r="M55" s="90" t="str">
        <f>IF(_epmOfflineCondition_,"",IF(AND(I55="N",J55="N"),_xll.EVPRO($B$1,H55,"PSFTID"),""))</f>
        <v/>
      </c>
      <c r="N55" s="90" t="str">
        <f>IF(_epmOfflineCondition_,"Miscellaneous Other Revenue",IF(_xll.EVDES(H55,$B$1)="#NODATA","",_xll.EVDES(H55,$B$1)))</f>
        <v>Miscellaneous Other Revenue</v>
      </c>
      <c r="O55" s="457">
        <v>15</v>
      </c>
      <c r="P55" s="210">
        <v>55</v>
      </c>
      <c r="Q55" s="210">
        <v>160</v>
      </c>
      <c r="R55" s="210">
        <v>95</v>
      </c>
      <c r="S55" s="210">
        <v>240</v>
      </c>
      <c r="T55" s="210">
        <v>75</v>
      </c>
      <c r="U55" s="210">
        <v>50</v>
      </c>
      <c r="V55" s="210">
        <v>35</v>
      </c>
      <c r="W55" s="210">
        <v>50</v>
      </c>
      <c r="X55" s="210">
        <v>46.16</v>
      </c>
      <c r="Y55" s="210">
        <v>85</v>
      </c>
      <c r="Z55" s="210">
        <v>45</v>
      </c>
      <c r="AA55" s="210">
        <f t="shared" si="1"/>
        <v>951.16</v>
      </c>
      <c r="AB55" s="458">
        <f t="shared" si="2"/>
        <v>1.9357480458542476E-3</v>
      </c>
      <c r="AC55" s="528"/>
      <c r="AD55" s="210"/>
      <c r="AE55" s="458" t="str">
        <f t="shared" si="3"/>
        <v/>
      </c>
      <c r="AF55" s="460">
        <f t="shared" si="4"/>
        <v>951.16</v>
      </c>
      <c r="AG55" s="210"/>
      <c r="AH55" s="458" t="str">
        <f t="shared" si="5"/>
        <v/>
      </c>
      <c r="AI55" s="461">
        <f t="shared" si="6"/>
        <v>951.16</v>
      </c>
      <c r="AJ55" s="462">
        <f t="shared" si="7"/>
        <v>7.1279976019184649E-2</v>
      </c>
      <c r="AK55" s="463">
        <f t="shared" si="8"/>
        <v>0</v>
      </c>
      <c r="AL55" s="464">
        <f t="shared" si="9"/>
        <v>0</v>
      </c>
      <c r="AM55" s="465">
        <f t="shared" si="10"/>
        <v>0</v>
      </c>
      <c r="AN55" s="466">
        <f t="shared" si="11"/>
        <v>0</v>
      </c>
      <c r="AO55" s="11"/>
    </row>
    <row r="56" spans="1:41" x14ac:dyDescent="0.25">
      <c r="A56" s="65" t="s">
        <v>47</v>
      </c>
      <c r="B56" s="66" t="str">
        <f>IF(_epmOfflineCondition_,"'VenueBar'!$A$125:$B$146",_xll.EVRNG($A$125:$B$146))</f>
        <v>'VenueBar'!$A$125:$B$146</v>
      </c>
      <c r="C56" s="11"/>
      <c r="D56" s="11"/>
      <c r="E56" s="11"/>
      <c r="F56" s="11"/>
      <c r="G56" s="11"/>
      <c r="H56" s="88" t="s">
        <v>473</v>
      </c>
      <c r="I56" s="122" t="str">
        <f>IF(_epmOfflineCondition_,"N",_xll.EVPRO($B$1,$H56,"STYLE"))</f>
        <v>N</v>
      </c>
      <c r="J56" s="122" t="str">
        <f>IF(_epmOfflineCondition_,"N",_xll.EVPRO($B$1,$H56,"CALC"))</f>
        <v>N</v>
      </c>
      <c r="K56" s="179" t="str">
        <f t="shared" si="0"/>
        <v/>
      </c>
      <c r="L56" s="90" t="str">
        <f>IF(_epmOfflineCondition_,"468990",_xll.EVPRO($B$1,H56,"JDEID"))</f>
        <v>468990</v>
      </c>
      <c r="M56" s="90" t="str">
        <f>IF(_epmOfflineCondition_,"206022",IF(AND(I56="N",J56="N"),_xll.EVPRO($B$1,H56,"PSFTID"),""))</f>
        <v>206022</v>
      </c>
      <c r="N56" s="90" t="str">
        <f>IF(_epmOfflineCondition_,"Other Revenue: Allowances",IF(_xll.EVDES(H56,$B$1)="#NODATA","",_xll.EVDES(H56,$B$1)))</f>
        <v>Other Revenue: Allowances</v>
      </c>
      <c r="O56" s="467"/>
      <c r="P56" s="216"/>
      <c r="Q56" s="216"/>
      <c r="R56" s="216"/>
      <c r="S56" s="216"/>
      <c r="T56" s="216"/>
      <c r="U56" s="216"/>
      <c r="V56" s="216"/>
      <c r="W56" s="216"/>
      <c r="X56" s="216"/>
      <c r="Y56" s="216"/>
      <c r="Z56" s="216"/>
      <c r="AA56" s="216">
        <f t="shared" si="1"/>
        <v>0</v>
      </c>
      <c r="AB56" s="468" t="str">
        <f t="shared" si="2"/>
        <v/>
      </c>
      <c r="AC56" s="459"/>
      <c r="AD56" s="216"/>
      <c r="AE56" s="468" t="str">
        <f t="shared" si="3"/>
        <v/>
      </c>
      <c r="AF56" s="469">
        <f t="shared" si="4"/>
        <v>0</v>
      </c>
      <c r="AG56" s="216"/>
      <c r="AH56" s="468" t="str">
        <f t="shared" si="5"/>
        <v/>
      </c>
      <c r="AI56" s="470">
        <f t="shared" si="6"/>
        <v>0</v>
      </c>
      <c r="AJ56" s="471">
        <f t="shared" si="7"/>
        <v>0</v>
      </c>
      <c r="AK56" s="472">
        <f t="shared" si="8"/>
        <v>0</v>
      </c>
      <c r="AL56" s="473">
        <f t="shared" si="9"/>
        <v>0</v>
      </c>
      <c r="AM56" s="474">
        <f t="shared" si="10"/>
        <v>0</v>
      </c>
      <c r="AN56" s="475">
        <f t="shared" si="11"/>
        <v>0</v>
      </c>
      <c r="AO56" s="11"/>
    </row>
    <row r="57" spans="1:41" x14ac:dyDescent="0.25">
      <c r="A57" s="65" t="s">
        <v>8</v>
      </c>
      <c r="B57" s="66"/>
      <c r="C57" s="11"/>
      <c r="D57" s="11"/>
      <c r="E57" s="11"/>
      <c r="F57" s="11"/>
      <c r="G57" s="11"/>
      <c r="H57" s="88" t="s">
        <v>277</v>
      </c>
      <c r="I57" s="188" t="str">
        <f>IF(_epmOfflineCondition_,"T4",_xll.EVPRO($B$1,$H57,"STYLE"))</f>
        <v>T4</v>
      </c>
      <c r="J57" s="188" t="str">
        <f>IF(_epmOfflineCondition_,"Y",_xll.EVPRO($B$1,$H57,"CALC"))</f>
        <v>Y</v>
      </c>
      <c r="K57" s="189" t="str">
        <f t="shared" si="0"/>
        <v/>
      </c>
      <c r="L57" s="190" t="str">
        <f>IF(_epmOfflineCondition_,"",_xll.EVPRO($B$1,H57,"JDEID"))</f>
        <v/>
      </c>
      <c r="M57" s="190" t="str">
        <f>IF(_epmOfflineCondition_,"",IF(AND(I57="N",J57="N"),_xll.EVPRO($B$1,H57,"PSFTID"),""))</f>
        <v/>
      </c>
      <c r="N57" s="190" t="str">
        <f>IF(_epmOfflineCondition_,"Total Other Revenue",IF(_xll.EVDES(H57,$B$1)="#NODATA","",_xll.EVDES(H57,$B$1)))</f>
        <v>Total Other Revenue</v>
      </c>
      <c r="O57" s="485">
        <v>6955.58</v>
      </c>
      <c r="P57" s="242">
        <v>8884.9</v>
      </c>
      <c r="Q57" s="242">
        <v>7994.52</v>
      </c>
      <c r="R57" s="242">
        <v>6947.08</v>
      </c>
      <c r="S57" s="242">
        <v>8528.3700000000008</v>
      </c>
      <c r="T57" s="242">
        <v>5237.22</v>
      </c>
      <c r="U57" s="242">
        <v>5819.64</v>
      </c>
      <c r="V57" s="242">
        <v>3938.84</v>
      </c>
      <c r="W57" s="242">
        <v>4381.8500000000004</v>
      </c>
      <c r="X57" s="242">
        <v>4552.82</v>
      </c>
      <c r="Y57" s="242">
        <v>6573.34</v>
      </c>
      <c r="Z57" s="242">
        <v>6318.56</v>
      </c>
      <c r="AA57" s="242">
        <f t="shared" si="1"/>
        <v>76132.72</v>
      </c>
      <c r="AB57" s="243">
        <f t="shared" si="2"/>
        <v>0.15494108663691555</v>
      </c>
      <c r="AC57" s="244"/>
      <c r="AD57" s="242">
        <v>72039.78</v>
      </c>
      <c r="AE57" s="243">
        <f t="shared" si="3"/>
        <v>0.15254237288135591</v>
      </c>
      <c r="AF57" s="245">
        <f t="shared" si="4"/>
        <v>4092.9400000000023</v>
      </c>
      <c r="AG57" s="242">
        <v>102184.4</v>
      </c>
      <c r="AH57" s="243">
        <f t="shared" si="5"/>
        <v>0.15271835789609733</v>
      </c>
      <c r="AI57" s="486">
        <f t="shared" si="6"/>
        <v>-26051.679999999993</v>
      </c>
      <c r="AJ57" s="246">
        <f t="shared" si="7"/>
        <v>5.7053896882494008</v>
      </c>
      <c r="AK57" s="247">
        <f t="shared" si="8"/>
        <v>4.7084823529411768</v>
      </c>
      <c r="AL57" s="249">
        <f t="shared" si="9"/>
        <v>4.4487962035787367</v>
      </c>
      <c r="AM57" s="431" t="str">
        <f t="shared" si="10"/>
        <v>0.24 pts.</v>
      </c>
      <c r="AN57" s="487" t="str">
        <f t="shared" si="11"/>
        <v>0.22 pts.</v>
      </c>
      <c r="AO57" s="11"/>
    </row>
    <row r="58" spans="1:41" x14ac:dyDescent="0.25">
      <c r="A58" s="11"/>
      <c r="B58" s="11"/>
      <c r="C58" s="11"/>
      <c r="D58" s="11"/>
      <c r="E58" s="11"/>
      <c r="F58" s="11"/>
      <c r="G58" s="76"/>
      <c r="H58" s="88" t="s">
        <v>280</v>
      </c>
      <c r="I58" s="188" t="str">
        <f>IF(_epmOfflineCondition_,"T3",_xll.EVPRO($B$1,$H58,"STYLE"))</f>
        <v>T3</v>
      </c>
      <c r="J58" s="188" t="str">
        <f>IF(_epmOfflineCondition_,"Y",_xll.EVPRO($B$1,$H58,"CALC"))</f>
        <v>Y</v>
      </c>
      <c r="K58" s="189" t="str">
        <f t="shared" si="0"/>
        <v/>
      </c>
      <c r="L58" s="190" t="str">
        <f>IF(_epmOfflineCondition_,"400000",_xll.EVPRO($B$1,H58,"JDEID"))</f>
        <v>400000</v>
      </c>
      <c r="M58" s="190" t="str">
        <f>IF(_epmOfflineCondition_,"",IF(AND(I58="N",J58="N"),_xll.EVPRO($B$1,H58,"PSFTID"),""))</f>
        <v/>
      </c>
      <c r="N58" s="190" t="str">
        <f>IF(_epmOfflineCondition_,"Total Revenue",IF(_xll.EVDES(H58,$B$1)="#NODATA","",_xll.EVDES(H58,$B$1)))</f>
        <v>Total Revenue</v>
      </c>
      <c r="O58" s="476">
        <v>45049.08</v>
      </c>
      <c r="P58" s="223">
        <v>57817.4</v>
      </c>
      <c r="Q58" s="223">
        <v>51318.52</v>
      </c>
      <c r="R58" s="223">
        <v>44965.279999999999</v>
      </c>
      <c r="S58" s="223">
        <v>54444.23</v>
      </c>
      <c r="T58" s="223">
        <v>33779.42</v>
      </c>
      <c r="U58" s="223">
        <v>38010.639999999999</v>
      </c>
      <c r="V58" s="223">
        <v>25338.34</v>
      </c>
      <c r="W58" s="223">
        <v>27783.42</v>
      </c>
      <c r="X58" s="223">
        <v>29693.82</v>
      </c>
      <c r="Y58" s="223">
        <v>42433.03</v>
      </c>
      <c r="Z58" s="223">
        <v>40732.42</v>
      </c>
      <c r="AA58" s="223">
        <f t="shared" si="1"/>
        <v>491365.60000000003</v>
      </c>
      <c r="AB58" s="224">
        <f t="shared" si="2"/>
        <v>1</v>
      </c>
      <c r="AC58" s="225"/>
      <c r="AD58" s="223">
        <v>472260.78</v>
      </c>
      <c r="AE58" s="224">
        <f t="shared" si="3"/>
        <v>1</v>
      </c>
      <c r="AF58" s="226">
        <f t="shared" si="4"/>
        <v>19104.820000000007</v>
      </c>
      <c r="AG58" s="223">
        <v>669103.57999999996</v>
      </c>
      <c r="AH58" s="224">
        <f t="shared" si="5"/>
        <v>1</v>
      </c>
      <c r="AI58" s="477">
        <f t="shared" si="6"/>
        <v>-177737.97999999992</v>
      </c>
      <c r="AJ58" s="227">
        <f t="shared" si="7"/>
        <v>36.822961630695445</v>
      </c>
      <c r="AK58" s="228">
        <f t="shared" si="8"/>
        <v>30.866717647058824</v>
      </c>
      <c r="AL58" s="230">
        <f t="shared" si="9"/>
        <v>29.130723148591578</v>
      </c>
      <c r="AM58" s="427" t="str">
        <f t="shared" si="10"/>
        <v>0 pts.</v>
      </c>
      <c r="AN58" s="478" t="str">
        <f t="shared" si="11"/>
        <v>0 pts.</v>
      </c>
      <c r="AO58" s="11"/>
    </row>
    <row r="59" spans="1:41" x14ac:dyDescent="0.25">
      <c r="A59" s="62" t="s">
        <v>9</v>
      </c>
      <c r="B59" s="63" t="s">
        <v>10</v>
      </c>
      <c r="C59" s="11"/>
      <c r="D59" s="11"/>
      <c r="E59" s="11"/>
      <c r="F59" s="11"/>
      <c r="G59" s="11"/>
      <c r="H59" s="11"/>
      <c r="I59" s="59"/>
      <c r="J59" s="59"/>
      <c r="K59" s="11"/>
      <c r="L59" s="11"/>
      <c r="M59" s="11"/>
      <c r="N59" s="11"/>
      <c r="O59" s="203"/>
      <c r="P59" s="204"/>
      <c r="Q59" s="204"/>
      <c r="R59" s="204"/>
      <c r="S59" s="204"/>
      <c r="T59" s="204"/>
      <c r="U59" s="204"/>
      <c r="V59" s="204"/>
      <c r="W59" s="204"/>
      <c r="X59" s="204"/>
      <c r="Y59" s="204"/>
      <c r="Z59" s="204"/>
      <c r="AA59" s="204"/>
      <c r="AB59" s="118"/>
      <c r="AC59" s="11"/>
      <c r="AD59" s="203"/>
      <c r="AE59" s="204"/>
      <c r="AF59" s="118"/>
      <c r="AG59" s="203"/>
      <c r="AH59" s="204"/>
      <c r="AI59" s="118"/>
      <c r="AJ59" s="11"/>
      <c r="AK59" s="11"/>
      <c r="AL59" s="11"/>
      <c r="AM59" s="11"/>
      <c r="AN59" s="11"/>
      <c r="AO59" s="11"/>
    </row>
    <row r="60" spans="1:41" x14ac:dyDescent="0.25">
      <c r="A60" s="65" t="s">
        <v>11</v>
      </c>
      <c r="B60" s="66" t="s">
        <v>21</v>
      </c>
      <c r="C60" s="11"/>
      <c r="D60" s="11"/>
      <c r="E60" s="11"/>
      <c r="F60" s="11"/>
      <c r="G60" s="11"/>
      <c r="H60" s="11" t="s">
        <v>281</v>
      </c>
      <c r="I60" s="59" t="str">
        <f>IF(_epmOfflineCondition_,"B1",_xll.EVPRO($B$1,$H60,"STYLE"))</f>
        <v>B1</v>
      </c>
      <c r="J60" s="59" t="str">
        <f>IF(_epmOfflineCondition_,"Y",_xll.EVPRO($B$1,$H60,"CALC"))</f>
        <v>Y</v>
      </c>
      <c r="K60" s="11"/>
      <c r="L60" s="11"/>
      <c r="M60" s="11"/>
      <c r="N60" s="105" t="str">
        <f>IF(_epmOfflineCondition_,"Cost of Sales",IF(_xll.EVDES(H60,$B$1)="#NODATA","",_xll.EVDES(H60,$B$1)))</f>
        <v>Cost of Sales</v>
      </c>
      <c r="O60" s="203"/>
      <c r="P60" s="204"/>
      <c r="Q60" s="204"/>
      <c r="R60" s="204"/>
      <c r="S60" s="204"/>
      <c r="T60" s="204"/>
      <c r="U60" s="204"/>
      <c r="V60" s="204"/>
      <c r="W60" s="204"/>
      <c r="X60" s="204"/>
      <c r="Y60" s="204"/>
      <c r="Z60" s="204"/>
      <c r="AA60" s="204"/>
      <c r="AB60" s="118"/>
      <c r="AC60" s="11"/>
      <c r="AD60" s="203"/>
      <c r="AE60" s="204"/>
      <c r="AF60" s="118"/>
      <c r="AG60" s="203"/>
      <c r="AH60" s="204"/>
      <c r="AI60" s="118"/>
      <c r="AJ60" s="11"/>
      <c r="AK60" s="11"/>
      <c r="AL60" s="11"/>
      <c r="AM60" s="11"/>
      <c r="AN60" s="11"/>
      <c r="AO60" s="11"/>
    </row>
    <row r="61" spans="1:41" x14ac:dyDescent="0.25">
      <c r="A61" s="65" t="s">
        <v>12</v>
      </c>
      <c r="B61" s="66" t="s">
        <v>22</v>
      </c>
      <c r="C61" s="11"/>
      <c r="D61" s="11"/>
      <c r="E61" s="11"/>
      <c r="F61" s="11"/>
      <c r="G61" s="11"/>
      <c r="H61" s="11" t="s">
        <v>284</v>
      </c>
      <c r="I61" s="59" t="str">
        <f>IF(_epmOfflineCondition_,"B1",_xll.EVPRO($B$1,$H61,"STYLE"))</f>
        <v>B1</v>
      </c>
      <c r="J61" s="59" t="str">
        <f>IF(_epmOfflineCondition_,"Y",_xll.EVPRO($B$1,$H61,"CALC"))</f>
        <v>Y</v>
      </c>
      <c r="K61" s="11"/>
      <c r="L61" s="11"/>
      <c r="M61" s="11"/>
      <c r="N61" s="53" t="str">
        <f>IF(_epmOfflineCondition_,"Cost of Food &amp; Beverage Sales",IF(_xll.EVDES(H61,$B$1)="#NODATA","",_xll.EVDES(H61,$B$1)))</f>
        <v>Cost of Food &amp; Beverage Sales</v>
      </c>
      <c r="O61" s="203"/>
      <c r="P61" s="204"/>
      <c r="Q61" s="204"/>
      <c r="R61" s="204"/>
      <c r="S61" s="204"/>
      <c r="T61" s="204"/>
      <c r="U61" s="204"/>
      <c r="V61" s="204"/>
      <c r="W61" s="204"/>
      <c r="X61" s="204"/>
      <c r="Y61" s="204"/>
      <c r="Z61" s="204"/>
      <c r="AA61" s="204"/>
      <c r="AB61" s="118"/>
      <c r="AC61" s="11"/>
      <c r="AD61" s="203"/>
      <c r="AE61" s="204"/>
      <c r="AF61" s="118"/>
      <c r="AG61" s="203"/>
      <c r="AH61" s="204"/>
      <c r="AI61" s="118"/>
      <c r="AJ61" s="11"/>
      <c r="AK61" s="11"/>
      <c r="AL61" s="11"/>
      <c r="AM61" s="11"/>
      <c r="AN61" s="11"/>
      <c r="AO61" s="11"/>
    </row>
    <row r="62" spans="1:41" x14ac:dyDescent="0.25">
      <c r="A62" s="65" t="s">
        <v>13</v>
      </c>
      <c r="B62" s="66" t="str">
        <f>"DEP(COS_FB) AND "&amp;$E$6&amp;"=Y,COS_FB,COSOTH,DEP(COS_OTHR) AND "&amp;$E$6&amp;"=Y,COS_OTHR,500001"</f>
        <v>DEP(COS_FB) AND D_VENUES=Y,COS_FB,COSOTH,DEP(COS_OTHR) AND D_VENUES=Y,COS_OTHR,500001</v>
      </c>
      <c r="C62" s="11"/>
      <c r="D62" s="11"/>
      <c r="E62" s="11"/>
      <c r="F62" s="11"/>
      <c r="G62" s="11"/>
      <c r="H62" s="88" t="s">
        <v>285</v>
      </c>
      <c r="I62" s="122" t="str">
        <f>IF(_epmOfflineCondition_,"T5",_xll.EVPRO($B$1,$H62,"STYLE"))</f>
        <v>T5</v>
      </c>
      <c r="J62" s="122" t="str">
        <f>IF(_epmOfflineCondition_,"Y",_xll.EVPRO($B$1,$H62,"CALC"))</f>
        <v>Y</v>
      </c>
      <c r="K62" s="179" t="str">
        <f t="shared" ref="K62:K72" si="12">IF(AND(I62&gt;="T5"),"&gt;","")</f>
        <v>&gt;</v>
      </c>
      <c r="L62" s="90" t="str">
        <f>IF(_epmOfflineCondition_,"561100",_xll.EVPRO($B$1,H62,"JDEID"))</f>
        <v>561100</v>
      </c>
      <c r="M62" s="90" t="str">
        <f>IF(_epmOfflineCondition_,"",IF(AND(I62="N",J62="N"),_xll.EVPRO($B$1,H62,"PSFTID"),""))</f>
        <v/>
      </c>
      <c r="N62" s="90" t="str">
        <f>IF(_epmOfflineCondition_,"Cost of Food Sales",IF(_xll.EVDES(H62,$B$1)="#NODATA","",_xll.EVDES(H62,$B$1)))</f>
        <v>Cost of Food Sales</v>
      </c>
      <c r="O62" s="457">
        <v>3008.52</v>
      </c>
      <c r="P62" s="210">
        <v>2843.93</v>
      </c>
      <c r="Q62" s="210">
        <v>-14.75</v>
      </c>
      <c r="R62" s="210">
        <v>6374.17</v>
      </c>
      <c r="S62" s="210">
        <v>3883.65</v>
      </c>
      <c r="T62" s="210">
        <v>3052.83</v>
      </c>
      <c r="U62" s="210">
        <v>2842.5</v>
      </c>
      <c r="V62" s="210">
        <v>1719.27</v>
      </c>
      <c r="W62" s="210">
        <v>1693.67</v>
      </c>
      <c r="X62" s="210">
        <v>1752.55</v>
      </c>
      <c r="Y62" s="210">
        <v>2469.7399999999998</v>
      </c>
      <c r="Z62" s="210">
        <v>2984.71</v>
      </c>
      <c r="AA62" s="210">
        <f t="shared" ref="AA62:AA70" si="13">IF($I62="B1","",SUM(O62:Z62))</f>
        <v>32610.79</v>
      </c>
      <c r="AB62" s="458">
        <f>IF(_epmOfflineCondition_,0.292868865282328,IF(AA62=0,"",IFERROR(AA62/_xll.EVGTS($B$1,1,_xll.EVPRO($B$1,$H62,"COSBASIS"),$B$3,$B$5,$B$6,$B$7,$B$9,AA$16,AA$17,AA$11),"")))</f>
        <v>0.29286886528232797</v>
      </c>
      <c r="AC62" s="528"/>
      <c r="AD62" s="210">
        <v>17369.150000000001</v>
      </c>
      <c r="AE62" s="458">
        <f>IF(_epmOfflineCondition_,0.28000011271483,IF(AD62=0,"",IFERROR(AD62/_xll.EVGTS($B$1,1,_xll.EVPRO($B$1,$H62,"COSBASIS"),$B$3,$B$5,$B$6,$B$7,$B$9,AD$16,AD$17,AD$18),"")))</f>
        <v>0.28000011271483</v>
      </c>
      <c r="AF62" s="460">
        <f t="shared" ref="AF62:AF72" si="14">IF(AND($AA62="",AD62=""),"",$AA62-AD62)</f>
        <v>15241.64</v>
      </c>
      <c r="AG62" s="210">
        <v>50622.52</v>
      </c>
      <c r="AH62" s="458">
        <f>IF(_epmOfflineCondition_,0.309414062383009,IF(AG62=0,"",IFERROR(AG62/_xll.EVGTS($B$1,1,_xll.EVPRO($B$1,$H62,"COSBASIS"),$B$3,$B$5,$B$6,$B$7,$B$9,AG$16,AG$17,AG$18),"")))</f>
        <v>0.309414062383009</v>
      </c>
      <c r="AI62" s="461">
        <f t="shared" ref="AI62:AI72" si="15">IF(AND($AA62="",AG62=""),"",$AA62-AG62)</f>
        <v>-18011.729999999996</v>
      </c>
      <c r="AJ62" s="462">
        <f t="shared" ref="AJ62:AJ72" si="16">IFERROR(AA62/AA$20,0)</f>
        <v>2.4438541666666667</v>
      </c>
      <c r="AK62" s="463">
        <f t="shared" ref="AK62:AK72" si="17">IFERROR(AD62/AD$20,0)</f>
        <v>1.1352385620915033</v>
      </c>
      <c r="AL62" s="464">
        <f t="shared" ref="AL62:AL72" si="18">IFERROR(AG62/AG$20,0)</f>
        <v>2.2039496712960944</v>
      </c>
      <c r="AM62" s="465" t="str">
        <f t="shared" ref="AM62:AM72" si="19">+IFERROR(ROUND(($AB62-AE62)*100,2)&amp;" pts.",0)</f>
        <v>1.29 pts.</v>
      </c>
      <c r="AN62" s="466" t="str">
        <f t="shared" ref="AN62:AN72" si="20">+IFERROR(ROUND(($AB62-AH62)*100,2)&amp;" pts.",0)</f>
        <v>-1.65 pts.</v>
      </c>
      <c r="AO62" s="11"/>
    </row>
    <row r="63" spans="1:41" x14ac:dyDescent="0.25">
      <c r="A63" s="65" t="s">
        <v>14</v>
      </c>
      <c r="B63" s="66"/>
      <c r="C63" s="11"/>
      <c r="D63" s="11"/>
      <c r="E63" s="11"/>
      <c r="F63" s="11"/>
      <c r="G63" s="11"/>
      <c r="H63" s="88" t="s">
        <v>636</v>
      </c>
      <c r="I63" s="122" t="str">
        <f>IF(_epmOfflineCondition_,"T5",_xll.EVPRO($B$1,$H63,"STYLE"))</f>
        <v>T5</v>
      </c>
      <c r="J63" s="122" t="str">
        <f>IF(_epmOfflineCondition_,"Y",_xll.EVPRO($B$1,$H63,"CALC"))</f>
        <v>Y</v>
      </c>
      <c r="K63" s="179" t="str">
        <f t="shared" si="12"/>
        <v>&gt;</v>
      </c>
      <c r="L63" s="90" t="str">
        <f>IF(_epmOfflineCondition_,"",_xll.EVPRO($B$1,H63,"JDEID"))</f>
        <v/>
      </c>
      <c r="M63" s="90" t="str">
        <f>IF(_epmOfflineCondition_,"",IF(AND(I63="N",J63="N"),_xll.EVPRO($B$1,H63,"PSFTID"),""))</f>
        <v/>
      </c>
      <c r="N63" s="90" t="str">
        <f>IF(_epmOfflineCondition_,"Cost of Beverage Sales",IF(_xll.EVDES(H63,$B$1)="#NODATA","",_xll.EVDES(H63,$B$1)))</f>
        <v>Cost of Beverage Sales</v>
      </c>
      <c r="O63" s="467">
        <v>7006.98</v>
      </c>
      <c r="P63" s="216">
        <v>9703.2000000000007</v>
      </c>
      <c r="Q63" s="216">
        <v>2</v>
      </c>
      <c r="R63" s="216">
        <v>14800.56</v>
      </c>
      <c r="S63" s="216">
        <v>7993.93</v>
      </c>
      <c r="T63" s="216">
        <v>4364.2299999999996</v>
      </c>
      <c r="U63" s="216">
        <v>5607.55</v>
      </c>
      <c r="V63" s="216">
        <v>3528.6</v>
      </c>
      <c r="W63" s="216">
        <v>3932.19</v>
      </c>
      <c r="X63" s="216">
        <v>4327.26</v>
      </c>
      <c r="Y63" s="216">
        <v>6173.9</v>
      </c>
      <c r="Z63" s="216">
        <v>5519.12</v>
      </c>
      <c r="AA63" s="216">
        <f t="shared" si="13"/>
        <v>72959.51999999999</v>
      </c>
      <c r="AB63" s="468">
        <f>IF(_epmOfflineCondition_,0.239886124360665,IF(AA63=0,"",IFERROR(AA63/_xll.EVGTS($B$1,1,_xll.EVPRO($B$1,$H63,"COSBASIS"),$B$3,$B$5,$B$6,$B$7,$B$9,AA$16,AA$17,AA$11),"")))</f>
        <v>0.239886124360665</v>
      </c>
      <c r="AC63" s="459"/>
      <c r="AD63" s="216">
        <v>79696.47</v>
      </c>
      <c r="AE63" s="468">
        <f>IF(_epmOfflineCondition_,0.235657055745313,IF(AD63=0,"",IFERROR(AD63/_xll.EVGTS($B$1,1,_xll.EVPRO($B$1,$H63,"COSBASIS"),$B$3,$B$5,$B$6,$B$7,$B$9,AD$16,AD$17,AD$18),"")))</f>
        <v>0.23565705574531301</v>
      </c>
      <c r="AF63" s="469">
        <f t="shared" si="14"/>
        <v>-6736.9500000000116</v>
      </c>
      <c r="AG63" s="216">
        <v>98326.47</v>
      </c>
      <c r="AH63" s="468">
        <f>IF(_epmOfflineCondition_,0.243552331721416,IF(AG63=0,"",IFERROR(AG63/_xll.EVGTS($B$1,1,_xll.EVPRO($B$1,$H63,"COSBASIS"),$B$3,$B$5,$B$6,$B$7,$B$9,AG$16,AG$17,AG$18),"")))</f>
        <v>0.24355233172141599</v>
      </c>
      <c r="AI63" s="470">
        <f t="shared" si="15"/>
        <v>-25366.950000000012</v>
      </c>
      <c r="AJ63" s="471">
        <f t="shared" si="16"/>
        <v>5.4675899280575528</v>
      </c>
      <c r="AK63" s="472">
        <f t="shared" si="17"/>
        <v>5.2089196078431375</v>
      </c>
      <c r="AL63" s="473">
        <f t="shared" si="18"/>
        <v>4.2808337324219599</v>
      </c>
      <c r="AM63" s="474" t="str">
        <f t="shared" si="19"/>
        <v>0.42 pts.</v>
      </c>
      <c r="AN63" s="475" t="str">
        <f t="shared" si="20"/>
        <v>-0.37 pts.</v>
      </c>
      <c r="AO63" s="11"/>
    </row>
    <row r="64" spans="1:41" x14ac:dyDescent="0.25">
      <c r="A64" s="65" t="s">
        <v>15</v>
      </c>
      <c r="B64" s="66"/>
      <c r="C64" s="11"/>
      <c r="D64" s="11"/>
      <c r="E64" s="11"/>
      <c r="F64" s="11"/>
      <c r="G64" s="11"/>
      <c r="H64" s="88" t="s">
        <v>286</v>
      </c>
      <c r="I64" s="188" t="str">
        <f>IF(_epmOfflineCondition_,"T4",_xll.EVPRO($B$1,$H64,"STYLE"))</f>
        <v>T4</v>
      </c>
      <c r="J64" s="188" t="str">
        <f>IF(_epmOfflineCondition_,"Y",_xll.EVPRO($B$1,$H64,"CALC"))</f>
        <v>Y</v>
      </c>
      <c r="K64" s="189" t="str">
        <f t="shared" si="12"/>
        <v/>
      </c>
      <c r="L64" s="190" t="str">
        <f>IF(_epmOfflineCondition_,"",_xll.EVPRO($B$1,H64,"JDEID"))</f>
        <v/>
      </c>
      <c r="M64" s="190" t="str">
        <f>IF(_epmOfflineCondition_,"",IF(AND(I64="N",J64="N"),_xll.EVPRO($B$1,H64,"PSFTID"),""))</f>
        <v/>
      </c>
      <c r="N64" s="190" t="str">
        <f>IF(_epmOfflineCondition_,"Total Cost of Food &amp; Beverage Sales",IF(_xll.EVDES(H64,$B$1)="#NODATA","",_xll.EVDES(H64,$B$1)))</f>
        <v>Total Cost of Food &amp; Beverage Sales</v>
      </c>
      <c r="O64" s="476">
        <v>10015.5</v>
      </c>
      <c r="P64" s="223">
        <v>12547.13</v>
      </c>
      <c r="Q64" s="223">
        <v>-12.75</v>
      </c>
      <c r="R64" s="223">
        <v>21174.73</v>
      </c>
      <c r="S64" s="223">
        <v>11877.58</v>
      </c>
      <c r="T64" s="223">
        <v>7417.06</v>
      </c>
      <c r="U64" s="223">
        <v>8450.0499999999993</v>
      </c>
      <c r="V64" s="223">
        <v>5247.87</v>
      </c>
      <c r="W64" s="223">
        <v>5625.86</v>
      </c>
      <c r="X64" s="223">
        <v>6079.81</v>
      </c>
      <c r="Y64" s="223">
        <v>8643.64</v>
      </c>
      <c r="Z64" s="223">
        <v>8503.83</v>
      </c>
      <c r="AA64" s="223">
        <f t="shared" si="13"/>
        <v>105570.31</v>
      </c>
      <c r="AB64" s="224">
        <f>IF(_epmOfflineCondition_,0.254243618665266,IF(AA64=0,"",IFERROR(AA64/_xll.EVGTS($B$1,1,_xll.EVPRO($B$1,$H64,"COSBASIS"),$B$3,$B$5,$B$6,$B$7,$B$9,AA$16,AA$17,AA$11),"")))</f>
        <v>0.25424361866526601</v>
      </c>
      <c r="AC64" s="225"/>
      <c r="AD64" s="223">
        <v>97065.62</v>
      </c>
      <c r="AE64" s="224">
        <f>IF(_epmOfflineCondition_,0.242530052146189,IF(AD64=0,"",IFERROR(AD64/_xll.EVGTS($B$1,1,_xll.EVPRO($B$1,$H64,"COSBASIS"),$B$3,$B$5,$B$6,$B$7,$B$9,AD$16,AD$17,AD$18),"")))</f>
        <v>0.242530052146189</v>
      </c>
      <c r="AF64" s="226">
        <f t="shared" si="14"/>
        <v>8504.6900000000023</v>
      </c>
      <c r="AG64" s="223">
        <v>148948.99</v>
      </c>
      <c r="AH64" s="224">
        <f>IF(_epmOfflineCondition_,0.262734081425857,IF(AG64=0,"",IFERROR(AG64/_xll.EVGTS($B$1,1,_xll.EVPRO($B$1,$H64,"COSBASIS"),$B$3,$B$5,$B$6,$B$7,$B$9,AG$16,AG$17,AG$18),"")))</f>
        <v>0.26273408142585702</v>
      </c>
      <c r="AI64" s="477">
        <f t="shared" si="15"/>
        <v>-43378.679999999993</v>
      </c>
      <c r="AJ64" s="227">
        <f t="shared" si="16"/>
        <v>7.9114440947242208</v>
      </c>
      <c r="AK64" s="228">
        <f t="shared" si="17"/>
        <v>6.3441581699346399</v>
      </c>
      <c r="AL64" s="230">
        <f t="shared" si="18"/>
        <v>6.4847834037180547</v>
      </c>
      <c r="AM64" s="427" t="str">
        <f t="shared" si="19"/>
        <v>1.17 pts.</v>
      </c>
      <c r="AN64" s="478" t="str">
        <f t="shared" si="20"/>
        <v>-0.85 pts.</v>
      </c>
      <c r="AO64" s="11"/>
    </row>
    <row r="65" spans="1:41" x14ac:dyDescent="0.25">
      <c r="A65" s="65" t="s">
        <v>16</v>
      </c>
      <c r="B65" s="66"/>
      <c r="C65" s="11"/>
      <c r="D65" s="11"/>
      <c r="E65" s="11"/>
      <c r="F65" s="11"/>
      <c r="G65" s="11"/>
      <c r="H65" s="88" t="s">
        <v>287</v>
      </c>
      <c r="I65" s="188" t="str">
        <f>IF(_epmOfflineCondition_,"B1",_xll.EVPRO($B$1,$H65,"STYLE"))</f>
        <v>B1</v>
      </c>
      <c r="J65" s="188" t="str">
        <f>IF(_epmOfflineCondition_,"Y",_xll.EVPRO($B$1,$H65,"CALC"))</f>
        <v>Y</v>
      </c>
      <c r="K65" s="189" t="str">
        <f t="shared" si="12"/>
        <v/>
      </c>
      <c r="L65" s="190" t="str">
        <f>IF(_epmOfflineCondition_,"",_xll.EVPRO($B$1,H65,"JDEID"))</f>
        <v/>
      </c>
      <c r="M65" s="190" t="str">
        <f>IF(_epmOfflineCondition_,"",IF(AND(I65="N",J65="N"),_xll.EVPRO($B$1,H65,"PSFTID"),""))</f>
        <v/>
      </c>
      <c r="N65" s="190" t="str">
        <f>IF(_epmOfflineCondition_,"Cost of Other Revenue",IF(_xll.EVDES(H65,$B$1)="#NODATA","",_xll.EVDES(H65,$B$1)))</f>
        <v>Cost of Other Revenue</v>
      </c>
      <c r="O65" s="479"/>
      <c r="P65" s="232"/>
      <c r="Q65" s="232"/>
      <c r="R65" s="232"/>
      <c r="S65" s="232"/>
      <c r="T65" s="232"/>
      <c r="U65" s="232"/>
      <c r="V65" s="232"/>
      <c r="W65" s="232"/>
      <c r="X65" s="232"/>
      <c r="Y65" s="232"/>
      <c r="Z65" s="232"/>
      <c r="AA65" s="232" t="str">
        <f t="shared" si="13"/>
        <v/>
      </c>
      <c r="AB65" s="480" t="str">
        <f>IF(_epmOfflineCondition_,"",IF(AA65=0,"",IFERROR(AA65/_xll.EVGTS($B$1,1,_xll.EVPRO($B$1,$H65,"COSBASIS"),$B$3,$B$5,$B$6,$B$7,$B$9,AA$16,AA$17,AA$11),"")))</f>
        <v/>
      </c>
      <c r="AC65" s="529"/>
      <c r="AD65" s="232"/>
      <c r="AE65" s="480" t="str">
        <f>IF(_epmOfflineCondition_,"",IF(AD65=0,"",IFERROR(AD65/_xll.EVGTS($B$1,1,_xll.EVPRO($B$1,$H65,"COSBASIS"),$B$3,$B$5,$B$6,$B$7,$B$9,AD$16,AD$17,AD$18),"")))</f>
        <v/>
      </c>
      <c r="AF65" s="482" t="str">
        <f t="shared" si="14"/>
        <v/>
      </c>
      <c r="AG65" s="232"/>
      <c r="AH65" s="480" t="str">
        <f>IF(_epmOfflineCondition_,"",IF(AG65=0,"",IFERROR(AG65/_xll.EVGTS($B$1,1,_xll.EVPRO($B$1,$H65,"COSBASIS"),$B$3,$B$5,$B$6,$B$7,$B$9,AG$16,AG$17,AG$18),"")))</f>
        <v/>
      </c>
      <c r="AI65" s="483" t="str">
        <f t="shared" si="15"/>
        <v/>
      </c>
      <c r="AJ65" s="235">
        <f t="shared" si="16"/>
        <v>0</v>
      </c>
      <c r="AK65" s="236">
        <f t="shared" si="17"/>
        <v>0</v>
      </c>
      <c r="AL65" s="238">
        <f t="shared" si="18"/>
        <v>0</v>
      </c>
      <c r="AM65" s="429">
        <f t="shared" si="19"/>
        <v>0</v>
      </c>
      <c r="AN65" s="484">
        <f t="shared" si="20"/>
        <v>0</v>
      </c>
      <c r="AO65" s="11"/>
    </row>
    <row r="66" spans="1:41" x14ac:dyDescent="0.25">
      <c r="A66" s="65" t="s">
        <v>17</v>
      </c>
      <c r="B66" s="66"/>
      <c r="C66" s="11"/>
      <c r="D66" s="11"/>
      <c r="E66" s="11"/>
      <c r="F66" s="11"/>
      <c r="G66" s="11"/>
      <c r="H66" s="88" t="s">
        <v>637</v>
      </c>
      <c r="I66" s="122" t="str">
        <f>IF(_epmOfflineCondition_,"N",_xll.EVPRO($B$1,$H66,"STYLE"))</f>
        <v>N</v>
      </c>
      <c r="J66" s="122" t="str">
        <f>IF(_epmOfflineCondition_,"N",_xll.EVPRO($B$1,$H66,"CALC"))</f>
        <v>N</v>
      </c>
      <c r="K66" s="179" t="str">
        <f t="shared" si="12"/>
        <v/>
      </c>
      <c r="L66" s="90" t="str">
        <f>IF(_epmOfflineCondition_,"568300",_xll.EVPRO($B$1,H66,"JDEID"))</f>
        <v>568300</v>
      </c>
      <c r="M66" s="90" t="str">
        <f>IF(_epmOfflineCondition_,"306005",IF(AND(I66="N",J66="N"),_xll.EVPRO($B$1,H66,"PSFTID"),""))</f>
        <v>306005</v>
      </c>
      <c r="N66" s="90" t="str">
        <f>IF(_epmOfflineCondition_,"A/V Cost of Sales",IF(_xll.EVDES(H66,$B$1)="#NODATA","",_xll.EVDES(H66,$B$1)))</f>
        <v>A/V Cost of Sales</v>
      </c>
      <c r="O66" s="457"/>
      <c r="P66" s="210"/>
      <c r="Q66" s="210"/>
      <c r="R66" s="210"/>
      <c r="S66" s="210"/>
      <c r="T66" s="210"/>
      <c r="U66" s="210"/>
      <c r="V66" s="210"/>
      <c r="W66" s="210"/>
      <c r="X66" s="210"/>
      <c r="Y66" s="210"/>
      <c r="Z66" s="210"/>
      <c r="AA66" s="210">
        <f t="shared" si="13"/>
        <v>0</v>
      </c>
      <c r="AB66" s="458" t="str">
        <f>IF(_epmOfflineCondition_,"",IF(AA66=0,"",IFERROR(AA66/_xll.EVGTS($B$1,1,_xll.EVPRO($B$1,$H66,"COSBASIS"),$B$3,$B$5,$B$6,$B$7,$B$9,AA$16,AA$17,AA$11),"")))</f>
        <v/>
      </c>
      <c r="AC66" s="528"/>
      <c r="AD66" s="210"/>
      <c r="AE66" s="458" t="str">
        <f>IF(_epmOfflineCondition_,"",IF(AD66=0,"",IFERROR(AD66/_xll.EVGTS($B$1,1,_xll.EVPRO($B$1,$H66,"COSBASIS"),$B$3,$B$5,$B$6,$B$7,$B$9,AD$16,AD$17,AD$18),"")))</f>
        <v/>
      </c>
      <c r="AF66" s="460">
        <f t="shared" si="14"/>
        <v>0</v>
      </c>
      <c r="AG66" s="210"/>
      <c r="AH66" s="458" t="str">
        <f>IF(_epmOfflineCondition_,"",IF(AG66=0,"",IFERROR(AG66/_xll.EVGTS($B$1,1,_xll.EVPRO($B$1,$H66,"COSBASIS"),$B$3,$B$5,$B$6,$B$7,$B$9,AG$16,AG$17,AG$18),"")))</f>
        <v/>
      </c>
      <c r="AI66" s="461">
        <f t="shared" si="15"/>
        <v>0</v>
      </c>
      <c r="AJ66" s="462">
        <f t="shared" si="16"/>
        <v>0</v>
      </c>
      <c r="AK66" s="463">
        <f t="shared" si="17"/>
        <v>0</v>
      </c>
      <c r="AL66" s="464">
        <f t="shared" si="18"/>
        <v>0</v>
      </c>
      <c r="AM66" s="465">
        <f t="shared" si="19"/>
        <v>0</v>
      </c>
      <c r="AN66" s="466">
        <f t="shared" si="20"/>
        <v>0</v>
      </c>
      <c r="AO66" s="11"/>
    </row>
    <row r="67" spans="1:41" x14ac:dyDescent="0.25">
      <c r="A67" s="11"/>
      <c r="B67" s="11"/>
      <c r="C67" s="11"/>
      <c r="D67" s="11"/>
      <c r="E67" s="11"/>
      <c r="F67" s="11"/>
      <c r="G67" s="11"/>
      <c r="H67" s="88" t="s">
        <v>638</v>
      </c>
      <c r="I67" s="122" t="str">
        <f>IF(_epmOfflineCondition_,"N",_xll.EVPRO($B$1,$H67,"STYLE"))</f>
        <v>N</v>
      </c>
      <c r="J67" s="122" t="str">
        <f>IF(_epmOfflineCondition_,"N",_xll.EVPRO($B$1,$H67,"CALC"))</f>
        <v>N</v>
      </c>
      <c r="K67" s="179" t="str">
        <f t="shared" si="12"/>
        <v/>
      </c>
      <c r="L67" s="90" t="str">
        <f>IF(_epmOfflineCondition_,"568350",_xll.EVPRO($B$1,H67,"JDEID"))</f>
        <v>568350</v>
      </c>
      <c r="M67" s="90" t="str">
        <f>IF(_epmOfflineCondition_,"306099",IF(AND(I67="N",J67="N"),_xll.EVPRO($B$1,H67,"PSFTID"),""))</f>
        <v>306099</v>
      </c>
      <c r="N67" s="90" t="str">
        <f>IF(_epmOfflineCondition_,"Public Room Rental",IF(_xll.EVDES(H67,$B$1)="#NODATA","",_xll.EVDES(H67,$B$1)))</f>
        <v>Public Room Rental</v>
      </c>
      <c r="O67" s="457"/>
      <c r="P67" s="210"/>
      <c r="Q67" s="210"/>
      <c r="R67" s="210"/>
      <c r="S67" s="210"/>
      <c r="T67" s="210"/>
      <c r="U67" s="210"/>
      <c r="V67" s="210"/>
      <c r="W67" s="210"/>
      <c r="X67" s="210"/>
      <c r="Y67" s="210"/>
      <c r="Z67" s="210"/>
      <c r="AA67" s="210">
        <f t="shared" si="13"/>
        <v>0</v>
      </c>
      <c r="AB67" s="458" t="str">
        <f>IF(_epmOfflineCondition_,"",IF(AA67=0,"",IFERROR(AA67/_xll.EVGTS($B$1,1,_xll.EVPRO($B$1,$H67,"COSBASIS"),$B$3,$B$5,$B$6,$B$7,$B$9,AA$16,AA$17,AA$11),"")))</f>
        <v/>
      </c>
      <c r="AC67" s="528"/>
      <c r="AD67" s="210"/>
      <c r="AE67" s="458" t="str">
        <f>IF(_epmOfflineCondition_,"",IF(AD67=0,"",IFERROR(AD67/_xll.EVGTS($B$1,1,_xll.EVPRO($B$1,$H67,"COSBASIS"),$B$3,$B$5,$B$6,$B$7,$B$9,AD$16,AD$17,AD$18),"")))</f>
        <v/>
      </c>
      <c r="AF67" s="460">
        <f t="shared" si="14"/>
        <v>0</v>
      </c>
      <c r="AG67" s="210"/>
      <c r="AH67" s="458" t="str">
        <f>IF(_epmOfflineCondition_,"",IF(AG67=0,"",IFERROR(AG67/_xll.EVGTS($B$1,1,_xll.EVPRO($B$1,$H67,"COSBASIS"),$B$3,$B$5,$B$6,$B$7,$B$9,AG$16,AG$17,AG$18),"")))</f>
        <v/>
      </c>
      <c r="AI67" s="461">
        <f t="shared" si="15"/>
        <v>0</v>
      </c>
      <c r="AJ67" s="462">
        <f t="shared" si="16"/>
        <v>0</v>
      </c>
      <c r="AK67" s="463">
        <f t="shared" si="17"/>
        <v>0</v>
      </c>
      <c r="AL67" s="464">
        <f t="shared" si="18"/>
        <v>0</v>
      </c>
      <c r="AM67" s="465">
        <f t="shared" si="19"/>
        <v>0</v>
      </c>
      <c r="AN67" s="466">
        <f t="shared" si="20"/>
        <v>0</v>
      </c>
      <c r="AO67" s="11"/>
    </row>
    <row r="68" spans="1:41" x14ac:dyDescent="0.25">
      <c r="A68" s="97" t="s">
        <v>92</v>
      </c>
      <c r="B68" s="98" t="s">
        <v>93</v>
      </c>
      <c r="C68" s="98" t="s">
        <v>94</v>
      </c>
      <c r="D68" s="98" t="s">
        <v>95</v>
      </c>
      <c r="E68" s="98" t="s">
        <v>96</v>
      </c>
      <c r="F68" s="99" t="s">
        <v>97</v>
      </c>
      <c r="G68" s="11"/>
      <c r="H68" s="88" t="s">
        <v>639</v>
      </c>
      <c r="I68" s="122" t="str">
        <f>IF(_epmOfflineCondition_,"T5",_xll.EVPRO($B$1,$H68,"STYLE"))</f>
        <v>T5</v>
      </c>
      <c r="J68" s="122" t="str">
        <f>IF(_epmOfflineCondition_,"Y",_xll.EVPRO($B$1,$H68,"CALC"))</f>
        <v>Y</v>
      </c>
      <c r="K68" s="179" t="str">
        <f t="shared" si="12"/>
        <v>&gt;</v>
      </c>
      <c r="L68" s="90" t="str">
        <f>IF(_epmOfflineCondition_,"",_xll.EVPRO($B$1,H68,"JDEID"))</f>
        <v/>
      </c>
      <c r="M68" s="90" t="str">
        <f>IF(_epmOfflineCondition_,"",IF(AND(I68="N",J68="N"),_xll.EVPRO($B$1,H68,"PSFTID"),""))</f>
        <v/>
      </c>
      <c r="N68" s="90" t="str">
        <f>IF(_epmOfflineCondition_,"Miscellaneous Cost",IF(_xll.EVDES(H68,$B$1)="#NODATA","",_xll.EVDES(H68,$B$1)))</f>
        <v>Miscellaneous Cost</v>
      </c>
      <c r="O68" s="467"/>
      <c r="P68" s="216"/>
      <c r="Q68" s="216"/>
      <c r="R68" s="216"/>
      <c r="S68" s="216"/>
      <c r="T68" s="216"/>
      <c r="U68" s="216"/>
      <c r="V68" s="216"/>
      <c r="W68" s="216"/>
      <c r="X68" s="216"/>
      <c r="Y68" s="216"/>
      <c r="Z68" s="216"/>
      <c r="AA68" s="216">
        <f t="shared" si="13"/>
        <v>0</v>
      </c>
      <c r="AB68" s="468" t="str">
        <f>IF(_epmOfflineCondition_,"",IF(AA68=0,"",IFERROR(AA68/_xll.EVGTS($B$1,1,_xll.EVPRO($B$1,$H68,"COSBASIS"),$B$3,$B$5,$B$6,$B$7,$B$9,AA$16,AA$17,AA$11),"")))</f>
        <v/>
      </c>
      <c r="AC68" s="459"/>
      <c r="AD68" s="216"/>
      <c r="AE68" s="468" t="str">
        <f>IF(_epmOfflineCondition_,"",IF(AD68=0,"",IFERROR(AD68/_xll.EVGTS($B$1,1,_xll.EVPRO($B$1,$H68,"COSBASIS"),$B$3,$B$5,$B$6,$B$7,$B$9,AD$16,AD$17,AD$18),"")))</f>
        <v/>
      </c>
      <c r="AF68" s="469">
        <f t="shared" si="14"/>
        <v>0</v>
      </c>
      <c r="AG68" s="216"/>
      <c r="AH68" s="468" t="str">
        <f>IF(_epmOfflineCondition_,"",IF(AG68=0,"",IFERROR(AG68/_xll.EVGTS($B$1,1,_xll.EVPRO($B$1,$H68,"COSBASIS"),$B$3,$B$5,$B$6,$B$7,$B$9,AG$16,AG$17,AG$18),"")))</f>
        <v/>
      </c>
      <c r="AI68" s="470">
        <f t="shared" si="15"/>
        <v>0</v>
      </c>
      <c r="AJ68" s="471">
        <f t="shared" si="16"/>
        <v>0</v>
      </c>
      <c r="AK68" s="472">
        <f t="shared" si="17"/>
        <v>0</v>
      </c>
      <c r="AL68" s="473">
        <f t="shared" si="18"/>
        <v>0</v>
      </c>
      <c r="AM68" s="474">
        <f t="shared" si="19"/>
        <v>0</v>
      </c>
      <c r="AN68" s="475">
        <f t="shared" si="20"/>
        <v>0</v>
      </c>
      <c r="AO68" s="11"/>
    </row>
    <row r="69" spans="1:41" x14ac:dyDescent="0.25">
      <c r="A69" s="11"/>
      <c r="B69" s="11"/>
      <c r="C69" s="11"/>
      <c r="D69" s="11"/>
      <c r="E69" s="11"/>
      <c r="F69" s="11"/>
      <c r="G69" s="11"/>
      <c r="H69" s="88" t="s">
        <v>288</v>
      </c>
      <c r="I69" s="188" t="str">
        <f>IF(_epmOfflineCondition_,"T4",_xll.EVPRO($B$1,$H69,"STYLE"))</f>
        <v>T4</v>
      </c>
      <c r="J69" s="188" t="str">
        <f>IF(_epmOfflineCondition_,"Y",_xll.EVPRO($B$1,$H69,"CALC"))</f>
        <v>Y</v>
      </c>
      <c r="K69" s="189" t="str">
        <f t="shared" si="12"/>
        <v/>
      </c>
      <c r="L69" s="190" t="str">
        <f>IF(_epmOfflineCondition_,"",_xll.EVPRO($B$1,H69,"JDEID"))</f>
        <v/>
      </c>
      <c r="M69" s="190" t="str">
        <f>IF(_epmOfflineCondition_,"",IF(AND(I69="N",J69="N"),_xll.EVPRO($B$1,H69,"PSFTID"),""))</f>
        <v/>
      </c>
      <c r="N69" s="190" t="str">
        <f>IF(_epmOfflineCondition_,"Total Cost of Other Revenue",IF(_xll.EVDES(H69,$B$1)="#NODATA","",_xll.EVDES(H69,$B$1)))</f>
        <v>Total Cost of Other Revenue</v>
      </c>
      <c r="O69" s="485"/>
      <c r="P69" s="242"/>
      <c r="Q69" s="242"/>
      <c r="R69" s="242"/>
      <c r="S69" s="242"/>
      <c r="T69" s="242"/>
      <c r="U69" s="242"/>
      <c r="V69" s="242"/>
      <c r="W69" s="242"/>
      <c r="X69" s="242"/>
      <c r="Y69" s="242"/>
      <c r="Z69" s="242"/>
      <c r="AA69" s="242">
        <f t="shared" si="13"/>
        <v>0</v>
      </c>
      <c r="AB69" s="243" t="str">
        <f>IF(_epmOfflineCondition_,"",IF(AA69=0,"",IFERROR(AA69/_xll.EVGTS($B$1,1,_xll.EVPRO($B$1,$H69,"COSBASIS"),$B$3,$B$5,$B$6,$B$7,$B$9,AA$16,AA$17,AA$11),"")))</f>
        <v/>
      </c>
      <c r="AC69" s="244"/>
      <c r="AD69" s="242"/>
      <c r="AE69" s="243" t="str">
        <f>IF(_epmOfflineCondition_,"",IF(AD69=0,"",IFERROR(AD69/_xll.EVGTS($B$1,1,_xll.EVPRO($B$1,$H69,"COSBASIS"),$B$3,$B$5,$B$6,$B$7,$B$9,AD$16,AD$17,AD$18),"")))</f>
        <v/>
      </c>
      <c r="AF69" s="245">
        <f t="shared" si="14"/>
        <v>0</v>
      </c>
      <c r="AG69" s="242"/>
      <c r="AH69" s="243" t="str">
        <f>IF(_epmOfflineCondition_,"",IF(AG69=0,"",IFERROR(AG69/_xll.EVGTS($B$1,1,_xll.EVPRO($B$1,$H69,"COSBASIS"),$B$3,$B$5,$B$6,$B$7,$B$9,AG$16,AG$17,AG$18),"")))</f>
        <v/>
      </c>
      <c r="AI69" s="486">
        <f t="shared" si="15"/>
        <v>0</v>
      </c>
      <c r="AJ69" s="246">
        <f t="shared" si="16"/>
        <v>0</v>
      </c>
      <c r="AK69" s="247">
        <f t="shared" si="17"/>
        <v>0</v>
      </c>
      <c r="AL69" s="249">
        <f t="shared" si="18"/>
        <v>0</v>
      </c>
      <c r="AM69" s="431">
        <f t="shared" si="19"/>
        <v>0</v>
      </c>
      <c r="AN69" s="487">
        <f t="shared" si="20"/>
        <v>0</v>
      </c>
      <c r="AO69" s="11"/>
    </row>
    <row r="70" spans="1:41" x14ac:dyDescent="0.25">
      <c r="A70" s="11" t="s">
        <v>209</v>
      </c>
      <c r="B70" s="11" t="s">
        <v>21</v>
      </c>
      <c r="C70" s="395"/>
      <c r="D70" s="11" t="s">
        <v>590</v>
      </c>
      <c r="E70" s="11"/>
      <c r="F70" s="11" t="s">
        <v>99</v>
      </c>
      <c r="G70" s="11"/>
      <c r="H70" s="88" t="s">
        <v>289</v>
      </c>
      <c r="I70" s="188" t="str">
        <f>IF(_epmOfflineCondition_,"T3",_xll.EVPRO($B$1,$H70,"STYLE"))</f>
        <v>T3</v>
      </c>
      <c r="J70" s="188" t="str">
        <f>IF(_epmOfflineCondition_,"Y",_xll.EVPRO($B$1,$H70,"CALC"))</f>
        <v>Y</v>
      </c>
      <c r="K70" s="189" t="str">
        <f t="shared" si="12"/>
        <v/>
      </c>
      <c r="L70" s="190" t="str">
        <f>IF(_epmOfflineCondition_,"500001",_xll.EVPRO($B$1,H70,"JDEID"))</f>
        <v>500001</v>
      </c>
      <c r="M70" s="190" t="str">
        <f>IF(_epmOfflineCondition_,"",IF(AND(I70="N",J70="N"),_xll.EVPRO($B$1,H70,"PSFTID"),""))</f>
        <v/>
      </c>
      <c r="N70" s="190" t="str">
        <f>IF(_epmOfflineCondition_,"Total Cost of Sales",IF(_xll.EVDES(H70,$B$1)="#NODATA","",_xll.EVDES(H70,$B$1)))</f>
        <v>Total Cost of Sales</v>
      </c>
      <c r="O70" s="476">
        <v>10015.5</v>
      </c>
      <c r="P70" s="223">
        <v>12547.13</v>
      </c>
      <c r="Q70" s="223">
        <v>-12.75</v>
      </c>
      <c r="R70" s="223">
        <v>21174.73</v>
      </c>
      <c r="S70" s="223">
        <v>11877.58</v>
      </c>
      <c r="T70" s="223">
        <v>7417.06</v>
      </c>
      <c r="U70" s="223">
        <v>8450.0499999999993</v>
      </c>
      <c r="V70" s="223">
        <v>5247.87</v>
      </c>
      <c r="W70" s="223">
        <v>5625.86</v>
      </c>
      <c r="X70" s="223">
        <v>6079.81</v>
      </c>
      <c r="Y70" s="223">
        <v>8643.64</v>
      </c>
      <c r="Z70" s="223">
        <v>8503.83</v>
      </c>
      <c r="AA70" s="223">
        <f t="shared" si="13"/>
        <v>105570.31</v>
      </c>
      <c r="AB70" s="224">
        <f>IF(_epmOfflineCondition_,0.214850836118768,IF(AA70=0,"",IFERROR(AA70/_xll.EVGTS($B$1,1,_xll.EVPRO($B$1,$H70,"COSBASIS"),$B$3,$B$5,$B$6,$B$7,$B$9,AA$16,AA$17,AA$11),"")))</f>
        <v>0.21485083611876801</v>
      </c>
      <c r="AC70" s="225"/>
      <c r="AD70" s="223">
        <v>97065.62</v>
      </c>
      <c r="AE70" s="224">
        <f>IF(_epmOfflineCondition_,0.205533942496771,IF(AD70=0,"",IFERROR(AD70/_xll.EVGTS($B$1,1,_xll.EVPRO($B$1,$H70,"COSBASIS"),$B$3,$B$5,$B$6,$B$7,$B$9,AD$16,AD$17,AD$18),"")))</f>
        <v>0.20553394249677101</v>
      </c>
      <c r="AF70" s="226">
        <f t="shared" si="14"/>
        <v>8504.6900000000023</v>
      </c>
      <c r="AG70" s="223">
        <v>148948.99</v>
      </c>
      <c r="AH70" s="224">
        <f>IF(_epmOfflineCondition_,0.22260976394716,IF(AG70=0,"",IFERROR(AG70/_xll.EVGTS($B$1,1,_xll.EVPRO($B$1,$H70,"COSBASIS"),$B$3,$B$5,$B$6,$B$7,$B$9,AG$16,AG$17,AG$18),"")))</f>
        <v>0.22260976394716001</v>
      </c>
      <c r="AI70" s="477">
        <f t="shared" si="15"/>
        <v>-43378.679999999993</v>
      </c>
      <c r="AJ70" s="227">
        <f t="shared" si="16"/>
        <v>7.9114440947242208</v>
      </c>
      <c r="AK70" s="228">
        <f t="shared" si="17"/>
        <v>6.3441581699346399</v>
      </c>
      <c r="AL70" s="230">
        <f t="shared" si="18"/>
        <v>6.4847834037180547</v>
      </c>
      <c r="AM70" s="427" t="str">
        <f t="shared" si="19"/>
        <v>0.93 pts.</v>
      </c>
      <c r="AN70" s="478" t="str">
        <f t="shared" si="20"/>
        <v>-0.78 pts.</v>
      </c>
      <c r="AO70" s="11"/>
    </row>
    <row r="71" spans="1:41" x14ac:dyDescent="0.25">
      <c r="A71" s="11" t="s">
        <v>105</v>
      </c>
      <c r="B71" s="11"/>
      <c r="C71" s="104" t="s">
        <v>101</v>
      </c>
      <c r="D71" s="11" t="s">
        <v>106</v>
      </c>
      <c r="E71" s="11"/>
      <c r="F71" s="11" t="s">
        <v>98</v>
      </c>
      <c r="G71" s="11"/>
      <c r="H71" s="185" t="s">
        <v>175</v>
      </c>
      <c r="I71" s="89" t="str">
        <f>IF(_epmOfflineCondition_,"B1",_xll.EVPRO($B$1,$H71,"STYLE"))</f>
        <v>B1</v>
      </c>
      <c r="J71" s="89" t="str">
        <f>IF(_epmOfflineCondition_,"Y",_xll.EVPRO($B$1,$H71,"CALC"))</f>
        <v>Y</v>
      </c>
      <c r="K71" s="265" t="str">
        <f t="shared" si="12"/>
        <v/>
      </c>
      <c r="L71" s="265"/>
      <c r="M71" s="265"/>
      <c r="N71" s="106" t="str">
        <f>IF(_epmOfflineCondition_,"BLANKROW",IF(_xll.EVDES(H71,$B$1)="#NODATA","",_xll.EVDES(H71,$B$1)))</f>
        <v>BLANKROW</v>
      </c>
      <c r="O71" s="205"/>
      <c r="P71" s="205"/>
      <c r="Q71" s="205"/>
      <c r="R71" s="205"/>
      <c r="S71" s="205"/>
      <c r="T71" s="205"/>
      <c r="U71" s="205"/>
      <c r="V71" s="205"/>
      <c r="W71" s="205"/>
      <c r="X71" s="205"/>
      <c r="Y71" s="205"/>
      <c r="Z71" s="205"/>
      <c r="AA71" s="205"/>
      <c r="AB71" s="206" t="str">
        <f>IF(_epmOfflineCondition_,"",IF(O71=0,"",IFERROR(O71/_xll.EVGTS($B$1,1,INDEX($C$152:$C$175,MATCH($H71,$A$152:$A$175,0)),$B$3,$B$5,$B$6,$B$7,$B$9,O$16,O$17,O$18),"")))</f>
        <v/>
      </c>
      <c r="AC71" s="11"/>
      <c r="AD71" s="205"/>
      <c r="AE71" s="206" t="str">
        <f>IF(_epmOfflineCondition_,"",IF(AD71=0,"",IFERROR(AD71/_xll.EVGTS($B$1,1,INDEX($C$152:$C$175,MATCH($H71,$A$152:$A$175,0)),$B$3,$B$5,$B$6,$B$7,$B$9,AD$16,AD$17,AD$18),"")))</f>
        <v/>
      </c>
      <c r="AF71" s="207" t="str">
        <f t="shared" si="14"/>
        <v/>
      </c>
      <c r="AG71" s="205"/>
      <c r="AH71" s="206" t="str">
        <f>IF(_epmOfflineCondition_,"",IF(AG71=0,"",IFERROR(AG71/_xll.EVGTS($B$1,1,INDEX($C$152:$C$175,MATCH($H71,$A$152:$A$175,0)),$B$3,$B$5,$B$6,$B$7,$B$9,AG$16,AG$17,AG$18),"")))</f>
        <v/>
      </c>
      <c r="AI71" s="207" t="str">
        <f t="shared" si="15"/>
        <v/>
      </c>
      <c r="AJ71" s="523">
        <f t="shared" si="16"/>
        <v>0</v>
      </c>
      <c r="AK71" s="524">
        <f t="shared" si="17"/>
        <v>0</v>
      </c>
      <c r="AL71" s="525">
        <f t="shared" si="18"/>
        <v>0</v>
      </c>
      <c r="AM71" s="526">
        <f t="shared" si="19"/>
        <v>0</v>
      </c>
      <c r="AN71" s="527">
        <f t="shared" si="20"/>
        <v>0</v>
      </c>
      <c r="AO71" s="11"/>
    </row>
    <row r="72" spans="1:41" x14ac:dyDescent="0.25">
      <c r="A72" s="11" t="s">
        <v>104</v>
      </c>
      <c r="B72" s="11"/>
      <c r="C72" s="104" t="s">
        <v>101</v>
      </c>
      <c r="D72" s="11" t="s">
        <v>106</v>
      </c>
      <c r="E72" s="11"/>
      <c r="F72" s="11" t="s">
        <v>98</v>
      </c>
      <c r="G72" s="11"/>
      <c r="H72" s="185" t="s">
        <v>292</v>
      </c>
      <c r="I72" s="89" t="str">
        <f>IF(_epmOfflineCondition_,"T3",_xll.EVPRO($B$1,$H72,"STYLE"))</f>
        <v>T3</v>
      </c>
      <c r="J72" s="89" t="str">
        <f>IF(_epmOfflineCondition_,"Y",_xll.EVPRO($B$1,$H72,"CALC"))</f>
        <v>Y</v>
      </c>
      <c r="K72" s="265" t="str">
        <f t="shared" si="12"/>
        <v/>
      </c>
      <c r="L72" s="265"/>
      <c r="M72" s="265"/>
      <c r="N72" s="106" t="str">
        <f>IF(_epmOfflineCondition_,"Gross Profit",IF(_xll.EVDES(H72,$B$1)="#NODATA","",_xll.EVDES(H72,$B$1)))</f>
        <v>Gross Profit</v>
      </c>
      <c r="O72" s="123">
        <f t="shared" ref="O72:Z72" si="21">SUMIF($H$35:$H$70,"400000",O35:O70)-SUMIF($H$35:$H$70,"500001",O35:O70)</f>
        <v>35033.58</v>
      </c>
      <c r="P72" s="123">
        <f t="shared" si="21"/>
        <v>45270.270000000004</v>
      </c>
      <c r="Q72" s="123">
        <f t="shared" si="21"/>
        <v>51331.27</v>
      </c>
      <c r="R72" s="123">
        <f t="shared" si="21"/>
        <v>23790.55</v>
      </c>
      <c r="S72" s="123">
        <f t="shared" si="21"/>
        <v>42566.65</v>
      </c>
      <c r="T72" s="123">
        <f t="shared" si="21"/>
        <v>26362.359999999997</v>
      </c>
      <c r="U72" s="123">
        <f t="shared" si="21"/>
        <v>29560.59</v>
      </c>
      <c r="V72" s="123">
        <f t="shared" si="21"/>
        <v>20090.47</v>
      </c>
      <c r="W72" s="123">
        <f t="shared" si="21"/>
        <v>22157.559999999998</v>
      </c>
      <c r="X72" s="123">
        <f t="shared" si="21"/>
        <v>23614.01</v>
      </c>
      <c r="Y72" s="123">
        <f t="shared" si="21"/>
        <v>33789.39</v>
      </c>
      <c r="Z72" s="123">
        <f t="shared" si="21"/>
        <v>32228.589999999997</v>
      </c>
      <c r="AA72" s="191">
        <f>IF($I72="B1","",SUM(O72:Z72))</f>
        <v>385795.29000000004</v>
      </c>
      <c r="AB72" s="192">
        <f>IF(AA72=0,"",IFERROR(AA72/AA$19,""))</f>
        <v>0.78514916388123224</v>
      </c>
      <c r="AC72" s="11"/>
      <c r="AD72" s="123">
        <f>SUMIF($H$35:$H$70,"400000",AD35:AD70)-SUMIF($H$35:$H$70,"500001",AD35:AD70)</f>
        <v>375195.16000000003</v>
      </c>
      <c r="AE72" s="192">
        <f>IF(AD72=0,"",IFERROR(AD72/AD$19,""))</f>
        <v>0.79446605750322952</v>
      </c>
      <c r="AF72" s="125">
        <f t="shared" si="14"/>
        <v>10600.130000000005</v>
      </c>
      <c r="AG72" s="123">
        <f>SUMIF($H$35:$H$70,"400000",AG35:AG70)-SUMIF($H$35:$H$70,"500001",AG35:AG70)</f>
        <v>520154.58999999997</v>
      </c>
      <c r="AH72" s="192">
        <f>IF(AG72=0,"",IFERROR(AG72/AG$19,""))</f>
        <v>0.77739023605283952</v>
      </c>
      <c r="AI72" s="125">
        <f t="shared" si="15"/>
        <v>-134359.29999999993</v>
      </c>
      <c r="AJ72" s="388">
        <f t="shared" si="16"/>
        <v>28.911517535971225</v>
      </c>
      <c r="AK72" s="389">
        <f t="shared" si="17"/>
        <v>24.522559477124187</v>
      </c>
      <c r="AL72" s="390">
        <f t="shared" si="18"/>
        <v>22.645939744873523</v>
      </c>
      <c r="AM72" s="391" t="str">
        <f t="shared" si="19"/>
        <v>-0.93 pts.</v>
      </c>
      <c r="AN72" s="544" t="str">
        <f t="shared" si="20"/>
        <v>0.78 pts.</v>
      </c>
      <c r="AO72" s="11"/>
    </row>
    <row r="73" spans="1:41" x14ac:dyDescent="0.25">
      <c r="A73" s="11" t="s">
        <v>100</v>
      </c>
      <c r="B73" s="11"/>
      <c r="C73" s="53" t="s">
        <v>101</v>
      </c>
      <c r="D73" s="11" t="s">
        <v>106</v>
      </c>
      <c r="E73" s="11"/>
      <c r="F73" s="11" t="s">
        <v>98</v>
      </c>
      <c r="G73" s="11"/>
      <c r="H73" s="11"/>
      <c r="I73" s="59"/>
      <c r="J73" s="59"/>
      <c r="K73" s="11"/>
      <c r="L73" s="11"/>
      <c r="M73" s="11"/>
      <c r="N73" s="11"/>
      <c r="O73" s="393"/>
      <c r="P73" s="394"/>
      <c r="Q73" s="394"/>
      <c r="R73" s="394"/>
      <c r="S73" s="394"/>
      <c r="T73" s="394"/>
      <c r="U73" s="394"/>
      <c r="V73" s="394"/>
      <c r="W73" s="394"/>
      <c r="X73" s="394"/>
      <c r="Y73" s="394"/>
      <c r="Z73" s="394"/>
      <c r="AA73" s="394"/>
      <c r="AB73" s="118"/>
      <c r="AC73" s="11"/>
      <c r="AD73" s="203"/>
      <c r="AE73" s="204"/>
      <c r="AF73" s="118"/>
      <c r="AG73" s="204"/>
      <c r="AH73" s="204"/>
      <c r="AI73" s="118"/>
      <c r="AJ73" s="11"/>
      <c r="AK73" s="11"/>
      <c r="AL73" s="11"/>
      <c r="AM73" s="11"/>
      <c r="AN73" s="11"/>
      <c r="AO73" s="11"/>
    </row>
    <row r="74" spans="1:41" x14ac:dyDescent="0.25">
      <c r="A74" s="11" t="s">
        <v>102</v>
      </c>
      <c r="B74" s="11"/>
      <c r="C74" s="106" t="s">
        <v>101</v>
      </c>
      <c r="D74" s="11" t="s">
        <v>106</v>
      </c>
      <c r="E74" s="11"/>
      <c r="F74" s="11" t="s">
        <v>98</v>
      </c>
      <c r="G74" s="11"/>
      <c r="H74" s="11" t="s">
        <v>73</v>
      </c>
      <c r="I74" s="59" t="str">
        <f>IF(_epmOfflineCondition_,"B1",_xll.EVPRO($B$1,$H74,"STYLE"))</f>
        <v>B1</v>
      </c>
      <c r="J74" s="59" t="str">
        <f>IF(_epmOfflineCondition_,"Y",_xll.EVPRO($B$1,$H74,"CALC"))</f>
        <v>Y</v>
      </c>
      <c r="K74" s="11"/>
      <c r="L74" s="11"/>
      <c r="M74" s="11"/>
      <c r="N74" s="105" t="str">
        <f>IF(_epmOfflineCondition_,"Labor &amp; Related Expenses",IF(_xll.EVDES(H74,$B$1)="#NODATA","",_xll.EVDES(H74,$B$1)))</f>
        <v>Labor &amp; Related Expenses</v>
      </c>
      <c r="O74" s="203"/>
      <c r="P74" s="204"/>
      <c r="Q74" s="204"/>
      <c r="R74" s="204"/>
      <c r="S74" s="204"/>
      <c r="T74" s="204"/>
      <c r="U74" s="204"/>
      <c r="V74" s="204"/>
      <c r="W74" s="204"/>
      <c r="X74" s="204"/>
      <c r="Y74" s="204"/>
      <c r="Z74" s="204"/>
      <c r="AA74" s="204"/>
      <c r="AB74" s="410"/>
      <c r="AC74" s="11"/>
      <c r="AD74" s="411"/>
      <c r="AE74" s="412"/>
      <c r="AF74" s="118"/>
      <c r="AG74" s="204"/>
      <c r="AH74" s="412"/>
      <c r="AI74" s="118"/>
      <c r="AJ74" s="11"/>
      <c r="AK74" s="11"/>
      <c r="AL74" s="11"/>
      <c r="AM74" s="11"/>
      <c r="AN74" s="11"/>
      <c r="AO74" s="11"/>
    </row>
    <row r="75" spans="1:41" x14ac:dyDescent="0.25">
      <c r="A75" s="11" t="s">
        <v>102</v>
      </c>
      <c r="B75" s="11"/>
      <c r="C75" s="196" t="s">
        <v>101</v>
      </c>
      <c r="D75" s="11" t="s">
        <v>107</v>
      </c>
      <c r="E75" s="11"/>
      <c r="F75" s="11" t="s">
        <v>99</v>
      </c>
      <c r="G75" s="11"/>
      <c r="H75" s="11" t="s">
        <v>74</v>
      </c>
      <c r="I75" s="59" t="str">
        <f>IF(_epmOfflineCondition_,"B1",_xll.EVPRO($B$1,$H75,"STYLE"))</f>
        <v>B1</v>
      </c>
      <c r="J75" s="59" t="str">
        <f>IF(_epmOfflineCondition_,"Y",_xll.EVPRO($B$1,$H75,"CALC"))</f>
        <v>Y</v>
      </c>
      <c r="K75" s="11"/>
      <c r="L75" s="11"/>
      <c r="M75" s="11"/>
      <c r="N75" s="53" t="str">
        <f>IF(_epmOfflineCondition_,"Salaries &amp; Wages",IF(_xll.EVDES(H75,$B$1)="#NODATA","",_xll.EVDES(H75,$B$1)))</f>
        <v>Salaries &amp; Wages</v>
      </c>
      <c r="O75" s="119"/>
      <c r="P75" s="120"/>
      <c r="Q75" s="120"/>
      <c r="R75" s="120"/>
      <c r="S75" s="120"/>
      <c r="T75" s="120"/>
      <c r="U75" s="120"/>
      <c r="V75" s="120"/>
      <c r="W75" s="120"/>
      <c r="X75" s="120"/>
      <c r="Y75" s="120"/>
      <c r="Z75" s="120"/>
      <c r="AA75" s="120"/>
      <c r="AB75" s="121"/>
      <c r="AC75" s="11"/>
      <c r="AD75" s="119"/>
      <c r="AE75" s="120"/>
      <c r="AF75" s="121"/>
      <c r="AG75" s="120"/>
      <c r="AH75" s="120"/>
      <c r="AI75" s="121"/>
      <c r="AJ75" s="11"/>
      <c r="AK75" s="11"/>
      <c r="AL75" s="11"/>
      <c r="AM75" s="11"/>
      <c r="AN75" s="11"/>
      <c r="AO75" s="11"/>
    </row>
    <row r="76" spans="1:41" hidden="1" x14ac:dyDescent="0.25">
      <c r="A76" s="11" t="s">
        <v>108</v>
      </c>
      <c r="B76" s="11"/>
      <c r="C76" s="106" t="s">
        <v>101</v>
      </c>
      <c r="D76" s="11" t="s">
        <v>106</v>
      </c>
      <c r="E76" s="11"/>
      <c r="F76" s="11" t="s">
        <v>98</v>
      </c>
      <c r="G76" s="11"/>
      <c r="H76" s="88" t="s">
        <v>667</v>
      </c>
      <c r="I76" s="122" t="str">
        <f>IF(_epmOfflineCondition_,"",_xll.EVPRO($B$1,$H76,"STYLE"))</f>
        <v/>
      </c>
      <c r="J76" s="122" t="str">
        <f>IF(_epmOfflineCondition_,"",_xll.EVPRO($B$1,$H76,"CALC"))</f>
        <v/>
      </c>
      <c r="K76" s="179" t="str">
        <f t="shared" ref="K76:K89" si="22">IF(AND(I76&gt;="T3"),"&gt;","")</f>
        <v/>
      </c>
      <c r="L76" s="90" t="str">
        <f>IF(_epmOfflineCondition_,"",_xll.EVPRO($B$1,H76,"JDEID"))</f>
        <v/>
      </c>
      <c r="M76" s="90" t="str">
        <f>IF(_epmOfflineCondition_,"",IF(AND(I76="N",J76="N"),_xll.EVPRO($B$1,H76,"PSFTID"),""))</f>
        <v/>
      </c>
      <c r="N76" s="90" t="str">
        <f>IF(_epmOfflineCondition_,"",IF(_xll.EVDES(H76,$B$1)="#NODATA","",_xll.EVDES(H76,$B$1)))</f>
        <v/>
      </c>
      <c r="O76" s="231"/>
      <c r="P76" s="231"/>
      <c r="Q76" s="231"/>
      <c r="R76" s="231"/>
      <c r="S76" s="231"/>
      <c r="T76" s="231"/>
      <c r="U76" s="231"/>
      <c r="V76" s="231"/>
      <c r="W76" s="231"/>
      <c r="X76" s="231"/>
      <c r="Y76" s="231"/>
      <c r="Z76" s="231"/>
      <c r="AA76" s="210">
        <f t="shared" ref="AA76:AA89" si="23">IF($I76="B1","",SUM(O76:Z76))</f>
        <v>0</v>
      </c>
      <c r="AB76" s="233" t="str">
        <f t="shared" ref="AB76:AB89" si="24">IF(AA76=0,"",IFERROR(AA76/AA$19,""))</f>
        <v/>
      </c>
      <c r="AC76" s="140"/>
      <c r="AD76" s="231"/>
      <c r="AE76" s="233" t="str">
        <f t="shared" ref="AE76:AE89" si="25">IF(AD76=0,"",IFERROR(AD76/AD$19,""))</f>
        <v/>
      </c>
      <c r="AF76" s="234">
        <f t="shared" ref="AF76:AF89" si="26">IF(AND($AA76="",AD76=""),"",$AA76-AD76)</f>
        <v>0</v>
      </c>
      <c r="AG76" s="231"/>
      <c r="AH76" s="233" t="str">
        <f t="shared" ref="AH76:AH89" si="27">IF(AG76=0,"",IFERROR(AG76/AG$19,""))</f>
        <v/>
      </c>
      <c r="AI76" s="234">
        <f t="shared" ref="AI76:AI89" si="28">IF(AND($AA76="",AG76=""),"",$AA76-AG76)</f>
        <v>0</v>
      </c>
      <c r="AJ76" s="462">
        <f t="shared" ref="AJ76:AJ89" si="29">IFERROR(AA76/AA$20,0)</f>
        <v>0</v>
      </c>
      <c r="AK76" s="463">
        <f t="shared" ref="AK76:AK89" si="30">IFERROR(AD76/AD$20,0)</f>
        <v>0</v>
      </c>
      <c r="AL76" s="464">
        <f t="shared" ref="AL76:AL89" si="31">IFERROR(AG76/AG$20,0)</f>
        <v>0</v>
      </c>
      <c r="AM76" s="465">
        <f t="shared" ref="AM76:AM89" si="32">+IFERROR(ROUND(($AB76-AE76)*100,2)&amp;" pts.",0)</f>
        <v>0</v>
      </c>
      <c r="AN76" s="466">
        <f t="shared" ref="AN76:AN89" si="33">+IFERROR(ROUND(($AB76-AH76)*100,2)&amp;" pts.",0)</f>
        <v>0</v>
      </c>
      <c r="AO76" s="11"/>
    </row>
    <row r="77" spans="1:41" hidden="1" x14ac:dyDescent="0.25">
      <c r="A77" s="11" t="s">
        <v>108</v>
      </c>
      <c r="B77" s="11"/>
      <c r="C77" s="196" t="s">
        <v>101</v>
      </c>
      <c r="D77" s="11" t="s">
        <v>107</v>
      </c>
      <c r="E77" s="11"/>
      <c r="F77" s="11" t="s">
        <v>99</v>
      </c>
      <c r="G77" s="11"/>
      <c r="H77" s="185"/>
      <c r="I77" s="122" t="str">
        <f>IF(_epmOfflineCondition_,"",_xll.EVPRO($B$1,$H77,"STYLE"))</f>
        <v/>
      </c>
      <c r="J77" s="122" t="str">
        <f>IF(_epmOfflineCondition_,"",_xll.EVPRO($B$1,$H77,"CALC"))</f>
        <v/>
      </c>
      <c r="K77" s="179" t="str">
        <f t="shared" si="22"/>
        <v/>
      </c>
      <c r="L77" s="90" t="str">
        <f>IF(_epmOfflineCondition_,"",_xll.EVPRO($B$1,H77,"JDEID"))</f>
        <v/>
      </c>
      <c r="M77" s="90" t="str">
        <f>IF(_epmOfflineCondition_,"",IF(AND(I77="N",J77="N"),_xll.EVPRO($B$1,H77,"PSFTID"),""))</f>
        <v/>
      </c>
      <c r="N77" s="90" t="str">
        <f>IF(_epmOfflineCondition_,"",IF(_xll.EVDES(H77,$B$1)="#NODATA","",_xll.EVDES(H77,$B$1)))</f>
        <v/>
      </c>
      <c r="O77" s="231"/>
      <c r="P77" s="231"/>
      <c r="Q77" s="231"/>
      <c r="R77" s="231"/>
      <c r="S77" s="231"/>
      <c r="T77" s="231"/>
      <c r="U77" s="231"/>
      <c r="V77" s="231"/>
      <c r="W77" s="231"/>
      <c r="X77" s="231"/>
      <c r="Y77" s="231"/>
      <c r="Z77" s="231"/>
      <c r="AA77" s="210">
        <f t="shared" si="23"/>
        <v>0</v>
      </c>
      <c r="AB77" s="233" t="str">
        <f t="shared" si="24"/>
        <v/>
      </c>
      <c r="AC77" s="140"/>
      <c r="AD77" s="231"/>
      <c r="AE77" s="233" t="str">
        <f t="shared" si="25"/>
        <v/>
      </c>
      <c r="AF77" s="234">
        <f t="shared" si="26"/>
        <v>0</v>
      </c>
      <c r="AG77" s="231"/>
      <c r="AH77" s="233" t="str">
        <f t="shared" si="27"/>
        <v/>
      </c>
      <c r="AI77" s="234">
        <f t="shared" si="28"/>
        <v>0</v>
      </c>
      <c r="AJ77" s="462">
        <f t="shared" si="29"/>
        <v>0</v>
      </c>
      <c r="AK77" s="463">
        <f t="shared" si="30"/>
        <v>0</v>
      </c>
      <c r="AL77" s="464">
        <f t="shared" si="31"/>
        <v>0</v>
      </c>
      <c r="AM77" s="465">
        <f t="shared" si="32"/>
        <v>0</v>
      </c>
      <c r="AN77" s="466">
        <f t="shared" si="33"/>
        <v>0</v>
      </c>
      <c r="AO77" s="11"/>
    </row>
    <row r="78" spans="1:41" x14ac:dyDescent="0.25">
      <c r="A78" s="11"/>
      <c r="B78" s="11"/>
      <c r="C78" s="11"/>
      <c r="D78" s="11"/>
      <c r="E78" s="11"/>
      <c r="F78" s="11"/>
      <c r="G78" s="11"/>
      <c r="H78" s="88" t="s">
        <v>75</v>
      </c>
      <c r="I78" s="89" t="str">
        <f>IF(_epmOfflineCondition_,"B1",_xll.EVPRO($B$1,$H78,"STYLE"))</f>
        <v>B1</v>
      </c>
      <c r="J78" s="89" t="str">
        <f>IF(_epmOfflineCondition_,"Y",_xll.EVPRO($B$1,$H78,"CALC"))</f>
        <v>Y</v>
      </c>
      <c r="K78" s="265" t="str">
        <f t="shared" si="22"/>
        <v/>
      </c>
      <c r="L78" s="106" t="str">
        <f>IF(_epmOfflineCondition_,"",_xll.EVPRO($B$1,H78,"JDEID"))</f>
        <v/>
      </c>
      <c r="M78" s="90" t="str">
        <f>IF(_epmOfflineCondition_,"",IF(AND(I78="N",J78="N"),_xll.EVPRO($B$1,H78,"PSFTID"),""))</f>
        <v/>
      </c>
      <c r="N78" s="106" t="str">
        <f>IF(_epmOfflineCondition_,"Non-Management",IF(_xll.EVDES(H78,$B$1)="#NODATA","",_xll.EVDES(H78,$B$1)))</f>
        <v>Non-Management</v>
      </c>
      <c r="O78" s="197"/>
      <c r="P78" s="197"/>
      <c r="Q78" s="197"/>
      <c r="R78" s="197"/>
      <c r="S78" s="197"/>
      <c r="T78" s="197"/>
      <c r="U78" s="197"/>
      <c r="V78" s="197"/>
      <c r="W78" s="197"/>
      <c r="X78" s="197"/>
      <c r="Y78" s="197"/>
      <c r="Z78" s="197"/>
      <c r="AA78" s="180" t="str">
        <f t="shared" si="23"/>
        <v/>
      </c>
      <c r="AB78" s="198" t="str">
        <f t="shared" si="24"/>
        <v/>
      </c>
      <c r="AC78" s="11"/>
      <c r="AD78" s="197"/>
      <c r="AE78" s="198" t="str">
        <f t="shared" si="25"/>
        <v/>
      </c>
      <c r="AF78" s="199" t="str">
        <f t="shared" si="26"/>
        <v/>
      </c>
      <c r="AG78" s="197"/>
      <c r="AH78" s="198" t="str">
        <f t="shared" si="27"/>
        <v/>
      </c>
      <c r="AI78" s="199" t="str">
        <f t="shared" si="28"/>
        <v/>
      </c>
      <c r="AJ78" s="397">
        <f t="shared" si="29"/>
        <v>0</v>
      </c>
      <c r="AK78" s="398">
        <f t="shared" si="30"/>
        <v>0</v>
      </c>
      <c r="AL78" s="399">
        <f t="shared" si="31"/>
        <v>0</v>
      </c>
      <c r="AM78" s="400">
        <f t="shared" si="32"/>
        <v>0</v>
      </c>
      <c r="AN78" s="401">
        <f t="shared" si="33"/>
        <v>0</v>
      </c>
      <c r="AO78" s="11"/>
    </row>
    <row r="79" spans="1:41" x14ac:dyDescent="0.25">
      <c r="A79" s="11"/>
      <c r="B79" s="11"/>
      <c r="C79" s="208"/>
      <c r="D79" s="11"/>
      <c r="E79" s="11"/>
      <c r="F79" s="11"/>
      <c r="G79" s="11"/>
      <c r="H79" s="88" t="s">
        <v>880</v>
      </c>
      <c r="I79" s="122" t="str">
        <f>IF(_epmOfflineCondition_,"T3",_xll.EVPRO($B$1,$H79,"STYLE"))</f>
        <v>T3</v>
      </c>
      <c r="J79" s="122" t="str">
        <f>IF(_epmOfflineCondition_,"Y",_xll.EVPRO($B$1,$H79,"CALC"))</f>
        <v>Y</v>
      </c>
      <c r="K79" s="179" t="str">
        <f t="shared" si="22"/>
        <v>&gt;</v>
      </c>
      <c r="L79" s="90" t="str">
        <f>IF(_epmOfflineCondition_,"",_xll.EVPRO($B$1,H79,"JDEID"))</f>
        <v/>
      </c>
      <c r="M79" s="90" t="str">
        <f>IF(_epmOfflineCondition_,"",IF(AND(I79="N",J79="N"),_xll.EVPRO($B$1,H79,"PSFTID"),""))</f>
        <v/>
      </c>
      <c r="N79" s="90" t="str">
        <f>IF(_epmOfflineCondition_,"F&amp;B Kitchen",IF(_xll.EVDES(H79,$B$1)="#NODATA","",_xll.EVDES(H79,$B$1)))</f>
        <v>F&amp;B Kitchen</v>
      </c>
      <c r="O79" s="239"/>
      <c r="P79" s="239"/>
      <c r="Q79" s="239"/>
      <c r="R79" s="239"/>
      <c r="S79" s="239"/>
      <c r="T79" s="239"/>
      <c r="U79" s="239"/>
      <c r="V79" s="239"/>
      <c r="W79" s="239"/>
      <c r="X79" s="239"/>
      <c r="Y79" s="239"/>
      <c r="Z79" s="239"/>
      <c r="AA79" s="216">
        <f t="shared" si="23"/>
        <v>0</v>
      </c>
      <c r="AB79" s="240" t="str">
        <f t="shared" si="24"/>
        <v/>
      </c>
      <c r="AC79" s="140"/>
      <c r="AD79" s="239"/>
      <c r="AE79" s="240" t="str">
        <f t="shared" si="25"/>
        <v/>
      </c>
      <c r="AF79" s="241">
        <f t="shared" si="26"/>
        <v>0</v>
      </c>
      <c r="AG79" s="239">
        <v>247.49999999999901</v>
      </c>
      <c r="AH79" s="240">
        <f t="shared" si="27"/>
        <v>3.6989788636312336E-4</v>
      </c>
      <c r="AI79" s="241">
        <f t="shared" si="28"/>
        <v>-247.49999999999901</v>
      </c>
      <c r="AJ79" s="471">
        <f t="shared" si="29"/>
        <v>0</v>
      </c>
      <c r="AK79" s="472">
        <f t="shared" si="30"/>
        <v>0</v>
      </c>
      <c r="AL79" s="473">
        <f t="shared" si="31"/>
        <v>1.0775392920893336E-2</v>
      </c>
      <c r="AM79" s="474">
        <f t="shared" si="32"/>
        <v>0</v>
      </c>
      <c r="AN79" s="475">
        <f t="shared" si="33"/>
        <v>0</v>
      </c>
      <c r="AO79" s="11"/>
    </row>
    <row r="80" spans="1:41" x14ac:dyDescent="0.25">
      <c r="A80" s="61" t="str">
        <f>IF(_epmOfflineCondition_,"Evdre:Ok",_xll.EVDRE($B$1,A83:B90,A93:B99))</f>
        <v>Evdre:Ok</v>
      </c>
      <c r="B80" s="11"/>
      <c r="C80" s="11"/>
      <c r="D80" s="11"/>
      <c r="E80" s="11"/>
      <c r="F80" s="11"/>
      <c r="G80" s="11"/>
      <c r="H80" s="88" t="s">
        <v>861</v>
      </c>
      <c r="I80" s="122" t="str">
        <f>IF(_epmOfflineCondition_,"T3",_xll.EVPRO($B$1,$H80,"STYLE"))</f>
        <v>T3</v>
      </c>
      <c r="J80" s="122" t="str">
        <f>IF(_epmOfflineCondition_,"Y",_xll.EVPRO($B$1,$H80,"CALC"))</f>
        <v>Y</v>
      </c>
      <c r="K80" s="179" t="str">
        <f t="shared" si="22"/>
        <v>&gt;</v>
      </c>
      <c r="L80" s="90" t="str">
        <f>IF(_epmOfflineCondition_,"",_xll.EVPRO($B$1,H80,"JDEID"))</f>
        <v/>
      </c>
      <c r="M80" s="90" t="str">
        <f>IF(_epmOfflineCondition_,"",IF(AND(I80="N",J80="N"),_xll.EVPRO($B$1,H80,"PSFTID"),""))</f>
        <v/>
      </c>
      <c r="N80" s="90" t="str">
        <f>IF(_epmOfflineCondition_,"F&amp;B Venues",IF(_xll.EVDES(H80,$B$1)="#NODATA","",_xll.EVDES(H80,$B$1)))</f>
        <v>F&amp;B Venues</v>
      </c>
      <c r="O80" s="239">
        <v>900.98</v>
      </c>
      <c r="P80" s="239">
        <v>5236.38</v>
      </c>
      <c r="Q80" s="239"/>
      <c r="R80" s="239">
        <v>9078.89</v>
      </c>
      <c r="S80" s="239">
        <v>4845.5200000000004</v>
      </c>
      <c r="T80" s="239">
        <v>1860.57</v>
      </c>
      <c r="U80" s="239">
        <v>4485.5</v>
      </c>
      <c r="V80" s="239">
        <v>4231.45</v>
      </c>
      <c r="W80" s="239">
        <v>4639.76</v>
      </c>
      <c r="X80" s="239">
        <v>4958.8999999999996</v>
      </c>
      <c r="Y80" s="239"/>
      <c r="Z80" s="239"/>
      <c r="AA80" s="216">
        <f t="shared" si="23"/>
        <v>40237.950000000004</v>
      </c>
      <c r="AB80" s="240">
        <f t="shared" si="24"/>
        <v>8.1890042770596888E-2</v>
      </c>
      <c r="AC80" s="140"/>
      <c r="AD80" s="239">
        <v>57357.142857143001</v>
      </c>
      <c r="AE80" s="240">
        <f t="shared" si="25"/>
        <v>0.12145226808193345</v>
      </c>
      <c r="AF80" s="241">
        <f t="shared" si="26"/>
        <v>-17119.192857142996</v>
      </c>
      <c r="AG80" s="239">
        <v>31807.19</v>
      </c>
      <c r="AH80" s="240">
        <f t="shared" si="27"/>
        <v>4.7537019604647762E-2</v>
      </c>
      <c r="AI80" s="241">
        <f t="shared" si="28"/>
        <v>8430.7600000000057</v>
      </c>
      <c r="AJ80" s="471">
        <f t="shared" si="29"/>
        <v>3.0154339028776982</v>
      </c>
      <c r="AK80" s="472">
        <f t="shared" si="30"/>
        <v>3.7488328664799346</v>
      </c>
      <c r="AL80" s="473">
        <f t="shared" si="31"/>
        <v>1.3847877574121641</v>
      </c>
      <c r="AM80" s="474" t="str">
        <f t="shared" si="32"/>
        <v>-3.96 pts.</v>
      </c>
      <c r="AN80" s="475" t="str">
        <f t="shared" si="33"/>
        <v>3.44 pts.</v>
      </c>
      <c r="AO80" s="11"/>
    </row>
    <row r="81" spans="1:41" x14ac:dyDescent="0.25">
      <c r="A81" s="11"/>
      <c r="B81" s="11"/>
      <c r="C81" s="11"/>
      <c r="D81" s="11"/>
      <c r="E81" s="11"/>
      <c r="F81" s="11"/>
      <c r="G81" s="11"/>
      <c r="H81" s="88" t="s">
        <v>847</v>
      </c>
      <c r="I81" s="188" t="str">
        <f>IF(_epmOfflineCondition_,"T2",_xll.EVPRO($B$1,$H81,"STYLE"))</f>
        <v>T2</v>
      </c>
      <c r="J81" s="188" t="str">
        <f>IF(_epmOfflineCondition_,"Y",_xll.EVPRO($B$1,$H81,"CALC"))</f>
        <v>Y</v>
      </c>
      <c r="K81" s="189" t="str">
        <f t="shared" si="22"/>
        <v/>
      </c>
      <c r="L81" s="190" t="str">
        <f>IF(_epmOfflineCondition_,"",_xll.EVPRO($B$1,H81,"JDEID"))</f>
        <v/>
      </c>
      <c r="M81" s="190" t="str">
        <f>IF(_epmOfflineCondition_,"",IF(AND(I81="N",J81="N"),_xll.EVPRO($B$1,H81,"PSFTID"),""))</f>
        <v/>
      </c>
      <c r="N81" s="190" t="str">
        <f>IF(_epmOfflineCondition_,"Total Salaries and Wages",IF(_xll.EVDES(H81,$B$1)="#NODATA","",_xll.EVDES(H81,$B$1)))</f>
        <v>Total Salaries and Wages</v>
      </c>
      <c r="O81" s="223">
        <v>900.98</v>
      </c>
      <c r="P81" s="223">
        <v>5236.38</v>
      </c>
      <c r="Q81" s="223"/>
      <c r="R81" s="223">
        <v>9078.89</v>
      </c>
      <c r="S81" s="223">
        <v>4845.5200000000004</v>
      </c>
      <c r="T81" s="223">
        <v>1860.57</v>
      </c>
      <c r="U81" s="223">
        <v>4485.5</v>
      </c>
      <c r="V81" s="223">
        <v>4231.45</v>
      </c>
      <c r="W81" s="223">
        <v>4639.76</v>
      </c>
      <c r="X81" s="223">
        <v>4958.8999999999996</v>
      </c>
      <c r="Y81" s="223"/>
      <c r="Z81" s="223"/>
      <c r="AA81" s="223">
        <f t="shared" si="23"/>
        <v>40237.950000000004</v>
      </c>
      <c r="AB81" s="224">
        <f t="shared" si="24"/>
        <v>8.1890042770596888E-2</v>
      </c>
      <c r="AC81" s="225"/>
      <c r="AD81" s="223">
        <v>57357.142857143001</v>
      </c>
      <c r="AE81" s="224">
        <f t="shared" si="25"/>
        <v>0.12145226808193345</v>
      </c>
      <c r="AF81" s="226">
        <f t="shared" si="26"/>
        <v>-17119.192857142996</v>
      </c>
      <c r="AG81" s="223">
        <v>32054.69</v>
      </c>
      <c r="AH81" s="224">
        <f t="shared" si="27"/>
        <v>4.7906917491010885E-2</v>
      </c>
      <c r="AI81" s="226">
        <f t="shared" si="28"/>
        <v>8183.2600000000057</v>
      </c>
      <c r="AJ81" s="227">
        <f t="shared" si="29"/>
        <v>3.0154339028776982</v>
      </c>
      <c r="AK81" s="228">
        <f t="shared" si="30"/>
        <v>3.7488328664799346</v>
      </c>
      <c r="AL81" s="230">
        <f t="shared" si="31"/>
        <v>1.3955631503330574</v>
      </c>
      <c r="AM81" s="427" t="str">
        <f t="shared" si="32"/>
        <v>-3.96 pts.</v>
      </c>
      <c r="AN81" s="478" t="str">
        <f t="shared" si="33"/>
        <v>3.4 pts.</v>
      </c>
      <c r="AO81" s="11"/>
    </row>
    <row r="82" spans="1:41" x14ac:dyDescent="0.25">
      <c r="A82" s="62" t="s">
        <v>0</v>
      </c>
      <c r="B82" s="63" t="s">
        <v>1</v>
      </c>
      <c r="C82" s="11"/>
      <c r="D82" s="11"/>
      <c r="E82" s="11"/>
      <c r="F82" s="11"/>
      <c r="G82" s="11"/>
      <c r="H82" s="88" t="s">
        <v>862</v>
      </c>
      <c r="I82" s="122" t="str">
        <f>IF(_epmOfflineCondition_,"T3",_xll.EVPRO($B$1,$H82,"STYLE"))</f>
        <v>T3</v>
      </c>
      <c r="J82" s="122" t="str">
        <f>IF(_epmOfflineCondition_,"Y",_xll.EVPRO($B$1,$H82,"CALC"))</f>
        <v>Y</v>
      </c>
      <c r="K82" s="179" t="str">
        <f t="shared" si="22"/>
        <v>&gt;</v>
      </c>
      <c r="L82" s="90" t="str">
        <f>IF(_epmOfflineCondition_,"",_xll.EVPRO($B$1,H82,"JDEID"))</f>
        <v/>
      </c>
      <c r="M82" s="90" t="str">
        <f>IF(_epmOfflineCondition_,"",IF(AND(I82="N",J82="N"),_xll.EVPRO($B$1,H82,"PSFTID"),""))</f>
        <v/>
      </c>
      <c r="N82" s="90" t="str">
        <f>IF(_epmOfflineCondition_,"Service Charge Distribution",IF(_xll.EVDES(H82,$B$1)="#NODATA","",_xll.EVDES(H82,$B$1)))</f>
        <v>Service Charge Distribution</v>
      </c>
      <c r="O82" s="239">
        <v>6940.58</v>
      </c>
      <c r="P82" s="239">
        <v>8829.9</v>
      </c>
      <c r="Q82" s="239">
        <v>7834.52</v>
      </c>
      <c r="R82" s="239">
        <v>6852.08</v>
      </c>
      <c r="S82" s="239">
        <v>8288.3700000000008</v>
      </c>
      <c r="T82" s="239">
        <v>5162.22</v>
      </c>
      <c r="U82" s="239">
        <v>5769.7</v>
      </c>
      <c r="V82" s="239">
        <v>3903.84</v>
      </c>
      <c r="W82" s="239">
        <v>4331.8500000000004</v>
      </c>
      <c r="X82" s="239">
        <v>4506.66</v>
      </c>
      <c r="Y82" s="239">
        <v>6488.34</v>
      </c>
      <c r="Z82" s="239">
        <v>6273.56</v>
      </c>
      <c r="AA82" s="239">
        <f t="shared" si="23"/>
        <v>75181.62</v>
      </c>
      <c r="AB82" s="240">
        <f t="shared" si="24"/>
        <v>0.1530054606997315</v>
      </c>
      <c r="AC82" s="140"/>
      <c r="AD82" s="239">
        <v>72039.78</v>
      </c>
      <c r="AE82" s="240">
        <f t="shared" si="25"/>
        <v>0.15254237288135591</v>
      </c>
      <c r="AF82" s="241">
        <f t="shared" si="26"/>
        <v>3141.8399999999965</v>
      </c>
      <c r="AG82" s="239">
        <v>101815.49</v>
      </c>
      <c r="AH82" s="240">
        <f t="shared" si="27"/>
        <v>0.15216700828293284</v>
      </c>
      <c r="AI82" s="241">
        <f t="shared" si="28"/>
        <v>-26633.87000000001</v>
      </c>
      <c r="AJ82" s="532">
        <f t="shared" si="29"/>
        <v>5.6341142086330933</v>
      </c>
      <c r="AK82" s="533">
        <f t="shared" si="30"/>
        <v>4.7084823529411768</v>
      </c>
      <c r="AL82" s="534">
        <f t="shared" si="31"/>
        <v>4.4327349906395579</v>
      </c>
      <c r="AM82" s="535" t="str">
        <f t="shared" si="32"/>
        <v>0.05 pts.</v>
      </c>
      <c r="AN82" s="536" t="str">
        <f t="shared" si="33"/>
        <v>0.08 pts.</v>
      </c>
      <c r="AO82" s="11"/>
    </row>
    <row r="83" spans="1:41" x14ac:dyDescent="0.25">
      <c r="A83" s="65" t="s">
        <v>2</v>
      </c>
      <c r="B83" s="66" t="str">
        <f>IF(_epmOfflineCondition_,"'VenueBar'!$B$2:$B$10",_xll.EVRNG($B$2:$B$10))</f>
        <v>'VenueBar'!$B$2:$B$10</v>
      </c>
      <c r="C83" s="11"/>
      <c r="D83" s="11"/>
      <c r="E83" s="11"/>
      <c r="F83" s="11"/>
      <c r="G83" s="11"/>
      <c r="H83" s="88" t="s">
        <v>863</v>
      </c>
      <c r="I83" s="122" t="str">
        <f>IF(_epmOfflineCondition_,"T3",_xll.EVPRO($B$1,$H83,"STYLE"))</f>
        <v>T3</v>
      </c>
      <c r="J83" s="122" t="str">
        <f>IF(_epmOfflineCondition_,"Y",_xll.EVPRO($B$1,$H83,"CALC"))</f>
        <v>Y</v>
      </c>
      <c r="K83" s="179" t="str">
        <f t="shared" si="22"/>
        <v>&gt;</v>
      </c>
      <c r="L83" s="90" t="str">
        <f>IF(_epmOfflineCondition_,"",_xll.EVPRO($B$1,H83,"JDEID"))</f>
        <v/>
      </c>
      <c r="M83" s="90" t="str">
        <f>IF(_epmOfflineCondition_,"",IF(AND(I83="N",J83="N"),_xll.EVPRO($B$1,H83,"PSFTID"),""))</f>
        <v/>
      </c>
      <c r="N83" s="90" t="str">
        <f>IF(_epmOfflineCondition_,"Contracted &amp; Leased Labor",IF(_xll.EVDES(H83,$B$1)="#NODATA","",_xll.EVDES(H83,$B$1)))</f>
        <v>Contracted &amp; Leased Labor</v>
      </c>
      <c r="O83" s="239"/>
      <c r="P83" s="239"/>
      <c r="Q83" s="239"/>
      <c r="R83" s="239"/>
      <c r="S83" s="239"/>
      <c r="T83" s="239"/>
      <c r="U83" s="239"/>
      <c r="V83" s="239"/>
      <c r="W83" s="239"/>
      <c r="X83" s="239"/>
      <c r="Y83" s="239"/>
      <c r="Z83" s="239"/>
      <c r="AA83" s="216">
        <f t="shared" si="23"/>
        <v>0</v>
      </c>
      <c r="AB83" s="240" t="str">
        <f t="shared" si="24"/>
        <v/>
      </c>
      <c r="AC83" s="140"/>
      <c r="AD83" s="239"/>
      <c r="AE83" s="240" t="str">
        <f t="shared" si="25"/>
        <v/>
      </c>
      <c r="AF83" s="241">
        <f t="shared" si="26"/>
        <v>0</v>
      </c>
      <c r="AG83" s="239">
        <v>128</v>
      </c>
      <c r="AH83" s="240">
        <f t="shared" si="27"/>
        <v>1.9130072506860597E-4</v>
      </c>
      <c r="AI83" s="241">
        <f t="shared" si="28"/>
        <v>-128</v>
      </c>
      <c r="AJ83" s="471">
        <f t="shared" si="29"/>
        <v>0</v>
      </c>
      <c r="AK83" s="472">
        <f t="shared" si="30"/>
        <v>0</v>
      </c>
      <c r="AL83" s="473">
        <f t="shared" si="31"/>
        <v>5.5727284600983933E-3</v>
      </c>
      <c r="AM83" s="474">
        <f t="shared" si="32"/>
        <v>0</v>
      </c>
      <c r="AN83" s="475">
        <f t="shared" si="33"/>
        <v>0</v>
      </c>
      <c r="AO83" s="11"/>
    </row>
    <row r="84" spans="1:41" x14ac:dyDescent="0.25">
      <c r="A84" s="65" t="s">
        <v>3</v>
      </c>
      <c r="B84" s="66" t="str">
        <f>IF(_epmOfflineCondition_,"'VenueBar'!$O$16:$AN$18",_xll.EVRNG($O$16:$AN$18))</f>
        <v>'VenueBar'!$O$16:$AN$18</v>
      </c>
      <c r="C84" s="11"/>
      <c r="D84" s="11"/>
      <c r="E84" s="11"/>
      <c r="F84" s="11"/>
      <c r="G84" s="11"/>
      <c r="H84" s="88" t="s">
        <v>849</v>
      </c>
      <c r="I84" s="188" t="str">
        <f>IF(_epmOfflineCondition_,"T2",_xll.EVPRO($B$1,$H84,"STYLE"))</f>
        <v>T2</v>
      </c>
      <c r="J84" s="188" t="str">
        <f>IF(_epmOfflineCondition_,"Y",_xll.EVPRO($B$1,$H84,"CALC"))</f>
        <v>Y</v>
      </c>
      <c r="K84" s="189" t="str">
        <f t="shared" si="22"/>
        <v/>
      </c>
      <c r="L84" s="190" t="str">
        <f>IF(_epmOfflineCondition_,"",_xll.EVPRO($B$1,H84,"JDEID"))</f>
        <v/>
      </c>
      <c r="M84" s="190" t="str">
        <f>IF(_epmOfflineCondition_,"",IF(AND(I84="N",J84="N"),_xll.EVPRO($B$1,H84,"PSFTID"),""))</f>
        <v/>
      </c>
      <c r="N84" s="190" t="str">
        <f>IF(_epmOfflineCondition_,"Total Labor Expense",IF(_xll.EVDES(H84,$B$1)="#NODATA","",_xll.EVDES(H84,$B$1)))</f>
        <v>Total Labor Expense</v>
      </c>
      <c r="O84" s="223">
        <v>7841.56</v>
      </c>
      <c r="P84" s="223">
        <v>14066.28</v>
      </c>
      <c r="Q84" s="223">
        <v>7834.52</v>
      </c>
      <c r="R84" s="223">
        <v>15930.97</v>
      </c>
      <c r="S84" s="223">
        <v>13133.89</v>
      </c>
      <c r="T84" s="223">
        <v>7022.79</v>
      </c>
      <c r="U84" s="223">
        <v>10255.200000000001</v>
      </c>
      <c r="V84" s="223">
        <v>8135.29</v>
      </c>
      <c r="W84" s="223">
        <v>8971.61</v>
      </c>
      <c r="X84" s="223">
        <v>9465.56</v>
      </c>
      <c r="Y84" s="223">
        <v>6488.34</v>
      </c>
      <c r="Z84" s="223">
        <v>6273.56</v>
      </c>
      <c r="AA84" s="223">
        <f t="shared" si="23"/>
        <v>115419.56999999998</v>
      </c>
      <c r="AB84" s="224">
        <f t="shared" si="24"/>
        <v>0.23489550347032834</v>
      </c>
      <c r="AC84" s="225"/>
      <c r="AD84" s="223">
        <v>129396.922857143</v>
      </c>
      <c r="AE84" s="224">
        <f t="shared" si="25"/>
        <v>0.27399464096328935</v>
      </c>
      <c r="AF84" s="226">
        <f t="shared" si="26"/>
        <v>-13977.352857143022</v>
      </c>
      <c r="AG84" s="223">
        <v>133998.18</v>
      </c>
      <c r="AH84" s="224">
        <f t="shared" si="27"/>
        <v>0.20026522649901229</v>
      </c>
      <c r="AI84" s="226">
        <f t="shared" si="28"/>
        <v>-18578.610000000015</v>
      </c>
      <c r="AJ84" s="227">
        <f t="shared" si="29"/>
        <v>8.6495481115107893</v>
      </c>
      <c r="AK84" s="228">
        <f t="shared" si="30"/>
        <v>8.4573152194211119</v>
      </c>
      <c r="AL84" s="230">
        <f t="shared" si="31"/>
        <v>5.8338708694327135</v>
      </c>
      <c r="AM84" s="427" t="str">
        <f t="shared" si="32"/>
        <v>-3.91 pts.</v>
      </c>
      <c r="AN84" s="478" t="str">
        <f t="shared" si="33"/>
        <v>3.46 pts.</v>
      </c>
      <c r="AO84" s="11"/>
    </row>
    <row r="85" spans="1:41" x14ac:dyDescent="0.25">
      <c r="A85" s="65" t="s">
        <v>4</v>
      </c>
      <c r="B85" s="66" t="str">
        <f>IF(_epmOfflineCondition_,"'VenueBar'!$H$76:$H$77,'VenueBar'!$H$79:$H$89,'VenueBar'!$H$92:$H$104",_xll.EVRNG(H76:H77,H79:H89,H92:H104))</f>
        <v>'VenueBar'!$H$76:$H$77,'VenueBar'!$H$79:$H$89,'VenueBar'!$H$92:$H$104</v>
      </c>
      <c r="C85" s="11"/>
      <c r="D85" s="11"/>
      <c r="E85" s="11"/>
      <c r="F85" s="11"/>
      <c r="G85" s="11"/>
      <c r="H85" s="88" t="s">
        <v>850</v>
      </c>
      <c r="I85" s="122" t="str">
        <f>IF(_epmOfflineCondition_,"T3",_xll.EVPRO($B$1,$H85,"STYLE"))</f>
        <v>T3</v>
      </c>
      <c r="J85" s="122" t="str">
        <f>IF(_epmOfflineCondition_,"Y",_xll.EVPRO($B$1,$H85,"CALC"))</f>
        <v>Y</v>
      </c>
      <c r="K85" s="179" t="str">
        <f t="shared" si="22"/>
        <v>&gt;</v>
      </c>
      <c r="L85" s="90" t="str">
        <f>IF(_epmOfflineCondition_,"",_xll.EVPRO($B$1,H85,"JDEID"))</f>
        <v/>
      </c>
      <c r="M85" s="90" t="str">
        <f>IF(_epmOfflineCondition_,"",IF(AND(I85="N",J85="N"),_xll.EVPRO($B$1,H85,"PSFTID"),""))</f>
        <v/>
      </c>
      <c r="N85" s="90" t="str">
        <f>IF(_epmOfflineCondition_,"Payroll Taxes",IF(_xll.EVDES(H85,$B$1)="#NODATA","",_xll.EVDES(H85,$B$1)))</f>
        <v>Payroll Taxes</v>
      </c>
      <c r="O85" s="239">
        <v>382.7</v>
      </c>
      <c r="P85" s="239">
        <v>40.64</v>
      </c>
      <c r="Q85" s="239"/>
      <c r="R85" s="239"/>
      <c r="S85" s="239"/>
      <c r="T85" s="239">
        <v>17.68</v>
      </c>
      <c r="U85" s="239">
        <v>113.28</v>
      </c>
      <c r="V85" s="239"/>
      <c r="W85" s="239"/>
      <c r="X85" s="239"/>
      <c r="Y85" s="239"/>
      <c r="Z85" s="239"/>
      <c r="AA85" s="239">
        <f t="shared" si="23"/>
        <v>554.29999999999995</v>
      </c>
      <c r="AB85" s="240">
        <f t="shared" si="24"/>
        <v>1.1280805982347968E-3</v>
      </c>
      <c r="AC85" s="140"/>
      <c r="AD85" s="239">
        <v>8599.9395482852997</v>
      </c>
      <c r="AE85" s="240">
        <f t="shared" si="25"/>
        <v>1.821014979961982E-2</v>
      </c>
      <c r="AF85" s="241">
        <f t="shared" si="26"/>
        <v>-8045.6395482852995</v>
      </c>
      <c r="AG85" s="239">
        <v>3364.83</v>
      </c>
      <c r="AH85" s="240">
        <f t="shared" si="27"/>
        <v>5.0288626463484178E-3</v>
      </c>
      <c r="AI85" s="241">
        <f t="shared" si="28"/>
        <v>-2810.5299999999997</v>
      </c>
      <c r="AJ85" s="532">
        <f t="shared" si="29"/>
        <v>4.1539268585131892E-2</v>
      </c>
      <c r="AK85" s="533">
        <f t="shared" si="30"/>
        <v>0.56208755217550976</v>
      </c>
      <c r="AL85" s="534">
        <f t="shared" si="31"/>
        <v>0.14649440550306936</v>
      </c>
      <c r="AM85" s="535" t="str">
        <f t="shared" si="32"/>
        <v>-1.71 pts.</v>
      </c>
      <c r="AN85" s="536" t="str">
        <f t="shared" si="33"/>
        <v>-0.39 pts.</v>
      </c>
      <c r="AO85" s="11"/>
    </row>
    <row r="86" spans="1:41" x14ac:dyDescent="0.25">
      <c r="A86" s="65" t="s">
        <v>5</v>
      </c>
      <c r="B86" s="66"/>
      <c r="C86" s="11"/>
      <c r="D86" s="11"/>
      <c r="E86" s="11"/>
      <c r="F86" s="11"/>
      <c r="G86" s="11"/>
      <c r="H86" s="88" t="s">
        <v>851</v>
      </c>
      <c r="I86" s="122" t="str">
        <f>IF(_epmOfflineCondition_,"T3",_xll.EVPRO($B$1,$H86,"STYLE"))</f>
        <v>T3</v>
      </c>
      <c r="J86" s="122" t="str">
        <f>IF(_epmOfflineCondition_,"Y",_xll.EVPRO($B$1,$H86,"CALC"))</f>
        <v>Y</v>
      </c>
      <c r="K86" s="179" t="str">
        <f t="shared" si="22"/>
        <v>&gt;</v>
      </c>
      <c r="L86" s="90" t="str">
        <f>IF(_epmOfflineCondition_,"",_xll.EVPRO($B$1,H86,"JDEID"))</f>
        <v/>
      </c>
      <c r="M86" s="90" t="str">
        <f>IF(_epmOfflineCondition_,"",IF(AND(I86="N",J86="N"),_xll.EVPRO($B$1,H86,"PSFTID"),""))</f>
        <v/>
      </c>
      <c r="N86" s="90" t="str">
        <f>IF(_epmOfflineCondition_,"Supplemental Pay",IF(_xll.EVDES(H86,$B$1)="#NODATA","",_xll.EVDES(H86,$B$1)))</f>
        <v>Supplemental Pay</v>
      </c>
      <c r="O86" s="239">
        <v>111.68</v>
      </c>
      <c r="P86" s="239"/>
      <c r="Q86" s="239"/>
      <c r="R86" s="239"/>
      <c r="S86" s="239"/>
      <c r="T86" s="239"/>
      <c r="U86" s="239"/>
      <c r="V86" s="239"/>
      <c r="W86" s="239"/>
      <c r="X86" s="239"/>
      <c r="Y86" s="239"/>
      <c r="Z86" s="239"/>
      <c r="AA86" s="216">
        <f t="shared" si="23"/>
        <v>111.68</v>
      </c>
      <c r="AB86" s="240">
        <f t="shared" si="24"/>
        <v>2.2728493813974768E-4</v>
      </c>
      <c r="AC86" s="140"/>
      <c r="AD86" s="239">
        <v>1155.1428571434001</v>
      </c>
      <c r="AE86" s="240">
        <f t="shared" si="25"/>
        <v>2.4459851549463838E-3</v>
      </c>
      <c r="AF86" s="241">
        <f t="shared" si="26"/>
        <v>-1043.4628571434</v>
      </c>
      <c r="AG86" s="239"/>
      <c r="AH86" s="240" t="str">
        <f t="shared" si="27"/>
        <v/>
      </c>
      <c r="AI86" s="241">
        <f t="shared" si="28"/>
        <v>111.68</v>
      </c>
      <c r="AJ86" s="471">
        <f t="shared" si="29"/>
        <v>8.3693045563549163E-3</v>
      </c>
      <c r="AK86" s="472">
        <f t="shared" si="30"/>
        <v>7.5499533146627454E-2</v>
      </c>
      <c r="AL86" s="473">
        <f t="shared" si="31"/>
        <v>0</v>
      </c>
      <c r="AM86" s="474" t="str">
        <f t="shared" si="32"/>
        <v>-0.22 pts.</v>
      </c>
      <c r="AN86" s="475">
        <f t="shared" si="33"/>
        <v>0</v>
      </c>
      <c r="AO86" s="11"/>
    </row>
    <row r="87" spans="1:41" x14ac:dyDescent="0.25">
      <c r="A87" s="65" t="s">
        <v>6</v>
      </c>
      <c r="B87" s="66"/>
      <c r="C87" s="11"/>
      <c r="D87" s="11"/>
      <c r="E87" s="11"/>
      <c r="F87" s="11"/>
      <c r="G87" s="11"/>
      <c r="H87" s="88" t="s">
        <v>852</v>
      </c>
      <c r="I87" s="122" t="str">
        <f>IF(_epmOfflineCondition_,"T3",_xll.EVPRO($B$1,$H87,"STYLE"))</f>
        <v>T3</v>
      </c>
      <c r="J87" s="122" t="str">
        <f>IF(_epmOfflineCondition_,"Y",_xll.EVPRO($B$1,$H87,"CALC"))</f>
        <v>Y</v>
      </c>
      <c r="K87" s="179" t="str">
        <f t="shared" si="22"/>
        <v>&gt;</v>
      </c>
      <c r="L87" s="90" t="str">
        <f>IF(_epmOfflineCondition_,"",_xll.EVPRO($B$1,H87,"JDEID"))</f>
        <v/>
      </c>
      <c r="M87" s="90" t="str">
        <f>IF(_epmOfflineCondition_,"",IF(AND(I87="N",J87="N"),_xll.EVPRO($B$1,H87,"PSFTID"),""))</f>
        <v/>
      </c>
      <c r="N87" s="90" t="str">
        <f>IF(_epmOfflineCondition_,"Employee Benefits",IF(_xll.EVDES(H87,$B$1)="#NODATA","",_xll.EVDES(H87,$B$1)))</f>
        <v>Employee Benefits</v>
      </c>
      <c r="O87" s="239">
        <v>600.75</v>
      </c>
      <c r="P87" s="239">
        <v>326.63</v>
      </c>
      <c r="Q87" s="239">
        <v>601.92999999999995</v>
      </c>
      <c r="R87" s="239">
        <v>487.98</v>
      </c>
      <c r="S87" s="239">
        <v>487.98</v>
      </c>
      <c r="T87" s="239">
        <v>791.17</v>
      </c>
      <c r="U87" s="239">
        <v>252</v>
      </c>
      <c r="V87" s="239">
        <v>521.58000000000004</v>
      </c>
      <c r="W87" s="239">
        <v>434.42</v>
      </c>
      <c r="X87" s="239">
        <v>499.79</v>
      </c>
      <c r="Y87" s="239">
        <v>499.79</v>
      </c>
      <c r="Z87" s="239">
        <v>499.79</v>
      </c>
      <c r="AA87" s="216">
        <f t="shared" si="23"/>
        <v>6003.8099999999995</v>
      </c>
      <c r="AB87" s="240">
        <f t="shared" si="24"/>
        <v>1.221862092095987E-2</v>
      </c>
      <c r="AC87" s="140"/>
      <c r="AD87" s="239">
        <v>4403.6530742853001</v>
      </c>
      <c r="AE87" s="240">
        <f t="shared" si="25"/>
        <v>9.3246216090298664E-3</v>
      </c>
      <c r="AF87" s="241">
        <f t="shared" si="26"/>
        <v>1600.1569257146994</v>
      </c>
      <c r="AG87" s="239">
        <v>2342.16</v>
      </c>
      <c r="AH87" s="240">
        <f t="shared" si="27"/>
        <v>3.5004445798959855E-3</v>
      </c>
      <c r="AI87" s="241">
        <f t="shared" si="28"/>
        <v>3661.6499999999996</v>
      </c>
      <c r="AJ87" s="471">
        <f t="shared" si="29"/>
        <v>0.44992580935251797</v>
      </c>
      <c r="AK87" s="472">
        <f t="shared" si="30"/>
        <v>0.28782046237158826</v>
      </c>
      <c r="AL87" s="473">
        <f t="shared" si="31"/>
        <v>0.10197048195393792</v>
      </c>
      <c r="AM87" s="474" t="str">
        <f t="shared" si="32"/>
        <v>0.29 pts.</v>
      </c>
      <c r="AN87" s="475" t="str">
        <f t="shared" si="33"/>
        <v>0.87 pts.</v>
      </c>
      <c r="AO87" s="11"/>
    </row>
    <row r="88" spans="1:41" x14ac:dyDescent="0.25">
      <c r="A88" s="65" t="s">
        <v>7</v>
      </c>
      <c r="B88" s="66" t="str">
        <f>IF(_epmOfflineCondition_,"'VenueBar'!$A$102:$F$108",_xll.EVRNG(A102:F108))</f>
        <v>'VenueBar'!$A$102:$F$108</v>
      </c>
      <c r="C88" s="11"/>
      <c r="D88" s="11"/>
      <c r="E88" s="11"/>
      <c r="F88" s="11"/>
      <c r="G88" s="11"/>
      <c r="H88" s="88" t="s">
        <v>853</v>
      </c>
      <c r="I88" s="188" t="str">
        <f>IF(_epmOfflineCondition_,"T2",_xll.EVPRO($B$1,$H88,"STYLE"))</f>
        <v>T2</v>
      </c>
      <c r="J88" s="188" t="str">
        <f>IF(_epmOfflineCondition_,"Y",_xll.EVPRO($B$1,$H88,"CALC"))</f>
        <v>Y</v>
      </c>
      <c r="K88" s="189" t="str">
        <f t="shared" si="22"/>
        <v/>
      </c>
      <c r="L88" s="190" t="str">
        <f>IF(_epmOfflineCondition_,"",_xll.EVPRO($B$1,H88,"JDEID"))</f>
        <v/>
      </c>
      <c r="M88" s="190" t="str">
        <f>IF(_epmOfflineCondition_,"",IF(AND(I88="N",J88="N"),_xll.EVPRO($B$1,H88,"PSFTID"),""))</f>
        <v/>
      </c>
      <c r="N88" s="190" t="str">
        <f>IF(_epmOfflineCondition_,"Total Payroll Related",IF(_xll.EVDES(H88,$B$1)="#NODATA","",_xll.EVDES(H88,$B$1)))</f>
        <v>Total Payroll Related</v>
      </c>
      <c r="O88" s="242">
        <v>1095.1300000000001</v>
      </c>
      <c r="P88" s="242">
        <v>367.27</v>
      </c>
      <c r="Q88" s="242">
        <v>601.92999999999995</v>
      </c>
      <c r="R88" s="242">
        <v>487.98</v>
      </c>
      <c r="S88" s="242">
        <v>487.98</v>
      </c>
      <c r="T88" s="242">
        <v>808.85</v>
      </c>
      <c r="U88" s="242">
        <v>365.28</v>
      </c>
      <c r="V88" s="242">
        <v>521.58000000000004</v>
      </c>
      <c r="W88" s="242">
        <v>434.42</v>
      </c>
      <c r="X88" s="242">
        <v>499.79</v>
      </c>
      <c r="Y88" s="242">
        <v>499.79</v>
      </c>
      <c r="Z88" s="242">
        <v>499.79</v>
      </c>
      <c r="AA88" s="242">
        <f t="shared" si="23"/>
        <v>6669.79</v>
      </c>
      <c r="AB88" s="243">
        <f t="shared" si="24"/>
        <v>1.3573986457334415E-2</v>
      </c>
      <c r="AC88" s="244"/>
      <c r="AD88" s="242">
        <v>14158.735479714</v>
      </c>
      <c r="AE88" s="243">
        <f t="shared" si="25"/>
        <v>2.998075656359607E-2</v>
      </c>
      <c r="AF88" s="245">
        <f t="shared" si="26"/>
        <v>-7488.9454797139997</v>
      </c>
      <c r="AG88" s="242">
        <v>5706.99</v>
      </c>
      <c r="AH88" s="243">
        <f t="shared" si="27"/>
        <v>8.5293072262444033E-3</v>
      </c>
      <c r="AI88" s="245">
        <f t="shared" si="28"/>
        <v>962.80000000000018</v>
      </c>
      <c r="AJ88" s="246">
        <f t="shared" si="29"/>
        <v>0.4998343824940048</v>
      </c>
      <c r="AK88" s="247">
        <f t="shared" si="30"/>
        <v>0.92540754769372546</v>
      </c>
      <c r="AL88" s="249">
        <f t="shared" si="31"/>
        <v>0.24846488745700726</v>
      </c>
      <c r="AM88" s="431" t="str">
        <f t="shared" si="32"/>
        <v>-1.64 pts.</v>
      </c>
      <c r="AN88" s="487" t="str">
        <f t="shared" si="33"/>
        <v>0.5 pts.</v>
      </c>
      <c r="AO88" s="11"/>
    </row>
    <row r="89" spans="1:41" x14ac:dyDescent="0.25">
      <c r="A89" s="65" t="s">
        <v>47</v>
      </c>
      <c r="B89" s="66" t="str">
        <f>IF(_epmOfflineCondition_,"'VenueBar'!$A$125:$B$146",_xll.EVRNG($A$125:$B$146))</f>
        <v>'VenueBar'!$A$125:$B$146</v>
      </c>
      <c r="C89" s="11"/>
      <c r="D89" s="11"/>
      <c r="E89" s="11"/>
      <c r="F89" s="11"/>
      <c r="G89" s="11"/>
      <c r="H89" s="88" t="s">
        <v>76</v>
      </c>
      <c r="I89" s="188" t="str">
        <f>IF(_epmOfflineCondition_,"T1",_xll.EVPRO($B$1,$H89,"STYLE"))</f>
        <v>T1</v>
      </c>
      <c r="J89" s="188" t="str">
        <f>IF(_epmOfflineCondition_,"Y",_xll.EVPRO($B$1,$H89,"CALC"))</f>
        <v>Y</v>
      </c>
      <c r="K89" s="189" t="str">
        <f t="shared" si="22"/>
        <v/>
      </c>
      <c r="L89" s="190" t="str">
        <f>IF(_epmOfflineCondition_,"600000",_xll.EVPRO($B$1,H89,"JDEID"))</f>
        <v>600000</v>
      </c>
      <c r="M89" s="190" t="str">
        <f>IF(_epmOfflineCondition_,"",IF(AND(I89="N",J89="N"),_xll.EVPRO($B$1,H89,"PSFTID"),""))</f>
        <v/>
      </c>
      <c r="N89" s="190" t="str">
        <f>IF(_epmOfflineCondition_,"Total Labor &amp; Related Exp",IF(_xll.EVDES(H89,$B$1)="#NODATA","",_xll.EVDES(H89,$B$1)))</f>
        <v>Total Labor &amp; Related Exp</v>
      </c>
      <c r="O89" s="242">
        <v>8936.69</v>
      </c>
      <c r="P89" s="242">
        <v>14433.55</v>
      </c>
      <c r="Q89" s="242">
        <v>8436.4500000000007</v>
      </c>
      <c r="R89" s="242">
        <v>16418.95</v>
      </c>
      <c r="S89" s="242">
        <v>13621.87</v>
      </c>
      <c r="T89" s="242">
        <v>7831.64</v>
      </c>
      <c r="U89" s="242">
        <v>10620.48</v>
      </c>
      <c r="V89" s="242">
        <v>8656.8700000000008</v>
      </c>
      <c r="W89" s="242">
        <v>9406.0300000000007</v>
      </c>
      <c r="X89" s="242">
        <v>9965.35</v>
      </c>
      <c r="Y89" s="242">
        <v>6988.13</v>
      </c>
      <c r="Z89" s="242">
        <v>6773.35</v>
      </c>
      <c r="AA89" s="242">
        <f t="shared" si="23"/>
        <v>122089.36000000002</v>
      </c>
      <c r="AB89" s="243">
        <f t="shared" si="24"/>
        <v>0.24846948992766282</v>
      </c>
      <c r="AC89" s="244"/>
      <c r="AD89" s="242">
        <v>143555.65833685701</v>
      </c>
      <c r="AE89" s="243">
        <f t="shared" si="25"/>
        <v>0.30397539752688546</v>
      </c>
      <c r="AF89" s="245">
        <f t="shared" si="26"/>
        <v>-21466.298336856999</v>
      </c>
      <c r="AG89" s="242">
        <v>139705.17000000001</v>
      </c>
      <c r="AH89" s="243">
        <f t="shared" si="27"/>
        <v>0.20879453372525675</v>
      </c>
      <c r="AI89" s="245">
        <f t="shared" si="28"/>
        <v>-17615.809999999998</v>
      </c>
      <c r="AJ89" s="246">
        <f t="shared" si="29"/>
        <v>9.1493824940047972</v>
      </c>
      <c r="AK89" s="247">
        <f t="shared" si="30"/>
        <v>9.3827227671148368</v>
      </c>
      <c r="AL89" s="249">
        <f t="shared" si="31"/>
        <v>6.0823357568897212</v>
      </c>
      <c r="AM89" s="431" t="str">
        <f t="shared" si="32"/>
        <v>-5.55 pts.</v>
      </c>
      <c r="AN89" s="487" t="str">
        <f t="shared" si="33"/>
        <v>3.97 pts.</v>
      </c>
      <c r="AO89" s="11"/>
    </row>
    <row r="90" spans="1:41" x14ac:dyDescent="0.25">
      <c r="A90" s="65" t="s">
        <v>8</v>
      </c>
      <c r="B90" s="66"/>
      <c r="C90" s="11"/>
      <c r="D90" s="11"/>
      <c r="E90" s="11"/>
      <c r="F90" s="11"/>
      <c r="G90" s="11"/>
      <c r="H90" s="11"/>
      <c r="I90" s="59"/>
      <c r="J90" s="59"/>
      <c r="K90" s="11"/>
      <c r="L90" s="11"/>
      <c r="M90" s="11"/>
      <c r="N90" s="11"/>
      <c r="O90" s="129"/>
      <c r="P90" s="130"/>
      <c r="Q90" s="130"/>
      <c r="R90" s="130"/>
      <c r="S90" s="130"/>
      <c r="T90" s="130"/>
      <c r="U90" s="130"/>
      <c r="V90" s="130"/>
      <c r="W90" s="130"/>
      <c r="X90" s="130"/>
      <c r="Y90" s="130"/>
      <c r="Z90" s="130"/>
      <c r="AA90" s="130"/>
      <c r="AB90" s="131"/>
      <c r="AC90" s="11"/>
      <c r="AD90" s="129"/>
      <c r="AE90" s="130"/>
      <c r="AF90" s="131"/>
      <c r="AG90" s="129"/>
      <c r="AH90" s="130"/>
      <c r="AI90" s="131"/>
      <c r="AJ90" s="11"/>
      <c r="AK90" s="11"/>
      <c r="AL90" s="11"/>
      <c r="AM90" s="11"/>
      <c r="AN90" s="11"/>
      <c r="AO90" s="11"/>
    </row>
    <row r="91" spans="1:41" x14ac:dyDescent="0.25">
      <c r="A91" s="11"/>
      <c r="B91" s="11"/>
      <c r="C91" s="11"/>
      <c r="D91" s="11"/>
      <c r="E91" s="11"/>
      <c r="F91" s="11"/>
      <c r="G91" s="76"/>
      <c r="H91" s="11" t="s">
        <v>82</v>
      </c>
      <c r="I91" s="59" t="str">
        <f>IF(_epmOfflineCondition_,"B1",_xll.EVPRO($B$1,$H91,"STYLE"))</f>
        <v>B1</v>
      </c>
      <c r="J91" s="59" t="str">
        <f>IF(_epmOfflineCondition_,"Y",_xll.EVPRO($B$1,$H91,"CALC"))</f>
        <v>Y</v>
      </c>
      <c r="K91" s="11"/>
      <c r="L91" s="11"/>
      <c r="M91" s="11"/>
      <c r="N91" s="105" t="str">
        <f>IF(_epmOfflineCondition_,"Other Expenses",IF(_xll.EVDES(H91,$B$1)="#NODATA","",_xll.EVDES(H91,$B$1)))</f>
        <v>Other Expenses</v>
      </c>
      <c r="O91" s="119"/>
      <c r="P91" s="120"/>
      <c r="Q91" s="120"/>
      <c r="R91" s="120"/>
      <c r="S91" s="120"/>
      <c r="T91" s="120"/>
      <c r="U91" s="120"/>
      <c r="V91" s="120"/>
      <c r="W91" s="120"/>
      <c r="X91" s="120"/>
      <c r="Y91" s="120"/>
      <c r="Z91" s="120"/>
      <c r="AA91" s="120"/>
      <c r="AB91" s="121"/>
      <c r="AC91" s="11"/>
      <c r="AD91" s="119"/>
      <c r="AE91" s="120"/>
      <c r="AF91" s="121"/>
      <c r="AG91" s="119"/>
      <c r="AH91" s="120"/>
      <c r="AI91" s="121"/>
      <c r="AJ91" s="11"/>
      <c r="AK91" s="11"/>
      <c r="AL91" s="11"/>
      <c r="AM91" s="11"/>
      <c r="AN91" s="11"/>
      <c r="AO91" s="11"/>
    </row>
    <row r="92" spans="1:41" x14ac:dyDescent="0.25">
      <c r="A92" s="62" t="s">
        <v>9</v>
      </c>
      <c r="B92" s="63" t="s">
        <v>10</v>
      </c>
      <c r="C92" s="11"/>
      <c r="D92" s="11"/>
      <c r="E92" s="11"/>
      <c r="F92" s="11"/>
      <c r="G92" s="11"/>
      <c r="H92" s="88" t="s">
        <v>855</v>
      </c>
      <c r="I92" s="122" t="str">
        <f>IF(_epmOfflineCondition_,"N",_xll.EVPRO($B$1,$H92,"STYLE"))</f>
        <v>N</v>
      </c>
      <c r="J92" s="122" t="str">
        <f>IF(_epmOfflineCondition_,"N",_xll.EVPRO($B$1,$H92,"CALC"))</f>
        <v>N</v>
      </c>
      <c r="K92" s="179" t="str">
        <f t="shared" ref="K92:K104" si="34">IF(AND(I92&lt;&gt;"B1",J92="Y"),"&gt;","")</f>
        <v/>
      </c>
      <c r="L92" s="90" t="str">
        <f>IF(_epmOfflineCondition_,"701300",_xll.EVPRO($B$1,H92,"JDEID"))</f>
        <v>701300</v>
      </c>
      <c r="M92" s="90" t="str">
        <f>IF(_epmOfflineCondition_,"690205",IF(AND(I92="N",J92="N"),_xll.EVPRO($B$1,H92,"PSFTID"),""))</f>
        <v>690205</v>
      </c>
      <c r="N92" s="90" t="str">
        <f>IF(_epmOfflineCondition_,"Printing &amp; Stationery",IF(_xll.EVDES(H92,$B$1)="#NODATA","",_xll.EVDES(H92,$B$1)))</f>
        <v>Printing &amp; Stationery</v>
      </c>
      <c r="O92" s="138"/>
      <c r="P92" s="138"/>
      <c r="Q92" s="138"/>
      <c r="R92" s="138"/>
      <c r="S92" s="138"/>
      <c r="T92" s="138"/>
      <c r="U92" s="138"/>
      <c r="V92" s="138"/>
      <c r="W92" s="138"/>
      <c r="X92" s="138"/>
      <c r="Y92" s="138"/>
      <c r="Z92" s="138"/>
      <c r="AA92" s="210">
        <f t="shared" ref="AA92:AA105" si="35">IF($I92="B1","",SUM(O92:Z92))</f>
        <v>0</v>
      </c>
      <c r="AB92" s="142" t="str">
        <f t="shared" ref="AB92:AB105" si="36">IF(AA92=0,"",IFERROR(AA92/AA$19,""))</f>
        <v/>
      </c>
      <c r="AC92" s="140"/>
      <c r="AD92" s="138">
        <v>153</v>
      </c>
      <c r="AE92" s="142">
        <f t="shared" ref="AE92:AE105" si="37">IF(AD92=0,"",IFERROR(AD92/AD$19,""))</f>
        <v>3.2397354698817038E-4</v>
      </c>
      <c r="AF92" s="141">
        <f t="shared" ref="AF92:AF105" si="38">IF(AND($AA92="",AD92=""),"",$AA92-AD92)</f>
        <v>-153</v>
      </c>
      <c r="AG92" s="138">
        <v>254.43</v>
      </c>
      <c r="AH92" s="142">
        <f t="shared" ref="AH92:AH105" si="39">IF(AG92=0,"",IFERROR(AG92/AG$19,""))</f>
        <v>3.8025502718129234E-4</v>
      </c>
      <c r="AI92" s="141">
        <f t="shared" ref="AI92:AI105" si="40">IF(AND($AA92="",AG92=""),"",$AA92-AG92)</f>
        <v>-254.43</v>
      </c>
      <c r="AJ92" s="462">
        <f t="shared" ref="AJ92:AJ105" si="41">IFERROR(AA92/AA$20,0)</f>
        <v>0</v>
      </c>
      <c r="AK92" s="463">
        <f t="shared" ref="AK92:AK105" si="42">IFERROR(AD92/AD$20,0)</f>
        <v>0.01</v>
      </c>
      <c r="AL92" s="464">
        <f t="shared" ref="AL92:AL105" si="43">IFERROR(AG92/AG$20,0)</f>
        <v>1.1077103922678393E-2</v>
      </c>
      <c r="AM92" s="465">
        <f t="shared" ref="AM92:AM105" si="44">+IFERROR(ROUND(($AB92-AE92)*100,2)&amp;" pts.",0)</f>
        <v>0</v>
      </c>
      <c r="AN92" s="466">
        <f t="shared" ref="AN92:AN105" si="45">+IFERROR(ROUND(($AB92-AH92)*100,2)&amp;" pts.",0)</f>
        <v>0</v>
      </c>
      <c r="AO92" s="11"/>
    </row>
    <row r="93" spans="1:41" x14ac:dyDescent="0.25">
      <c r="A93" s="65" t="s">
        <v>11</v>
      </c>
      <c r="B93" s="66" t="s">
        <v>21</v>
      </c>
      <c r="C93" s="11"/>
      <c r="D93" s="11"/>
      <c r="E93" s="11"/>
      <c r="F93" s="11"/>
      <c r="G93" s="11"/>
      <c r="H93" s="88" t="s">
        <v>831</v>
      </c>
      <c r="I93" s="122" t="str">
        <f>IF(_epmOfflineCondition_,"T4",_xll.EVPRO($B$1,$H93,"STYLE"))</f>
        <v>T4</v>
      </c>
      <c r="J93" s="122" t="str">
        <f>IF(_epmOfflineCondition_,"Y",_xll.EVPRO($B$1,$H93,"CALC"))</f>
        <v>Y</v>
      </c>
      <c r="K93" s="179" t="str">
        <f t="shared" si="34"/>
        <v>&gt;</v>
      </c>
      <c r="L93" s="90" t="str">
        <f>IF(_epmOfflineCondition_,"701500",_xll.EVPRO($B$1,H93,"JDEID"))</f>
        <v>701500</v>
      </c>
      <c r="M93" s="90" t="str">
        <f>IF(_epmOfflineCondition_,"",IF(AND(I93="N",J93="N"),_xll.EVPRO($B$1,H93,"PSFTID"),""))</f>
        <v/>
      </c>
      <c r="N93" s="90" t="str">
        <f>IF(_epmOfflineCondition_,"Operating Supplies",IF(_xll.EVDES(H93,$B$1)="#NODATA","",_xll.EVDES(H93,$B$1)))</f>
        <v>Operating Supplies</v>
      </c>
      <c r="O93" s="138">
        <v>336</v>
      </c>
      <c r="P93" s="138">
        <v>380.64</v>
      </c>
      <c r="Q93" s="138">
        <v>-380.64</v>
      </c>
      <c r="R93" s="138">
        <v>944.55</v>
      </c>
      <c r="S93" s="138">
        <v>273</v>
      </c>
      <c r="T93" s="138">
        <v>221</v>
      </c>
      <c r="U93" s="138">
        <v>200</v>
      </c>
      <c r="V93" s="138">
        <v>200</v>
      </c>
      <c r="W93" s="138">
        <v>179</v>
      </c>
      <c r="X93" s="138">
        <v>242</v>
      </c>
      <c r="Y93" s="138"/>
      <c r="Z93" s="138">
        <v>314.67</v>
      </c>
      <c r="AA93" s="210">
        <f t="shared" si="35"/>
        <v>2910.2200000000003</v>
      </c>
      <c r="AB93" s="142">
        <f t="shared" si="36"/>
        <v>5.9227182366856776E-3</v>
      </c>
      <c r="AC93" s="140"/>
      <c r="AD93" s="138">
        <v>3213</v>
      </c>
      <c r="AE93" s="142">
        <f t="shared" si="37"/>
        <v>6.8034444867515779E-3</v>
      </c>
      <c r="AF93" s="141">
        <f t="shared" si="38"/>
        <v>-302.77999999999975</v>
      </c>
      <c r="AG93" s="138">
        <v>6327.58</v>
      </c>
      <c r="AH93" s="142">
        <f t="shared" si="39"/>
        <v>9.4568018900750769E-3</v>
      </c>
      <c r="AI93" s="141">
        <f t="shared" si="40"/>
        <v>-3417.3599999999997</v>
      </c>
      <c r="AJ93" s="462">
        <f t="shared" si="41"/>
        <v>0.21809202637889691</v>
      </c>
      <c r="AK93" s="463">
        <f t="shared" si="42"/>
        <v>0.21</v>
      </c>
      <c r="AL93" s="464">
        <f t="shared" si="43"/>
        <v>0.27548347773085463</v>
      </c>
      <c r="AM93" s="465" t="str">
        <f t="shared" si="44"/>
        <v>-0.09 pts.</v>
      </c>
      <c r="AN93" s="466" t="str">
        <f t="shared" si="45"/>
        <v>-0.35 pts.</v>
      </c>
      <c r="AO93" s="11"/>
    </row>
    <row r="94" spans="1:41" x14ac:dyDescent="0.25">
      <c r="A94" s="65" t="s">
        <v>12</v>
      </c>
      <c r="B94" s="66" t="s">
        <v>22</v>
      </c>
      <c r="C94" s="11"/>
      <c r="D94" s="11"/>
      <c r="E94" s="11"/>
      <c r="F94" s="11"/>
      <c r="G94" s="11"/>
      <c r="H94" s="88" t="s">
        <v>867</v>
      </c>
      <c r="I94" s="122" t="str">
        <f>IF(_epmOfflineCondition_,"N",_xll.EVPRO($B$1,$H94,"STYLE"))</f>
        <v>N</v>
      </c>
      <c r="J94" s="122" t="str">
        <f>IF(_epmOfflineCondition_,"N",_xll.EVPRO($B$1,$H94,"CALC"))</f>
        <v>N</v>
      </c>
      <c r="K94" s="179" t="str">
        <f t="shared" si="34"/>
        <v/>
      </c>
      <c r="L94" s="90" t="str">
        <f>IF(_epmOfflineCondition_,"701600",_xll.EVPRO($B$1,H94,"JDEID"))</f>
        <v>701600</v>
      </c>
      <c r="M94" s="90" t="str">
        <f>IF(_epmOfflineCondition_,"590015",IF(AND(I94="N",J94="N"),_xll.EVPRO($B$1,H94,"PSFTID"),""))</f>
        <v>590015</v>
      </c>
      <c r="N94" s="90" t="str">
        <f>IF(_epmOfflineCondition_,"Cleaning Supplies",IF(_xll.EVDES(H94,$B$1)="#NODATA","",_xll.EVDES(H94,$B$1)))</f>
        <v>Cleaning Supplies</v>
      </c>
      <c r="O94" s="138">
        <v>107</v>
      </c>
      <c r="P94" s="138">
        <v>107</v>
      </c>
      <c r="Q94" s="138"/>
      <c r="R94" s="138">
        <v>201.01</v>
      </c>
      <c r="S94" s="138">
        <v>87</v>
      </c>
      <c r="T94" s="138">
        <v>70</v>
      </c>
      <c r="U94" s="138">
        <v>64</v>
      </c>
      <c r="V94" s="138">
        <v>64</v>
      </c>
      <c r="W94" s="138">
        <v>57</v>
      </c>
      <c r="X94" s="138">
        <v>77</v>
      </c>
      <c r="Y94" s="138"/>
      <c r="Z94" s="138">
        <v>101</v>
      </c>
      <c r="AA94" s="210">
        <f t="shared" si="35"/>
        <v>935.01</v>
      </c>
      <c r="AB94" s="142">
        <f t="shared" si="36"/>
        <v>1.9028804621243325E-3</v>
      </c>
      <c r="AC94" s="140"/>
      <c r="AD94" s="138">
        <v>1025.3718656999999</v>
      </c>
      <c r="AE94" s="142">
        <f t="shared" si="37"/>
        <v>2.1711984334163849E-3</v>
      </c>
      <c r="AF94" s="141">
        <f t="shared" si="38"/>
        <v>-90.361865699999953</v>
      </c>
      <c r="AG94" s="138">
        <v>1809.54</v>
      </c>
      <c r="AH94" s="142">
        <f t="shared" si="39"/>
        <v>2.7044243284425409E-3</v>
      </c>
      <c r="AI94" s="141">
        <f t="shared" si="40"/>
        <v>-874.53</v>
      </c>
      <c r="AJ94" s="462">
        <f t="shared" si="41"/>
        <v>7.0069694244604311E-2</v>
      </c>
      <c r="AK94" s="463">
        <f t="shared" si="42"/>
        <v>6.7017768999999991E-2</v>
      </c>
      <c r="AL94" s="464">
        <f t="shared" si="43"/>
        <v>7.8781836388175361E-2</v>
      </c>
      <c r="AM94" s="465" t="str">
        <f t="shared" si="44"/>
        <v>-0.03 pts.</v>
      </c>
      <c r="AN94" s="466" t="str">
        <f t="shared" si="45"/>
        <v>-0.08 pts.</v>
      </c>
      <c r="AO94" s="11"/>
    </row>
    <row r="95" spans="1:41" x14ac:dyDescent="0.25">
      <c r="A95" s="65" t="s">
        <v>13</v>
      </c>
      <c r="B95" s="66" t="s">
        <v>737</v>
      </c>
      <c r="C95" s="11"/>
      <c r="D95" s="11"/>
      <c r="E95" s="11"/>
      <c r="F95" s="11"/>
      <c r="G95" s="11"/>
      <c r="H95" s="88" t="s">
        <v>868</v>
      </c>
      <c r="I95" s="122" t="str">
        <f>IF(_epmOfflineCondition_,"N",_xll.EVPRO($B$1,$H95,"STYLE"))</f>
        <v>N</v>
      </c>
      <c r="J95" s="122" t="str">
        <f>IF(_epmOfflineCondition_,"N",_xll.EVPRO($B$1,$H95,"CALC"))</f>
        <v>N</v>
      </c>
      <c r="K95" s="179" t="str">
        <f t="shared" si="34"/>
        <v/>
      </c>
      <c r="L95" s="90" t="str">
        <f>IF(_epmOfflineCondition_,"701700",_xll.EVPRO($B$1,H95,"JDEID"))</f>
        <v>701700</v>
      </c>
      <c r="M95" s="90" t="str">
        <f>IF(_epmOfflineCondition_,"590026",IF(AND(I95="N",J95="N"),_xll.EVPRO($B$1,H95,"PSFTID"),""))</f>
        <v>590026</v>
      </c>
      <c r="N95" s="90" t="str">
        <f>IF(_epmOfflineCondition_,"Dishwashing Supplies",IF(_xll.EVDES(H95,$B$1)="#NODATA","",_xll.EVDES(H95,$B$1)))</f>
        <v>Dishwashing Supplies</v>
      </c>
      <c r="O95" s="138">
        <v>17</v>
      </c>
      <c r="P95" s="138">
        <v>17</v>
      </c>
      <c r="Q95" s="138"/>
      <c r="R95" s="138">
        <v>32</v>
      </c>
      <c r="S95" s="138">
        <v>14</v>
      </c>
      <c r="T95" s="138">
        <v>11</v>
      </c>
      <c r="U95" s="138">
        <v>10</v>
      </c>
      <c r="V95" s="138">
        <v>10</v>
      </c>
      <c r="W95" s="138">
        <v>9</v>
      </c>
      <c r="X95" s="138">
        <v>12</v>
      </c>
      <c r="Y95" s="138"/>
      <c r="Z95" s="138">
        <v>16</v>
      </c>
      <c r="AA95" s="210">
        <f t="shared" si="35"/>
        <v>148</v>
      </c>
      <c r="AB95" s="142">
        <f t="shared" si="36"/>
        <v>3.0120138650324723E-4</v>
      </c>
      <c r="AC95" s="140"/>
      <c r="AD95" s="138">
        <v>160.97732819999999</v>
      </c>
      <c r="AE95" s="142">
        <f t="shared" si="37"/>
        <v>3.4086533334400538E-4</v>
      </c>
      <c r="AF95" s="141">
        <f t="shared" si="38"/>
        <v>-12.977328199999988</v>
      </c>
      <c r="AG95" s="138">
        <v>291</v>
      </c>
      <c r="AH95" s="142">
        <f t="shared" si="39"/>
        <v>4.3491024214815889E-4</v>
      </c>
      <c r="AI95" s="141">
        <f t="shared" si="40"/>
        <v>-143</v>
      </c>
      <c r="AJ95" s="462">
        <f t="shared" si="41"/>
        <v>1.1091127098321343E-2</v>
      </c>
      <c r="AK95" s="463">
        <f t="shared" si="42"/>
        <v>1.0521394E-2</v>
      </c>
      <c r="AL95" s="464">
        <f t="shared" si="43"/>
        <v>1.2669249858504941E-2</v>
      </c>
      <c r="AM95" s="465" t="str">
        <f t="shared" si="44"/>
        <v>0 pts.</v>
      </c>
      <c r="AN95" s="466" t="str">
        <f t="shared" si="45"/>
        <v>-0.01 pts.</v>
      </c>
      <c r="AO95" s="11"/>
    </row>
    <row r="96" spans="1:41" x14ac:dyDescent="0.25">
      <c r="A96" s="65" t="s">
        <v>14</v>
      </c>
      <c r="B96" s="66"/>
      <c r="C96" s="11"/>
      <c r="D96" s="11"/>
      <c r="E96" s="11"/>
      <c r="F96" s="11"/>
      <c r="G96" s="11"/>
      <c r="H96" s="88" t="s">
        <v>870</v>
      </c>
      <c r="I96" s="122" t="str">
        <f>IF(_epmOfflineCondition_,"N",_xll.EVPRO($B$1,$H96,"STYLE"))</f>
        <v>N</v>
      </c>
      <c r="J96" s="122" t="str">
        <f>IF(_epmOfflineCondition_,"N",_xll.EVPRO($B$1,$H96,"CALC"))</f>
        <v>N</v>
      </c>
      <c r="K96" s="179" t="str">
        <f t="shared" si="34"/>
        <v/>
      </c>
      <c r="L96" s="90" t="str">
        <f>IF(_epmOfflineCondition_,"702000",_xll.EVPRO($B$1,H96,"JDEID"))</f>
        <v>702000</v>
      </c>
      <c r="M96" s="90" t="str">
        <f>IF(_epmOfflineCondition_,"590031",IF(AND(I96="N",J96="N"),_xll.EVPRO($B$1,H96,"PSFTID"),""))</f>
        <v>590031</v>
      </c>
      <c r="N96" s="90" t="str">
        <f>IF(_epmOfflineCondition_,"Paper and Plastics",IF(_xll.EVDES(H96,$B$1)="#NODATA","",_xll.EVDES(H96,$B$1)))</f>
        <v>Paper and Plastics</v>
      </c>
      <c r="O96" s="138">
        <v>173</v>
      </c>
      <c r="P96" s="138">
        <v>173</v>
      </c>
      <c r="Q96" s="138"/>
      <c r="R96" s="138">
        <v>324</v>
      </c>
      <c r="S96" s="138">
        <v>140</v>
      </c>
      <c r="T96" s="138">
        <v>105</v>
      </c>
      <c r="U96" s="138">
        <v>102</v>
      </c>
      <c r="V96" s="138">
        <v>102</v>
      </c>
      <c r="W96" s="138">
        <v>80.38</v>
      </c>
      <c r="X96" s="138">
        <v>124</v>
      </c>
      <c r="Y96" s="138"/>
      <c r="Z96" s="138">
        <v>162</v>
      </c>
      <c r="AA96" s="210">
        <f t="shared" si="35"/>
        <v>1485.38</v>
      </c>
      <c r="AB96" s="142">
        <f t="shared" si="36"/>
        <v>3.0229629424607667E-3</v>
      </c>
      <c r="AC96" s="140"/>
      <c r="AD96" s="138">
        <v>1649.8565586</v>
      </c>
      <c r="AE96" s="142">
        <f t="shared" si="37"/>
        <v>3.4935286360218182E-3</v>
      </c>
      <c r="AF96" s="141">
        <f t="shared" si="38"/>
        <v>-164.47655859999986</v>
      </c>
      <c r="AG96" s="138">
        <v>2398.8200000000002</v>
      </c>
      <c r="AH96" s="142">
        <f t="shared" si="39"/>
        <v>3.5851250414771362E-3</v>
      </c>
      <c r="AI96" s="141">
        <f t="shared" si="40"/>
        <v>-913.44</v>
      </c>
      <c r="AJ96" s="462">
        <f t="shared" si="41"/>
        <v>0.11131444844124701</v>
      </c>
      <c r="AK96" s="463">
        <f t="shared" si="42"/>
        <v>0.107833762</v>
      </c>
      <c r="AL96" s="464">
        <f t="shared" si="43"/>
        <v>0.10443728503635336</v>
      </c>
      <c r="AM96" s="465" t="str">
        <f t="shared" si="44"/>
        <v>-0.05 pts.</v>
      </c>
      <c r="AN96" s="466" t="str">
        <f t="shared" si="45"/>
        <v>-0.06 pts.</v>
      </c>
      <c r="AO96" s="11"/>
    </row>
    <row r="97" spans="1:41" x14ac:dyDescent="0.25">
      <c r="A97" s="65" t="s">
        <v>15</v>
      </c>
      <c r="B97" s="66"/>
      <c r="C97" s="11"/>
      <c r="D97" s="11"/>
      <c r="E97" s="11"/>
      <c r="F97" s="11"/>
      <c r="G97" s="11"/>
      <c r="H97" s="88" t="s">
        <v>871</v>
      </c>
      <c r="I97" s="122" t="str">
        <f>IF(_epmOfflineCondition_,"N",_xll.EVPRO($B$1,$H97,"STYLE"))</f>
        <v>N</v>
      </c>
      <c r="J97" s="122" t="str">
        <f>IF(_epmOfflineCondition_,"N",_xll.EVPRO($B$1,$H97,"CALC"))</f>
        <v>N</v>
      </c>
      <c r="K97" s="179" t="str">
        <f t="shared" si="34"/>
        <v/>
      </c>
      <c r="L97" s="90" t="str">
        <f>IF(_epmOfflineCondition_,"702300",_xll.EVPRO($B$1,H97,"JDEID"))</f>
        <v>702300</v>
      </c>
      <c r="M97" s="90" t="str">
        <f>IF(_epmOfflineCondition_,"590040",IF(AND(I97="N",J97="N"),_xll.EVPRO($B$1,H97,"PSFTID"),""))</f>
        <v>590040</v>
      </c>
      <c r="N97" s="90" t="str">
        <f>IF(_epmOfflineCondition_,"Decorations",IF(_xll.EVDES(H97,$B$1)="#NODATA","",_xll.EVDES(H97,$B$1)))</f>
        <v>Decorations</v>
      </c>
      <c r="O97" s="138"/>
      <c r="P97" s="138"/>
      <c r="Q97" s="138"/>
      <c r="R97" s="138"/>
      <c r="S97" s="138"/>
      <c r="T97" s="138"/>
      <c r="U97" s="138">
        <v>134.72</v>
      </c>
      <c r="V97" s="138"/>
      <c r="W97" s="138"/>
      <c r="X97" s="138"/>
      <c r="Y97" s="138"/>
      <c r="Z97" s="138"/>
      <c r="AA97" s="210">
        <f t="shared" si="35"/>
        <v>134.72</v>
      </c>
      <c r="AB97" s="142">
        <f t="shared" si="36"/>
        <v>2.74174667498091E-4</v>
      </c>
      <c r="AC97" s="140"/>
      <c r="AD97" s="138">
        <v>350</v>
      </c>
      <c r="AE97" s="142">
        <f t="shared" si="37"/>
        <v>7.411159571624812E-4</v>
      </c>
      <c r="AF97" s="141">
        <f t="shared" si="38"/>
        <v>-215.28</v>
      </c>
      <c r="AG97" s="138">
        <v>72.88</v>
      </c>
      <c r="AH97" s="142">
        <f t="shared" si="39"/>
        <v>1.0892185033593752E-4</v>
      </c>
      <c r="AI97" s="141">
        <f t="shared" si="40"/>
        <v>61.84</v>
      </c>
      <c r="AJ97" s="462">
        <f t="shared" si="41"/>
        <v>1.0095923261390888E-2</v>
      </c>
      <c r="AK97" s="463">
        <f t="shared" si="42"/>
        <v>2.2875816993464051E-2</v>
      </c>
      <c r="AL97" s="464">
        <f t="shared" si="43"/>
        <v>3.1729722669685224E-3</v>
      </c>
      <c r="AM97" s="465" t="str">
        <f t="shared" si="44"/>
        <v>-0.05 pts.</v>
      </c>
      <c r="AN97" s="466" t="str">
        <f t="shared" si="45"/>
        <v>0.02 pts.</v>
      </c>
      <c r="AO97" s="11"/>
    </row>
    <row r="98" spans="1:41" x14ac:dyDescent="0.25">
      <c r="A98" s="65" t="s">
        <v>16</v>
      </c>
      <c r="B98" s="66" t="s">
        <v>78</v>
      </c>
      <c r="C98" s="11"/>
      <c r="D98" s="11"/>
      <c r="E98" s="11"/>
      <c r="F98" s="11"/>
      <c r="G98" s="11"/>
      <c r="H98" s="88" t="s">
        <v>832</v>
      </c>
      <c r="I98" s="122" t="str">
        <f>IF(_epmOfflineCondition_,"T4",_xll.EVPRO($B$1,$H98,"STYLE"))</f>
        <v>T4</v>
      </c>
      <c r="J98" s="122" t="str">
        <f>IF(_epmOfflineCondition_,"Y",_xll.EVPRO($B$1,$H98,"CALC"))</f>
        <v>Y</v>
      </c>
      <c r="K98" s="179" t="str">
        <f t="shared" si="34"/>
        <v>&gt;</v>
      </c>
      <c r="L98" s="90" t="str">
        <f>IF(_epmOfflineCondition_,"",_xll.EVPRO($B$1,H98,"JDEID"))</f>
        <v/>
      </c>
      <c r="M98" s="90" t="str">
        <f>IF(_epmOfflineCondition_,"",IF(AND(I98="N",J98="N"),_xll.EVPRO($B$1,H98,"PSFTID"),""))</f>
        <v/>
      </c>
      <c r="N98" s="90" t="str">
        <f>IF(_epmOfflineCondition_,"Contract Services",IF(_xll.EVDES(H98,$B$1)="#NODATA","",_xll.EVDES(H98,$B$1)))</f>
        <v>Contract Services</v>
      </c>
      <c r="O98" s="138">
        <v>-75</v>
      </c>
      <c r="P98" s="138">
        <v>150</v>
      </c>
      <c r="Q98" s="138">
        <v>150</v>
      </c>
      <c r="R98" s="138"/>
      <c r="S98" s="138">
        <v>150</v>
      </c>
      <c r="T98" s="138">
        <v>75</v>
      </c>
      <c r="U98" s="138">
        <v>75</v>
      </c>
      <c r="V98" s="138">
        <v>150</v>
      </c>
      <c r="W98" s="138">
        <v>75</v>
      </c>
      <c r="X98" s="138">
        <v>75</v>
      </c>
      <c r="Y98" s="138">
        <v>75</v>
      </c>
      <c r="Z98" s="138">
        <v>75</v>
      </c>
      <c r="AA98" s="210">
        <f t="shared" si="35"/>
        <v>975</v>
      </c>
      <c r="AB98" s="142">
        <f t="shared" si="36"/>
        <v>1.9842658908153115E-3</v>
      </c>
      <c r="AC98" s="140"/>
      <c r="AD98" s="138">
        <v>900</v>
      </c>
      <c r="AE98" s="142">
        <f t="shared" si="37"/>
        <v>1.9057267469892376E-3</v>
      </c>
      <c r="AF98" s="141">
        <f t="shared" si="38"/>
        <v>75</v>
      </c>
      <c r="AG98" s="138">
        <v>975</v>
      </c>
      <c r="AH98" s="142">
        <f t="shared" si="39"/>
        <v>1.4571734917335221E-3</v>
      </c>
      <c r="AI98" s="141">
        <f t="shared" si="40"/>
        <v>0</v>
      </c>
      <c r="AJ98" s="462">
        <f t="shared" si="41"/>
        <v>7.3066546762589932E-2</v>
      </c>
      <c r="AK98" s="463">
        <f t="shared" si="42"/>
        <v>5.8823529411764705E-2</v>
      </c>
      <c r="AL98" s="464">
        <f t="shared" si="43"/>
        <v>4.244851756715573E-2</v>
      </c>
      <c r="AM98" s="465" t="str">
        <f t="shared" si="44"/>
        <v>0.01 pts.</v>
      </c>
      <c r="AN98" s="466" t="str">
        <f t="shared" si="45"/>
        <v>0.05 pts.</v>
      </c>
      <c r="AO98" s="11"/>
    </row>
    <row r="99" spans="1:41" x14ac:dyDescent="0.25">
      <c r="A99" s="65" t="s">
        <v>17</v>
      </c>
      <c r="B99" s="66"/>
      <c r="C99" s="11"/>
      <c r="D99" s="11"/>
      <c r="E99" s="11"/>
      <c r="F99" s="11"/>
      <c r="G99" s="11"/>
      <c r="H99" s="88" t="s">
        <v>873</v>
      </c>
      <c r="I99" s="122" t="str">
        <f>IF(_epmOfflineCondition_,"T4",_xll.EVPRO($B$1,$H99,"STYLE"))</f>
        <v>T4</v>
      </c>
      <c r="J99" s="122" t="str">
        <f>IF(_epmOfflineCondition_,"Y",_xll.EVPRO($B$1,$H99,"CALC"))</f>
        <v>Y</v>
      </c>
      <c r="K99" s="179" t="str">
        <f t="shared" si="34"/>
        <v>&gt;</v>
      </c>
      <c r="L99" s="90" t="str">
        <f>IF(_epmOfflineCondition_,"703000",_xll.EVPRO($B$1,H99,"JDEID"))</f>
        <v>703000</v>
      </c>
      <c r="M99" s="90" t="str">
        <f>IF(_epmOfflineCondition_,"",IF(AND(I99="N",J99="N"),_xll.EVPRO($B$1,H99,"PSFTID"),""))</f>
        <v/>
      </c>
      <c r="N99" s="90" t="str">
        <f>IF(_epmOfflineCondition_,"Complimentary Services &amp; Gifts",IF(_xll.EVDES(H99,$B$1)="#NODATA","",_xll.EVDES(H99,$B$1)))</f>
        <v>Complimentary Services &amp; Gifts</v>
      </c>
      <c r="O99" s="138"/>
      <c r="P99" s="138">
        <v>500.73</v>
      </c>
      <c r="Q99" s="138"/>
      <c r="R99" s="138"/>
      <c r="S99" s="138"/>
      <c r="T99" s="138"/>
      <c r="U99" s="138"/>
      <c r="V99" s="138"/>
      <c r="W99" s="138"/>
      <c r="X99" s="138"/>
      <c r="Y99" s="138"/>
      <c r="Z99" s="138"/>
      <c r="AA99" s="210">
        <f t="shared" si="35"/>
        <v>500.73</v>
      </c>
      <c r="AB99" s="142">
        <f t="shared" si="36"/>
        <v>1.0190579071876419E-3</v>
      </c>
      <c r="AC99" s="140"/>
      <c r="AD99" s="138"/>
      <c r="AE99" s="142" t="str">
        <f t="shared" si="37"/>
        <v/>
      </c>
      <c r="AF99" s="141">
        <f t="shared" si="38"/>
        <v>500.73</v>
      </c>
      <c r="AG99" s="138"/>
      <c r="AH99" s="142" t="str">
        <f t="shared" si="39"/>
        <v/>
      </c>
      <c r="AI99" s="141">
        <f t="shared" si="40"/>
        <v>500.73</v>
      </c>
      <c r="AJ99" s="462">
        <f t="shared" si="41"/>
        <v>3.7524730215827341E-2</v>
      </c>
      <c r="AK99" s="463">
        <f t="shared" si="42"/>
        <v>0</v>
      </c>
      <c r="AL99" s="464">
        <f t="shared" si="43"/>
        <v>0</v>
      </c>
      <c r="AM99" s="465">
        <f t="shared" si="44"/>
        <v>0</v>
      </c>
      <c r="AN99" s="466">
        <f t="shared" si="45"/>
        <v>0</v>
      </c>
      <c r="AO99" s="11"/>
    </row>
    <row r="100" spans="1:41" x14ac:dyDescent="0.25">
      <c r="A100" s="11"/>
      <c r="B100" s="11"/>
      <c r="C100" s="11"/>
      <c r="D100" s="11"/>
      <c r="E100" s="11"/>
      <c r="F100" s="11"/>
      <c r="G100" s="11"/>
      <c r="H100" s="88" t="s">
        <v>856</v>
      </c>
      <c r="I100" s="122" t="str">
        <f>IF(_epmOfflineCondition_,"N",_xll.EVPRO($B$1,$H100,"STYLE"))</f>
        <v>N</v>
      </c>
      <c r="J100" s="122" t="str">
        <f>IF(_epmOfflineCondition_,"N",_xll.EVPRO($B$1,$H100,"CALC"))</f>
        <v>N</v>
      </c>
      <c r="K100" s="179" t="str">
        <f t="shared" si="34"/>
        <v/>
      </c>
      <c r="L100" s="90" t="str">
        <f>IF(_epmOfflineCondition_,"703200",_xll.EVPRO($B$1,H100,"JDEID"))</f>
        <v>703200</v>
      </c>
      <c r="M100" s="90" t="str">
        <f>IF(_epmOfflineCondition_,"590035",IF(AND(I100="N",J100="N"),_xll.EVPRO($B$1,H100,"PSFTID"),""))</f>
        <v>590035</v>
      </c>
      <c r="N100" s="90" t="str">
        <f>IF(_epmOfflineCondition_,"Uniform Costs",IF(_xll.EVDES(H100,$B$1)="#NODATA","",_xll.EVDES(H100,$B$1)))</f>
        <v>Uniform Costs</v>
      </c>
      <c r="O100" s="138"/>
      <c r="P100" s="138"/>
      <c r="Q100" s="138">
        <v>57.01</v>
      </c>
      <c r="R100" s="138"/>
      <c r="S100" s="138"/>
      <c r="T100" s="138"/>
      <c r="U100" s="138"/>
      <c r="V100" s="138"/>
      <c r="W100" s="138"/>
      <c r="X100" s="138"/>
      <c r="Y100" s="138"/>
      <c r="Z100" s="138"/>
      <c r="AA100" s="210">
        <f t="shared" si="35"/>
        <v>57.01</v>
      </c>
      <c r="AB100" s="142">
        <f t="shared" si="36"/>
        <v>1.1602358813885219E-4</v>
      </c>
      <c r="AC100" s="140"/>
      <c r="AD100" s="138">
        <v>221.25438629999999</v>
      </c>
      <c r="AE100" s="142">
        <f t="shared" si="37"/>
        <v>4.6850044651177678E-4</v>
      </c>
      <c r="AF100" s="141">
        <f t="shared" si="38"/>
        <v>-164.2443863</v>
      </c>
      <c r="AG100" s="138">
        <v>128.08000000000001</v>
      </c>
      <c r="AH100" s="142">
        <f t="shared" si="39"/>
        <v>1.9142028802177389E-4</v>
      </c>
      <c r="AI100" s="141">
        <f t="shared" si="40"/>
        <v>-71.070000000000022</v>
      </c>
      <c r="AJ100" s="462">
        <f t="shared" si="41"/>
        <v>4.272332134292566E-3</v>
      </c>
      <c r="AK100" s="463">
        <f t="shared" si="42"/>
        <v>1.4461070999999999E-2</v>
      </c>
      <c r="AL100" s="464">
        <f t="shared" si="43"/>
        <v>5.5762114153859559E-3</v>
      </c>
      <c r="AM100" s="465" t="str">
        <f t="shared" si="44"/>
        <v>-0.04 pts.</v>
      </c>
      <c r="AN100" s="466" t="str">
        <f t="shared" si="45"/>
        <v>-0.01 pts.</v>
      </c>
      <c r="AO100" s="11"/>
    </row>
    <row r="101" spans="1:41" x14ac:dyDescent="0.25">
      <c r="A101" s="97" t="s">
        <v>92</v>
      </c>
      <c r="B101" s="98" t="s">
        <v>93</v>
      </c>
      <c r="C101" s="98" t="s">
        <v>94</v>
      </c>
      <c r="D101" s="98" t="s">
        <v>95</v>
      </c>
      <c r="E101" s="98" t="s">
        <v>96</v>
      </c>
      <c r="F101" s="99" t="s">
        <v>97</v>
      </c>
      <c r="G101" s="11"/>
      <c r="H101" s="88" t="s">
        <v>875</v>
      </c>
      <c r="I101" s="122" t="str">
        <f>IF(_epmOfflineCondition_,"N",_xll.EVPRO($B$1,$H101,"STYLE"))</f>
        <v>N</v>
      </c>
      <c r="J101" s="122" t="str">
        <f>IF(_epmOfflineCondition_,"N",_xll.EVPRO($B$1,$H101,"CALC"))</f>
        <v>N</v>
      </c>
      <c r="K101" s="179" t="str">
        <f t="shared" si="34"/>
        <v/>
      </c>
      <c r="L101" s="90" t="str">
        <f>IF(_epmOfflineCondition_,"703300",_xll.EVPRO($B$1,H101,"JDEID"))</f>
        <v>703300</v>
      </c>
      <c r="M101" s="90" t="str">
        <f>IF(_epmOfflineCondition_,"590115",IF(AND(I101="N",J101="N"),_xll.EVPRO($B$1,H101,"PSFTID"),""))</f>
        <v>590115</v>
      </c>
      <c r="N101" s="90" t="str">
        <f>IF(_epmOfflineCondition_,"Uniforms Laundry",IF(_xll.EVDES(H101,$B$1)="#NODATA","",_xll.EVDES(H101,$B$1)))</f>
        <v>Uniforms Laundry</v>
      </c>
      <c r="O101" s="138"/>
      <c r="P101" s="138"/>
      <c r="Q101" s="138"/>
      <c r="R101" s="138"/>
      <c r="S101" s="138"/>
      <c r="T101" s="138"/>
      <c r="U101" s="138"/>
      <c r="V101" s="138"/>
      <c r="W101" s="138"/>
      <c r="X101" s="138"/>
      <c r="Y101" s="138"/>
      <c r="Z101" s="138"/>
      <c r="AA101" s="210">
        <f t="shared" si="35"/>
        <v>0</v>
      </c>
      <c r="AB101" s="142" t="str">
        <f t="shared" si="36"/>
        <v/>
      </c>
      <c r="AC101" s="140"/>
      <c r="AD101" s="138">
        <v>765</v>
      </c>
      <c r="AE101" s="142">
        <f t="shared" si="37"/>
        <v>1.6198677349408518E-3</v>
      </c>
      <c r="AF101" s="141">
        <f t="shared" si="38"/>
        <v>-765</v>
      </c>
      <c r="AG101" s="138">
        <v>247.4</v>
      </c>
      <c r="AH101" s="142">
        <f t="shared" si="39"/>
        <v>3.6974843267166503E-4</v>
      </c>
      <c r="AI101" s="141">
        <f t="shared" si="40"/>
        <v>-247.4</v>
      </c>
      <c r="AJ101" s="462">
        <f t="shared" si="41"/>
        <v>0</v>
      </c>
      <c r="AK101" s="463">
        <f t="shared" si="42"/>
        <v>0.05</v>
      </c>
      <c r="AL101" s="464">
        <f t="shared" si="43"/>
        <v>1.0771039226783926E-2</v>
      </c>
      <c r="AM101" s="465">
        <f t="shared" si="44"/>
        <v>0</v>
      </c>
      <c r="AN101" s="466">
        <f t="shared" si="45"/>
        <v>0</v>
      </c>
      <c r="AO101" s="11"/>
    </row>
    <row r="102" spans="1:41" x14ac:dyDescent="0.25">
      <c r="A102" s="11"/>
      <c r="B102" s="11"/>
      <c r="C102" s="11"/>
      <c r="D102" s="11"/>
      <c r="E102" s="11"/>
      <c r="F102" s="11"/>
      <c r="G102" s="11"/>
      <c r="H102" s="88" t="s">
        <v>858</v>
      </c>
      <c r="I102" s="122" t="str">
        <f>IF(_epmOfflineCondition_,"N",_xll.EVPRO($B$1,$H102,"STYLE"))</f>
        <v>N</v>
      </c>
      <c r="J102" s="122" t="str">
        <f>IF(_epmOfflineCondition_,"N",_xll.EVPRO($B$1,$H102,"CALC"))</f>
        <v>N</v>
      </c>
      <c r="K102" s="179" t="str">
        <f t="shared" si="34"/>
        <v/>
      </c>
      <c r="L102" s="90" t="str">
        <f>IF(_epmOfflineCondition_,"703500",_xll.EVPRO($B$1,H102,"JDEID"))</f>
        <v>703500</v>
      </c>
      <c r="M102" s="90" t="str">
        <f>IF(_epmOfflineCondition_,"590004",IF(AND(I102="N",J102="N"),_xll.EVPRO($B$1,H102,"PSFTID"),""))</f>
        <v>590004</v>
      </c>
      <c r="N102" s="90" t="str">
        <f>IF(_epmOfflineCondition_,"China",IF(_xll.EVDES(H102,$B$1)="#NODATA","",_xll.EVDES(H102,$B$1)))</f>
        <v>China</v>
      </c>
      <c r="O102" s="138"/>
      <c r="P102" s="138"/>
      <c r="Q102" s="138"/>
      <c r="R102" s="138"/>
      <c r="S102" s="138">
        <v>207.96</v>
      </c>
      <c r="T102" s="138"/>
      <c r="U102" s="138"/>
      <c r="V102" s="138"/>
      <c r="W102" s="138"/>
      <c r="X102" s="138"/>
      <c r="Y102" s="138"/>
      <c r="Z102" s="138"/>
      <c r="AA102" s="210">
        <f t="shared" si="35"/>
        <v>207.96</v>
      </c>
      <c r="AB102" s="142">
        <f t="shared" si="36"/>
        <v>4.2322865092713044E-4</v>
      </c>
      <c r="AC102" s="140"/>
      <c r="AD102" s="138"/>
      <c r="AE102" s="142" t="str">
        <f t="shared" si="37"/>
        <v/>
      </c>
      <c r="AF102" s="141">
        <f t="shared" si="38"/>
        <v>207.96</v>
      </c>
      <c r="AG102" s="138">
        <v>297.06</v>
      </c>
      <c r="AH102" s="142">
        <f t="shared" si="39"/>
        <v>4.4396713585062575E-4</v>
      </c>
      <c r="AI102" s="141">
        <f t="shared" si="40"/>
        <v>-89.1</v>
      </c>
      <c r="AJ102" s="462">
        <f t="shared" si="41"/>
        <v>1.5584532374100721E-2</v>
      </c>
      <c r="AK102" s="463">
        <f t="shared" si="42"/>
        <v>0</v>
      </c>
      <c r="AL102" s="464">
        <f t="shared" si="43"/>
        <v>1.2933083721537725E-2</v>
      </c>
      <c r="AM102" s="465">
        <f t="shared" si="44"/>
        <v>0</v>
      </c>
      <c r="AN102" s="466" t="str">
        <f t="shared" si="45"/>
        <v>0 pts.</v>
      </c>
      <c r="AO102" s="11"/>
    </row>
    <row r="103" spans="1:41" x14ac:dyDescent="0.25">
      <c r="A103" s="11" t="s">
        <v>108</v>
      </c>
      <c r="B103" s="11"/>
      <c r="C103" s="104" t="s">
        <v>101</v>
      </c>
      <c r="D103" s="11" t="s">
        <v>106</v>
      </c>
      <c r="E103" s="11"/>
      <c r="F103" s="11" t="s">
        <v>98</v>
      </c>
      <c r="G103" s="11"/>
      <c r="H103" s="88" t="s">
        <v>878</v>
      </c>
      <c r="I103" s="122" t="str">
        <f>IF(_epmOfflineCondition_,"N",_xll.EVPRO($B$1,$H103,"STYLE"))</f>
        <v>N</v>
      </c>
      <c r="J103" s="122" t="str">
        <f>IF(_epmOfflineCondition_,"N",_xll.EVPRO($B$1,$H103,"CALC"))</f>
        <v>N</v>
      </c>
      <c r="K103" s="179" t="str">
        <f t="shared" si="34"/>
        <v/>
      </c>
      <c r="L103" s="90" t="str">
        <f>IF(_epmOfflineCondition_,"703700",_xll.EVPRO($B$1,H103,"JDEID"))</f>
        <v>703700</v>
      </c>
      <c r="M103" s="90" t="str">
        <f>IF(_epmOfflineCondition_,"590046",IF(AND(I103="N",J103="N"),_xll.EVPRO($B$1,H103,"PSFTID"),""))</f>
        <v>590046</v>
      </c>
      <c r="N103" s="90" t="str">
        <f>IF(_epmOfflineCondition_,"Menus and Beverage Lists",IF(_xll.EVDES(H103,$B$1)="#NODATA","",_xll.EVDES(H103,$B$1)))</f>
        <v>Menus and Beverage Lists</v>
      </c>
      <c r="O103" s="138"/>
      <c r="P103" s="138"/>
      <c r="Q103" s="138"/>
      <c r="R103" s="138"/>
      <c r="S103" s="138"/>
      <c r="T103" s="138"/>
      <c r="U103" s="138"/>
      <c r="V103" s="138"/>
      <c r="W103" s="138"/>
      <c r="X103" s="138"/>
      <c r="Y103" s="138"/>
      <c r="Z103" s="138"/>
      <c r="AA103" s="210">
        <f t="shared" si="35"/>
        <v>0</v>
      </c>
      <c r="AB103" s="142" t="str">
        <f t="shared" si="36"/>
        <v/>
      </c>
      <c r="AC103" s="140"/>
      <c r="AD103" s="138"/>
      <c r="AE103" s="142" t="str">
        <f t="shared" si="37"/>
        <v/>
      </c>
      <c r="AF103" s="141">
        <f t="shared" si="38"/>
        <v>0</v>
      </c>
      <c r="AG103" s="138">
        <v>75.36</v>
      </c>
      <c r="AH103" s="142">
        <f t="shared" si="39"/>
        <v>1.1262830188414177E-4</v>
      </c>
      <c r="AI103" s="141">
        <f t="shared" si="40"/>
        <v>-75.36</v>
      </c>
      <c r="AJ103" s="462">
        <f t="shared" si="41"/>
        <v>0</v>
      </c>
      <c r="AK103" s="463">
        <f t="shared" si="42"/>
        <v>0</v>
      </c>
      <c r="AL103" s="464">
        <f t="shared" si="43"/>
        <v>3.2809438808829292E-3</v>
      </c>
      <c r="AM103" s="465">
        <f t="shared" si="44"/>
        <v>0</v>
      </c>
      <c r="AN103" s="466">
        <f t="shared" si="45"/>
        <v>0</v>
      </c>
      <c r="AO103" s="11"/>
    </row>
    <row r="104" spans="1:41" x14ac:dyDescent="0.25">
      <c r="A104" s="11" t="s">
        <v>100</v>
      </c>
      <c r="B104" s="11"/>
      <c r="C104" s="53" t="s">
        <v>101</v>
      </c>
      <c r="D104" s="11" t="s">
        <v>106</v>
      </c>
      <c r="E104" s="11"/>
      <c r="F104" s="11" t="s">
        <v>98</v>
      </c>
      <c r="G104" s="11"/>
      <c r="H104" s="88" t="s">
        <v>840</v>
      </c>
      <c r="I104" s="122" t="str">
        <f>IF(_epmOfflineCondition_,"N",_xll.EVPRO($B$1,$H104,"STYLE"))</f>
        <v>N</v>
      </c>
      <c r="J104" s="122" t="str">
        <f>IF(_epmOfflineCondition_,"N",_xll.EVPRO($B$1,$H104,"CALC"))</f>
        <v>N</v>
      </c>
      <c r="K104" s="179" t="str">
        <f t="shared" si="34"/>
        <v/>
      </c>
      <c r="L104" s="90" t="str">
        <f>IF(_epmOfflineCondition_,"705500",_xll.EVPRO($B$1,H104,"JDEID"))</f>
        <v>705500</v>
      </c>
      <c r="M104" s="90" t="str">
        <f>IF(_epmOfflineCondition_,"690105",IF(AND(I104="N",J104="N"),_xll.EVPRO($B$1,H104,"PSFTID"),""))</f>
        <v>690105</v>
      </c>
      <c r="N104" s="90" t="str">
        <f>IF(_epmOfflineCondition_,"Licenses &amp; Permits",IF(_xll.EVDES(H104,$B$1)="#NODATA","",_xll.EVDES(H104,$B$1)))</f>
        <v>Licenses &amp; Permits</v>
      </c>
      <c r="O104" s="138"/>
      <c r="P104" s="138"/>
      <c r="Q104" s="138"/>
      <c r="R104" s="138"/>
      <c r="S104" s="138"/>
      <c r="T104" s="138"/>
      <c r="U104" s="138"/>
      <c r="V104" s="138">
        <v>273</v>
      </c>
      <c r="W104" s="138"/>
      <c r="X104" s="138"/>
      <c r="Y104" s="138"/>
      <c r="Z104" s="138"/>
      <c r="AA104" s="210">
        <f t="shared" si="35"/>
        <v>273</v>
      </c>
      <c r="AB104" s="142">
        <f t="shared" si="36"/>
        <v>5.555944494282872E-4</v>
      </c>
      <c r="AC104" s="140"/>
      <c r="AD104" s="138">
        <v>323</v>
      </c>
      <c r="AE104" s="142">
        <f t="shared" si="37"/>
        <v>6.8394415475280413E-4</v>
      </c>
      <c r="AF104" s="141">
        <f t="shared" si="38"/>
        <v>-50</v>
      </c>
      <c r="AG104" s="138">
        <v>323</v>
      </c>
      <c r="AH104" s="142">
        <f t="shared" si="39"/>
        <v>4.8273542341531039E-4</v>
      </c>
      <c r="AI104" s="141">
        <f t="shared" si="40"/>
        <v>-50</v>
      </c>
      <c r="AJ104" s="462">
        <f t="shared" si="41"/>
        <v>2.0458633093525181E-2</v>
      </c>
      <c r="AK104" s="463">
        <f t="shared" si="42"/>
        <v>2.1111111111111112E-2</v>
      </c>
      <c r="AL104" s="464">
        <f t="shared" si="43"/>
        <v>1.406243197352954E-2</v>
      </c>
      <c r="AM104" s="465" t="str">
        <f t="shared" si="44"/>
        <v>-0.01 pts.</v>
      </c>
      <c r="AN104" s="466" t="str">
        <f t="shared" si="45"/>
        <v>0.01 pts.</v>
      </c>
      <c r="AO104" s="11"/>
    </row>
    <row r="105" spans="1:41" x14ac:dyDescent="0.25">
      <c r="A105" s="11" t="s">
        <v>109</v>
      </c>
      <c r="B105" s="11"/>
      <c r="C105" s="106" t="s">
        <v>101</v>
      </c>
      <c r="D105" s="11" t="s">
        <v>106</v>
      </c>
      <c r="E105" s="11"/>
      <c r="F105" s="11" t="s">
        <v>98</v>
      </c>
      <c r="G105" s="76"/>
      <c r="H105" s="88" t="s">
        <v>79</v>
      </c>
      <c r="I105" s="136" t="str">
        <f>IF(_epmOfflineCondition_,"T3",_xll.EVPRO($B$1,$H105,"STYLE"))</f>
        <v>T3</v>
      </c>
      <c r="J105" s="136" t="str">
        <f>IF(_epmOfflineCondition_,"Y",_xll.EVPRO($B$1,$H105,"CALC"))</f>
        <v>Y</v>
      </c>
      <c r="K105" s="104"/>
      <c r="L105" s="104"/>
      <c r="M105" s="104"/>
      <c r="N105" s="106" t="str">
        <f>IF(_epmOfflineCondition_,"Total Operations Expense",IF(_xll.EVDES(H105,$B$1)="#NODATA","",_xll.EVDES(H105,$B$1)))</f>
        <v>Total Operations Expense</v>
      </c>
      <c r="O105" s="150">
        <v>558</v>
      </c>
      <c r="P105" s="150">
        <v>1328.37</v>
      </c>
      <c r="Q105" s="150">
        <v>-173.63</v>
      </c>
      <c r="R105" s="150">
        <v>1501.56</v>
      </c>
      <c r="S105" s="150">
        <v>871.96</v>
      </c>
      <c r="T105" s="150">
        <v>482</v>
      </c>
      <c r="U105" s="150">
        <v>585.72</v>
      </c>
      <c r="V105" s="150">
        <v>799</v>
      </c>
      <c r="W105" s="150">
        <v>400.38</v>
      </c>
      <c r="X105" s="150">
        <v>530</v>
      </c>
      <c r="Y105" s="150">
        <v>75</v>
      </c>
      <c r="Z105" s="150">
        <v>668.67</v>
      </c>
      <c r="AA105" s="150">
        <f t="shared" si="35"/>
        <v>7627.0300000000007</v>
      </c>
      <c r="AB105" s="151">
        <f t="shared" si="36"/>
        <v>1.5522108181769339E-2</v>
      </c>
      <c r="AC105" s="140"/>
      <c r="AD105" s="150">
        <v>8761.4601387999992</v>
      </c>
      <c r="AE105" s="151">
        <f t="shared" si="37"/>
        <v>1.8552165476879105E-2</v>
      </c>
      <c r="AF105" s="152">
        <f t="shared" si="38"/>
        <v>-1134.4301387999985</v>
      </c>
      <c r="AG105" s="150">
        <v>13200.15</v>
      </c>
      <c r="AH105" s="151">
        <f t="shared" si="39"/>
        <v>1.972811145323718E-2</v>
      </c>
      <c r="AI105" s="152">
        <f t="shared" si="40"/>
        <v>-5573.119999999999</v>
      </c>
      <c r="AJ105" s="446">
        <f t="shared" si="41"/>
        <v>0.57156999400479624</v>
      </c>
      <c r="AK105" s="447">
        <f t="shared" si="42"/>
        <v>0.57264445351633986</v>
      </c>
      <c r="AL105" s="448">
        <f t="shared" si="43"/>
        <v>0.57469415298881099</v>
      </c>
      <c r="AM105" s="449" t="str">
        <f t="shared" si="44"/>
        <v>-0.3 pts.</v>
      </c>
      <c r="AN105" s="546" t="str">
        <f t="shared" si="45"/>
        <v>-0.42 pts.</v>
      </c>
      <c r="AO105" s="11"/>
    </row>
    <row r="106" spans="1:41" x14ac:dyDescent="0.25">
      <c r="A106" s="11" t="s">
        <v>109</v>
      </c>
      <c r="B106" s="11"/>
      <c r="C106" s="196" t="s">
        <v>101</v>
      </c>
      <c r="D106" s="11" t="s">
        <v>107</v>
      </c>
      <c r="E106" s="11"/>
      <c r="F106" s="11" t="s">
        <v>99</v>
      </c>
      <c r="G106" s="11"/>
      <c r="H106" s="11"/>
      <c r="I106" s="59"/>
      <c r="J106" s="59"/>
      <c r="K106" s="11"/>
      <c r="L106" s="11"/>
      <c r="M106" s="11"/>
      <c r="N106" s="11"/>
      <c r="O106" s="140"/>
      <c r="P106" s="140"/>
      <c r="Q106" s="140"/>
      <c r="R106" s="140"/>
      <c r="S106" s="140"/>
      <c r="T106" s="140"/>
      <c r="U106" s="140"/>
      <c r="V106" s="140"/>
      <c r="W106" s="140"/>
      <c r="X106" s="140"/>
      <c r="Y106" s="140"/>
      <c r="Z106" s="140"/>
      <c r="AA106" s="140"/>
      <c r="AB106" s="140"/>
      <c r="AC106" s="140"/>
      <c r="AD106" s="140"/>
      <c r="AE106" s="140"/>
      <c r="AF106" s="140"/>
      <c r="AG106" s="140"/>
      <c r="AH106" s="140"/>
      <c r="AI106" s="140"/>
      <c r="AJ106" s="140"/>
      <c r="AK106" s="140"/>
      <c r="AL106" s="140"/>
      <c r="AM106" s="140"/>
      <c r="AN106" s="140"/>
      <c r="AO106" s="11"/>
    </row>
    <row r="107" spans="1:41" x14ac:dyDescent="0.25">
      <c r="A107" s="11" t="s">
        <v>110</v>
      </c>
      <c r="B107" s="11"/>
      <c r="C107" s="106" t="s">
        <v>101</v>
      </c>
      <c r="D107" s="11" t="s">
        <v>106</v>
      </c>
      <c r="E107" s="11"/>
      <c r="F107" s="11" t="s">
        <v>98</v>
      </c>
      <c r="G107" s="11"/>
      <c r="H107" s="88" t="s">
        <v>80</v>
      </c>
      <c r="I107" s="136" t="str">
        <f>IF(_epmOfflineCondition_,"T3",_xll.EVPRO($B$1,$H107,"STYLE"))</f>
        <v>T3</v>
      </c>
      <c r="J107" s="136" t="str">
        <f>IF(_epmOfflineCondition_,"Y",_xll.EVPRO($B$1,$H107,"CALC"))</f>
        <v>Y</v>
      </c>
      <c r="K107" s="106"/>
      <c r="L107" s="106"/>
      <c r="M107" s="106"/>
      <c r="N107" s="106" t="str">
        <f>IF(_epmOfflineCondition_,"Total Expenses",IF(_xll.EVDES(H107,$B$1)="#NODATA","",_xll.EVDES(H107,$B$1)))</f>
        <v>Total Expenses</v>
      </c>
      <c r="O107" s="242">
        <v>9494.69</v>
      </c>
      <c r="P107" s="242">
        <v>15761.92</v>
      </c>
      <c r="Q107" s="242">
        <v>8262.82</v>
      </c>
      <c r="R107" s="242">
        <v>17920.509999999998</v>
      </c>
      <c r="S107" s="242">
        <v>14493.83</v>
      </c>
      <c r="T107" s="242">
        <v>8313.64</v>
      </c>
      <c r="U107" s="242">
        <v>11206.2</v>
      </c>
      <c r="V107" s="242">
        <v>9455.8700000000008</v>
      </c>
      <c r="W107" s="242">
        <v>9806.41</v>
      </c>
      <c r="X107" s="242">
        <v>10495.35</v>
      </c>
      <c r="Y107" s="242">
        <v>7063.13</v>
      </c>
      <c r="Z107" s="242">
        <v>7442.02</v>
      </c>
      <c r="AA107" s="242">
        <f>IF($I107="B1","",SUM(O107:Z107))</f>
        <v>129716.39000000001</v>
      </c>
      <c r="AB107" s="243">
        <f>IF(AA107=0,"",IFERROR(AA107/AA$19,""))</f>
        <v>0.26399159810943218</v>
      </c>
      <c r="AC107" s="140"/>
      <c r="AD107" s="242">
        <v>152317.11847565699</v>
      </c>
      <c r="AE107" s="243">
        <f>IF(AD107=0,"",IFERROR(AD107/AD$19,""))</f>
        <v>0.32252756300376451</v>
      </c>
      <c r="AF107" s="254">
        <f>IF(AND($AA107="",AD107=""),"",$AA107-AD107)</f>
        <v>-22600.728475656972</v>
      </c>
      <c r="AG107" s="255">
        <v>152905.32</v>
      </c>
      <c r="AH107" s="256">
        <f>IF(AG107=0,"",IFERROR(AG107/AG$19,""))</f>
        <v>0.22852264517849391</v>
      </c>
      <c r="AI107" s="254">
        <f>IF(AND($AA107="",AG107=""),"",$AA107-AG107)</f>
        <v>-23188.929999999993</v>
      </c>
      <c r="AJ107" s="435">
        <f>IFERROR(AA107/AA$20,0)</f>
        <v>9.7209524880095941</v>
      </c>
      <c r="AK107" s="436">
        <f>IFERROR(AD107/AD$20,0)</f>
        <v>9.9553672206311763</v>
      </c>
      <c r="AL107" s="437">
        <f>IFERROR(AG107/AG$20,0)</f>
        <v>6.6570299098785322</v>
      </c>
      <c r="AM107" s="438" t="str">
        <f>+IFERROR(ROUND(($AB107-AE107)*100,2)&amp;" pts.",0)</f>
        <v>-5.85 pts.</v>
      </c>
      <c r="AN107" s="547" t="str">
        <f>+IFERROR(ROUND(($AB107-AH107)*100,2)&amp;" pts.",0)</f>
        <v>3.55 pts.</v>
      </c>
      <c r="AO107" s="11"/>
    </row>
    <row r="108" spans="1:41" ht="15.75" thickBot="1" x14ac:dyDescent="0.3">
      <c r="A108" s="11" t="s">
        <v>110</v>
      </c>
      <c r="B108" s="11"/>
      <c r="C108" s="109" t="s">
        <v>101</v>
      </c>
      <c r="D108" s="11" t="s">
        <v>107</v>
      </c>
      <c r="E108" s="11"/>
      <c r="F108" s="11" t="s">
        <v>99</v>
      </c>
      <c r="G108" s="11"/>
      <c r="H108" s="88" t="s">
        <v>81</v>
      </c>
      <c r="I108" s="136" t="str">
        <f>IF(_epmOfflineCondition_,"T3",_xll.EVPRO($B$1,$H108,"STYLE"))</f>
        <v>T3</v>
      </c>
      <c r="J108" s="136" t="str">
        <f>IF(_epmOfflineCondition_,"Y",_xll.EVPRO($B$1,$H108,"CALC"))</f>
        <v>Y</v>
      </c>
      <c r="K108" s="106"/>
      <c r="L108" s="106"/>
      <c r="M108" s="106"/>
      <c r="N108" s="106" t="str">
        <f>IF(_epmOfflineCondition_,"Department Profit (Loss)",IF(_xll.EVDES(H108,$B$1)="#NODATA","",_xll.EVDES(H108,$B$1)))</f>
        <v>Department Profit (Loss)</v>
      </c>
      <c r="O108" s="165">
        <v>25538.89</v>
      </c>
      <c r="P108" s="165">
        <v>29508.35</v>
      </c>
      <c r="Q108" s="165">
        <v>43068.45</v>
      </c>
      <c r="R108" s="165">
        <v>5870.04</v>
      </c>
      <c r="S108" s="165">
        <v>28072.82</v>
      </c>
      <c r="T108" s="165">
        <v>18048.72</v>
      </c>
      <c r="U108" s="165">
        <v>18354.39</v>
      </c>
      <c r="V108" s="165">
        <v>10634.6</v>
      </c>
      <c r="W108" s="165">
        <v>12351.15</v>
      </c>
      <c r="X108" s="165">
        <v>13118.66</v>
      </c>
      <c r="Y108" s="165">
        <v>26726.26</v>
      </c>
      <c r="Z108" s="165">
        <v>24786.57</v>
      </c>
      <c r="AA108" s="165">
        <f>IF($I108="B1","",SUM(O108:Z108))</f>
        <v>256078.9</v>
      </c>
      <c r="AB108" s="166">
        <f>IF(AA108=0,"",IFERROR(AA108/AA$19,""))</f>
        <v>0.52115756577180006</v>
      </c>
      <c r="AC108" s="140"/>
      <c r="AD108" s="165">
        <v>222878.04152434299</v>
      </c>
      <c r="AE108" s="166">
        <f>IF(AD108=0,"",IFERROR(AD108/AD$19,""))</f>
        <v>0.47193849449946484</v>
      </c>
      <c r="AF108" s="167">
        <f>IF(AND($AA108="",AD108=""),"",$AA108-AD108)</f>
        <v>33200.858475657005</v>
      </c>
      <c r="AG108" s="165">
        <v>367249.27</v>
      </c>
      <c r="AH108" s="166">
        <f>IF(AG108=0,"",IFERROR(AG108/AG$19,""))</f>
        <v>0.54886759087434567</v>
      </c>
      <c r="AI108" s="167">
        <f>IF(AND($AA108="",AG108=""),"",$AA108-AG108)</f>
        <v>-111170.37000000002</v>
      </c>
      <c r="AJ108" s="452">
        <f>IFERROR(AA108/AA$20,0)</f>
        <v>19.190565047961631</v>
      </c>
      <c r="AK108" s="453">
        <f>IFERROR(AD108/AD$20,0)</f>
        <v>14.567192256493005</v>
      </c>
      <c r="AL108" s="454">
        <f>IFERROR(AG108/AG$20,0)</f>
        <v>15.988909834994994</v>
      </c>
      <c r="AM108" s="455" t="str">
        <f>+IFERROR(ROUND(($AB108-AE108)*100,2)&amp;" pts.",0)</f>
        <v>4.92 pts.</v>
      </c>
      <c r="AN108" s="548" t="str">
        <f>+IFERROR(ROUND(($AB108-AH108)*100,2)&amp;" pts.",0)</f>
        <v>-2.77 pts.</v>
      </c>
      <c r="AO108" s="11"/>
    </row>
    <row r="109" spans="1:41" ht="15.75" thickTop="1" x14ac:dyDescent="0.25">
      <c r="A109" s="11"/>
      <c r="B109" s="11"/>
      <c r="C109" s="208"/>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11"/>
      <c r="I110" s="59"/>
      <c r="J110" s="59"/>
      <c r="K110" s="11"/>
      <c r="L110" s="11"/>
      <c r="M110" s="11"/>
      <c r="N110" s="104" t="str">
        <f>N107&amp;" - Check"</f>
        <v>Total Expenses - Check</v>
      </c>
      <c r="O110" s="209">
        <f t="shared" ref="O110:AA110" si="46">SUMIF($H$35:$H$108,"600000",O$35:O$108)+SUMIF($H$35:$H$108,"700000",O$35:O$108)-SUMIF($H$35:$H$108,"TOTDEPTEXP",O$35:O$108)</f>
        <v>0</v>
      </c>
      <c r="P110" s="209">
        <f t="shared" si="46"/>
        <v>0</v>
      </c>
      <c r="Q110" s="209">
        <f t="shared" si="46"/>
        <v>0</v>
      </c>
      <c r="R110" s="209">
        <f t="shared" si="46"/>
        <v>0</v>
      </c>
      <c r="S110" s="209">
        <f t="shared" si="46"/>
        <v>0</v>
      </c>
      <c r="T110" s="209">
        <f t="shared" si="46"/>
        <v>0</v>
      </c>
      <c r="U110" s="209">
        <f t="shared" si="46"/>
        <v>0</v>
      </c>
      <c r="V110" s="209">
        <f t="shared" si="46"/>
        <v>0</v>
      </c>
      <c r="W110" s="209">
        <f t="shared" si="46"/>
        <v>0</v>
      </c>
      <c r="X110" s="209">
        <f t="shared" si="46"/>
        <v>0</v>
      </c>
      <c r="Y110" s="209">
        <f t="shared" si="46"/>
        <v>0</v>
      </c>
      <c r="Z110" s="209">
        <f t="shared" si="46"/>
        <v>0</v>
      </c>
      <c r="AA110" s="209">
        <f t="shared" si="46"/>
        <v>0</v>
      </c>
      <c r="AB110" s="100"/>
      <c r="AC110" s="11"/>
      <c r="AD110" s="209">
        <f>SUMIF($H$35:$H$108,"600000",AD$35:AD$108)+SUMIF($H$35:$H$108,"700000",AD$35:AD$108)-SUMIF($H$35:$H$108,"TOTDEPTEXP",AD$35:AD$108)</f>
        <v>0</v>
      </c>
      <c r="AE110" s="100"/>
      <c r="AF110" s="91"/>
      <c r="AG110" s="209">
        <f>SUMIF($H$35:$H$108,"600000",AG$35:AG$108)+SUMIF($H$35:$H$108,"700000",AG$35:AG$108)-SUMIF($H$35:$H$108,"TOTDEPTEXP",AG$35:AG$108)</f>
        <v>0</v>
      </c>
      <c r="AH110" s="100"/>
      <c r="AI110" s="91"/>
      <c r="AJ110" s="11"/>
      <c r="AK110" s="11"/>
      <c r="AL110" s="11"/>
      <c r="AM110" s="11"/>
      <c r="AN110" s="11"/>
      <c r="AO110" s="11"/>
    </row>
    <row r="111" spans="1:41" x14ac:dyDescent="0.25">
      <c r="A111" s="61" t="str">
        <f>IF(_epmOfflineCondition_,"Evdre:Ok",_xll.EVDRE($B$1,A114:B121))</f>
        <v>Evdre:Ok</v>
      </c>
      <c r="B111" s="11" t="s">
        <v>736</v>
      </c>
      <c r="C111" s="11"/>
      <c r="D111" s="11"/>
      <c r="E111" s="11"/>
      <c r="F111" s="11"/>
      <c r="G111" s="76"/>
      <c r="H111" s="11"/>
      <c r="I111" s="59"/>
      <c r="J111" s="59"/>
      <c r="K111" s="11"/>
      <c r="L111" s="11"/>
      <c r="M111" s="11"/>
      <c r="N111" s="104" t="str">
        <f>N108&amp;" - Check"</f>
        <v>Department Profit (Loss) - Check</v>
      </c>
      <c r="O111" s="209">
        <f t="shared" ref="O111:AA111" si="47">SUMIF($H$35:$H$108,"KPI_GP",O$35:O$108)-SUMIF($H$35:$H$108,"TOTDEPTEXP",O$35:O$108)-SUMIF($H$35:$H$108,"TOTDEPTPL",O$35:O$108)</f>
        <v>0</v>
      </c>
      <c r="P111" s="209">
        <f t="shared" si="47"/>
        <v>0</v>
      </c>
      <c r="Q111" s="209">
        <f t="shared" si="47"/>
        <v>0</v>
      </c>
      <c r="R111" s="209">
        <f t="shared" si="47"/>
        <v>0</v>
      </c>
      <c r="S111" s="209">
        <f t="shared" si="47"/>
        <v>0</v>
      </c>
      <c r="T111" s="209">
        <f t="shared" si="47"/>
        <v>0</v>
      </c>
      <c r="U111" s="209">
        <f t="shared" si="47"/>
        <v>0</v>
      </c>
      <c r="V111" s="209">
        <f t="shared" si="47"/>
        <v>0</v>
      </c>
      <c r="W111" s="209">
        <f t="shared" si="47"/>
        <v>0</v>
      </c>
      <c r="X111" s="209">
        <f t="shared" si="47"/>
        <v>0</v>
      </c>
      <c r="Y111" s="209">
        <f t="shared" si="47"/>
        <v>0</v>
      </c>
      <c r="Z111" s="209">
        <f t="shared" si="47"/>
        <v>0</v>
      </c>
      <c r="AA111" s="209">
        <f t="shared" si="47"/>
        <v>0</v>
      </c>
      <c r="AB111" s="100"/>
      <c r="AC111" s="11"/>
      <c r="AD111" s="209">
        <f>SUMIF($H$35:$H$108,"KPI_GP",AD$35:AD$108)-SUMIF($H$35:$H$108,"TOTDEPTEXP",AD$35:AD$108)-SUMIF($H$35:$H$108,"TOTDEPTPL",AD$35:AD$108)</f>
        <v>0</v>
      </c>
      <c r="AE111" s="100"/>
      <c r="AF111" s="91"/>
      <c r="AG111" s="209">
        <f>SUMIF($H$35:$H$108,"KPI_GP",AG$35:AG$108)-SUMIF($H$35:$H$108,"TOTDEPTEXP",AG$35:AG$108)-SUMIF($H$35:$H$108,"TOTDEPTPL",AG$35:AG$108)</f>
        <v>0</v>
      </c>
      <c r="AH111" s="100"/>
      <c r="AI111" s="91"/>
      <c r="AJ111" s="11"/>
      <c r="AK111" s="11"/>
      <c r="AL111" s="11"/>
      <c r="AM111" s="11"/>
      <c r="AN111" s="11"/>
      <c r="AO111" s="11"/>
    </row>
    <row r="112" spans="1:41" x14ac:dyDescent="0.2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2" t="s">
        <v>0</v>
      </c>
      <c r="B113" s="63" t="s">
        <v>1</v>
      </c>
      <c r="C113" s="11"/>
      <c r="D113" s="11"/>
      <c r="E113" s="11"/>
      <c r="F113" s="11"/>
      <c r="G113" s="11"/>
      <c r="H113" s="11"/>
      <c r="I113" s="59"/>
      <c r="J113" s="59"/>
      <c r="K113" s="11"/>
      <c r="L113" s="11"/>
      <c r="M113" s="11"/>
      <c r="N113" s="11"/>
      <c r="O113" s="137"/>
      <c r="P113" s="137"/>
      <c r="Q113" s="137"/>
      <c r="R113" s="137"/>
      <c r="S113" s="137"/>
      <c r="T113" s="137"/>
      <c r="U113" s="137"/>
      <c r="V113" s="137"/>
      <c r="W113" s="137"/>
      <c r="X113" s="137"/>
      <c r="Y113" s="137"/>
      <c r="Z113" s="137"/>
      <c r="AA113" s="137"/>
      <c r="AB113" s="11"/>
      <c r="AC113" s="11"/>
      <c r="AD113" s="137"/>
      <c r="AE113" s="11"/>
      <c r="AF113" s="11"/>
      <c r="AG113" s="137"/>
      <c r="AH113" s="11"/>
      <c r="AI113" s="11"/>
      <c r="AJ113" s="11"/>
      <c r="AK113" s="11"/>
      <c r="AL113" s="11"/>
      <c r="AM113" s="11"/>
      <c r="AN113" s="11"/>
      <c r="AO113" s="11"/>
    </row>
    <row r="114" spans="1:41" x14ac:dyDescent="0.25">
      <c r="A114" s="65" t="s">
        <v>2</v>
      </c>
      <c r="B114" s="66" t="str">
        <f>IF(_epmOfflineCondition_,"'VenueBar'!$B$2:$B$10",_xll.EVRNG($B$2:$B$10))</f>
        <v>'VenueBar'!$B$2:$B$10</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3</v>
      </c>
      <c r="B115" s="66" t="str">
        <f>IF(_epmOfflineCondition_,"'VenueBar'!$O$16:$AN$18",_xll.EVRNG($O$16:$AN$18))</f>
        <v>'VenueBar'!$O$16:$AN$18</v>
      </c>
      <c r="C115" s="11"/>
      <c r="D115" s="11"/>
      <c r="E115" s="11"/>
      <c r="F115" s="11"/>
      <c r="G115" s="11"/>
      <c r="H115" s="11"/>
      <c r="I115" s="59"/>
      <c r="J115" s="59"/>
      <c r="K115" s="11"/>
      <c r="L115" s="11"/>
      <c r="M115" s="11"/>
      <c r="N115" s="11"/>
      <c r="O115" s="137"/>
      <c r="P115" s="137"/>
      <c r="Q115" s="137"/>
      <c r="R115" s="137"/>
      <c r="S115" s="137"/>
      <c r="T115" s="137"/>
      <c r="U115" s="137"/>
      <c r="V115" s="137"/>
      <c r="W115" s="137"/>
      <c r="X115" s="137"/>
      <c r="Y115" s="137"/>
      <c r="Z115" s="137"/>
      <c r="AA115" s="137"/>
      <c r="AB115" s="11"/>
      <c r="AC115" s="11"/>
      <c r="AD115" s="137"/>
      <c r="AE115" s="11"/>
      <c r="AF115" s="11"/>
      <c r="AG115" s="137"/>
      <c r="AH115" s="11"/>
      <c r="AI115" s="11"/>
      <c r="AJ115" s="11"/>
      <c r="AK115" s="11"/>
      <c r="AL115" s="11"/>
      <c r="AM115" s="11"/>
      <c r="AN115" s="11"/>
      <c r="AO115" s="11"/>
    </row>
    <row r="116" spans="1:41" x14ac:dyDescent="0.25">
      <c r="A116" s="65" t="s">
        <v>4</v>
      </c>
      <c r="B116" s="66" t="str">
        <f>IF(_epmOfflineCondition_,"'VenueBar'!$H$105:$H$108",_xll.EVRNG(H105:H108))</f>
        <v>'VenueBar'!$H$105:$H$108</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6</v>
      </c>
      <c r="B118" s="66"/>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7</v>
      </c>
      <c r="B119" s="66"/>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47</v>
      </c>
      <c r="B120" s="66" t="str">
        <f>IF(_epmOfflineCondition_,"'VenueBar'!$A$125:$B$146",_xll.EVRNG($A$125:$B$146))</f>
        <v>'VenueBar'!$A$125:$B$146</v>
      </c>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8</v>
      </c>
      <c r="B121" s="66"/>
      <c r="C121" s="11"/>
      <c r="D121" s="11"/>
      <c r="E121" s="11"/>
      <c r="F121" s="11"/>
      <c r="G121" s="11"/>
      <c r="H121" s="59"/>
      <c r="I121" s="59"/>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59"/>
      <c r="I122" s="59"/>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59"/>
      <c r="I123" s="59"/>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2" t="s">
        <v>23</v>
      </c>
      <c r="B124" s="63" t="s">
        <v>24</v>
      </c>
      <c r="C124" s="11"/>
      <c r="D124" s="11"/>
      <c r="E124" s="11"/>
      <c r="F124" s="11"/>
      <c r="G124" s="11"/>
      <c r="H124" s="59"/>
      <c r="I124" s="59"/>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25</v>
      </c>
      <c r="B125" s="66"/>
      <c r="C125" s="11"/>
      <c r="D125" s="11"/>
      <c r="E125" s="11"/>
      <c r="F125" s="11"/>
      <c r="G125" s="11"/>
      <c r="H125" s="59"/>
      <c r="I125" s="59"/>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26</v>
      </c>
      <c r="B126" s="66"/>
      <c r="C126" s="11"/>
      <c r="D126" s="11"/>
      <c r="E126" s="11"/>
      <c r="F126" s="11"/>
      <c r="G126" s="11"/>
      <c r="H126" s="59"/>
      <c r="I126" s="59"/>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27</v>
      </c>
      <c r="B127" s="66"/>
      <c r="C127" s="11"/>
      <c r="D127" s="11"/>
      <c r="E127" s="11"/>
      <c r="F127" s="11"/>
      <c r="G127" s="11"/>
      <c r="H127" s="59"/>
      <c r="I127" s="59"/>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28</v>
      </c>
      <c r="B128" s="66"/>
      <c r="C128" s="11"/>
      <c r="D128" s="11"/>
      <c r="E128" s="11"/>
      <c r="F128" s="11"/>
      <c r="G128" s="11"/>
      <c r="H128" s="59"/>
      <c r="I128" s="59"/>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29</v>
      </c>
      <c r="B129" s="66"/>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30</v>
      </c>
      <c r="B130" s="66" t="s">
        <v>78</v>
      </c>
      <c r="C130" s="11"/>
      <c r="D130" s="11"/>
      <c r="E130" s="11"/>
      <c r="F130" s="11"/>
      <c r="G130" s="11"/>
      <c r="H130" s="59"/>
      <c r="I130" s="59"/>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31</v>
      </c>
      <c r="B131" s="66" t="s">
        <v>78</v>
      </c>
      <c r="C131" s="11"/>
      <c r="D131" s="11"/>
      <c r="E131" s="11"/>
      <c r="F131" s="11"/>
      <c r="G131" s="11"/>
      <c r="H131" s="59"/>
      <c r="I131" s="59"/>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32</v>
      </c>
      <c r="B132" s="66"/>
      <c r="C132" s="11"/>
      <c r="D132" s="11"/>
      <c r="E132" s="11"/>
      <c r="F132" s="11"/>
      <c r="G132" s="11"/>
      <c r="H132" s="59"/>
      <c r="I132" s="59"/>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33</v>
      </c>
      <c r="B133" s="66"/>
      <c r="C133" s="11"/>
      <c r="D133" s="11"/>
      <c r="E133" s="11"/>
      <c r="F133" s="11"/>
      <c r="G133" s="11"/>
      <c r="H133" s="59"/>
      <c r="I133" s="59"/>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34</v>
      </c>
      <c r="B134" s="66"/>
      <c r="C134" s="11"/>
      <c r="D134" s="11"/>
      <c r="E134" s="11"/>
      <c r="F134" s="11"/>
      <c r="G134" s="11"/>
      <c r="H134" s="59"/>
      <c r="I134" s="59"/>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35</v>
      </c>
      <c r="B135" s="66"/>
      <c r="C135" s="11"/>
      <c r="D135" s="11"/>
      <c r="E135" s="11"/>
      <c r="F135" s="11"/>
      <c r="G135" s="11"/>
      <c r="H135" s="59"/>
      <c r="I135" s="59"/>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36</v>
      </c>
      <c r="B136" s="66"/>
      <c r="C136" s="11"/>
      <c r="D136" s="11"/>
      <c r="E136" s="11"/>
      <c r="F136" s="11"/>
      <c r="G136" s="11"/>
      <c r="H136" s="59"/>
      <c r="I136" s="59"/>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37</v>
      </c>
      <c r="B137" s="66"/>
      <c r="C137" s="11"/>
      <c r="D137" s="11"/>
      <c r="E137" s="11"/>
      <c r="F137" s="11"/>
      <c r="G137" s="11"/>
      <c r="H137" s="59"/>
      <c r="I137" s="59"/>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38</v>
      </c>
      <c r="B138" s="66"/>
      <c r="C138" s="11"/>
      <c r="D138" s="11"/>
      <c r="E138" s="11"/>
      <c r="F138" s="11"/>
      <c r="G138" s="11"/>
      <c r="H138" s="59"/>
      <c r="I138" s="59"/>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39</v>
      </c>
      <c r="B139" s="66"/>
      <c r="C139" s="11"/>
      <c r="D139" s="11"/>
      <c r="E139" s="11"/>
      <c r="F139" s="11"/>
      <c r="G139" s="11"/>
      <c r="H139" s="59"/>
      <c r="I139" s="59"/>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40</v>
      </c>
      <c r="B140" s="66"/>
      <c r="C140" s="11"/>
      <c r="D140" s="11"/>
      <c r="E140" s="11"/>
      <c r="F140" s="11"/>
      <c r="G140" s="11"/>
      <c r="H140" s="59"/>
      <c r="I140" s="59"/>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267"/>
      <c r="J181" s="11"/>
      <c r="K181" s="267"/>
      <c r="L181" s="267"/>
      <c r="M181" s="267"/>
      <c r="N181" s="11"/>
      <c r="O181" s="267"/>
      <c r="P181" s="267"/>
      <c r="Q181" s="267"/>
      <c r="R181" s="267"/>
      <c r="S181" s="267"/>
      <c r="T181" s="267"/>
      <c r="U181" s="267"/>
      <c r="V181" s="267"/>
      <c r="W181" s="267"/>
      <c r="X181" s="267"/>
      <c r="Y181" s="267"/>
      <c r="Z181" s="267"/>
      <c r="AA181" s="267"/>
      <c r="AB181" s="11"/>
      <c r="AC181" s="11"/>
      <c r="AD181" s="267"/>
      <c r="AE181" s="11"/>
      <c r="AF181" s="267"/>
      <c r="AG181" s="11"/>
      <c r="AH181" s="267"/>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267"/>
      <c r="J185" s="11"/>
      <c r="K185" s="267"/>
      <c r="L185" s="267"/>
      <c r="M185" s="267"/>
      <c r="N185" s="11"/>
      <c r="O185" s="267"/>
      <c r="P185" s="267"/>
      <c r="Q185" s="267"/>
      <c r="R185" s="267"/>
      <c r="S185" s="267"/>
      <c r="T185" s="267"/>
      <c r="U185" s="267"/>
      <c r="V185" s="267"/>
      <c r="W185" s="267"/>
      <c r="X185" s="267"/>
      <c r="Y185" s="267"/>
      <c r="Z185" s="267"/>
      <c r="AA185" s="267"/>
      <c r="AB185" s="11"/>
      <c r="AC185" s="11"/>
      <c r="AD185" s="267"/>
      <c r="AE185" s="11"/>
      <c r="AF185" s="267"/>
      <c r="AG185" s="11"/>
      <c r="AH185" s="267"/>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2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8+QTzKeUum1sRj88lOWYb4OQYUXKMPOWd/8eRZSmXBLEA9f+6oSRxF4QVrMNMvOm60N3TFAIWlZQoyK8amEjQw==" saltValue="jXcEGGs5V/iwyd3bIhL8EA==" spinCount="100000" sheet="1" scenarios="1"/>
  <mergeCells count="2">
    <mergeCell ref="AD31:AE31"/>
    <mergeCell ref="AG31:AH31"/>
  </mergeCells>
  <dataValidations disablePrompts="1" count="2">
    <dataValidation type="list" allowBlank="1" sqref="B29 B62 B95" xr:uid="{00000000-0002-0000-1300-000000000000}">
      <formula1>"SELF,ALL,BAS,DEP,BASMEMBERS,MEMBERS,NOEXPAND,GDEP"</formula1>
    </dataValidation>
    <dataValidation type="list" allowBlank="1" sqref="B28 B61 B94" xr:uid="{00000000-0002-0000-13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9">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t="str">
        <f>VenueBar!N1</f>
        <v>Minnow Bar</v>
      </c>
      <c r="O1" s="11" t="s">
        <v>731</v>
      </c>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734</v>
      </c>
      <c r="C6" s="11" t="str">
        <f>IF(_epmOfflineCondition_,"Venue (Bar)",_xll.EVDES(B6,$B$1))</f>
        <v>Venue (Bar)</v>
      </c>
      <c r="D6" s="11"/>
      <c r="E6" s="58" t="str">
        <f>IF(_epmOfflineCondition_,"D_VENUES",_xll.EVPRO($B$1,$B$6,$F$6))</f>
        <v>D_VENUES</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IF(_epmOfflineCondition_,"'VenueBar_KPI'!$B$2:$B$10",_xll.EVRNG($B$2:$B$10))</f>
        <v>'VenueBar_KPI'!$B$2:$B$10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IF(_epmOfflineCondition_,"'VenueBar_KPI'!$O$16:$AI$18",_xll.EVRNG(O16:AI18))</f>
        <v>'VenueBar_KPI'!$O$16:$AI$18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IF(_epmOfflineCondition_,"'VenueBar_KPI'!$H$35:$H$146",_xll.EVRNG(H35:H146))</f>
        <v>'VenueBar_KPI'!$H$35:$H$146</v>
      </c>
      <c r="C19" s="11"/>
      <c r="D19" s="11"/>
      <c r="E19" s="11"/>
      <c r="F19" s="11"/>
      <c r="G19" s="67" t="str">
        <f>$B$6</f>
        <v>D2146</v>
      </c>
      <c r="H19" s="67" t="s">
        <v>273</v>
      </c>
      <c r="I19" s="68"/>
      <c r="J19" s="68"/>
      <c r="K19" s="67"/>
      <c r="L19" s="67"/>
      <c r="M19" s="67"/>
      <c r="N19" s="67" t="str">
        <f>IF(_epmOfflineCondition_,"Total Food &amp; Beverage Revenue",_xll.EVDES(H19))</f>
        <v>Total Food &amp; Beverage Revenue</v>
      </c>
      <c r="O19" s="69">
        <f>IF(_epmOfflineCondition_,38093.5,_xll.EVGTS($B$1,1,$B$3,$B$5,$B$7,$B$9,O$16,O$17,O$18,$G$19,$H$19))</f>
        <v>38093.5</v>
      </c>
      <c r="P19" s="69">
        <f>IF(_epmOfflineCondition_,48932.5,_xll.EVGTS($B$1,1,$B$3,$B$5,$B$7,$B$9,P$16,P$17,P$18,$G$19,$H$19))</f>
        <v>48932.5</v>
      </c>
      <c r="Q19" s="69">
        <f>IF(_epmOfflineCondition_,43324,_xll.EVGTS($B$1,1,$B$3,$B$5,$B$7,$B$9,Q$16,Q$17,Q$18,$G$19,$H$19))</f>
        <v>43324</v>
      </c>
      <c r="R19" s="69">
        <f>IF(_epmOfflineCondition_,38018.2,_xll.EVGTS($B$1,1,$B$3,$B$5,$B$7,$B$9,R$16,R$17,R$18,$G$19,$H$19))</f>
        <v>38018.199999999997</v>
      </c>
      <c r="S19" s="69">
        <f>IF(_epmOfflineCondition_,45915.86,_xll.EVGTS($B$1,1,$B$3,$B$5,$B$7,$B$9,S$16,S$17,S$18,$G$19,$H$19))</f>
        <v>45915.86</v>
      </c>
      <c r="T19" s="69">
        <f>IF(_epmOfflineCondition_,28542.2,_xll.EVGTS($B$1,1,$B$3,$B$5,$B$7,$B$9,T$16,T$17,T$18,$G$19,$H$19))</f>
        <v>28542.2</v>
      </c>
      <c r="U19" s="69">
        <f>IF(_epmOfflineCondition_,32191,_xll.EVGTS($B$1,1,$B$3,$B$5,$B$7,$B$9,U$16,U$17,U$18,$G$19,$H$19))</f>
        <v>32191</v>
      </c>
      <c r="V19" s="69">
        <f>IF(_epmOfflineCondition_,21399.5,_xll.EVGTS($B$1,1,$B$3,$B$5,$B$7,$B$9,V$16,V$17,V$18,$G$19,$H$19))</f>
        <v>21399.5</v>
      </c>
      <c r="W19" s="69">
        <f>IF(_epmOfflineCondition_,23401.57,_xll.EVGTS($B$1,1,$B$3,$B$5,$B$7,$B$9,W$16,W$17,W$18,$G$19,$H$19))</f>
        <v>23401.57</v>
      </c>
      <c r="X19" s="69">
        <f>IF(_epmOfflineCondition_,25141,_xll.EVGTS($B$1,1,$B$3,$B$5,$B$7,$B$9,X$16,X$17,X$18,$G$19,$H$19))</f>
        <v>25141</v>
      </c>
      <c r="Y19" s="69">
        <f>IF(_epmOfflineCondition_,35859.69,_xll.EVGTS($B$1,1,$B$3,$B$5,$B$7,$B$9,Y$16,Y$17,Y$18,$G$19,$H$19))</f>
        <v>35859.69</v>
      </c>
      <c r="Z19" s="69">
        <f>IF(_epmOfflineCondition_,34413.86,_xll.EVGTS($B$1,1,$B$3,$B$5,$B$7,$B$9,Z$16,Z$17,Z$18,$G$19,$H$19))</f>
        <v>34413.86</v>
      </c>
      <c r="AA19" s="69">
        <f>SUM(O19:Z19)</f>
        <v>415232.88</v>
      </c>
      <c r="AB19" s="67"/>
      <c r="AC19" s="67"/>
      <c r="AD19" s="69">
        <f>IF(_epmOfflineCondition_,400221,_xll.EVGTS($B$1,1,$B$3,$B$5,$B$7,$B$9,AD$16,AD$17,AD$18,$G$19,$H$19))</f>
        <v>400221</v>
      </c>
      <c r="AE19" s="67"/>
      <c r="AF19" s="67"/>
      <c r="AG19" s="69">
        <f>IF(_epmOfflineCondition_,566919.18,_xll.EVGTS($B$1,1,$B$3,$B$5,$B$7,$B$9,AG$16,AG$17,AG$18,$G$19,$H$19))</f>
        <v>566919.18000000005</v>
      </c>
      <c r="AH19" s="67"/>
      <c r="AI19" s="67"/>
    </row>
    <row r="20" spans="1:35" hidden="1" outlineLevel="1" x14ac:dyDescent="0.25">
      <c r="A20" s="65" t="s">
        <v>5</v>
      </c>
      <c r="B20" s="66"/>
      <c r="C20" s="11"/>
      <c r="D20" s="11"/>
      <c r="E20" s="11"/>
      <c r="F20" s="11"/>
      <c r="G20" s="67" t="str">
        <f>$B$6</f>
        <v>D2146</v>
      </c>
      <c r="H20" s="67">
        <v>946000</v>
      </c>
      <c r="I20" s="68"/>
      <c r="J20" s="68"/>
      <c r="K20" s="67"/>
      <c r="L20" s="67"/>
      <c r="M20" s="67"/>
      <c r="N20" s="67" t="str">
        <f>IF(_epmOfflineCondition_,"Total Customers",_xll.EVDES(H20))</f>
        <v>Total Customers</v>
      </c>
      <c r="O20" s="69">
        <f>IF(_epmOfflineCondition_,1433,_xll.EVGTS($B$1,1,$B$3,$B$5,$B$7,$B$9,O$16,O$17,O$18,$G$20,$H$20))</f>
        <v>1433</v>
      </c>
      <c r="P20" s="69">
        <f>IF(_epmOfflineCondition_,1415,_xll.EVGTS($B$1,1,$B$3,$B$5,$B$7,$B$9,P$16,P$17,P$18,$G$20,$H$20))</f>
        <v>1415</v>
      </c>
      <c r="Q20" s="69">
        <f>IF(_epmOfflineCondition_,1418,_xll.EVGTS($B$1,1,$B$3,$B$5,$B$7,$B$9,Q$16,Q$17,Q$18,$G$20,$H$20))</f>
        <v>1418</v>
      </c>
      <c r="R20" s="69">
        <f>IF(_epmOfflineCondition_,1095,_xll.EVGTS($B$1,1,$B$3,$B$5,$B$7,$B$9,R$16,R$17,R$18,$G$20,$H$20))</f>
        <v>1095</v>
      </c>
      <c r="S20" s="69">
        <f>IF(_epmOfflineCondition_,1078,_xll.EVGTS($B$1,1,$B$3,$B$5,$B$7,$B$9,S$16,S$17,S$18,$G$20,$H$20))</f>
        <v>1078</v>
      </c>
      <c r="T20" s="69">
        <f>IF(_epmOfflineCondition_,870,_xll.EVGTS($B$1,1,$B$3,$B$5,$B$7,$B$9,T$16,T$17,T$18,$G$20,$H$20))</f>
        <v>870</v>
      </c>
      <c r="U20" s="69">
        <f>IF(_epmOfflineCondition_,1166,_xll.EVGTS($B$1,1,$B$3,$B$5,$B$7,$B$9,U$16,U$17,U$18,$G$20,$H$20))</f>
        <v>1166</v>
      </c>
      <c r="V20" s="69">
        <f>IF(_epmOfflineCondition_,825,_xll.EVGTS($B$1,1,$B$3,$B$5,$B$7,$B$9,V$16,V$17,V$18,$G$20,$H$20))</f>
        <v>825</v>
      </c>
      <c r="W20" s="69">
        <f>IF(_epmOfflineCondition_,814,_xll.EVGTS($B$1,1,$B$3,$B$5,$B$7,$B$9,W$16,W$17,W$18,$G$20,$H$20))</f>
        <v>814</v>
      </c>
      <c r="X20" s="69">
        <f>IF(_epmOfflineCondition_,974,_xll.EVGTS($B$1,1,$B$3,$B$5,$B$7,$B$9,X$16,X$17,X$18,$G$20,$H$20))</f>
        <v>974</v>
      </c>
      <c r="Y20" s="69">
        <f>IF(_epmOfflineCondition_,1190,_xll.EVGTS($B$1,1,$B$3,$B$5,$B$7,$B$9,Y$16,Y$17,Y$18,$G$20,$H$20))</f>
        <v>1190</v>
      </c>
      <c r="Z20" s="69">
        <f>IF(_epmOfflineCondition_,1066,_xll.EVGTS($B$1,1,$B$3,$B$5,$B$7,$B$9,Z$16,Z$17,Z$18,$G$20,$H$20))</f>
        <v>1066</v>
      </c>
      <c r="AA20" s="69">
        <f>SUM(O20:Z20)</f>
        <v>13344</v>
      </c>
      <c r="AB20" s="67"/>
      <c r="AC20" s="67"/>
      <c r="AD20" s="69">
        <f>IF(_epmOfflineCondition_,15300,_xll.EVGTS($B$1,1,$B$3,$B$5,$B$7,$B$9,AD$16,AD$17,AD$18,$G$20,$H$20))</f>
        <v>15300</v>
      </c>
      <c r="AE20" s="67"/>
      <c r="AF20" s="67"/>
      <c r="AG20" s="69">
        <f>IF(_epmOfflineCondition_,22969,_xll.EVGTS($B$1,1,$B$3,$B$5,$B$7,$B$9,AG$16,AG$17,AG$18,$G$20,$H$20))</f>
        <v>22969</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IF(_epmOfflineCondition_,"'VenueBar_KPI'!$A$37:$B$58",_xll.EVRNG($A$37:$B$58))</f>
        <v>'VenueBar_KPI'!$A$37:$B$58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IF(_epmOfflineCondition_,"Minnow Bar",IF($N$1="",IF(_xll.EVDES(B6,$B$1)="#NODATA","",_xll.EVDES(B6,$B$1)&amp;" Department"),$N$1))</f>
        <v>Minnow Bar</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c r="P35" s="138"/>
      <c r="Q35" s="138"/>
      <c r="R35" s="138"/>
      <c r="S35" s="138"/>
      <c r="T35" s="138"/>
      <c r="U35" s="138"/>
      <c r="V35" s="138"/>
      <c r="W35" s="138"/>
      <c r="X35" s="138"/>
      <c r="Y35" s="138"/>
      <c r="Z35" s="138"/>
      <c r="AA35" s="138">
        <f t="shared" ref="AA35:AA41" si="0">SUM(O35:Z35)</f>
        <v>0</v>
      </c>
      <c r="AB35" s="142" t="str">
        <f>IF(AA35=0,"",IFERROR(AA35/AA$19,""))</f>
        <v/>
      </c>
      <c r="AC35" s="140"/>
      <c r="AD35" s="138"/>
      <c r="AE35" s="142" t="str">
        <f>IF(AD35=0,"",IFERROR(AD35/AD$19,""))</f>
        <v/>
      </c>
      <c r="AF35" s="141">
        <f t="shared" ref="AF35:AF42" si="1">IF(AND($AA35="",AD35=""),"",$AA35-AD35)</f>
        <v>0</v>
      </c>
      <c r="AG35" s="138"/>
      <c r="AH35" s="142" t="str">
        <f>IF(AG35=0,"",IFERROR(AG35/AG$19,""))</f>
        <v/>
      </c>
      <c r="AI35" s="141">
        <f t="shared" ref="AI35:AI42" si="2">IF(AND($AA35="",AG35=""),"",$AA35-AG35)</f>
        <v>0</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c r="P36" s="138"/>
      <c r="Q36" s="138"/>
      <c r="R36" s="138"/>
      <c r="S36" s="138"/>
      <c r="T36" s="138"/>
      <c r="U36" s="138"/>
      <c r="V36" s="138"/>
      <c r="W36" s="138"/>
      <c r="X36" s="138"/>
      <c r="Y36" s="138"/>
      <c r="Z36" s="138"/>
      <c r="AA36" s="138">
        <f t="shared" si="0"/>
        <v>0</v>
      </c>
      <c r="AB36" s="142" t="str">
        <f>IF(AA36=0,"",IFERROR(AA36/AA$19,""))</f>
        <v/>
      </c>
      <c r="AC36" s="140"/>
      <c r="AD36" s="138"/>
      <c r="AE36" s="142" t="str">
        <f>IF(AD36=0,"",IFERROR(AD36/AD$19,""))</f>
        <v/>
      </c>
      <c r="AF36" s="141">
        <f t="shared" si="1"/>
        <v>0</v>
      </c>
      <c r="AG36" s="138"/>
      <c r="AH36" s="142" t="str">
        <f>IF(AG36=0,"",IFERROR(AG36/AG$19,""))</f>
        <v/>
      </c>
      <c r="AI36" s="141">
        <f t="shared" si="2"/>
        <v>0</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c r="P37" s="138"/>
      <c r="Q37" s="138"/>
      <c r="R37" s="138"/>
      <c r="S37" s="138"/>
      <c r="T37" s="138"/>
      <c r="U37" s="138"/>
      <c r="V37" s="138"/>
      <c r="W37" s="138"/>
      <c r="X37" s="138"/>
      <c r="Y37" s="138"/>
      <c r="Z37" s="138"/>
      <c r="AA37" s="138">
        <f t="shared" si="0"/>
        <v>0</v>
      </c>
      <c r="AB37" s="142" t="str">
        <f>IF(AA37=0,"",IFERROR(AA37/AA$19,""))</f>
        <v/>
      </c>
      <c r="AC37" s="140"/>
      <c r="AD37" s="138"/>
      <c r="AE37" s="142" t="str">
        <f>IF(AD37=0,"",IFERROR(AD37/AD$19,""))</f>
        <v/>
      </c>
      <c r="AF37" s="141">
        <f t="shared" si="1"/>
        <v>0</v>
      </c>
      <c r="AG37" s="138"/>
      <c r="AH37" s="142" t="str">
        <f>IF(AG37=0,"",IFERROR(AG37/AG$19,""))</f>
        <v/>
      </c>
      <c r="AI37" s="141">
        <f t="shared" si="2"/>
        <v>0</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c r="P38" s="215"/>
      <c r="Q38" s="215"/>
      <c r="R38" s="215"/>
      <c r="S38" s="215"/>
      <c r="T38" s="215"/>
      <c r="U38" s="215"/>
      <c r="V38" s="215"/>
      <c r="W38" s="215"/>
      <c r="X38" s="215"/>
      <c r="Y38" s="215"/>
      <c r="Z38" s="215"/>
      <c r="AA38" s="215">
        <f t="shared" si="0"/>
        <v>0</v>
      </c>
      <c r="AB38" s="217" t="str">
        <f>IF(AA38=0,"",IFERROR(AA38/AA$19,""))</f>
        <v/>
      </c>
      <c r="AC38" s="140"/>
      <c r="AD38" s="215"/>
      <c r="AE38" s="217" t="str">
        <f>IF(AD38=0,"",IFERROR(AD38/AD$19,""))</f>
        <v/>
      </c>
      <c r="AF38" s="218">
        <f t="shared" si="1"/>
        <v>0</v>
      </c>
      <c r="AG38" s="215">
        <v>110</v>
      </c>
      <c r="AH38" s="217">
        <f>IF(AG38=0,"",IFERROR(AG38/AG$19,""))</f>
        <v>1.9403118448029928E-4</v>
      </c>
      <c r="AI38" s="218">
        <f t="shared" si="2"/>
        <v>-110</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c r="P39" s="162"/>
      <c r="Q39" s="162"/>
      <c r="R39" s="162"/>
      <c r="S39" s="162"/>
      <c r="T39" s="162"/>
      <c r="U39" s="162"/>
      <c r="V39" s="162"/>
      <c r="W39" s="162"/>
      <c r="X39" s="162"/>
      <c r="Y39" s="162"/>
      <c r="Z39" s="162"/>
      <c r="AA39" s="162">
        <f t="shared" si="0"/>
        <v>0</v>
      </c>
      <c r="AB39" s="163" t="str">
        <f>IF(AA39=0,"",IFERROR(AA39/AA$19,""))</f>
        <v/>
      </c>
      <c r="AC39" s="140"/>
      <c r="AD39" s="162"/>
      <c r="AE39" s="163" t="str">
        <f>IF(AD39=0,"",IFERROR(AD39/AD$19,""))</f>
        <v/>
      </c>
      <c r="AF39" s="164">
        <f t="shared" si="1"/>
        <v>0</v>
      </c>
      <c r="AG39" s="162">
        <v>110</v>
      </c>
      <c r="AH39" s="163">
        <f>IF(AG39=0,"",IFERROR(AG39/AG$19,""))</f>
        <v>1.9403118448029928E-4</v>
      </c>
      <c r="AI39" s="164">
        <f t="shared" si="2"/>
        <v>-110</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c r="P40" s="231"/>
      <c r="Q40" s="231"/>
      <c r="R40" s="231"/>
      <c r="S40" s="231"/>
      <c r="T40" s="231"/>
      <c r="U40" s="231"/>
      <c r="V40" s="231"/>
      <c r="W40" s="231"/>
      <c r="X40" s="231"/>
      <c r="Y40" s="231"/>
      <c r="Z40" s="231"/>
      <c r="AA40" s="231">
        <f t="shared" si="0"/>
        <v>0</v>
      </c>
      <c r="AB40" s="233"/>
      <c r="AC40" s="140"/>
      <c r="AD40" s="231"/>
      <c r="AE40" s="233"/>
      <c r="AF40" s="234">
        <f t="shared" si="1"/>
        <v>0</v>
      </c>
      <c r="AG40" s="231">
        <v>1</v>
      </c>
      <c r="AH40" s="233"/>
      <c r="AI40" s="234">
        <f t="shared" si="2"/>
        <v>-1</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c r="P41" s="231"/>
      <c r="Q41" s="231"/>
      <c r="R41" s="231"/>
      <c r="S41" s="231"/>
      <c r="T41" s="231"/>
      <c r="U41" s="231"/>
      <c r="V41" s="231"/>
      <c r="W41" s="231"/>
      <c r="X41" s="231"/>
      <c r="Y41" s="231"/>
      <c r="Z41" s="231"/>
      <c r="AA41" s="231">
        <f t="shared" si="0"/>
        <v>0</v>
      </c>
      <c r="AB41" s="233" t="str">
        <f>IF(AA41=0,"",IFERROR(AA41/AA$87,""))</f>
        <v/>
      </c>
      <c r="AC41" s="140"/>
      <c r="AD41" s="231"/>
      <c r="AE41" s="233" t="str">
        <f>IF(AD41=0,"",IFERROR(AD41/AD$87,""))</f>
        <v/>
      </c>
      <c r="AF41" s="234">
        <f t="shared" si="1"/>
        <v>0</v>
      </c>
      <c r="AG41" s="231"/>
      <c r="AH41" s="233" t="str">
        <f>IF(AG41=0,"",IFERROR(AG41/AG$87,""))</f>
        <v/>
      </c>
      <c r="AI41" s="234">
        <f t="shared" si="2"/>
        <v>0</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2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5"/>
      <c r="AG43" s="497">
        <f>ROUND(IFERROR(AG39/AG41,0),2)</f>
        <v>0</v>
      </c>
      <c r="AH43" s="498"/>
      <c r="AI43" s="155"/>
    </row>
    <row r="44" spans="1:35" x14ac:dyDescent="0.2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c r="P45" s="138"/>
      <c r="Q45" s="138"/>
      <c r="R45" s="138"/>
      <c r="S45" s="138"/>
      <c r="T45" s="138"/>
      <c r="U45" s="138"/>
      <c r="V45" s="138"/>
      <c r="W45" s="138"/>
      <c r="X45" s="138"/>
      <c r="Y45" s="138"/>
      <c r="Z45" s="138"/>
      <c r="AA45" s="138">
        <f t="shared" ref="AA45:AA51" si="5">SUM(O45:Z45)</f>
        <v>0</v>
      </c>
      <c r="AB45" s="142" t="str">
        <f>IF(AA45=0,"",IFERROR(AA45/AA$19,""))</f>
        <v/>
      </c>
      <c r="AC45" s="140"/>
      <c r="AD45" s="138"/>
      <c r="AE45" s="142" t="str">
        <f>IF(AD45=0,"",IFERROR(AD45/AD$19,""))</f>
        <v/>
      </c>
      <c r="AF45" s="141">
        <f t="shared" ref="AF45:AF52" si="6">IF(AND($AA45="",AD45=""),"",$AA45-AD45)</f>
        <v>0</v>
      </c>
      <c r="AG45" s="138">
        <v>140477.38</v>
      </c>
      <c r="AH45" s="142">
        <f>IF(AG45=0,"",IFERROR(AG45/AG$19,""))</f>
        <v>0.24779084030990095</v>
      </c>
      <c r="AI45" s="141">
        <f t="shared" ref="AI45:AI52" si="7">IF(AND($AA45="",AG45=""),"",$AA45-AG45)</f>
        <v>-140477.38</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c r="P46" s="138"/>
      <c r="Q46" s="138"/>
      <c r="R46" s="138"/>
      <c r="S46" s="138"/>
      <c r="T46" s="138"/>
      <c r="U46" s="138"/>
      <c r="V46" s="138"/>
      <c r="W46" s="138"/>
      <c r="X46" s="138"/>
      <c r="Y46" s="138"/>
      <c r="Z46" s="138"/>
      <c r="AA46" s="138">
        <f t="shared" si="5"/>
        <v>0</v>
      </c>
      <c r="AB46" s="142" t="str">
        <f>IF(AA46=0,"",IFERROR(AA46/AA$19,""))</f>
        <v/>
      </c>
      <c r="AC46" s="140"/>
      <c r="AD46" s="138"/>
      <c r="AE46" s="142" t="str">
        <f>IF(AD46=0,"",IFERROR(AD46/AD$19,""))</f>
        <v/>
      </c>
      <c r="AF46" s="141">
        <f t="shared" si="6"/>
        <v>0</v>
      </c>
      <c r="AG46" s="138">
        <v>239696.67</v>
      </c>
      <c r="AH46" s="142">
        <f>IF(AG46=0,"",IFERROR(AG46/AG$19,""))</f>
        <v>0.4228057163280311</v>
      </c>
      <c r="AI46" s="141">
        <f t="shared" si="7"/>
        <v>-239696.67</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c r="P47" s="138"/>
      <c r="Q47" s="138"/>
      <c r="R47" s="138"/>
      <c r="S47" s="138"/>
      <c r="T47" s="138"/>
      <c r="U47" s="138"/>
      <c r="V47" s="138"/>
      <c r="W47" s="138"/>
      <c r="X47" s="138"/>
      <c r="Y47" s="138"/>
      <c r="Z47" s="138"/>
      <c r="AA47" s="138">
        <f t="shared" si="5"/>
        <v>0</v>
      </c>
      <c r="AB47" s="142" t="str">
        <f>IF(AA47=0,"",IFERROR(AA47/AA$19,""))</f>
        <v/>
      </c>
      <c r="AC47" s="140"/>
      <c r="AD47" s="138"/>
      <c r="AE47" s="142" t="str">
        <f>IF(AD47=0,"",IFERROR(AD47/AD$19,""))</f>
        <v/>
      </c>
      <c r="AF47" s="141">
        <f t="shared" si="6"/>
        <v>0</v>
      </c>
      <c r="AG47" s="138">
        <v>21440.799999999999</v>
      </c>
      <c r="AH47" s="142">
        <f>IF(AG47=0,"",IFERROR(AG47/AG$19,""))</f>
        <v>3.7819852910956367E-2</v>
      </c>
      <c r="AI47" s="141">
        <f t="shared" si="7"/>
        <v>-21440.799999999999</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c r="P48" s="215"/>
      <c r="Q48" s="215"/>
      <c r="R48" s="215"/>
      <c r="S48" s="215"/>
      <c r="T48" s="215"/>
      <c r="U48" s="215"/>
      <c r="V48" s="215"/>
      <c r="W48" s="215"/>
      <c r="X48" s="215"/>
      <c r="Y48" s="215"/>
      <c r="Z48" s="215"/>
      <c r="AA48" s="215">
        <f t="shared" si="5"/>
        <v>0</v>
      </c>
      <c r="AB48" s="217" t="str">
        <f>IF(AA48=0,"",IFERROR(AA48/AA$19,""))</f>
        <v/>
      </c>
      <c r="AC48" s="140"/>
      <c r="AD48" s="215"/>
      <c r="AE48" s="217" t="str">
        <f>IF(AD48=0,"",IFERROR(AD48/AD$19,""))</f>
        <v/>
      </c>
      <c r="AF48" s="218">
        <f t="shared" si="6"/>
        <v>0</v>
      </c>
      <c r="AG48" s="215">
        <v>29522.34</v>
      </c>
      <c r="AH48" s="217">
        <f>IF(AG48=0,"",IFERROR(AG48/AG$19,""))</f>
        <v>5.2075041807546532E-2</v>
      </c>
      <c r="AI48" s="218">
        <f t="shared" si="7"/>
        <v>-29522.34</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c r="P49" s="162"/>
      <c r="Q49" s="162"/>
      <c r="R49" s="162"/>
      <c r="S49" s="162"/>
      <c r="T49" s="162"/>
      <c r="U49" s="162"/>
      <c r="V49" s="162"/>
      <c r="W49" s="162"/>
      <c r="X49" s="162"/>
      <c r="Y49" s="162"/>
      <c r="Z49" s="162"/>
      <c r="AA49" s="162">
        <f t="shared" si="5"/>
        <v>0</v>
      </c>
      <c r="AB49" s="163" t="str">
        <f>IF(AA49=0,"",IFERROR(AA49/AA$19,""))</f>
        <v/>
      </c>
      <c r="AC49" s="140"/>
      <c r="AD49" s="162"/>
      <c r="AE49" s="163" t="str">
        <f>IF(AD49=0,"",IFERROR(AD49/AD$19,""))</f>
        <v/>
      </c>
      <c r="AF49" s="164">
        <f t="shared" si="6"/>
        <v>0</v>
      </c>
      <c r="AG49" s="162">
        <v>431137.19</v>
      </c>
      <c r="AH49" s="163">
        <f>IF(AG49=0,"",IFERROR(AG49/AG$19,""))</f>
        <v>0.76049145135643492</v>
      </c>
      <c r="AI49" s="164">
        <f t="shared" si="7"/>
        <v>-431137.19</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c r="P50" s="231"/>
      <c r="Q50" s="231"/>
      <c r="R50" s="231"/>
      <c r="S50" s="231"/>
      <c r="T50" s="231"/>
      <c r="U50" s="231"/>
      <c r="V50" s="231"/>
      <c r="W50" s="231"/>
      <c r="X50" s="231"/>
      <c r="Y50" s="231"/>
      <c r="Z50" s="231"/>
      <c r="AA50" s="231">
        <f t="shared" si="5"/>
        <v>0</v>
      </c>
      <c r="AB50" s="233"/>
      <c r="AC50" s="140"/>
      <c r="AD50" s="231"/>
      <c r="AE50" s="233"/>
      <c r="AF50" s="234">
        <f t="shared" si="6"/>
        <v>0</v>
      </c>
      <c r="AG50" s="231">
        <v>336</v>
      </c>
      <c r="AH50" s="233"/>
      <c r="AI50" s="234">
        <f t="shared" si="7"/>
        <v>-336</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c r="P51" s="231"/>
      <c r="Q51" s="231"/>
      <c r="R51" s="231"/>
      <c r="S51" s="231"/>
      <c r="T51" s="231"/>
      <c r="U51" s="231"/>
      <c r="V51" s="231"/>
      <c r="W51" s="231"/>
      <c r="X51" s="231"/>
      <c r="Y51" s="231"/>
      <c r="Z51" s="231"/>
      <c r="AA51" s="231">
        <f t="shared" si="5"/>
        <v>0</v>
      </c>
      <c r="AB51" s="233" t="str">
        <f>IF(AA51=0,"",IFERROR(AA51/AA$87,""))</f>
        <v/>
      </c>
      <c r="AC51" s="140"/>
      <c r="AD51" s="231"/>
      <c r="AE51" s="233" t="str">
        <f>IF(AD51=0,"",IFERROR(AD51/AD$87,""))</f>
        <v/>
      </c>
      <c r="AF51" s="234">
        <f t="shared" si="6"/>
        <v>0</v>
      </c>
      <c r="AG51" s="231">
        <v>17346</v>
      </c>
      <c r="AH51" s="233">
        <f>IF(AG51=0,"",IFERROR(AG51/AG$87,""))</f>
        <v>0.75519178022552136</v>
      </c>
      <c r="AI51" s="234">
        <f t="shared" si="7"/>
        <v>-17346</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v>24.855136054421799</v>
      </c>
      <c r="AH52" s="495"/>
      <c r="AI52" s="496" t="e">
        <f t="shared" si="7"/>
        <v>#VALUE!</v>
      </c>
    </row>
    <row r="53" spans="1:35" x14ac:dyDescent="0.2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5"/>
      <c r="AG53" s="497">
        <f>ROUND(IFERROR(AG49/AG51,0),2)</f>
        <v>24.86</v>
      </c>
      <c r="AH53" s="498"/>
      <c r="AI53" s="155"/>
    </row>
    <row r="54" spans="1:35" x14ac:dyDescent="0.2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c r="P55" s="138"/>
      <c r="Q55" s="138"/>
      <c r="R55" s="138"/>
      <c r="S55" s="138"/>
      <c r="T55" s="138"/>
      <c r="U55" s="138"/>
      <c r="V55" s="138"/>
      <c r="W55" s="138"/>
      <c r="X55" s="138"/>
      <c r="Y55" s="138"/>
      <c r="Z55" s="138"/>
      <c r="AA55" s="138">
        <f t="shared" ref="AA55:AA61" si="10">SUM(O55:Z55)</f>
        <v>0</v>
      </c>
      <c r="AB55" s="142" t="str">
        <f>IF(AA55=0,"",IFERROR(AA55/AA$19,""))</f>
        <v/>
      </c>
      <c r="AC55" s="140"/>
      <c r="AD55" s="138"/>
      <c r="AE55" s="142" t="str">
        <f>IF(AD55=0,"",IFERROR(AD55/AD$19,""))</f>
        <v/>
      </c>
      <c r="AF55" s="141">
        <f t="shared" ref="AF55:AF62" si="11">IF(AND($AA55="",AD55=""),"",$AA55-AD55)</f>
        <v>0</v>
      </c>
      <c r="AG55" s="138">
        <v>0</v>
      </c>
      <c r="AH55" s="142" t="str">
        <f>IF(AG55=0,"",IFERROR(AG55/AG$19,""))</f>
        <v/>
      </c>
      <c r="AI55" s="141">
        <f t="shared" ref="AI55:AI62" si="12">IF(AND($AA55="",AG55=""),"",$AA55-AG55)</f>
        <v>0</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c r="P56" s="138"/>
      <c r="Q56" s="138"/>
      <c r="R56" s="138"/>
      <c r="S56" s="138"/>
      <c r="T56" s="138"/>
      <c r="U56" s="138"/>
      <c r="V56" s="138"/>
      <c r="W56" s="138"/>
      <c r="X56" s="138"/>
      <c r="Y56" s="138"/>
      <c r="Z56" s="138"/>
      <c r="AA56" s="138">
        <f t="shared" si="10"/>
        <v>0</v>
      </c>
      <c r="AB56" s="142" t="str">
        <f>IF(AA56=0,"",IFERROR(AA56/AA$19,""))</f>
        <v/>
      </c>
      <c r="AC56" s="140"/>
      <c r="AD56" s="138"/>
      <c r="AE56" s="142" t="str">
        <f>IF(AD56=0,"",IFERROR(AD56/AD$19,""))</f>
        <v/>
      </c>
      <c r="AF56" s="141">
        <f t="shared" si="11"/>
        <v>0</v>
      </c>
      <c r="AG56" s="138">
        <v>0</v>
      </c>
      <c r="AH56" s="142" t="str">
        <f>IF(AG56=0,"",IFERROR(AG56/AG$19,""))</f>
        <v/>
      </c>
      <c r="AI56" s="141">
        <f t="shared" si="12"/>
        <v>0</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c r="P57" s="138"/>
      <c r="Q57" s="138"/>
      <c r="R57" s="138"/>
      <c r="S57" s="138"/>
      <c r="T57" s="138"/>
      <c r="U57" s="138"/>
      <c r="V57" s="138"/>
      <c r="W57" s="138"/>
      <c r="X57" s="138"/>
      <c r="Y57" s="138"/>
      <c r="Z57" s="138"/>
      <c r="AA57" s="138">
        <f t="shared" si="10"/>
        <v>0</v>
      </c>
      <c r="AB57" s="142" t="str">
        <f>IF(AA57=0,"",IFERROR(AA57/AA$19,""))</f>
        <v/>
      </c>
      <c r="AC57" s="140"/>
      <c r="AD57" s="138"/>
      <c r="AE57" s="142" t="str">
        <f>IF(AD57=0,"",IFERROR(AD57/AD$19,""))</f>
        <v/>
      </c>
      <c r="AF57" s="141">
        <f t="shared" si="11"/>
        <v>0</v>
      </c>
      <c r="AG57" s="138">
        <v>0</v>
      </c>
      <c r="AH57" s="142" t="str">
        <f>IF(AG57=0,"",IFERROR(AG57/AG$19,""))</f>
        <v/>
      </c>
      <c r="AI57" s="141">
        <f t="shared" si="12"/>
        <v>0</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c r="P58" s="215"/>
      <c r="Q58" s="215"/>
      <c r="R58" s="215"/>
      <c r="S58" s="215"/>
      <c r="T58" s="215"/>
      <c r="U58" s="215"/>
      <c r="V58" s="215"/>
      <c r="W58" s="215"/>
      <c r="X58" s="215"/>
      <c r="Y58" s="215"/>
      <c r="Z58" s="215"/>
      <c r="AA58" s="215">
        <f t="shared" si="10"/>
        <v>0</v>
      </c>
      <c r="AB58" s="217" t="str">
        <f>IF(AA58=0,"",IFERROR(AA58/AA$19,""))</f>
        <v/>
      </c>
      <c r="AC58" s="140"/>
      <c r="AD58" s="215"/>
      <c r="AE58" s="217" t="str">
        <f>IF(AD58=0,"",IFERROR(AD58/AD$19,""))</f>
        <v/>
      </c>
      <c r="AF58" s="218">
        <f t="shared" si="11"/>
        <v>0</v>
      </c>
      <c r="AG58" s="215">
        <v>0</v>
      </c>
      <c r="AH58" s="217" t="str">
        <f>IF(AG58=0,"",IFERROR(AG58/AG$19,""))</f>
        <v/>
      </c>
      <c r="AI58" s="218">
        <f t="shared" si="12"/>
        <v>0</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c r="P59" s="162"/>
      <c r="Q59" s="162"/>
      <c r="R59" s="162"/>
      <c r="S59" s="162"/>
      <c r="T59" s="162"/>
      <c r="U59" s="162"/>
      <c r="V59" s="162"/>
      <c r="W59" s="162"/>
      <c r="X59" s="162"/>
      <c r="Y59" s="162"/>
      <c r="Z59" s="162"/>
      <c r="AA59" s="162">
        <f t="shared" si="10"/>
        <v>0</v>
      </c>
      <c r="AB59" s="163" t="str">
        <f>IF(AA59=0,"",IFERROR(AA59/AA$19,""))</f>
        <v/>
      </c>
      <c r="AC59" s="140"/>
      <c r="AD59" s="162"/>
      <c r="AE59" s="163" t="str">
        <f>IF(AD59=0,"",IFERROR(AD59/AD$19,""))</f>
        <v/>
      </c>
      <c r="AF59" s="164">
        <f t="shared" si="11"/>
        <v>0</v>
      </c>
      <c r="AG59" s="162">
        <v>0</v>
      </c>
      <c r="AH59" s="163" t="str">
        <f>IF(AG59=0,"",IFERROR(AG59/AG$19,""))</f>
        <v/>
      </c>
      <c r="AI59" s="164">
        <f t="shared" si="12"/>
        <v>0</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c r="P60" s="231"/>
      <c r="Q60" s="231"/>
      <c r="R60" s="231"/>
      <c r="S60" s="231"/>
      <c r="T60" s="231"/>
      <c r="U60" s="231"/>
      <c r="V60" s="231"/>
      <c r="W60" s="231"/>
      <c r="X60" s="231"/>
      <c r="Y60" s="231"/>
      <c r="Z60" s="231"/>
      <c r="AA60" s="231">
        <f t="shared" si="10"/>
        <v>0</v>
      </c>
      <c r="AB60" s="233"/>
      <c r="AC60" s="140"/>
      <c r="AD60" s="231"/>
      <c r="AE60" s="233"/>
      <c r="AF60" s="234">
        <f t="shared" si="11"/>
        <v>0</v>
      </c>
      <c r="AG60" s="231">
        <v>0</v>
      </c>
      <c r="AH60" s="233"/>
      <c r="AI60" s="234">
        <f t="shared" si="12"/>
        <v>0</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c r="P61" s="231"/>
      <c r="Q61" s="231"/>
      <c r="R61" s="231"/>
      <c r="S61" s="231"/>
      <c r="T61" s="231"/>
      <c r="U61" s="231"/>
      <c r="V61" s="231"/>
      <c r="W61" s="231"/>
      <c r="X61" s="231"/>
      <c r="Y61" s="231"/>
      <c r="Z61" s="231"/>
      <c r="AA61" s="231">
        <f t="shared" si="10"/>
        <v>0</v>
      </c>
      <c r="AB61" s="233" t="str">
        <f>IF(AA61=0,"",IFERROR(AA61/AA$87,""))</f>
        <v/>
      </c>
      <c r="AC61" s="140"/>
      <c r="AD61" s="231"/>
      <c r="AE61" s="233" t="str">
        <f>IF(AD61=0,"",IFERROR(AD61/AD$87,""))</f>
        <v/>
      </c>
      <c r="AF61" s="234">
        <f t="shared" si="11"/>
        <v>0</v>
      </c>
      <c r="AG61" s="231">
        <v>1</v>
      </c>
      <c r="AH61" s="233">
        <f>IF(AG61=0,"",IFERROR(AG61/AG$87,""))</f>
        <v>4.3536941094518698E-5</v>
      </c>
      <c r="AI61" s="234">
        <f t="shared" si="12"/>
        <v>-1</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v>0</v>
      </c>
      <c r="AH62" s="495"/>
      <c r="AI62" s="496" t="e">
        <f t="shared" si="12"/>
        <v>#VALUE!</v>
      </c>
    </row>
    <row r="63" spans="1:35" x14ac:dyDescent="0.2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5"/>
      <c r="AG63" s="497">
        <f>ROUND(IFERROR(AG59/AG61,0),2)</f>
        <v>0</v>
      </c>
      <c r="AH63" s="498"/>
      <c r="AI63" s="155"/>
    </row>
    <row r="64" spans="1:35" x14ac:dyDescent="0.2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38">
        <v>9761.5</v>
      </c>
      <c r="P65" s="138">
        <v>9193</v>
      </c>
      <c r="Q65" s="138">
        <v>10319</v>
      </c>
      <c r="R65" s="138">
        <v>10338</v>
      </c>
      <c r="S65" s="138">
        <v>12730.52</v>
      </c>
      <c r="T65" s="138">
        <v>10309.4</v>
      </c>
      <c r="U65" s="138">
        <v>9387</v>
      </c>
      <c r="V65" s="138">
        <v>6317.5</v>
      </c>
      <c r="W65" s="138">
        <v>6631.05</v>
      </c>
      <c r="X65" s="138">
        <v>6375</v>
      </c>
      <c r="Y65" s="138">
        <v>9117.09</v>
      </c>
      <c r="Z65" s="138">
        <v>10870.4</v>
      </c>
      <c r="AA65" s="138">
        <f t="shared" ref="AA65:AA71" si="15">SUM(O65:Z65)</f>
        <v>111349.46</v>
      </c>
      <c r="AB65" s="142">
        <f>IF(AA65=0,"",IFERROR(AA65/AA$19,""))</f>
        <v>0.26816147122067985</v>
      </c>
      <c r="AC65" s="140"/>
      <c r="AD65" s="138">
        <v>62032.653599999998</v>
      </c>
      <c r="AE65" s="142">
        <f>IF(AD65=0,"",IFERROR(AD65/AD$19,""))</f>
        <v>0.15499599871071232</v>
      </c>
      <c r="AF65" s="141">
        <f t="shared" ref="AF65:AF72" si="16">IF(AND($AA65="",AD65=""),"",$AA65-AD65)</f>
        <v>49316.806400000009</v>
      </c>
      <c r="AG65" s="138">
        <v>23130.31</v>
      </c>
      <c r="AH65" s="142">
        <f>IF(AG65=0,"",IFERROR(AG65/AG$19,""))</f>
        <v>4.0800013151786468E-2</v>
      </c>
      <c r="AI65" s="141">
        <f t="shared" ref="AI65:AI72" si="17">IF(AND($AA65="",AG65=""),"",$AA65-AG65)</f>
        <v>88219.150000000009</v>
      </c>
    </row>
    <row r="66" spans="1:35" x14ac:dyDescent="0.2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38">
        <v>20028</v>
      </c>
      <c r="P66" s="138">
        <v>27768</v>
      </c>
      <c r="Q66" s="138">
        <v>22428</v>
      </c>
      <c r="R66" s="138">
        <v>20290.2</v>
      </c>
      <c r="S66" s="138">
        <v>23890</v>
      </c>
      <c r="T66" s="138">
        <v>13256.2</v>
      </c>
      <c r="U66" s="138">
        <v>18288</v>
      </c>
      <c r="V66" s="138">
        <v>11728</v>
      </c>
      <c r="W66" s="138">
        <v>13303.02</v>
      </c>
      <c r="X66" s="138">
        <v>12771</v>
      </c>
      <c r="Y66" s="138">
        <v>17951.009999999998</v>
      </c>
      <c r="Z66" s="138">
        <v>17111.48</v>
      </c>
      <c r="AA66" s="138">
        <f t="shared" si="15"/>
        <v>218812.91</v>
      </c>
      <c r="AB66" s="142">
        <f>IF(AA66=0,"",IFERROR(AA66/AA$19,""))</f>
        <v>0.52696431457932713</v>
      </c>
      <c r="AC66" s="140"/>
      <c r="AD66" s="138">
        <v>279086.64360000001</v>
      </c>
      <c r="AE66" s="142">
        <f>IF(AD66=0,"",IFERROR(AD66/AD$19,""))</f>
        <v>0.69733133343827536</v>
      </c>
      <c r="AF66" s="141">
        <f t="shared" si="16"/>
        <v>-60273.733600000007</v>
      </c>
      <c r="AG66" s="138">
        <v>90722.72</v>
      </c>
      <c r="AH66" s="142">
        <f>IF(AG66=0,"",IFERROR(AG66/AG$19,""))</f>
        <v>0.16002760746249578</v>
      </c>
      <c r="AI66" s="141">
        <f t="shared" si="17"/>
        <v>128090.19</v>
      </c>
    </row>
    <row r="67" spans="1:35" x14ac:dyDescent="0.2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38">
        <v>2926</v>
      </c>
      <c r="P67" s="138">
        <v>4435</v>
      </c>
      <c r="Q67" s="138">
        <v>3536</v>
      </c>
      <c r="R67" s="138">
        <v>3418</v>
      </c>
      <c r="S67" s="138">
        <v>5586</v>
      </c>
      <c r="T67" s="138">
        <v>2062</v>
      </c>
      <c r="U67" s="138">
        <v>1916</v>
      </c>
      <c r="V67" s="138">
        <v>1725</v>
      </c>
      <c r="W67" s="138">
        <v>1777.5</v>
      </c>
      <c r="X67" s="138">
        <v>3204</v>
      </c>
      <c r="Y67" s="138">
        <v>4604</v>
      </c>
      <c r="Z67" s="138">
        <v>2561</v>
      </c>
      <c r="AA67" s="138">
        <f t="shared" si="15"/>
        <v>37750.5</v>
      </c>
      <c r="AB67" s="142">
        <f>IF(AA67=0,"",IFERROR(AA67/AA$19,""))</f>
        <v>9.0914043223166721E-2</v>
      </c>
      <c r="AC67" s="140"/>
      <c r="AD67" s="138">
        <v>20642.0556</v>
      </c>
      <c r="AE67" s="142">
        <f>IF(AD67=0,"",IFERROR(AD67/AD$19,""))</f>
        <v>5.1576642904795099E-2</v>
      </c>
      <c r="AF67" s="141">
        <f t="shared" si="16"/>
        <v>17108.4444</v>
      </c>
      <c r="AG67" s="138">
        <v>7489.48</v>
      </c>
      <c r="AH67" s="142">
        <f>IF(AG67=0,"",IFERROR(AG67/AG$19,""))</f>
        <v>1.3210842504922833E-2</v>
      </c>
      <c r="AI67" s="141">
        <f t="shared" si="17"/>
        <v>30261.02</v>
      </c>
    </row>
    <row r="68" spans="1:35" x14ac:dyDescent="0.2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5">
        <v>5378</v>
      </c>
      <c r="P68" s="215">
        <v>7536.5</v>
      </c>
      <c r="Q68" s="215">
        <v>7041</v>
      </c>
      <c r="R68" s="215">
        <v>3972</v>
      </c>
      <c r="S68" s="215">
        <v>3849</v>
      </c>
      <c r="T68" s="215">
        <v>2914.6</v>
      </c>
      <c r="U68" s="215">
        <v>2610</v>
      </c>
      <c r="V68" s="215">
        <v>1629</v>
      </c>
      <c r="W68" s="215">
        <v>1690</v>
      </c>
      <c r="X68" s="215">
        <v>2791</v>
      </c>
      <c r="Y68" s="215">
        <v>4235</v>
      </c>
      <c r="Z68" s="215">
        <v>3932.8</v>
      </c>
      <c r="AA68" s="215">
        <f t="shared" si="15"/>
        <v>47578.9</v>
      </c>
      <c r="AB68" s="217">
        <f>IF(AA68=0,"",IFERROR(AA68/AA$19,""))</f>
        <v>0.11458365243137779</v>
      </c>
      <c r="AC68" s="140"/>
      <c r="AD68" s="215">
        <v>38459.647199999999</v>
      </c>
      <c r="AE68" s="217">
        <f>IF(AD68=0,"",IFERROR(AD68/AD$19,""))</f>
        <v>9.6096024946217218E-2</v>
      </c>
      <c r="AF68" s="218">
        <f t="shared" si="16"/>
        <v>9119.252800000002</v>
      </c>
      <c r="AG68" s="215">
        <v>14736.03</v>
      </c>
      <c r="AH68" s="217">
        <f>IF(AG68=0,"",IFERROR(AG68/AG$19,""))</f>
        <v>2.5993175958520225E-2</v>
      </c>
      <c r="AI68" s="218">
        <f t="shared" si="17"/>
        <v>32842.870000000003</v>
      </c>
    </row>
    <row r="69" spans="1:35" x14ac:dyDescent="0.2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2">
        <v>38093.5</v>
      </c>
      <c r="P69" s="162">
        <v>48932.5</v>
      </c>
      <c r="Q69" s="162">
        <v>43324</v>
      </c>
      <c r="R69" s="162">
        <v>38018.199999999997</v>
      </c>
      <c r="S69" s="162">
        <v>46055.519999999997</v>
      </c>
      <c r="T69" s="162">
        <v>28542.2</v>
      </c>
      <c r="U69" s="162">
        <v>32201</v>
      </c>
      <c r="V69" s="162">
        <v>21399.5</v>
      </c>
      <c r="W69" s="162">
        <v>23401.57</v>
      </c>
      <c r="X69" s="162">
        <v>25141</v>
      </c>
      <c r="Y69" s="162">
        <v>35907.1</v>
      </c>
      <c r="Z69" s="162">
        <v>34475.68</v>
      </c>
      <c r="AA69" s="162">
        <f t="shared" si="15"/>
        <v>415491.77</v>
      </c>
      <c r="AB69" s="163">
        <f>IF(AA69=0,"",IFERROR(AA69/AA$19,""))</f>
        <v>1.0006234814545516</v>
      </c>
      <c r="AC69" s="140"/>
      <c r="AD69" s="162">
        <v>400221</v>
      </c>
      <c r="AE69" s="163">
        <f>IF(AD69=0,"",IFERROR(AD69/AD$19,""))</f>
        <v>1</v>
      </c>
      <c r="AF69" s="164">
        <f t="shared" si="16"/>
        <v>15270.770000000019</v>
      </c>
      <c r="AG69" s="162">
        <v>136078.54</v>
      </c>
      <c r="AH69" s="163">
        <f>IF(AG69=0,"",IFERROR(AG69/AG$19,""))</f>
        <v>0.24003163907772532</v>
      </c>
      <c r="AI69" s="164">
        <f t="shared" si="17"/>
        <v>279413.23</v>
      </c>
    </row>
    <row r="70" spans="1:35" x14ac:dyDescent="0.2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31">
        <v>31</v>
      </c>
      <c r="P70" s="231">
        <v>28</v>
      </c>
      <c r="Q70" s="231">
        <v>31</v>
      </c>
      <c r="R70" s="231">
        <v>30</v>
      </c>
      <c r="S70" s="231">
        <v>31</v>
      </c>
      <c r="T70" s="231">
        <v>30</v>
      </c>
      <c r="U70" s="231">
        <v>31</v>
      </c>
      <c r="V70" s="231">
        <v>31</v>
      </c>
      <c r="W70" s="231">
        <v>30</v>
      </c>
      <c r="X70" s="231">
        <v>31</v>
      </c>
      <c r="Y70" s="231">
        <v>30</v>
      </c>
      <c r="Z70" s="231">
        <v>31</v>
      </c>
      <c r="AA70" s="231">
        <f t="shared" si="15"/>
        <v>365</v>
      </c>
      <c r="AB70" s="233"/>
      <c r="AC70" s="140"/>
      <c r="AD70" s="231">
        <v>365</v>
      </c>
      <c r="AE70" s="233"/>
      <c r="AF70" s="234">
        <f t="shared" si="16"/>
        <v>0</v>
      </c>
      <c r="AG70" s="231">
        <v>280</v>
      </c>
      <c r="AH70" s="233"/>
      <c r="AI70" s="234">
        <f t="shared" si="17"/>
        <v>85</v>
      </c>
    </row>
    <row r="71" spans="1:35" x14ac:dyDescent="0.2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31">
        <v>1433</v>
      </c>
      <c r="P71" s="231">
        <v>1415</v>
      </c>
      <c r="Q71" s="231">
        <v>1418</v>
      </c>
      <c r="R71" s="231">
        <v>1095</v>
      </c>
      <c r="S71" s="231">
        <v>1078</v>
      </c>
      <c r="T71" s="231">
        <v>870</v>
      </c>
      <c r="U71" s="231">
        <v>1166</v>
      </c>
      <c r="V71" s="231">
        <v>825</v>
      </c>
      <c r="W71" s="231">
        <v>814</v>
      </c>
      <c r="X71" s="231">
        <v>974</v>
      </c>
      <c r="Y71" s="231">
        <v>1190</v>
      </c>
      <c r="Z71" s="231">
        <v>1066</v>
      </c>
      <c r="AA71" s="231">
        <f t="shared" si="15"/>
        <v>13344</v>
      </c>
      <c r="AB71" s="233">
        <f>IF(AA71=0,"",IFERROR(AA71/AA$87,""))</f>
        <v>1</v>
      </c>
      <c r="AC71" s="140"/>
      <c r="AD71" s="231">
        <v>15300</v>
      </c>
      <c r="AE71" s="233">
        <f>IF(AD71=0,"",IFERROR(AD71/AD$87,""))</f>
        <v>1</v>
      </c>
      <c r="AF71" s="234">
        <f t="shared" si="16"/>
        <v>-1956</v>
      </c>
      <c r="AG71" s="231">
        <v>5622</v>
      </c>
      <c r="AH71" s="233">
        <f>IF(AG71=0,"",IFERROR(AG71/AG$87,""))</f>
        <v>0.24476468283338412</v>
      </c>
      <c r="AI71" s="234">
        <f t="shared" si="17"/>
        <v>7722</v>
      </c>
    </row>
    <row r="72" spans="1:35" x14ac:dyDescent="0.2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v>26.583042568039101</v>
      </c>
      <c r="P72" s="495">
        <v>34.581272084805697</v>
      </c>
      <c r="Q72" s="495">
        <v>30.5528913963329</v>
      </c>
      <c r="R72" s="495">
        <v>34.719817351598202</v>
      </c>
      <c r="S72" s="495">
        <v>42.723116883116901</v>
      </c>
      <c r="T72" s="495">
        <v>32.807126436781601</v>
      </c>
      <c r="U72" s="495">
        <v>27.616638078902199</v>
      </c>
      <c r="V72" s="495">
        <v>25.938787878787899</v>
      </c>
      <c r="W72" s="495">
        <v>28.7488574938575</v>
      </c>
      <c r="X72" s="495">
        <v>25.8121149897331</v>
      </c>
      <c r="Y72" s="495">
        <v>30.174033613445399</v>
      </c>
      <c r="Z72" s="495">
        <v>32.341163227016899</v>
      </c>
      <c r="AA72" s="495">
        <f>IFERROR(AA69/AA71,"")</f>
        <v>31.136973171462831</v>
      </c>
      <c r="AB72" s="495"/>
      <c r="AC72" s="140"/>
      <c r="AD72" s="495">
        <v>26.158235294117599</v>
      </c>
      <c r="AE72" s="495"/>
      <c r="AF72" s="496">
        <f t="shared" si="16"/>
        <v>4.9787378773452318</v>
      </c>
      <c r="AG72" s="495">
        <v>24.204649590892899</v>
      </c>
      <c r="AH72" s="495"/>
      <c r="AI72" s="496">
        <f t="shared" si="17"/>
        <v>6.9323235805699319</v>
      </c>
    </row>
    <row r="73" spans="1:35" x14ac:dyDescent="0.25">
      <c r="A73" s="11"/>
      <c r="B73" s="11"/>
      <c r="C73" s="11"/>
      <c r="D73" s="11"/>
      <c r="E73" s="11"/>
      <c r="F73" s="11"/>
      <c r="G73" s="490">
        <f>COUNTIF(O74:AI74,FALSE)</f>
        <v>0</v>
      </c>
      <c r="H73" s="88"/>
      <c r="I73" s="122"/>
      <c r="J73" s="122"/>
      <c r="K73" s="90"/>
      <c r="L73" s="90"/>
      <c r="M73" s="90"/>
      <c r="N73" s="491" t="s">
        <v>345</v>
      </c>
      <c r="O73" s="497">
        <f t="shared" ref="O73:AA73" si="18">ROUND(IFERROR(O69/O71,0),2)</f>
        <v>26.58</v>
      </c>
      <c r="P73" s="498">
        <f t="shared" si="18"/>
        <v>34.58</v>
      </c>
      <c r="Q73" s="498">
        <f t="shared" si="18"/>
        <v>30.55</v>
      </c>
      <c r="R73" s="498">
        <f t="shared" si="18"/>
        <v>34.72</v>
      </c>
      <c r="S73" s="498">
        <f t="shared" si="18"/>
        <v>42.72</v>
      </c>
      <c r="T73" s="498">
        <f t="shared" si="18"/>
        <v>32.81</v>
      </c>
      <c r="U73" s="498">
        <f t="shared" si="18"/>
        <v>27.62</v>
      </c>
      <c r="V73" s="498">
        <f t="shared" si="18"/>
        <v>25.94</v>
      </c>
      <c r="W73" s="498">
        <f t="shared" si="18"/>
        <v>28.75</v>
      </c>
      <c r="X73" s="498">
        <f t="shared" si="18"/>
        <v>25.81</v>
      </c>
      <c r="Y73" s="498">
        <f t="shared" si="18"/>
        <v>30.17</v>
      </c>
      <c r="Z73" s="498">
        <f t="shared" si="18"/>
        <v>32.340000000000003</v>
      </c>
      <c r="AA73" s="498">
        <f t="shared" si="18"/>
        <v>31.14</v>
      </c>
      <c r="AB73" s="499"/>
      <c r="AC73" s="140"/>
      <c r="AD73" s="497">
        <f>ROUND(IFERROR(AD69/AD71,0),2)</f>
        <v>26.16</v>
      </c>
      <c r="AE73" s="498"/>
      <c r="AF73" s="155"/>
      <c r="AG73" s="497">
        <f>ROUND(IFERROR(AG69/AG71,0),2)</f>
        <v>24.2</v>
      </c>
      <c r="AH73" s="498"/>
      <c r="AI73" s="155"/>
    </row>
    <row r="74" spans="1:35" x14ac:dyDescent="0.2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b">
        <f t="shared" si="19"/>
        <v>1</v>
      </c>
      <c r="AB74" s="502"/>
      <c r="AC74" s="503"/>
      <c r="AD74" s="500"/>
      <c r="AE74" s="501" t="b">
        <f>ROUND(AD72,2)=ROUND(AD73,2)</f>
        <v>1</v>
      </c>
      <c r="AF74" s="502"/>
      <c r="AG74" s="500"/>
      <c r="AH74" s="501" t="b">
        <f>ROUND(AG72,2)=ROUND(AG73,2)</f>
        <v>1</v>
      </c>
      <c r="AI74" s="502"/>
    </row>
    <row r="75" spans="1:35" x14ac:dyDescent="0.2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38"/>
      <c r="P75" s="138"/>
      <c r="Q75" s="138"/>
      <c r="R75" s="138"/>
      <c r="S75" s="138"/>
      <c r="T75" s="138"/>
      <c r="U75" s="138"/>
      <c r="V75" s="138"/>
      <c r="W75" s="138"/>
      <c r="X75" s="138"/>
      <c r="Y75" s="138"/>
      <c r="Z75" s="138"/>
      <c r="AA75" s="138">
        <f t="shared" ref="AA75:AA80" si="20">SUM(O75:Z75)</f>
        <v>0</v>
      </c>
      <c r="AB75" s="142" t="str">
        <f>IF(AA75=0,"",IFERROR(AA75/AA$19,""))</f>
        <v/>
      </c>
      <c r="AC75" s="140"/>
      <c r="AD75" s="138"/>
      <c r="AE75" s="142" t="str">
        <f>IF(AD75=0,"",IFERROR(AD75/AD$19,""))</f>
        <v/>
      </c>
      <c r="AF75" s="141">
        <f t="shared" ref="AF75:AF81" si="21">IF(AND($AA75="",AD75=""),"",$AA75-AD75)</f>
        <v>0</v>
      </c>
      <c r="AG75" s="138"/>
      <c r="AH75" s="142" t="str">
        <f>IF(AG75=0,"",IFERROR(AG75/AG$19,""))</f>
        <v/>
      </c>
      <c r="AI75" s="141">
        <f t="shared" ref="AI75:AI81" si="22">IF(AND($AA75="",AG75=""),"",$AA75-AG75)</f>
        <v>0</v>
      </c>
    </row>
    <row r="76" spans="1:35" x14ac:dyDescent="0.2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38"/>
      <c r="P76" s="138"/>
      <c r="Q76" s="138"/>
      <c r="R76" s="138"/>
      <c r="S76" s="138"/>
      <c r="T76" s="138"/>
      <c r="U76" s="138"/>
      <c r="V76" s="138"/>
      <c r="W76" s="138"/>
      <c r="X76" s="138"/>
      <c r="Y76" s="138"/>
      <c r="Z76" s="138"/>
      <c r="AA76" s="138">
        <f t="shared" si="20"/>
        <v>0</v>
      </c>
      <c r="AB76" s="142" t="str">
        <f>IF(AA76=0,"",IFERROR(AA76/AA$19,""))</f>
        <v/>
      </c>
      <c r="AC76" s="140"/>
      <c r="AD76" s="138"/>
      <c r="AE76" s="142" t="str">
        <f>IF(AD76=0,"",IFERROR(AD76/AD$19,""))</f>
        <v/>
      </c>
      <c r="AF76" s="141">
        <f t="shared" si="21"/>
        <v>0</v>
      </c>
      <c r="AG76" s="138"/>
      <c r="AH76" s="142" t="str">
        <f>IF(AG76=0,"",IFERROR(AG76/AG$19,""))</f>
        <v/>
      </c>
      <c r="AI76" s="141">
        <f t="shared" si="22"/>
        <v>0</v>
      </c>
    </row>
    <row r="77" spans="1:35" x14ac:dyDescent="0.2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38"/>
      <c r="P77" s="138"/>
      <c r="Q77" s="138"/>
      <c r="R77" s="138"/>
      <c r="S77" s="138"/>
      <c r="T77" s="138"/>
      <c r="U77" s="138"/>
      <c r="V77" s="138"/>
      <c r="W77" s="138"/>
      <c r="X77" s="138"/>
      <c r="Y77" s="138"/>
      <c r="Z77" s="138"/>
      <c r="AA77" s="138">
        <f t="shared" si="20"/>
        <v>0</v>
      </c>
      <c r="AB77" s="142" t="str">
        <f>IF(AA77=0,"",IFERROR(AA77/AA$19,""))</f>
        <v/>
      </c>
      <c r="AC77" s="140"/>
      <c r="AD77" s="138"/>
      <c r="AE77" s="142" t="str">
        <f>IF(AD77=0,"",IFERROR(AD77/AD$19,""))</f>
        <v/>
      </c>
      <c r="AF77" s="141">
        <f t="shared" si="21"/>
        <v>0</v>
      </c>
      <c r="AG77" s="138"/>
      <c r="AH77" s="142" t="str">
        <f>IF(AG77=0,"",IFERROR(AG77/AG$19,""))</f>
        <v/>
      </c>
      <c r="AI77" s="141">
        <f t="shared" si="22"/>
        <v>0</v>
      </c>
    </row>
    <row r="78" spans="1:35" x14ac:dyDescent="0.2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5"/>
      <c r="P78" s="215"/>
      <c r="Q78" s="215"/>
      <c r="R78" s="215"/>
      <c r="S78" s="215"/>
      <c r="T78" s="215"/>
      <c r="U78" s="215"/>
      <c r="V78" s="215"/>
      <c r="W78" s="215"/>
      <c r="X78" s="215"/>
      <c r="Y78" s="215"/>
      <c r="Z78" s="215"/>
      <c r="AA78" s="215">
        <f t="shared" si="20"/>
        <v>0</v>
      </c>
      <c r="AB78" s="217" t="str">
        <f>IF(AA78=0,"",IFERROR(AA78/AA$19,""))</f>
        <v/>
      </c>
      <c r="AC78" s="140"/>
      <c r="AD78" s="215"/>
      <c r="AE78" s="217" t="str">
        <f>IF(AD78=0,"",IFERROR(AD78/AD$19,""))</f>
        <v/>
      </c>
      <c r="AF78" s="218">
        <f t="shared" si="21"/>
        <v>0</v>
      </c>
      <c r="AG78" s="215"/>
      <c r="AH78" s="217" t="str">
        <f>IF(AG78=0,"",IFERROR(AG78/AG$19,""))</f>
        <v/>
      </c>
      <c r="AI78" s="218">
        <f t="shared" si="22"/>
        <v>0</v>
      </c>
    </row>
    <row r="79" spans="1:35" x14ac:dyDescent="0.2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2"/>
      <c r="P79" s="162"/>
      <c r="Q79" s="162"/>
      <c r="R79" s="162"/>
      <c r="S79" s="162"/>
      <c r="T79" s="162"/>
      <c r="U79" s="162"/>
      <c r="V79" s="162"/>
      <c r="W79" s="162"/>
      <c r="X79" s="162"/>
      <c r="Y79" s="162"/>
      <c r="Z79" s="162"/>
      <c r="AA79" s="162">
        <f t="shared" si="20"/>
        <v>0</v>
      </c>
      <c r="AB79" s="163" t="str">
        <f>IF(AA79=0,"",IFERROR(AA79/AA$19,""))</f>
        <v/>
      </c>
      <c r="AC79" s="140"/>
      <c r="AD79" s="162"/>
      <c r="AE79" s="163" t="str">
        <f>IF(AD79=0,"",IFERROR(AD79/AD$19,""))</f>
        <v/>
      </c>
      <c r="AF79" s="164">
        <f t="shared" si="21"/>
        <v>0</v>
      </c>
      <c r="AG79" s="162"/>
      <c r="AH79" s="163" t="str">
        <f>IF(AG79=0,"",IFERROR(AG79/AG$19,""))</f>
        <v/>
      </c>
      <c r="AI79" s="164">
        <f t="shared" si="22"/>
        <v>0</v>
      </c>
    </row>
    <row r="80" spans="1:35" x14ac:dyDescent="0.2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31"/>
      <c r="P80" s="231"/>
      <c r="Q80" s="231"/>
      <c r="R80" s="231"/>
      <c r="S80" s="231"/>
      <c r="T80" s="231"/>
      <c r="U80" s="231"/>
      <c r="V80" s="231"/>
      <c r="W80" s="231"/>
      <c r="X80" s="231"/>
      <c r="Y80" s="231"/>
      <c r="Z80" s="231"/>
      <c r="AA80" s="231">
        <f t="shared" si="20"/>
        <v>0</v>
      </c>
      <c r="AB80" s="233" t="str">
        <f>IF(AA80=0,"",IFERROR(AA80/AA$87,""))</f>
        <v/>
      </c>
      <c r="AC80" s="140"/>
      <c r="AD80" s="231"/>
      <c r="AE80" s="233" t="str">
        <f>IF(AD80=0,"",IFERROR(AD80/AD$87,""))</f>
        <v/>
      </c>
      <c r="AF80" s="234">
        <f t="shared" si="21"/>
        <v>0</v>
      </c>
      <c r="AG80" s="231"/>
      <c r="AH80" s="233" t="str">
        <f>IF(AG80=0,"",IFERROR(AG80/AG$87,""))</f>
        <v/>
      </c>
      <c r="AI80" s="234">
        <f t="shared" si="22"/>
        <v>0</v>
      </c>
    </row>
    <row r="81" spans="1:35" x14ac:dyDescent="0.2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2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5"/>
      <c r="AG82" s="497">
        <f>ROUND(IFERROR(AG79/AG80,0),2)</f>
        <v>0</v>
      </c>
      <c r="AH82" s="498"/>
      <c r="AI82" s="155"/>
    </row>
    <row r="83" spans="1:35" x14ac:dyDescent="0.2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38"/>
      <c r="P83" s="138"/>
      <c r="Q83" s="138"/>
      <c r="R83" s="138"/>
      <c r="S83" s="138">
        <v>-139.66</v>
      </c>
      <c r="T83" s="138"/>
      <c r="U83" s="138">
        <v>-10</v>
      </c>
      <c r="V83" s="138"/>
      <c r="W83" s="138"/>
      <c r="X83" s="138"/>
      <c r="Y83" s="138">
        <v>-47.41</v>
      </c>
      <c r="Z83" s="138">
        <v>-61.82</v>
      </c>
      <c r="AA83" s="138">
        <f>SUM(O83:Z83)</f>
        <v>-258.89</v>
      </c>
      <c r="AB83" s="142">
        <f>IF(AA83=0,"",IFERROR(AA83/AA$19,""))</f>
        <v>-6.2348145455147963E-4</v>
      </c>
      <c r="AC83" s="140"/>
      <c r="AD83" s="138"/>
      <c r="AE83" s="142" t="str">
        <f>IF(AD83=0,"",IFERROR(AD83/AD$19,""))</f>
        <v/>
      </c>
      <c r="AF83" s="141">
        <f>IF(AND($AA83="",AD83=""),"",$AA83-AD83)</f>
        <v>-258.89</v>
      </c>
      <c r="AG83" s="138">
        <v>-406.55</v>
      </c>
      <c r="AH83" s="142">
        <f>IF(AG83=0,"",IFERROR(AG83/AG$19,""))</f>
        <v>-7.1712161864059701E-4</v>
      </c>
      <c r="AI83" s="141">
        <f>IF(AND($AA83="",AG83=""),"",$AA83-AG83)</f>
        <v>147.66000000000003</v>
      </c>
    </row>
    <row r="84" spans="1:35" x14ac:dyDescent="0.2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2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v>38093.5</v>
      </c>
      <c r="P85" s="507">
        <v>48932.5</v>
      </c>
      <c r="Q85" s="507">
        <v>43324</v>
      </c>
      <c r="R85" s="507">
        <v>38018.199999999997</v>
      </c>
      <c r="S85" s="507">
        <v>45915.86</v>
      </c>
      <c r="T85" s="507">
        <v>28542.2</v>
      </c>
      <c r="U85" s="507">
        <v>32191</v>
      </c>
      <c r="V85" s="507">
        <v>21399.5</v>
      </c>
      <c r="W85" s="507">
        <v>23401.57</v>
      </c>
      <c r="X85" s="507">
        <v>25141</v>
      </c>
      <c r="Y85" s="507">
        <v>35859.69</v>
      </c>
      <c r="Z85" s="507">
        <v>34413.86</v>
      </c>
      <c r="AA85" s="507">
        <f>SUM(O85:Z85)</f>
        <v>415232.88</v>
      </c>
      <c r="AB85" s="508">
        <f>IF(AA85=0,"",IFERROR(AA85/AA$19,""))</f>
        <v>1</v>
      </c>
      <c r="AC85" s="140"/>
      <c r="AD85" s="507">
        <v>400221</v>
      </c>
      <c r="AE85" s="508">
        <f>IF(AD85=0,"",IFERROR(AD85/AD$19,""))</f>
        <v>1</v>
      </c>
      <c r="AF85" s="509">
        <f>IF(AND($AA85="",AD85=""),"",$AA85-AD85)</f>
        <v>15011.880000000005</v>
      </c>
      <c r="AG85" s="507">
        <v>566919.18000000005</v>
      </c>
      <c r="AH85" s="508">
        <f>IF(AG85=0,"",IFERROR(AG85/AG$19,""))</f>
        <v>1</v>
      </c>
      <c r="AI85" s="509">
        <f>IF(AND($AA85="",AG85=""),"",$AA85-AG85)</f>
        <v>-151686.30000000005</v>
      </c>
    </row>
    <row r="86" spans="1:35" x14ac:dyDescent="0.2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v>55</v>
      </c>
      <c r="P86" s="507">
        <v>55</v>
      </c>
      <c r="Q86" s="507">
        <v>55</v>
      </c>
      <c r="R86" s="507">
        <v>55</v>
      </c>
      <c r="S86" s="507">
        <v>55</v>
      </c>
      <c r="T86" s="507">
        <v>55</v>
      </c>
      <c r="U86" s="507">
        <v>55</v>
      </c>
      <c r="V86" s="507">
        <v>55</v>
      </c>
      <c r="W86" s="507">
        <v>55</v>
      </c>
      <c r="X86" s="507">
        <v>55</v>
      </c>
      <c r="Y86" s="507">
        <v>55</v>
      </c>
      <c r="Z86" s="507">
        <v>55</v>
      </c>
      <c r="AA86" s="507">
        <f>SUM(O86:Z86)</f>
        <v>660</v>
      </c>
      <c r="AB86" s="508"/>
      <c r="AC86" s="140"/>
      <c r="AD86" s="507"/>
      <c r="AE86" s="508"/>
      <c r="AF86" s="509">
        <f>IF(AND($AA86="",AD86=""),"",$AA86-AD86)</f>
        <v>660</v>
      </c>
      <c r="AG86" s="507">
        <v>660</v>
      </c>
      <c r="AH86" s="508"/>
      <c r="AI86" s="509">
        <f>IF(AND($AA86="",AG86=""),"",$AA86-AG86)</f>
        <v>0</v>
      </c>
    </row>
    <row r="87" spans="1:35" x14ac:dyDescent="0.2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v>1433</v>
      </c>
      <c r="P87" s="507">
        <v>1415</v>
      </c>
      <c r="Q87" s="507">
        <v>1418</v>
      </c>
      <c r="R87" s="507">
        <v>1095</v>
      </c>
      <c r="S87" s="507">
        <v>1078</v>
      </c>
      <c r="T87" s="507">
        <v>870</v>
      </c>
      <c r="U87" s="507">
        <v>1166</v>
      </c>
      <c r="V87" s="507">
        <v>825</v>
      </c>
      <c r="W87" s="507">
        <v>814</v>
      </c>
      <c r="X87" s="507">
        <v>974</v>
      </c>
      <c r="Y87" s="507">
        <v>1190</v>
      </c>
      <c r="Z87" s="507">
        <v>1066</v>
      </c>
      <c r="AA87" s="507">
        <f>SUM(O87:Z87)</f>
        <v>13344</v>
      </c>
      <c r="AB87" s="508">
        <f>IF(AA87=0,"",IFERROR(AA87/AA$20,""))</f>
        <v>1</v>
      </c>
      <c r="AC87" s="140"/>
      <c r="AD87" s="507">
        <v>15300</v>
      </c>
      <c r="AE87" s="508">
        <f>IF(AD87=0,"",IFERROR(AD87/AD$20,""))</f>
        <v>1</v>
      </c>
      <c r="AF87" s="509">
        <f>IF(AND($AA87="",AD87=""),"",$AA87-AD87)</f>
        <v>-1956</v>
      </c>
      <c r="AG87" s="507">
        <v>22969</v>
      </c>
      <c r="AH87" s="508">
        <f>IF(AG87=0,"",IFERROR(AG87/AG$20,""))</f>
        <v>1</v>
      </c>
      <c r="AI87" s="509">
        <f>IF(AND($AA87="",AG87=""),"",$AA87-AG87)</f>
        <v>-9625</v>
      </c>
    </row>
    <row r="88" spans="1:35" x14ac:dyDescent="0.25">
      <c r="A88" s="11"/>
      <c r="B88" s="11"/>
      <c r="C88" s="208"/>
      <c r="D88" s="11"/>
      <c r="E88" s="11"/>
      <c r="F88" s="11"/>
      <c r="G88" s="11"/>
      <c r="H88" s="185" t="s">
        <v>311</v>
      </c>
      <c r="I88" s="122" t="str">
        <f>IF(_epmOfflineCondition_,"N",_xll.EVPRO($B$1,$H88,"STYLE"))</f>
        <v>N</v>
      </c>
      <c r="J88" s="122" t="str">
        <f>IF(_epmOfflineCondition_,"Y",_xll.EVPRO($B$1,$H88,"CALC"))</f>
        <v>Y</v>
      </c>
      <c r="K88" s="11"/>
      <c r="L88" s="90"/>
      <c r="M88" s="90"/>
      <c r="N88" s="90" t="str">
        <f>IF(_epmOfflineCondition_,"Total Average Check",IF(_xll.EVDES(H88,$B$1)="#NODATA","",_xll.EVDES(H88,$B$1)))</f>
        <v>Total Average Check</v>
      </c>
      <c r="O88" s="495">
        <v>26.583042568039101</v>
      </c>
      <c r="P88" s="495">
        <v>34.581272084805697</v>
      </c>
      <c r="Q88" s="495">
        <v>30.5528913963329</v>
      </c>
      <c r="R88" s="495">
        <v>34.719817351598202</v>
      </c>
      <c r="S88" s="495">
        <v>42.5935621521336</v>
      </c>
      <c r="T88" s="495">
        <v>32.807126436781601</v>
      </c>
      <c r="U88" s="495">
        <v>27.608061749571199</v>
      </c>
      <c r="V88" s="495">
        <v>25.938787878787899</v>
      </c>
      <c r="W88" s="495">
        <v>28.7488574938575</v>
      </c>
      <c r="X88" s="495">
        <v>25.8121149897331</v>
      </c>
      <c r="Y88" s="495">
        <v>30.134193277310899</v>
      </c>
      <c r="Z88" s="495">
        <v>32.283170731707301</v>
      </c>
      <c r="AA88" s="495">
        <f>IFERROR(AA85/AA87,"")</f>
        <v>31.117571942446045</v>
      </c>
      <c r="AB88" s="495"/>
      <c r="AC88" s="140"/>
      <c r="AD88" s="495">
        <v>26.158235294117599</v>
      </c>
      <c r="AE88" s="495"/>
      <c r="AF88" s="496">
        <f>IF(AND($AA88="",AD88=""),"",$AA88-AD88)</f>
        <v>4.9593366483284456</v>
      </c>
      <c r="AG88" s="495">
        <v>24.681926945012801</v>
      </c>
      <c r="AH88" s="495"/>
      <c r="AI88" s="496">
        <f>IF(AND($AA88="",AG88=""),"",$AA88-AG88)</f>
        <v>6.4356449974332435</v>
      </c>
    </row>
    <row r="89" spans="1:35" x14ac:dyDescent="0.25">
      <c r="A89" s="11"/>
      <c r="B89" s="11"/>
      <c r="C89" s="208"/>
      <c r="D89" s="11"/>
      <c r="E89" s="11"/>
      <c r="F89" s="11"/>
      <c r="G89" s="11"/>
      <c r="H89" s="185"/>
      <c r="I89" s="122"/>
      <c r="J89" s="122"/>
      <c r="K89" s="11"/>
      <c r="L89" s="90"/>
      <c r="M89" s="90"/>
      <c r="N89" s="90"/>
      <c r="O89" s="170"/>
      <c r="P89" s="171"/>
      <c r="Q89" s="171"/>
      <c r="R89" s="171"/>
      <c r="S89" s="171"/>
      <c r="T89" s="171"/>
      <c r="U89" s="171"/>
      <c r="V89" s="171"/>
      <c r="W89" s="171"/>
      <c r="X89" s="171"/>
      <c r="Y89" s="171"/>
      <c r="Z89" s="171"/>
      <c r="AA89" s="171"/>
      <c r="AB89" s="172"/>
      <c r="AC89" s="140"/>
      <c r="AD89" s="170"/>
      <c r="AE89" s="171"/>
      <c r="AF89" s="172"/>
      <c r="AG89" s="170"/>
      <c r="AH89" s="171"/>
      <c r="AI89" s="172"/>
    </row>
    <row r="90" spans="1:35" x14ac:dyDescent="0.25">
      <c r="A90" s="11"/>
      <c r="B90" s="11"/>
      <c r="C90" s="208"/>
      <c r="D90" s="11"/>
      <c r="E90" s="11"/>
      <c r="F90" s="11"/>
      <c r="G90" s="11"/>
      <c r="H90" s="185"/>
      <c r="I90" s="122"/>
      <c r="J90" s="122"/>
      <c r="K90" s="11"/>
      <c r="L90" s="90"/>
      <c r="M90" s="90"/>
      <c r="N90" s="53" t="s">
        <v>334</v>
      </c>
      <c r="O90" s="158"/>
      <c r="P90" s="159"/>
      <c r="Q90" s="159"/>
      <c r="R90" s="159"/>
      <c r="S90" s="159"/>
      <c r="T90" s="159"/>
      <c r="U90" s="159"/>
      <c r="V90" s="159"/>
      <c r="W90" s="159"/>
      <c r="X90" s="159"/>
      <c r="Y90" s="159"/>
      <c r="Z90" s="159"/>
      <c r="AA90" s="159"/>
      <c r="AB90" s="160"/>
      <c r="AC90" s="140"/>
      <c r="AD90" s="158"/>
      <c r="AE90" s="159"/>
      <c r="AF90" s="160"/>
      <c r="AG90" s="158"/>
      <c r="AH90" s="159"/>
      <c r="AI90" s="160"/>
    </row>
    <row r="91" spans="1:35" hidden="1" outlineLevel="1" x14ac:dyDescent="0.2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38"/>
      <c r="P91" s="138"/>
      <c r="Q91" s="138"/>
      <c r="R91" s="138"/>
      <c r="S91" s="138"/>
      <c r="T91" s="138"/>
      <c r="U91" s="138"/>
      <c r="V91" s="138"/>
      <c r="W91" s="138"/>
      <c r="X91" s="138"/>
      <c r="Y91" s="138"/>
      <c r="Z91" s="138"/>
      <c r="AA91" s="138">
        <f>SUM(O91:Z91)</f>
        <v>0</v>
      </c>
      <c r="AB91" s="142"/>
      <c r="AC91" s="140"/>
      <c r="AD91" s="138"/>
      <c r="AE91" s="142"/>
      <c r="AF91" s="141">
        <f>IF(AND($AA91="",AD91=""),"",$AA91-AD91)</f>
        <v>0</v>
      </c>
      <c r="AG91" s="138"/>
      <c r="AH91" s="142"/>
      <c r="AI91" s="141">
        <f>IF(AND($AA91="",AG91=""),"",$AA91-AG91)</f>
        <v>0</v>
      </c>
    </row>
    <row r="92" spans="1:35" hidden="1" outlineLevel="1" x14ac:dyDescent="0.2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38">
        <v>124.42</v>
      </c>
      <c r="P92" s="138">
        <v>12.99</v>
      </c>
      <c r="Q92" s="138"/>
      <c r="R92" s="138"/>
      <c r="S92" s="138"/>
      <c r="T92" s="138">
        <v>19</v>
      </c>
      <c r="U92" s="138">
        <v>95.15</v>
      </c>
      <c r="V92" s="138"/>
      <c r="W92" s="138"/>
      <c r="X92" s="138"/>
      <c r="Y92" s="138"/>
      <c r="Z92" s="138"/>
      <c r="AA92" s="138">
        <f>SUM(O92:Z92)</f>
        <v>251.56</v>
      </c>
      <c r="AB92" s="142"/>
      <c r="AC92" s="140"/>
      <c r="AD92" s="138">
        <v>5214.2857142852999</v>
      </c>
      <c r="AE92" s="142"/>
      <c r="AF92" s="141">
        <f>IF(AND($AA92="",AD92=""),"",$AA92-AD92)</f>
        <v>-4962.7257142852995</v>
      </c>
      <c r="AG92" s="138">
        <v>1421.75</v>
      </c>
      <c r="AH92" s="142"/>
      <c r="AI92" s="141">
        <f>IF(AND($AA92="",AG92=""),"",$AA92-AG92)</f>
        <v>-1170.19</v>
      </c>
    </row>
    <row r="93" spans="1:35" collapsed="1" x14ac:dyDescent="0.2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3" t="str">
        <f>IF(AND($AA93="",AD93=""),"",$AA93-AD93)</f>
        <v/>
      </c>
      <c r="AG93" s="510" t="str">
        <f>IFERROR(AG$87/AG91,"")</f>
        <v/>
      </c>
      <c r="AH93" s="511"/>
      <c r="AI93" s="213" t="str">
        <f>IF(AND($AA93="",AG93=""),"",$AA93-AG93)</f>
        <v/>
      </c>
    </row>
    <row r="94" spans="1:35" x14ac:dyDescent="0.25">
      <c r="A94" s="11"/>
      <c r="B94" s="11"/>
      <c r="C94" s="208"/>
      <c r="D94" s="11"/>
      <c r="E94" s="11"/>
      <c r="F94" s="11"/>
      <c r="G94" s="11"/>
      <c r="H94" s="185"/>
      <c r="I94" s="122"/>
      <c r="J94" s="122"/>
      <c r="K94" s="11"/>
      <c r="L94" s="90"/>
      <c r="M94" s="90"/>
      <c r="N94" s="104" t="s">
        <v>336</v>
      </c>
      <c r="O94" s="510">
        <f t="shared" ref="O94:AA94" si="26">IFERROR(O$87/O92,"")</f>
        <v>11.517440925896159</v>
      </c>
      <c r="P94" s="510">
        <f t="shared" si="26"/>
        <v>108.92994611239415</v>
      </c>
      <c r="Q94" s="510" t="str">
        <f t="shared" si="26"/>
        <v/>
      </c>
      <c r="R94" s="510" t="str">
        <f t="shared" si="26"/>
        <v/>
      </c>
      <c r="S94" s="510" t="str">
        <f t="shared" si="26"/>
        <v/>
      </c>
      <c r="T94" s="510">
        <f t="shared" si="26"/>
        <v>45.789473684210527</v>
      </c>
      <c r="U94" s="510">
        <f t="shared" si="26"/>
        <v>12.254335260115607</v>
      </c>
      <c r="V94" s="510" t="str">
        <f t="shared" si="26"/>
        <v/>
      </c>
      <c r="W94" s="510" t="str">
        <f t="shared" si="26"/>
        <v/>
      </c>
      <c r="X94" s="510" t="str">
        <f t="shared" si="26"/>
        <v/>
      </c>
      <c r="Y94" s="510" t="str">
        <f t="shared" si="26"/>
        <v/>
      </c>
      <c r="Z94" s="510" t="str">
        <f t="shared" si="26"/>
        <v/>
      </c>
      <c r="AA94" s="510">
        <f t="shared" si="26"/>
        <v>53.044999204961044</v>
      </c>
      <c r="AB94" s="511"/>
      <c r="AC94" s="140"/>
      <c r="AD94" s="510">
        <f>IFERROR(AD$87/AD92,"")</f>
        <v>2.9342465753426987</v>
      </c>
      <c r="AE94" s="511"/>
      <c r="AF94" s="213">
        <f>IF(AND($AA94="",AD94=""),"",$AA94-AD94)</f>
        <v>50.110752629618347</v>
      </c>
      <c r="AG94" s="510">
        <f>IFERROR(AG$87/AG92,"")</f>
        <v>16.155442236680148</v>
      </c>
      <c r="AH94" s="511"/>
      <c r="AI94" s="213">
        <f>IF(AND($AA94="",AG94=""),"",$AA94-AG94)</f>
        <v>36.8895569682809</v>
      </c>
    </row>
    <row r="95" spans="1:35" x14ac:dyDescent="0.2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57"/>
      <c r="AC95" s="140"/>
      <c r="AD95" s="514"/>
      <c r="AE95" s="481"/>
      <c r="AF95" s="157"/>
      <c r="AG95" s="481"/>
      <c r="AH95" s="481"/>
      <c r="AI95" s="157"/>
    </row>
    <row r="96" spans="1:35" x14ac:dyDescent="0.25">
      <c r="A96" s="11"/>
      <c r="B96" s="11"/>
      <c r="C96" s="208"/>
      <c r="D96" s="11"/>
      <c r="E96" s="11"/>
      <c r="F96" s="11"/>
      <c r="G96" s="11"/>
      <c r="H96" s="185"/>
      <c r="I96" s="122"/>
      <c r="J96" s="122"/>
      <c r="K96" s="11"/>
      <c r="L96" s="90"/>
      <c r="M96" s="90"/>
      <c r="N96" s="53" t="s">
        <v>343</v>
      </c>
      <c r="O96" s="514"/>
      <c r="P96" s="481"/>
      <c r="Q96" s="481"/>
      <c r="R96" s="481"/>
      <c r="S96" s="481"/>
      <c r="T96" s="481"/>
      <c r="U96" s="481"/>
      <c r="V96" s="481"/>
      <c r="W96" s="481"/>
      <c r="X96" s="481"/>
      <c r="Y96" s="481"/>
      <c r="Z96" s="481"/>
      <c r="AA96" s="481"/>
      <c r="AB96" s="515"/>
      <c r="AC96" s="140"/>
      <c r="AD96" s="516"/>
      <c r="AE96" s="517"/>
      <c r="AF96" s="157"/>
      <c r="AG96" s="481"/>
      <c r="AH96" s="517"/>
      <c r="AI96" s="157"/>
    </row>
    <row r="97" spans="1:35" x14ac:dyDescent="0.25">
      <c r="A97" s="11"/>
      <c r="B97" s="11"/>
      <c r="C97" s="208"/>
      <c r="D97" s="11"/>
      <c r="E97" s="11"/>
      <c r="F97" s="11"/>
      <c r="G97" s="11"/>
      <c r="H97" s="185"/>
      <c r="I97" s="122"/>
      <c r="J97" s="122"/>
      <c r="K97" s="11"/>
      <c r="L97" s="90"/>
      <c r="M97" s="90"/>
      <c r="N97" s="53" t="s">
        <v>337</v>
      </c>
      <c r="O97" s="158"/>
      <c r="P97" s="159"/>
      <c r="Q97" s="159"/>
      <c r="R97" s="159"/>
      <c r="S97" s="159"/>
      <c r="T97" s="159"/>
      <c r="U97" s="159"/>
      <c r="V97" s="159"/>
      <c r="W97" s="159"/>
      <c r="X97" s="159"/>
      <c r="Y97" s="159"/>
      <c r="Z97" s="159"/>
      <c r="AA97" s="159"/>
      <c r="AB97" s="160"/>
      <c r="AC97" s="140"/>
      <c r="AD97" s="158"/>
      <c r="AE97" s="159"/>
      <c r="AF97" s="160"/>
      <c r="AG97" s="159"/>
      <c r="AH97" s="159"/>
      <c r="AI97" s="160"/>
    </row>
    <row r="98" spans="1:35" x14ac:dyDescent="0.2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38"/>
      <c r="P98" s="138"/>
      <c r="Q98" s="138"/>
      <c r="R98" s="138"/>
      <c r="S98" s="138"/>
      <c r="T98" s="138"/>
      <c r="U98" s="138"/>
      <c r="V98" s="138"/>
      <c r="W98" s="138"/>
      <c r="X98" s="138"/>
      <c r="Y98" s="138"/>
      <c r="Z98" s="138"/>
      <c r="AA98" s="138">
        <f t="shared" ref="AA98:AA103" si="27">SUM(O98:Z98)</f>
        <v>0</v>
      </c>
      <c r="AB98" s="142" t="str">
        <f t="shared" ref="AB98:AB103" si="28">IF(AA98=0,"",IFERROR(AA98/AA$19,""))</f>
        <v/>
      </c>
      <c r="AC98" s="140"/>
      <c r="AD98" s="138"/>
      <c r="AE98" s="142" t="str">
        <f t="shared" ref="AE98:AE103" si="29">IF(AD98=0,"",IFERROR(AD98/AD$19,""))</f>
        <v/>
      </c>
      <c r="AF98" s="141">
        <f t="shared" ref="AF98:AF103" si="30">IF(AND($AA98="",AD98=""),"",$AA98-AD98)</f>
        <v>0</v>
      </c>
      <c r="AG98" s="138"/>
      <c r="AH98" s="142" t="str">
        <f t="shared" ref="AH98:AH103" si="31">IF(AG98=0,"",IFERROR(AG98/AG$19,""))</f>
        <v/>
      </c>
      <c r="AI98" s="141">
        <f t="shared" ref="AI98:AI103" si="32">IF(AND($AA98="",AG98=""),"",$AA98-AG98)</f>
        <v>0</v>
      </c>
    </row>
    <row r="99" spans="1:35" x14ac:dyDescent="0.2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38"/>
      <c r="P99" s="138"/>
      <c r="Q99" s="138"/>
      <c r="R99" s="138"/>
      <c r="S99" s="138"/>
      <c r="T99" s="138"/>
      <c r="U99" s="138"/>
      <c r="V99" s="138"/>
      <c r="W99" s="138"/>
      <c r="X99" s="138"/>
      <c r="Y99" s="138"/>
      <c r="Z99" s="138"/>
      <c r="AA99" s="138">
        <f t="shared" si="27"/>
        <v>0</v>
      </c>
      <c r="AB99" s="142" t="str">
        <f t="shared" si="28"/>
        <v/>
      </c>
      <c r="AC99" s="140"/>
      <c r="AD99" s="138"/>
      <c r="AE99" s="142" t="str">
        <f t="shared" si="29"/>
        <v/>
      </c>
      <c r="AF99" s="141">
        <f t="shared" si="30"/>
        <v>0</v>
      </c>
      <c r="AG99" s="138">
        <v>239696.67</v>
      </c>
      <c r="AH99" s="142">
        <f t="shared" si="31"/>
        <v>0.4228057163280311</v>
      </c>
      <c r="AI99" s="141">
        <f t="shared" si="32"/>
        <v>-239696.67</v>
      </c>
    </row>
    <row r="100" spans="1:35" x14ac:dyDescent="0.2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38"/>
      <c r="P100" s="138"/>
      <c r="Q100" s="138"/>
      <c r="R100" s="138"/>
      <c r="S100" s="138"/>
      <c r="T100" s="138"/>
      <c r="U100" s="138"/>
      <c r="V100" s="138"/>
      <c r="W100" s="138"/>
      <c r="X100" s="138"/>
      <c r="Y100" s="138"/>
      <c r="Z100" s="138"/>
      <c r="AA100" s="138">
        <f t="shared" si="27"/>
        <v>0</v>
      </c>
      <c r="AB100" s="142" t="str">
        <f t="shared" si="28"/>
        <v/>
      </c>
      <c r="AC100" s="140"/>
      <c r="AD100" s="138"/>
      <c r="AE100" s="142" t="str">
        <f t="shared" si="29"/>
        <v/>
      </c>
      <c r="AF100" s="141">
        <f t="shared" si="30"/>
        <v>0</v>
      </c>
      <c r="AG100" s="138">
        <v>0</v>
      </c>
      <c r="AH100" s="142" t="str">
        <f t="shared" si="31"/>
        <v/>
      </c>
      <c r="AI100" s="141">
        <f t="shared" si="32"/>
        <v>0</v>
      </c>
    </row>
    <row r="101" spans="1:35" x14ac:dyDescent="0.2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38">
        <v>20028</v>
      </c>
      <c r="P101" s="138">
        <v>27768</v>
      </c>
      <c r="Q101" s="138">
        <v>22428</v>
      </c>
      <c r="R101" s="138">
        <v>20290.2</v>
      </c>
      <c r="S101" s="138">
        <v>23890</v>
      </c>
      <c r="T101" s="138">
        <v>13256.2</v>
      </c>
      <c r="U101" s="138">
        <v>18288</v>
      </c>
      <c r="V101" s="138">
        <v>11728</v>
      </c>
      <c r="W101" s="138">
        <v>13303.02</v>
      </c>
      <c r="X101" s="138">
        <v>12771</v>
      </c>
      <c r="Y101" s="138">
        <v>17951.009999999998</v>
      </c>
      <c r="Z101" s="138">
        <v>17111.48</v>
      </c>
      <c r="AA101" s="138">
        <f t="shared" si="27"/>
        <v>218812.91</v>
      </c>
      <c r="AB101" s="142">
        <f t="shared" si="28"/>
        <v>0.52696431457932713</v>
      </c>
      <c r="AC101" s="140"/>
      <c r="AD101" s="138">
        <v>279086.64360000001</v>
      </c>
      <c r="AE101" s="142">
        <f t="shared" si="29"/>
        <v>0.69733133343827536</v>
      </c>
      <c r="AF101" s="141">
        <f t="shared" si="30"/>
        <v>-60273.733600000007</v>
      </c>
      <c r="AG101" s="138">
        <v>90722.72</v>
      </c>
      <c r="AH101" s="142">
        <f t="shared" si="31"/>
        <v>0.16002760746249578</v>
      </c>
      <c r="AI101" s="141">
        <f t="shared" si="32"/>
        <v>128090.19</v>
      </c>
    </row>
    <row r="102" spans="1:35" x14ac:dyDescent="0.2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38"/>
      <c r="P102" s="138"/>
      <c r="Q102" s="138"/>
      <c r="R102" s="138"/>
      <c r="S102" s="138"/>
      <c r="T102" s="138"/>
      <c r="U102" s="138"/>
      <c r="V102" s="138"/>
      <c r="W102" s="138"/>
      <c r="X102" s="138"/>
      <c r="Y102" s="138"/>
      <c r="Z102" s="138"/>
      <c r="AA102" s="138">
        <f t="shared" si="27"/>
        <v>0</v>
      </c>
      <c r="AB102" s="142" t="str">
        <f t="shared" si="28"/>
        <v/>
      </c>
      <c r="AC102" s="140"/>
      <c r="AD102" s="138"/>
      <c r="AE102" s="142" t="str">
        <f t="shared" si="29"/>
        <v/>
      </c>
      <c r="AF102" s="141">
        <f t="shared" si="30"/>
        <v>0</v>
      </c>
      <c r="AG102" s="138"/>
      <c r="AH102" s="142" t="str">
        <f t="shared" si="31"/>
        <v/>
      </c>
      <c r="AI102" s="141">
        <f t="shared" si="32"/>
        <v>0</v>
      </c>
    </row>
    <row r="103" spans="1:35" x14ac:dyDescent="0.2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2">
        <v>20028</v>
      </c>
      <c r="P103" s="162">
        <v>27768</v>
      </c>
      <c r="Q103" s="162">
        <v>22428</v>
      </c>
      <c r="R103" s="162">
        <v>20290.2</v>
      </c>
      <c r="S103" s="162">
        <v>23890</v>
      </c>
      <c r="T103" s="162">
        <v>13256.2</v>
      </c>
      <c r="U103" s="162">
        <v>18288</v>
      </c>
      <c r="V103" s="162">
        <v>11728</v>
      </c>
      <c r="W103" s="162">
        <v>13303.02</v>
      </c>
      <c r="X103" s="162">
        <v>12771</v>
      </c>
      <c r="Y103" s="162">
        <v>17951.009999999998</v>
      </c>
      <c r="Z103" s="162">
        <v>17111.48</v>
      </c>
      <c r="AA103" s="162">
        <f t="shared" si="27"/>
        <v>218812.91</v>
      </c>
      <c r="AB103" s="163">
        <f t="shared" si="28"/>
        <v>0.52696431457932713</v>
      </c>
      <c r="AC103" s="140"/>
      <c r="AD103" s="162">
        <v>279086.64360000001</v>
      </c>
      <c r="AE103" s="163">
        <f t="shared" si="29"/>
        <v>0.69733133343827536</v>
      </c>
      <c r="AF103" s="164">
        <f t="shared" si="30"/>
        <v>-60273.733600000007</v>
      </c>
      <c r="AG103" s="162">
        <v>330419.39</v>
      </c>
      <c r="AH103" s="163">
        <f t="shared" si="31"/>
        <v>0.58283332379052688</v>
      </c>
      <c r="AI103" s="164">
        <f t="shared" si="32"/>
        <v>-111606.48000000001</v>
      </c>
    </row>
    <row r="104" spans="1:35" x14ac:dyDescent="0.25">
      <c r="A104" s="11"/>
      <c r="B104" s="11"/>
      <c r="C104" s="208"/>
      <c r="D104" s="11"/>
      <c r="E104" s="11"/>
      <c r="F104" s="11"/>
      <c r="G104" s="11"/>
      <c r="H104" s="185"/>
      <c r="I104" s="122"/>
      <c r="J104" s="122"/>
      <c r="K104" s="11"/>
      <c r="L104" s="90"/>
      <c r="M104" s="90"/>
      <c r="N104" s="53"/>
      <c r="O104" s="170"/>
      <c r="P104" s="171"/>
      <c r="Q104" s="171"/>
      <c r="R104" s="171"/>
      <c r="S104" s="171"/>
      <c r="T104" s="171"/>
      <c r="U104" s="171"/>
      <c r="V104" s="171"/>
      <c r="W104" s="171"/>
      <c r="X104" s="171"/>
      <c r="Y104" s="171"/>
      <c r="Z104" s="171"/>
      <c r="AA104" s="171"/>
      <c r="AB104" s="172"/>
      <c r="AC104" s="140"/>
      <c r="AD104" s="170"/>
      <c r="AE104" s="171"/>
      <c r="AF104" s="172"/>
      <c r="AG104" s="170"/>
      <c r="AH104" s="171"/>
      <c r="AI104" s="172"/>
    </row>
    <row r="105" spans="1:35" x14ac:dyDescent="0.25">
      <c r="A105" s="11"/>
      <c r="B105" s="11"/>
      <c r="C105" s="208"/>
      <c r="D105" s="11"/>
      <c r="E105" s="11"/>
      <c r="F105" s="11"/>
      <c r="G105" s="11"/>
      <c r="H105" s="185"/>
      <c r="I105" s="122"/>
      <c r="J105" s="122"/>
      <c r="K105" s="11"/>
      <c r="L105" s="90"/>
      <c r="M105" s="90"/>
      <c r="N105" s="53" t="s">
        <v>339</v>
      </c>
      <c r="O105" s="158"/>
      <c r="P105" s="159"/>
      <c r="Q105" s="159"/>
      <c r="R105" s="159"/>
      <c r="S105" s="159"/>
      <c r="T105" s="159"/>
      <c r="U105" s="159"/>
      <c r="V105" s="159"/>
      <c r="W105" s="159"/>
      <c r="X105" s="159"/>
      <c r="Y105" s="159"/>
      <c r="Z105" s="159"/>
      <c r="AA105" s="159"/>
      <c r="AB105" s="160"/>
      <c r="AC105" s="140"/>
      <c r="AD105" s="158"/>
      <c r="AE105" s="159"/>
      <c r="AF105" s="160"/>
      <c r="AG105" s="158"/>
      <c r="AH105" s="159"/>
      <c r="AI105" s="160"/>
    </row>
    <row r="106" spans="1:35" x14ac:dyDescent="0.2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38"/>
      <c r="P106" s="138"/>
      <c r="Q106" s="138"/>
      <c r="R106" s="138"/>
      <c r="S106" s="138"/>
      <c r="T106" s="138"/>
      <c r="U106" s="138"/>
      <c r="V106" s="138"/>
      <c r="W106" s="138"/>
      <c r="X106" s="138"/>
      <c r="Y106" s="138"/>
      <c r="Z106" s="138"/>
      <c r="AA106" s="138">
        <f t="shared" ref="AA106:AA111" si="33">SUM(O106:Z106)</f>
        <v>0</v>
      </c>
      <c r="AB106" s="142" t="str">
        <f t="shared" ref="AB106:AB111" si="34">IF(AA106=0,"",IFERROR(AA106/AA$19,""))</f>
        <v/>
      </c>
      <c r="AC106" s="140"/>
      <c r="AD106" s="138"/>
      <c r="AE106" s="142" t="str">
        <f t="shared" ref="AE106:AE111" si="35">IF(AD106=0,"",IFERROR(AD106/AD$19,""))</f>
        <v/>
      </c>
      <c r="AF106" s="141">
        <f t="shared" ref="AF106:AF111" si="36">IF(AND($AA106="",AD106=""),"",$AA106-AD106)</f>
        <v>0</v>
      </c>
      <c r="AG106" s="138"/>
      <c r="AH106" s="142" t="str">
        <f t="shared" ref="AH106:AH111" si="37">IF(AG106=0,"",IFERROR(AG106/AG$19,""))</f>
        <v/>
      </c>
      <c r="AI106" s="141">
        <f t="shared" ref="AI106:AI111" si="38">IF(AND($AA106="",AG106=""),"",$AA106-AG106)</f>
        <v>0</v>
      </c>
    </row>
    <row r="107" spans="1:35" x14ac:dyDescent="0.2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38"/>
      <c r="P107" s="138"/>
      <c r="Q107" s="138"/>
      <c r="R107" s="138"/>
      <c r="S107" s="138"/>
      <c r="T107" s="138"/>
      <c r="U107" s="138"/>
      <c r="V107" s="138"/>
      <c r="W107" s="138"/>
      <c r="X107" s="138"/>
      <c r="Y107" s="138"/>
      <c r="Z107" s="138"/>
      <c r="AA107" s="138">
        <f t="shared" si="33"/>
        <v>0</v>
      </c>
      <c r="AB107" s="142" t="str">
        <f t="shared" si="34"/>
        <v/>
      </c>
      <c r="AC107" s="140"/>
      <c r="AD107" s="138"/>
      <c r="AE107" s="142" t="str">
        <f t="shared" si="35"/>
        <v/>
      </c>
      <c r="AF107" s="141">
        <f t="shared" si="36"/>
        <v>0</v>
      </c>
      <c r="AG107" s="138">
        <v>21440.799999999999</v>
      </c>
      <c r="AH107" s="142">
        <f t="shared" si="37"/>
        <v>3.7819852910956367E-2</v>
      </c>
      <c r="AI107" s="141">
        <f t="shared" si="38"/>
        <v>-21440.799999999999</v>
      </c>
    </row>
    <row r="108" spans="1:35" x14ac:dyDescent="0.2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38"/>
      <c r="P108" s="138"/>
      <c r="Q108" s="138"/>
      <c r="R108" s="138"/>
      <c r="S108" s="138"/>
      <c r="T108" s="138"/>
      <c r="U108" s="138"/>
      <c r="V108" s="138"/>
      <c r="W108" s="138"/>
      <c r="X108" s="138"/>
      <c r="Y108" s="138"/>
      <c r="Z108" s="138"/>
      <c r="AA108" s="138">
        <f t="shared" si="33"/>
        <v>0</v>
      </c>
      <c r="AB108" s="142" t="str">
        <f t="shared" si="34"/>
        <v/>
      </c>
      <c r="AC108" s="140"/>
      <c r="AD108" s="138"/>
      <c r="AE108" s="142" t="str">
        <f t="shared" si="35"/>
        <v/>
      </c>
      <c r="AF108" s="141">
        <f t="shared" si="36"/>
        <v>0</v>
      </c>
      <c r="AG108" s="138">
        <v>0</v>
      </c>
      <c r="AH108" s="142" t="str">
        <f t="shared" si="37"/>
        <v/>
      </c>
      <c r="AI108" s="141">
        <f t="shared" si="38"/>
        <v>0</v>
      </c>
    </row>
    <row r="109" spans="1:35" x14ac:dyDescent="0.2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38">
        <v>2926</v>
      </c>
      <c r="P109" s="138">
        <v>4435</v>
      </c>
      <c r="Q109" s="138">
        <v>3536</v>
      </c>
      <c r="R109" s="138">
        <v>3418</v>
      </c>
      <c r="S109" s="138">
        <v>5586</v>
      </c>
      <c r="T109" s="138">
        <v>2062</v>
      </c>
      <c r="U109" s="138">
        <v>1916</v>
      </c>
      <c r="V109" s="138">
        <v>1725</v>
      </c>
      <c r="W109" s="138">
        <v>1777.5</v>
      </c>
      <c r="X109" s="138">
        <v>3204</v>
      </c>
      <c r="Y109" s="138">
        <v>4604</v>
      </c>
      <c r="Z109" s="138">
        <v>2561</v>
      </c>
      <c r="AA109" s="138">
        <f t="shared" si="33"/>
        <v>37750.5</v>
      </c>
      <c r="AB109" s="142">
        <f t="shared" si="34"/>
        <v>9.0914043223166721E-2</v>
      </c>
      <c r="AC109" s="140"/>
      <c r="AD109" s="138">
        <v>20642.0556</v>
      </c>
      <c r="AE109" s="142">
        <f t="shared" si="35"/>
        <v>5.1576642904795099E-2</v>
      </c>
      <c r="AF109" s="141">
        <f t="shared" si="36"/>
        <v>17108.4444</v>
      </c>
      <c r="AG109" s="138">
        <v>7489.48</v>
      </c>
      <c r="AH109" s="142">
        <f t="shared" si="37"/>
        <v>1.3210842504922833E-2</v>
      </c>
      <c r="AI109" s="141">
        <f t="shared" si="38"/>
        <v>30261.02</v>
      </c>
    </row>
    <row r="110" spans="1:35" x14ac:dyDescent="0.2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38"/>
      <c r="P110" s="138"/>
      <c r="Q110" s="138"/>
      <c r="R110" s="138"/>
      <c r="S110" s="138"/>
      <c r="T110" s="138"/>
      <c r="U110" s="138"/>
      <c r="V110" s="138"/>
      <c r="W110" s="138"/>
      <c r="X110" s="138"/>
      <c r="Y110" s="138"/>
      <c r="Z110" s="138"/>
      <c r="AA110" s="138">
        <f t="shared" si="33"/>
        <v>0</v>
      </c>
      <c r="AB110" s="142" t="str">
        <f t="shared" si="34"/>
        <v/>
      </c>
      <c r="AC110" s="140"/>
      <c r="AD110" s="138"/>
      <c r="AE110" s="142" t="str">
        <f t="shared" si="35"/>
        <v/>
      </c>
      <c r="AF110" s="141">
        <f t="shared" si="36"/>
        <v>0</v>
      </c>
      <c r="AG110" s="138"/>
      <c r="AH110" s="142" t="str">
        <f t="shared" si="37"/>
        <v/>
      </c>
      <c r="AI110" s="141">
        <f t="shared" si="38"/>
        <v>0</v>
      </c>
    </row>
    <row r="111" spans="1:35" x14ac:dyDescent="0.2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2">
        <v>2926</v>
      </c>
      <c r="P111" s="162">
        <v>4435</v>
      </c>
      <c r="Q111" s="162">
        <v>3536</v>
      </c>
      <c r="R111" s="162">
        <v>3418</v>
      </c>
      <c r="S111" s="162">
        <v>5586</v>
      </c>
      <c r="T111" s="162">
        <v>2062</v>
      </c>
      <c r="U111" s="162">
        <v>1916</v>
      </c>
      <c r="V111" s="162">
        <v>1725</v>
      </c>
      <c r="W111" s="162">
        <v>1777.5</v>
      </c>
      <c r="X111" s="162">
        <v>3204</v>
      </c>
      <c r="Y111" s="162">
        <v>4604</v>
      </c>
      <c r="Z111" s="162">
        <v>2561</v>
      </c>
      <c r="AA111" s="162">
        <f t="shared" si="33"/>
        <v>37750.5</v>
      </c>
      <c r="AB111" s="163">
        <f t="shared" si="34"/>
        <v>9.0914043223166721E-2</v>
      </c>
      <c r="AC111" s="140"/>
      <c r="AD111" s="162">
        <v>20642.0556</v>
      </c>
      <c r="AE111" s="163">
        <f t="shared" si="35"/>
        <v>5.1576642904795099E-2</v>
      </c>
      <c r="AF111" s="164">
        <f t="shared" si="36"/>
        <v>17108.4444</v>
      </c>
      <c r="AG111" s="162">
        <v>28930.28</v>
      </c>
      <c r="AH111" s="163">
        <f t="shared" si="37"/>
        <v>5.10306954158792E-2</v>
      </c>
      <c r="AI111" s="164">
        <f t="shared" si="38"/>
        <v>8820.2200000000012</v>
      </c>
    </row>
    <row r="112" spans="1:35" x14ac:dyDescent="0.25">
      <c r="A112" s="11"/>
      <c r="B112" s="11"/>
      <c r="C112" s="208"/>
      <c r="D112" s="11"/>
      <c r="E112" s="11"/>
      <c r="F112" s="11"/>
      <c r="G112" s="11"/>
      <c r="H112" s="185"/>
      <c r="I112" s="122"/>
      <c r="J112" s="122"/>
      <c r="K112" s="11"/>
      <c r="L112" s="90"/>
      <c r="M112" s="90"/>
      <c r="N112" s="53"/>
      <c r="O112" s="170"/>
      <c r="P112" s="171"/>
      <c r="Q112" s="171"/>
      <c r="R112" s="171"/>
      <c r="S112" s="171"/>
      <c r="T112" s="171"/>
      <c r="U112" s="171"/>
      <c r="V112" s="171"/>
      <c r="W112" s="171"/>
      <c r="X112" s="171"/>
      <c r="Y112" s="171"/>
      <c r="Z112" s="171"/>
      <c r="AA112" s="171"/>
      <c r="AB112" s="172"/>
      <c r="AC112" s="140"/>
      <c r="AD112" s="170"/>
      <c r="AE112" s="171"/>
      <c r="AF112" s="172"/>
      <c r="AG112" s="170"/>
      <c r="AH112" s="171"/>
      <c r="AI112" s="172"/>
    </row>
    <row r="113" spans="1:35" x14ac:dyDescent="0.25">
      <c r="A113" s="11"/>
      <c r="B113" s="11"/>
      <c r="C113" s="208"/>
      <c r="D113" s="11"/>
      <c r="E113" s="11"/>
      <c r="F113" s="11"/>
      <c r="G113" s="11"/>
      <c r="H113" s="185"/>
      <c r="I113" s="122"/>
      <c r="J113" s="122"/>
      <c r="K113" s="11"/>
      <c r="L113" s="90"/>
      <c r="M113" s="90"/>
      <c r="N113" s="53" t="s">
        <v>338</v>
      </c>
      <c r="O113" s="158"/>
      <c r="P113" s="159"/>
      <c r="Q113" s="159"/>
      <c r="R113" s="159"/>
      <c r="S113" s="159"/>
      <c r="T113" s="159"/>
      <c r="U113" s="159"/>
      <c r="V113" s="159"/>
      <c r="W113" s="159"/>
      <c r="X113" s="159"/>
      <c r="Y113" s="159"/>
      <c r="Z113" s="159"/>
      <c r="AA113" s="159"/>
      <c r="AB113" s="160"/>
      <c r="AC113" s="140"/>
      <c r="AD113" s="158"/>
      <c r="AE113" s="159"/>
      <c r="AF113" s="160"/>
      <c r="AG113" s="158"/>
      <c r="AH113" s="159"/>
      <c r="AI113" s="160"/>
    </row>
    <row r="114" spans="1:35" x14ac:dyDescent="0.2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38"/>
      <c r="P114" s="138"/>
      <c r="Q114" s="138"/>
      <c r="R114" s="138"/>
      <c r="S114" s="138"/>
      <c r="T114" s="138"/>
      <c r="U114" s="138"/>
      <c r="V114" s="138"/>
      <c r="W114" s="138"/>
      <c r="X114" s="138"/>
      <c r="Y114" s="138"/>
      <c r="Z114" s="138"/>
      <c r="AA114" s="138">
        <f t="shared" ref="AA114:AA119" si="39">SUM(O114:Z114)</f>
        <v>0</v>
      </c>
      <c r="AB114" s="142" t="str">
        <f t="shared" ref="AB114:AB119" si="40">IF(AA114=0,"",IFERROR(AA114/AA$19,""))</f>
        <v/>
      </c>
      <c r="AC114" s="140"/>
      <c r="AD114" s="138"/>
      <c r="AE114" s="142" t="str">
        <f t="shared" ref="AE114:AE119" si="41">IF(AD114=0,"",IFERROR(AD114/AD$19,""))</f>
        <v/>
      </c>
      <c r="AF114" s="141">
        <f t="shared" ref="AF114:AF119" si="42">IF(AND($AA114="",AD114=""),"",$AA114-AD114)</f>
        <v>0</v>
      </c>
      <c r="AG114" s="138">
        <v>110</v>
      </c>
      <c r="AH114" s="142">
        <f t="shared" ref="AH114:AH119" si="43">IF(AG114=0,"",IFERROR(AG114/AG$19,""))</f>
        <v>1.9403118448029928E-4</v>
      </c>
      <c r="AI114" s="141">
        <f t="shared" ref="AI114:AI119" si="44">IF(AND($AA114="",AG114=""),"",$AA114-AG114)</f>
        <v>-110</v>
      </c>
    </row>
    <row r="115" spans="1:35" x14ac:dyDescent="0.2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38"/>
      <c r="P115" s="138"/>
      <c r="Q115" s="138"/>
      <c r="R115" s="138"/>
      <c r="S115" s="138"/>
      <c r="T115" s="138"/>
      <c r="U115" s="138"/>
      <c r="V115" s="138"/>
      <c r="W115" s="138"/>
      <c r="X115" s="138"/>
      <c r="Y115" s="138"/>
      <c r="Z115" s="138"/>
      <c r="AA115" s="138">
        <f t="shared" si="39"/>
        <v>0</v>
      </c>
      <c r="AB115" s="142" t="str">
        <f t="shared" si="40"/>
        <v/>
      </c>
      <c r="AC115" s="140"/>
      <c r="AD115" s="138"/>
      <c r="AE115" s="142" t="str">
        <f t="shared" si="41"/>
        <v/>
      </c>
      <c r="AF115" s="141">
        <f t="shared" si="42"/>
        <v>0</v>
      </c>
      <c r="AG115" s="138">
        <v>29522.34</v>
      </c>
      <c r="AH115" s="142">
        <f t="shared" si="43"/>
        <v>5.2075041807546532E-2</v>
      </c>
      <c r="AI115" s="141">
        <f t="shared" si="44"/>
        <v>-29522.34</v>
      </c>
    </row>
    <row r="116" spans="1:35" x14ac:dyDescent="0.2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38"/>
      <c r="P116" s="138"/>
      <c r="Q116" s="138"/>
      <c r="R116" s="138"/>
      <c r="S116" s="138"/>
      <c r="T116" s="138"/>
      <c r="U116" s="138"/>
      <c r="V116" s="138"/>
      <c r="W116" s="138"/>
      <c r="X116" s="138"/>
      <c r="Y116" s="138"/>
      <c r="Z116" s="138"/>
      <c r="AA116" s="138">
        <f t="shared" si="39"/>
        <v>0</v>
      </c>
      <c r="AB116" s="142" t="str">
        <f t="shared" si="40"/>
        <v/>
      </c>
      <c r="AC116" s="140"/>
      <c r="AD116" s="138"/>
      <c r="AE116" s="142" t="str">
        <f t="shared" si="41"/>
        <v/>
      </c>
      <c r="AF116" s="141">
        <f t="shared" si="42"/>
        <v>0</v>
      </c>
      <c r="AG116" s="138">
        <v>0</v>
      </c>
      <c r="AH116" s="142" t="str">
        <f t="shared" si="43"/>
        <v/>
      </c>
      <c r="AI116" s="141">
        <f t="shared" si="44"/>
        <v>0</v>
      </c>
    </row>
    <row r="117" spans="1:35" x14ac:dyDescent="0.2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38">
        <v>5378</v>
      </c>
      <c r="P117" s="138">
        <v>7536.5</v>
      </c>
      <c r="Q117" s="138">
        <v>7041</v>
      </c>
      <c r="R117" s="138">
        <v>3972</v>
      </c>
      <c r="S117" s="138">
        <v>3849</v>
      </c>
      <c r="T117" s="138">
        <v>2914.6</v>
      </c>
      <c r="U117" s="138">
        <v>2610</v>
      </c>
      <c r="V117" s="138">
        <v>1629</v>
      </c>
      <c r="W117" s="138">
        <v>1690</v>
      </c>
      <c r="X117" s="138">
        <v>2791</v>
      </c>
      <c r="Y117" s="138">
        <v>4235</v>
      </c>
      <c r="Z117" s="138">
        <v>3932.8</v>
      </c>
      <c r="AA117" s="138">
        <f t="shared" si="39"/>
        <v>47578.9</v>
      </c>
      <c r="AB117" s="142">
        <f t="shared" si="40"/>
        <v>0.11458365243137779</v>
      </c>
      <c r="AC117" s="140"/>
      <c r="AD117" s="138">
        <v>38459.647199999999</v>
      </c>
      <c r="AE117" s="142">
        <f t="shared" si="41"/>
        <v>9.6096024946217218E-2</v>
      </c>
      <c r="AF117" s="141">
        <f t="shared" si="42"/>
        <v>9119.252800000002</v>
      </c>
      <c r="AG117" s="138">
        <v>14736.03</v>
      </c>
      <c r="AH117" s="142">
        <f t="shared" si="43"/>
        <v>2.5993175958520225E-2</v>
      </c>
      <c r="AI117" s="141">
        <f t="shared" si="44"/>
        <v>32842.870000000003</v>
      </c>
    </row>
    <row r="118" spans="1:35" x14ac:dyDescent="0.2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38"/>
      <c r="P118" s="138"/>
      <c r="Q118" s="138"/>
      <c r="R118" s="138"/>
      <c r="S118" s="138"/>
      <c r="T118" s="138"/>
      <c r="U118" s="138"/>
      <c r="V118" s="138"/>
      <c r="W118" s="138"/>
      <c r="X118" s="138"/>
      <c r="Y118" s="138"/>
      <c r="Z118" s="138"/>
      <c r="AA118" s="138">
        <f t="shared" si="39"/>
        <v>0</v>
      </c>
      <c r="AB118" s="142" t="str">
        <f t="shared" si="40"/>
        <v/>
      </c>
      <c r="AC118" s="140"/>
      <c r="AD118" s="138"/>
      <c r="AE118" s="142" t="str">
        <f t="shared" si="41"/>
        <v/>
      </c>
      <c r="AF118" s="141">
        <f t="shared" si="42"/>
        <v>0</v>
      </c>
      <c r="AG118" s="138"/>
      <c r="AH118" s="142" t="str">
        <f t="shared" si="43"/>
        <v/>
      </c>
      <c r="AI118" s="141">
        <f t="shared" si="44"/>
        <v>0</v>
      </c>
    </row>
    <row r="119" spans="1:35" x14ac:dyDescent="0.2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2">
        <v>5378</v>
      </c>
      <c r="P119" s="162">
        <v>7536.5</v>
      </c>
      <c r="Q119" s="162">
        <v>7041</v>
      </c>
      <c r="R119" s="162">
        <v>3972</v>
      </c>
      <c r="S119" s="162">
        <v>3849</v>
      </c>
      <c r="T119" s="162">
        <v>2914.6</v>
      </c>
      <c r="U119" s="162">
        <v>2610</v>
      </c>
      <c r="V119" s="162">
        <v>1629</v>
      </c>
      <c r="W119" s="162">
        <v>1690</v>
      </c>
      <c r="X119" s="162">
        <v>2791</v>
      </c>
      <c r="Y119" s="162">
        <v>4235</v>
      </c>
      <c r="Z119" s="162">
        <v>3932.8</v>
      </c>
      <c r="AA119" s="162">
        <f t="shared" si="39"/>
        <v>47578.9</v>
      </c>
      <c r="AB119" s="163">
        <f t="shared" si="40"/>
        <v>0.11458365243137779</v>
      </c>
      <c r="AC119" s="140"/>
      <c r="AD119" s="162">
        <v>38459.647199999999</v>
      </c>
      <c r="AE119" s="163">
        <f t="shared" si="41"/>
        <v>9.6096024946217218E-2</v>
      </c>
      <c r="AF119" s="164">
        <f t="shared" si="42"/>
        <v>9119.252800000002</v>
      </c>
      <c r="AG119" s="162">
        <v>44368.37</v>
      </c>
      <c r="AH119" s="163">
        <f t="shared" si="43"/>
        <v>7.8262248950547064E-2</v>
      </c>
      <c r="AI119" s="164">
        <f t="shared" si="44"/>
        <v>3210.5299999999988</v>
      </c>
    </row>
    <row r="120" spans="1:35" x14ac:dyDescent="0.25">
      <c r="A120" s="11"/>
      <c r="B120" s="11"/>
      <c r="C120" s="208"/>
      <c r="D120" s="11"/>
      <c r="E120" s="11"/>
      <c r="F120" s="11"/>
      <c r="G120" s="11"/>
      <c r="H120" s="185"/>
      <c r="I120" s="122"/>
      <c r="J120" s="122"/>
      <c r="K120" s="11"/>
      <c r="L120" s="90"/>
      <c r="M120" s="90"/>
      <c r="N120" s="11"/>
      <c r="O120" s="170"/>
      <c r="P120" s="171"/>
      <c r="Q120" s="171"/>
      <c r="R120" s="171"/>
      <c r="S120" s="171"/>
      <c r="T120" s="171"/>
      <c r="U120" s="171"/>
      <c r="V120" s="171"/>
      <c r="W120" s="171"/>
      <c r="X120" s="171"/>
      <c r="Y120" s="171"/>
      <c r="Z120" s="171"/>
      <c r="AA120" s="171"/>
      <c r="AB120" s="172"/>
      <c r="AC120" s="140"/>
      <c r="AD120" s="170"/>
      <c r="AE120" s="171"/>
      <c r="AF120" s="172"/>
      <c r="AG120" s="170"/>
      <c r="AH120" s="171"/>
      <c r="AI120" s="172"/>
    </row>
    <row r="121" spans="1:35" x14ac:dyDescent="0.2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38">
        <f t="shared" ref="O121:Z121" si="45">O98+O106+O114</f>
        <v>0</v>
      </c>
      <c r="P121" s="138">
        <f t="shared" si="45"/>
        <v>0</v>
      </c>
      <c r="Q121" s="138">
        <f t="shared" si="45"/>
        <v>0</v>
      </c>
      <c r="R121" s="138">
        <f t="shared" si="45"/>
        <v>0</v>
      </c>
      <c r="S121" s="138">
        <f t="shared" si="45"/>
        <v>0</v>
      </c>
      <c r="T121" s="138">
        <f t="shared" si="45"/>
        <v>0</v>
      </c>
      <c r="U121" s="138">
        <f t="shared" si="45"/>
        <v>0</v>
      </c>
      <c r="V121" s="138">
        <f t="shared" si="45"/>
        <v>0</v>
      </c>
      <c r="W121" s="138">
        <f t="shared" si="45"/>
        <v>0</v>
      </c>
      <c r="X121" s="138">
        <f t="shared" si="45"/>
        <v>0</v>
      </c>
      <c r="Y121" s="138">
        <f t="shared" si="45"/>
        <v>0</v>
      </c>
      <c r="Z121" s="138">
        <f t="shared" si="45"/>
        <v>0</v>
      </c>
      <c r="AA121" s="138">
        <f t="shared" ref="AA121:AA126" si="46">SUM(O121:Z121)</f>
        <v>0</v>
      </c>
      <c r="AB121" s="142" t="str">
        <f t="shared" ref="AB121:AB126" si="47">IF(AA121=0,"",IFERROR(AA121/AA$19,""))</f>
        <v/>
      </c>
      <c r="AC121" s="140"/>
      <c r="AD121" s="138">
        <f>AD98+AD106+AD114</f>
        <v>0</v>
      </c>
      <c r="AE121" s="142" t="str">
        <f t="shared" ref="AE121:AE126" si="48">IF(AD121=0,"",IFERROR(AD121/AD$19,""))</f>
        <v/>
      </c>
      <c r="AF121" s="141">
        <f t="shared" ref="AF121:AF126" si="49">IF(AND($AA121="",AD121=""),"",$AA121-AD121)</f>
        <v>0</v>
      </c>
      <c r="AG121" s="138">
        <f>AG98+AG106+AG114</f>
        <v>110</v>
      </c>
      <c r="AH121" s="142">
        <f t="shared" ref="AH121:AH126" si="50">IF(AG121=0,"",IFERROR(AG121/AG$19,""))</f>
        <v>1.9403118448029928E-4</v>
      </c>
      <c r="AI121" s="141">
        <f t="shared" ref="AI121:AI126" si="51">IF(AND($AA121="",AG121=""),"",$AA121-AG121)</f>
        <v>-110</v>
      </c>
    </row>
    <row r="122" spans="1:35" x14ac:dyDescent="0.2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38">
        <f t="shared" ref="O122:Z122" si="52">O99+O107+O115</f>
        <v>0</v>
      </c>
      <c r="P122" s="138">
        <f t="shared" si="52"/>
        <v>0</v>
      </c>
      <c r="Q122" s="138">
        <f t="shared" si="52"/>
        <v>0</v>
      </c>
      <c r="R122" s="138">
        <f t="shared" si="52"/>
        <v>0</v>
      </c>
      <c r="S122" s="138">
        <f t="shared" si="52"/>
        <v>0</v>
      </c>
      <c r="T122" s="138">
        <f t="shared" si="52"/>
        <v>0</v>
      </c>
      <c r="U122" s="138">
        <f t="shared" si="52"/>
        <v>0</v>
      </c>
      <c r="V122" s="138">
        <f t="shared" si="52"/>
        <v>0</v>
      </c>
      <c r="W122" s="138">
        <f t="shared" si="52"/>
        <v>0</v>
      </c>
      <c r="X122" s="138">
        <f t="shared" si="52"/>
        <v>0</v>
      </c>
      <c r="Y122" s="138">
        <f t="shared" si="52"/>
        <v>0</v>
      </c>
      <c r="Z122" s="138">
        <f t="shared" si="52"/>
        <v>0</v>
      </c>
      <c r="AA122" s="138">
        <f t="shared" si="46"/>
        <v>0</v>
      </c>
      <c r="AB122" s="142" t="str">
        <f t="shared" si="47"/>
        <v/>
      </c>
      <c r="AC122" s="140"/>
      <c r="AD122" s="138">
        <f>AD99+AD107+AD115</f>
        <v>0</v>
      </c>
      <c r="AE122" s="142" t="str">
        <f t="shared" si="48"/>
        <v/>
      </c>
      <c r="AF122" s="141">
        <f t="shared" si="49"/>
        <v>0</v>
      </c>
      <c r="AG122" s="138">
        <f>AG99+AG107+AG115</f>
        <v>290659.81</v>
      </c>
      <c r="AH122" s="142">
        <f t="shared" si="50"/>
        <v>0.51270061104653397</v>
      </c>
      <c r="AI122" s="141">
        <f t="shared" si="51"/>
        <v>-290659.81</v>
      </c>
    </row>
    <row r="123" spans="1:35" x14ac:dyDescent="0.2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38">
        <f t="shared" ref="O123:Z123" si="53">O100+O108+O116</f>
        <v>0</v>
      </c>
      <c r="P123" s="138">
        <f t="shared" si="53"/>
        <v>0</v>
      </c>
      <c r="Q123" s="138">
        <f t="shared" si="53"/>
        <v>0</v>
      </c>
      <c r="R123" s="138">
        <f t="shared" si="53"/>
        <v>0</v>
      </c>
      <c r="S123" s="138">
        <f t="shared" si="53"/>
        <v>0</v>
      </c>
      <c r="T123" s="138">
        <f t="shared" si="53"/>
        <v>0</v>
      </c>
      <c r="U123" s="138">
        <f t="shared" si="53"/>
        <v>0</v>
      </c>
      <c r="V123" s="138">
        <f t="shared" si="53"/>
        <v>0</v>
      </c>
      <c r="W123" s="138">
        <f t="shared" si="53"/>
        <v>0</v>
      </c>
      <c r="X123" s="138">
        <f t="shared" si="53"/>
        <v>0</v>
      </c>
      <c r="Y123" s="138">
        <f t="shared" si="53"/>
        <v>0</v>
      </c>
      <c r="Z123" s="138">
        <f t="shared" si="53"/>
        <v>0</v>
      </c>
      <c r="AA123" s="138">
        <f t="shared" si="46"/>
        <v>0</v>
      </c>
      <c r="AB123" s="142" t="str">
        <f t="shared" si="47"/>
        <v/>
      </c>
      <c r="AC123" s="140"/>
      <c r="AD123" s="138">
        <f>AD100+AD108+AD116</f>
        <v>0</v>
      </c>
      <c r="AE123" s="142" t="str">
        <f t="shared" si="48"/>
        <v/>
      </c>
      <c r="AF123" s="141">
        <f t="shared" si="49"/>
        <v>0</v>
      </c>
      <c r="AG123" s="138">
        <f>AG100+AG108+AG116</f>
        <v>0</v>
      </c>
      <c r="AH123" s="142" t="str">
        <f t="shared" si="50"/>
        <v/>
      </c>
      <c r="AI123" s="141">
        <f t="shared" si="51"/>
        <v>0</v>
      </c>
    </row>
    <row r="124" spans="1:35" x14ac:dyDescent="0.2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38">
        <f t="shared" ref="O124:Z124" si="54">O101+O109+O117</f>
        <v>28332</v>
      </c>
      <c r="P124" s="138">
        <f t="shared" si="54"/>
        <v>39739.5</v>
      </c>
      <c r="Q124" s="138">
        <f t="shared" si="54"/>
        <v>33005</v>
      </c>
      <c r="R124" s="138">
        <f t="shared" si="54"/>
        <v>27680.2</v>
      </c>
      <c r="S124" s="138">
        <f t="shared" si="54"/>
        <v>33325</v>
      </c>
      <c r="T124" s="138">
        <f t="shared" si="54"/>
        <v>18232.8</v>
      </c>
      <c r="U124" s="138">
        <f t="shared" si="54"/>
        <v>22814</v>
      </c>
      <c r="V124" s="138">
        <f t="shared" si="54"/>
        <v>15082</v>
      </c>
      <c r="W124" s="138">
        <f t="shared" si="54"/>
        <v>16770.52</v>
      </c>
      <c r="X124" s="138">
        <f t="shared" si="54"/>
        <v>18766</v>
      </c>
      <c r="Y124" s="138">
        <f t="shared" si="54"/>
        <v>26790.01</v>
      </c>
      <c r="Z124" s="138">
        <f t="shared" si="54"/>
        <v>23605.279999999999</v>
      </c>
      <c r="AA124" s="138">
        <f t="shared" si="46"/>
        <v>304142.30999999994</v>
      </c>
      <c r="AB124" s="142">
        <f t="shared" si="47"/>
        <v>0.73246201023387147</v>
      </c>
      <c r="AC124" s="140"/>
      <c r="AD124" s="138">
        <f>AD101+AD109+AD117</f>
        <v>338188.34640000004</v>
      </c>
      <c r="AE124" s="142">
        <f t="shared" si="48"/>
        <v>0.84500400128928776</v>
      </c>
      <c r="AF124" s="141">
        <f t="shared" si="49"/>
        <v>-34046.036400000099</v>
      </c>
      <c r="AG124" s="138">
        <f>AG101+AG109+AG117</f>
        <v>112948.23</v>
      </c>
      <c r="AH124" s="142">
        <f t="shared" si="50"/>
        <v>0.19923162592593885</v>
      </c>
      <c r="AI124" s="141">
        <f t="shared" si="51"/>
        <v>191194.07999999996</v>
      </c>
    </row>
    <row r="125" spans="1:35" x14ac:dyDescent="0.2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38">
        <f t="shared" ref="O125:Z125" si="55">O102+O110+O118</f>
        <v>0</v>
      </c>
      <c r="P125" s="138">
        <f t="shared" si="55"/>
        <v>0</v>
      </c>
      <c r="Q125" s="138">
        <f t="shared" si="55"/>
        <v>0</v>
      </c>
      <c r="R125" s="138">
        <f t="shared" si="55"/>
        <v>0</v>
      </c>
      <c r="S125" s="138">
        <f t="shared" si="55"/>
        <v>0</v>
      </c>
      <c r="T125" s="138">
        <f t="shared" si="55"/>
        <v>0</v>
      </c>
      <c r="U125" s="138">
        <f t="shared" si="55"/>
        <v>0</v>
      </c>
      <c r="V125" s="138">
        <f t="shared" si="55"/>
        <v>0</v>
      </c>
      <c r="W125" s="138">
        <f t="shared" si="55"/>
        <v>0</v>
      </c>
      <c r="X125" s="138">
        <f t="shared" si="55"/>
        <v>0</v>
      </c>
      <c r="Y125" s="138">
        <f t="shared" si="55"/>
        <v>0</v>
      </c>
      <c r="Z125" s="138">
        <f t="shared" si="55"/>
        <v>0</v>
      </c>
      <c r="AA125" s="138">
        <f t="shared" si="46"/>
        <v>0</v>
      </c>
      <c r="AB125" s="142" t="str">
        <f t="shared" si="47"/>
        <v/>
      </c>
      <c r="AC125" s="140"/>
      <c r="AD125" s="138">
        <f>AD102+AD110+AD118</f>
        <v>0</v>
      </c>
      <c r="AE125" s="142" t="str">
        <f t="shared" si="48"/>
        <v/>
      </c>
      <c r="AF125" s="141">
        <f t="shared" si="49"/>
        <v>0</v>
      </c>
      <c r="AG125" s="138">
        <f>AG102+AG110+AG118</f>
        <v>0</v>
      </c>
      <c r="AH125" s="142" t="str">
        <f t="shared" si="50"/>
        <v/>
      </c>
      <c r="AI125" s="141">
        <f t="shared" si="51"/>
        <v>0</v>
      </c>
    </row>
    <row r="126" spans="1:35" x14ac:dyDescent="0.2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2">
        <f t="shared" ref="O126:Z126" si="56">SUM(O121:O125)</f>
        <v>28332</v>
      </c>
      <c r="P126" s="162">
        <f t="shared" si="56"/>
        <v>39739.5</v>
      </c>
      <c r="Q126" s="162">
        <f t="shared" si="56"/>
        <v>33005</v>
      </c>
      <c r="R126" s="162">
        <f t="shared" si="56"/>
        <v>27680.2</v>
      </c>
      <c r="S126" s="162">
        <f t="shared" si="56"/>
        <v>33325</v>
      </c>
      <c r="T126" s="162">
        <f t="shared" si="56"/>
        <v>18232.8</v>
      </c>
      <c r="U126" s="162">
        <f t="shared" si="56"/>
        <v>22814</v>
      </c>
      <c r="V126" s="162">
        <f t="shared" si="56"/>
        <v>15082</v>
      </c>
      <c r="W126" s="162">
        <f t="shared" si="56"/>
        <v>16770.52</v>
      </c>
      <c r="X126" s="162">
        <f t="shared" si="56"/>
        <v>18766</v>
      </c>
      <c r="Y126" s="162">
        <f t="shared" si="56"/>
        <v>26790.01</v>
      </c>
      <c r="Z126" s="162">
        <f t="shared" si="56"/>
        <v>23605.279999999999</v>
      </c>
      <c r="AA126" s="162">
        <f t="shared" si="46"/>
        <v>304142.30999999994</v>
      </c>
      <c r="AB126" s="163">
        <f t="shared" si="47"/>
        <v>0.73246201023387147</v>
      </c>
      <c r="AC126" s="140"/>
      <c r="AD126" s="162">
        <f>SUM(AD121:AD125)</f>
        <v>338188.34640000004</v>
      </c>
      <c r="AE126" s="163">
        <f t="shared" si="48"/>
        <v>0.84500400128928776</v>
      </c>
      <c r="AF126" s="164">
        <f t="shared" si="49"/>
        <v>-34046.036400000099</v>
      </c>
      <c r="AG126" s="162">
        <f>SUM(AG121:AG125)</f>
        <v>403718.04</v>
      </c>
      <c r="AH126" s="163">
        <f t="shared" si="50"/>
        <v>0.71212626815695301</v>
      </c>
      <c r="AI126" s="164">
        <f t="shared" si="51"/>
        <v>-99575.73000000004</v>
      </c>
    </row>
    <row r="127" spans="1:35" x14ac:dyDescent="0.25">
      <c r="A127" s="11"/>
      <c r="B127" s="11"/>
      <c r="C127" s="208"/>
      <c r="D127" s="11"/>
      <c r="E127" s="11"/>
      <c r="F127" s="11"/>
      <c r="G127" s="11"/>
      <c r="H127" s="185"/>
      <c r="I127" s="122"/>
      <c r="J127" s="122"/>
      <c r="K127" s="11"/>
      <c r="L127" s="11"/>
      <c r="M127" s="11"/>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2"/>
      <c r="AC127" s="140"/>
      <c r="AD127" s="511">
        <f>AD103+AD111+AD119-AD126</f>
        <v>0</v>
      </c>
      <c r="AE127" s="142"/>
      <c r="AF127" s="138"/>
      <c r="AG127" s="511">
        <f>AG103+AG111+AG119-AG126</f>
        <v>0</v>
      </c>
      <c r="AH127" s="142"/>
      <c r="AI127" s="138"/>
    </row>
    <row r="128" spans="1:35" x14ac:dyDescent="0.25">
      <c r="A128" s="11"/>
      <c r="B128" s="11"/>
      <c r="C128" s="208"/>
      <c r="D128" s="11"/>
      <c r="E128" s="11"/>
      <c r="F128" s="11"/>
      <c r="G128" s="11"/>
      <c r="H128" s="185"/>
      <c r="I128" s="122"/>
      <c r="J128" s="122"/>
      <c r="K128" s="11"/>
      <c r="L128" s="11"/>
      <c r="M128" s="11"/>
      <c r="N128" s="11"/>
      <c r="O128" s="170"/>
      <c r="P128" s="171"/>
      <c r="Q128" s="171"/>
      <c r="R128" s="171"/>
      <c r="S128" s="171"/>
      <c r="T128" s="171"/>
      <c r="U128" s="171"/>
      <c r="V128" s="171"/>
      <c r="W128" s="171"/>
      <c r="X128" s="171"/>
      <c r="Y128" s="171"/>
      <c r="Z128" s="171"/>
      <c r="AA128" s="171"/>
      <c r="AB128" s="172"/>
      <c r="AC128" s="140"/>
      <c r="AD128" s="170"/>
      <c r="AE128" s="171"/>
      <c r="AF128" s="172"/>
      <c r="AG128" s="170"/>
      <c r="AH128" s="171"/>
      <c r="AI128" s="172"/>
    </row>
    <row r="129" spans="1:35" ht="15.75" x14ac:dyDescent="0.2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2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38">
        <v>3008.52</v>
      </c>
      <c r="P130" s="138">
        <v>2843.93</v>
      </c>
      <c r="Q130" s="138">
        <v>-14.75</v>
      </c>
      <c r="R130" s="138">
        <v>6374.17</v>
      </c>
      <c r="S130" s="138">
        <v>3883.65</v>
      </c>
      <c r="T130" s="138">
        <v>3052.83</v>
      </c>
      <c r="U130" s="138">
        <v>2842.5</v>
      </c>
      <c r="V130" s="138">
        <v>1719.27</v>
      </c>
      <c r="W130" s="138">
        <v>1693.67</v>
      </c>
      <c r="X130" s="138">
        <v>1752.55</v>
      </c>
      <c r="Y130" s="138">
        <v>2469.7399999999998</v>
      </c>
      <c r="Z130" s="138">
        <v>2984.71</v>
      </c>
      <c r="AA130" s="138">
        <f>SUM(O130:Z130)</f>
        <v>32610.79</v>
      </c>
      <c r="AB130" s="458">
        <f>IF(_epmOfflineCondition_,0.292868865282328,IF(AA130=0,"",IFERROR(AA130/_xll.EVGTS($B$1,1,_xll.EVPRO($B$1,$H130,"COSBASIS"),$B$3,$B$5,$B$6,$B$7,$B$9,AA$16,AA$17,AA$11),"")))</f>
        <v>0.29286886528232797</v>
      </c>
      <c r="AC130" s="140"/>
      <c r="AD130" s="138">
        <v>17369.150000000001</v>
      </c>
      <c r="AE130" s="458">
        <f>IF(_epmOfflineCondition_,0.28000011271483,IF(AD130=0,"",IFERROR(AD130/_xll.EVGTS($B$1,1,_xll.EVPRO($B$1,$H130,"COSBASIS"),$B$3,$B$5,$B$6,$B$7,$B$9,AD$16,AD$17,AD$18),"")))</f>
        <v>0.28000011271483</v>
      </c>
      <c r="AF130" s="141">
        <f t="shared" ref="AF130:AF141" si="58">IF(AND($AA130="",AD130=""),"",$AA130-AD130)</f>
        <v>15241.64</v>
      </c>
      <c r="AG130" s="138">
        <v>50622.52</v>
      </c>
      <c r="AH130" s="458">
        <f>IF(_epmOfflineCondition_,0.309414062383009,IF(AG130=0,"",IFERROR(AG130/_xll.EVGTS($B$1,1,_xll.EVPRO($B$1,$H130,"COSBASIS"),$B$3,$B$5,$B$6,$B$7,$B$9,AG$16,AG$17,AG$18),"")))</f>
        <v>0.309414062383009</v>
      </c>
      <c r="AI130" s="141">
        <f t="shared" ref="AI130:AI141" si="59">IF(AND($AA130="",AG130=""),"",$AA130-AG130)</f>
        <v>-18011.729999999996</v>
      </c>
    </row>
    <row r="131" spans="1:35" x14ac:dyDescent="0.2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v>0.30820263279209098</v>
      </c>
      <c r="P131" s="508">
        <v>0.30935820733166502</v>
      </c>
      <c r="Q131" s="508">
        <v>-1.4294020738443601E-3</v>
      </c>
      <c r="R131" s="508">
        <v>0.61657670729348002</v>
      </c>
      <c r="S131" s="508">
        <v>0.30506609313680799</v>
      </c>
      <c r="T131" s="508">
        <v>0.296121015772014</v>
      </c>
      <c r="U131" s="508">
        <v>0.302812400127836</v>
      </c>
      <c r="V131" s="508">
        <v>0.27214404432132999</v>
      </c>
      <c r="W131" s="508">
        <v>0.255415054930969</v>
      </c>
      <c r="X131" s="508">
        <v>0.274909803921569</v>
      </c>
      <c r="Y131" s="508">
        <v>0.27089126025957799</v>
      </c>
      <c r="Z131" s="508">
        <v>0.27457223285251697</v>
      </c>
      <c r="AA131" s="508">
        <v>0.29286886528232797</v>
      </c>
      <c r="AB131" s="458"/>
      <c r="AC131" s="140"/>
      <c r="AD131" s="508">
        <v>0.28000011271483</v>
      </c>
      <c r="AE131" s="458"/>
      <c r="AF131" s="521">
        <f t="shared" si="58"/>
        <v>1.2868752567497976E-2</v>
      </c>
      <c r="AG131" s="508">
        <v>0.309414062383009</v>
      </c>
      <c r="AH131" s="458"/>
      <c r="AI131" s="521">
        <f t="shared" si="59"/>
        <v>-1.6545197100681031E-2</v>
      </c>
    </row>
    <row r="132" spans="1:35" x14ac:dyDescent="0.2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38">
        <v>7006.98</v>
      </c>
      <c r="P132" s="138">
        <v>9703.2000000000007</v>
      </c>
      <c r="Q132" s="138">
        <v>2</v>
      </c>
      <c r="R132" s="138">
        <v>14800.56</v>
      </c>
      <c r="S132" s="138">
        <v>7993.93</v>
      </c>
      <c r="T132" s="138">
        <v>4364.2299999999996</v>
      </c>
      <c r="U132" s="138">
        <v>5607.55</v>
      </c>
      <c r="V132" s="138">
        <v>3528.6</v>
      </c>
      <c r="W132" s="138">
        <v>3932.19</v>
      </c>
      <c r="X132" s="138">
        <v>4327.26</v>
      </c>
      <c r="Y132" s="138">
        <v>6173.9</v>
      </c>
      <c r="Z132" s="138">
        <v>5519.12</v>
      </c>
      <c r="AA132" s="138">
        <f>SUM(O132:Z132)</f>
        <v>72959.51999999999</v>
      </c>
      <c r="AB132" s="458">
        <f>IF(_epmOfflineCondition_,0.239886124360665,IF(AA132=0,"",IFERROR(AA132/_xll.EVGTS($B$1,1,_xll.EVPRO($B$1,$H132,"COSBASIS"),$B$3,$B$5,$B$6,$B$7,$B$9,AA$16,AA$17,AA$11),"")))</f>
        <v>0.239886124360665</v>
      </c>
      <c r="AC132" s="140"/>
      <c r="AD132" s="138">
        <v>79696.47</v>
      </c>
      <c r="AE132" s="458">
        <f>IF(_epmOfflineCondition_,0.235657055745313,IF(AD132=0,"",IFERROR(AD132/_xll.EVGTS($B$1,1,_xll.EVPRO($B$1,$H132,"COSBASIS"),$B$3,$B$5,$B$6,$B$7,$B$9,AD$16,AD$17,AD$18),"")))</f>
        <v>0.23565705574531301</v>
      </c>
      <c r="AF132" s="141">
        <f t="shared" si="58"/>
        <v>-6736.9500000000116</v>
      </c>
      <c r="AG132" s="138">
        <v>98326.47</v>
      </c>
      <c r="AH132" s="458">
        <f>IF(_epmOfflineCondition_,0.243552331721416,IF(AG132=0,"",IFERROR(AG132/_xll.EVGTS($B$1,1,_xll.EVPRO($B$1,$H132,"COSBASIS"),$B$3,$B$5,$B$6,$B$7,$B$9,AG$16,AG$17,AG$18),"")))</f>
        <v>0.24355233172141599</v>
      </c>
      <c r="AI132" s="141">
        <f t="shared" si="59"/>
        <v>-25366.950000000012</v>
      </c>
    </row>
    <row r="133" spans="1:35" x14ac:dyDescent="0.2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v>0.247316814908937</v>
      </c>
      <c r="P133" s="508">
        <v>0.244170158154984</v>
      </c>
      <c r="Q133" s="508">
        <v>6.0596879260718102E-5</v>
      </c>
      <c r="R133" s="508">
        <v>0.53469844871063099</v>
      </c>
      <c r="S133" s="508">
        <v>0.239877869467367</v>
      </c>
      <c r="T133" s="508">
        <v>0.23936148040893299</v>
      </c>
      <c r="U133" s="508">
        <v>0.24579424914526199</v>
      </c>
      <c r="V133" s="508">
        <v>0.233961013128232</v>
      </c>
      <c r="W133" s="508">
        <v>0.23447036824141401</v>
      </c>
      <c r="X133" s="508">
        <v>0.23059042950016001</v>
      </c>
      <c r="Y133" s="508">
        <v>0.230455307780774</v>
      </c>
      <c r="Z133" s="508">
        <v>0.23380870720449001</v>
      </c>
      <c r="AA133" s="508">
        <v>0.239886124360665</v>
      </c>
      <c r="AB133" s="458"/>
      <c r="AC133" s="140"/>
      <c r="AD133" s="508">
        <v>0.23565705574531301</v>
      </c>
      <c r="AE133" s="458"/>
      <c r="AF133" s="521">
        <f t="shared" si="58"/>
        <v>4.2290686153519941E-3</v>
      </c>
      <c r="AG133" s="508">
        <v>0.24355233172141599</v>
      </c>
      <c r="AH133" s="458"/>
      <c r="AI133" s="521">
        <f t="shared" si="59"/>
        <v>-3.6662073607509893E-3</v>
      </c>
    </row>
    <row r="134" spans="1:35" x14ac:dyDescent="0.2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38">
        <v>5061.54</v>
      </c>
      <c r="P134" s="138">
        <v>6914.23</v>
      </c>
      <c r="Q134" s="138">
        <v>2</v>
      </c>
      <c r="R134" s="138">
        <v>10636.78</v>
      </c>
      <c r="S134" s="138">
        <v>5948.61</v>
      </c>
      <c r="T134" s="138">
        <v>3300.74</v>
      </c>
      <c r="U134" s="138">
        <v>4570.66</v>
      </c>
      <c r="V134" s="138">
        <v>2826.45</v>
      </c>
      <c r="W134" s="138">
        <v>3206.03</v>
      </c>
      <c r="X134" s="138">
        <v>3077.81</v>
      </c>
      <c r="Y134" s="138">
        <v>4326.1899999999996</v>
      </c>
      <c r="Z134" s="138">
        <v>4123.87</v>
      </c>
      <c r="AA134" s="138">
        <f>SUM(O134:Z134)</f>
        <v>53994.909999999996</v>
      </c>
      <c r="AB134" s="458">
        <f>IF(_epmOfflineCondition_,0.246762908093494,IF(AA134=0,"",IFERROR(AA134/_xll.EVGTS($B$1,1,_xll.EVPRO($B$1,$H134,"COSBASIS"),$B$3,$B$5,$B$6,$B$7,$B$9,AA$16,AA$17,AA$11),"")))</f>
        <v>0.24676290809349399</v>
      </c>
      <c r="AC134" s="140"/>
      <c r="AD134" s="138">
        <v>67259.899999999994</v>
      </c>
      <c r="AE134" s="458">
        <f>IF(_epmOfflineCondition_,0.241000067693673,IF(AD134=0,"",IFERROR(AD134/_xll.EVGTS($B$1,1,_xll.EVPRO($B$1,$H134,"COSBASIS"),$B$3,$B$5,$B$6,$B$7,$B$9,AD$16,AD$17,AD$18),"")))</f>
        <v>0.24100006769367299</v>
      </c>
      <c r="AF134" s="141">
        <f t="shared" si="58"/>
        <v>-13264.989999999998</v>
      </c>
      <c r="AG134" s="138">
        <v>81380.42</v>
      </c>
      <c r="AH134" s="458">
        <f>IF(_epmOfflineCondition_,0.246294323102527,IF(AG134=0,"",IFERROR(AG134/_xll.EVGTS($B$1,1,_xll.EVPRO($B$1,$H134,"COSBASIS"),$B$3,$B$5,$B$6,$B$7,$B$9,AG$16,AG$17,AG$18),"")))</f>
        <v>0.246294323102527</v>
      </c>
      <c r="AI134" s="141">
        <f t="shared" si="59"/>
        <v>-27385.510000000002</v>
      </c>
    </row>
    <row r="135" spans="1:35" x14ac:dyDescent="0.2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v>0.25272318753744799</v>
      </c>
      <c r="P135" s="508">
        <v>0.24899992797464701</v>
      </c>
      <c r="Q135" s="508">
        <v>8.9174246477617298E-5</v>
      </c>
      <c r="R135" s="508">
        <v>0.52423238804940298</v>
      </c>
      <c r="S135" s="508">
        <v>0.249</v>
      </c>
      <c r="T135" s="508">
        <v>0.24899594152170301</v>
      </c>
      <c r="U135" s="508">
        <v>0.24992672790901099</v>
      </c>
      <c r="V135" s="508">
        <v>0.24100017053205999</v>
      </c>
      <c r="W135" s="508">
        <v>0.24100016387256401</v>
      </c>
      <c r="X135" s="508">
        <v>0.24099992169759599</v>
      </c>
      <c r="Y135" s="508">
        <v>0.24099981003854401</v>
      </c>
      <c r="Z135" s="508">
        <v>0.24100019402179099</v>
      </c>
      <c r="AA135" s="508">
        <v>0.24676290809349399</v>
      </c>
      <c r="AB135" s="458"/>
      <c r="AC135" s="140"/>
      <c r="AD135" s="508">
        <v>0.24100006769367299</v>
      </c>
      <c r="AE135" s="458"/>
      <c r="AF135" s="521">
        <f t="shared" si="58"/>
        <v>5.7628403998210009E-3</v>
      </c>
      <c r="AG135" s="508">
        <v>0.246294323102527</v>
      </c>
      <c r="AH135" s="458"/>
      <c r="AI135" s="521">
        <f t="shared" si="59"/>
        <v>4.6858499096699702E-4</v>
      </c>
    </row>
    <row r="136" spans="1:35" x14ac:dyDescent="0.2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38">
        <v>547.16</v>
      </c>
      <c r="P136" s="138">
        <v>829.35</v>
      </c>
      <c r="Q136" s="138"/>
      <c r="R136" s="138">
        <v>1300.4000000000001</v>
      </c>
      <c r="S136" s="138">
        <v>1044.58</v>
      </c>
      <c r="T136" s="138">
        <v>385.59</v>
      </c>
      <c r="U136" s="138">
        <v>358.29</v>
      </c>
      <c r="V136" s="138">
        <v>322.58</v>
      </c>
      <c r="W136" s="138">
        <v>332.39</v>
      </c>
      <c r="X136" s="138">
        <v>599.15</v>
      </c>
      <c r="Y136" s="138">
        <v>860.95</v>
      </c>
      <c r="Z136" s="138">
        <v>478.91</v>
      </c>
      <c r="AA136" s="138">
        <f>SUM(O136:Z136)</f>
        <v>7059.3499999999995</v>
      </c>
      <c r="AB136" s="458">
        <f>IF(_epmOfflineCondition_,0.18700017218315,IF(AA136=0,"",IFERROR(AA136/_xll.EVGTS($B$1,1,_xll.EVPRO($B$1,$H136,"COSBASIS"),$B$3,$B$5,$B$6,$B$7,$B$9,AA$16,AA$17,AA$11),"")))</f>
        <v>0.18700017218314999</v>
      </c>
      <c r="AC136" s="140"/>
      <c r="AD136" s="138">
        <v>3860.06</v>
      </c>
      <c r="AE136" s="458">
        <f>IF(_epmOfflineCondition_,0.18699978697858,IF(AD136=0,"",IFERROR(AD136/_xll.EVGTS($B$1,1,_xll.EVPRO($B$1,$H136,"COSBASIS"),$B$3,$B$5,$B$6,$B$7,$B$9,AD$16,AD$17,AD$18),"")))</f>
        <v>0.18699978697858</v>
      </c>
      <c r="AF136" s="141">
        <f t="shared" si="58"/>
        <v>3199.2899999999995</v>
      </c>
      <c r="AG136" s="138">
        <v>5410.11</v>
      </c>
      <c r="AH136" s="458">
        <f>IF(_epmOfflineCondition_,0.187005103303528,IF(AG136=0,"",IFERROR(AG136/_xll.EVGTS($B$1,1,_xll.EVPRO($B$1,$H136,"COSBASIS"),$B$3,$B$5,$B$6,$B$7,$B$9,AG$16,AG$17,AG$18),"")))</f>
        <v>0.18700510330352799</v>
      </c>
      <c r="AI136" s="141">
        <f t="shared" si="59"/>
        <v>1649.2399999999998</v>
      </c>
    </row>
    <row r="137" spans="1:35" x14ac:dyDescent="0.2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v>0.186999316473001</v>
      </c>
      <c r="P137" s="508">
        <v>0.187001127395716</v>
      </c>
      <c r="Q137" s="508"/>
      <c r="R137" s="508">
        <v>0.38045640725570501</v>
      </c>
      <c r="S137" s="508">
        <v>0.18699964196204799</v>
      </c>
      <c r="T137" s="508">
        <v>0.18699806013579001</v>
      </c>
      <c r="U137" s="508">
        <v>0.18699895615866399</v>
      </c>
      <c r="V137" s="508">
        <v>0.18700289855072499</v>
      </c>
      <c r="W137" s="508">
        <v>0.18699859353023901</v>
      </c>
      <c r="X137" s="508">
        <v>0.18700062421972499</v>
      </c>
      <c r="Y137" s="508">
        <v>0.187000434404865</v>
      </c>
      <c r="Z137" s="508">
        <v>0.18700117141741501</v>
      </c>
      <c r="AA137" s="508">
        <v>0.18700017218314999</v>
      </c>
      <c r="AB137" s="458"/>
      <c r="AC137" s="140"/>
      <c r="AD137" s="508">
        <v>0.18699978697858</v>
      </c>
      <c r="AE137" s="458"/>
      <c r="AF137" s="521">
        <f t="shared" si="58"/>
        <v>3.8520456999147079E-7</v>
      </c>
      <c r="AG137" s="508">
        <v>0.18700510330352799</v>
      </c>
      <c r="AH137" s="458"/>
      <c r="AI137" s="521">
        <f t="shared" si="59"/>
        <v>-4.931120377998921E-6</v>
      </c>
    </row>
    <row r="138" spans="1:35" x14ac:dyDescent="0.2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38">
        <v>1398.28</v>
      </c>
      <c r="P138" s="138">
        <v>1959.62</v>
      </c>
      <c r="Q138" s="138"/>
      <c r="R138" s="138">
        <v>2863.38</v>
      </c>
      <c r="S138" s="138">
        <v>1000.74</v>
      </c>
      <c r="T138" s="138">
        <v>677.9</v>
      </c>
      <c r="U138" s="138">
        <v>678.6</v>
      </c>
      <c r="V138" s="138">
        <v>379.57</v>
      </c>
      <c r="W138" s="138">
        <v>393.77</v>
      </c>
      <c r="X138" s="138">
        <v>650.29999999999995</v>
      </c>
      <c r="Y138" s="138">
        <v>986.76</v>
      </c>
      <c r="Z138" s="138">
        <v>916.34</v>
      </c>
      <c r="AA138" s="138">
        <f>SUM(O138:Z138)</f>
        <v>11905.259999999998</v>
      </c>
      <c r="AB138" s="458">
        <f>IF(_epmOfflineCondition_,0.250221421680619,IF(AA138=0,"",IFERROR(AA138/_xll.EVGTS($B$1,1,_xll.EVPRO($B$1,$H138,"COSBASIS"),$B$3,$B$5,$B$6,$B$7,$B$9,AA$16,AA$17,AA$11),"")))</f>
        <v>0.25022142168061901</v>
      </c>
      <c r="AC138" s="140"/>
      <c r="AD138" s="138">
        <v>8576.51</v>
      </c>
      <c r="AE138" s="458">
        <f>IF(_epmOfflineCondition_,0.223000225545491,IF(AD138=0,"",IFERROR(AD138/_xll.EVGTS($B$1,1,_xll.EVPRO($B$1,$H138,"COSBASIS"),$B$3,$B$5,$B$6,$B$7,$B$9,AD$16,AD$17,AD$18),"")))</f>
        <v>0.22300022554549101</v>
      </c>
      <c r="AF138" s="141">
        <f t="shared" si="58"/>
        <v>3328.7499999999982</v>
      </c>
      <c r="AG138" s="138">
        <v>11535.94</v>
      </c>
      <c r="AH138" s="458">
        <f>IF(_epmOfflineCondition_,0.260003691819195,IF(AG138=0,"",IFERROR(AG138/_xll.EVGTS($B$1,1,_xll.EVPRO($B$1,$H138,"COSBASIS"),$B$3,$B$5,$B$6,$B$7,$B$9,AG$16,AG$17,AG$18),"")))</f>
        <v>0.26000369181919503</v>
      </c>
      <c r="AI138" s="141">
        <f t="shared" si="59"/>
        <v>369.31999999999789</v>
      </c>
    </row>
    <row r="139" spans="1:35" x14ac:dyDescent="0.2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v>0.26</v>
      </c>
      <c r="P139" s="508">
        <v>0.26001724938631998</v>
      </c>
      <c r="Q139" s="508"/>
      <c r="R139" s="508">
        <v>0.72089123867069504</v>
      </c>
      <c r="S139" s="508">
        <v>0.26</v>
      </c>
      <c r="T139" s="508">
        <v>0.23258766211487</v>
      </c>
      <c r="U139" s="508">
        <v>0.26</v>
      </c>
      <c r="V139" s="508">
        <v>0.233007980356047</v>
      </c>
      <c r="W139" s="508">
        <v>0.23300000000000001</v>
      </c>
      <c r="X139" s="508">
        <v>0.23299892511644599</v>
      </c>
      <c r="Y139" s="508">
        <v>0.23300118063754399</v>
      </c>
      <c r="Z139" s="508">
        <v>0.23299938974776199</v>
      </c>
      <c r="AA139" s="508">
        <v>0.25022142168061901</v>
      </c>
      <c r="AB139" s="458"/>
      <c r="AC139" s="140"/>
      <c r="AD139" s="508">
        <v>0.22300022554549101</v>
      </c>
      <c r="AE139" s="458"/>
      <c r="AF139" s="521">
        <f t="shared" si="58"/>
        <v>2.7221196135127995E-2</v>
      </c>
      <c r="AG139" s="508">
        <v>0.26000369181919503</v>
      </c>
      <c r="AH139" s="458"/>
      <c r="AI139" s="521">
        <f t="shared" si="59"/>
        <v>-9.7822701385760213E-3</v>
      </c>
    </row>
    <row r="140" spans="1:35" x14ac:dyDescent="0.2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38">
        <v>10015.5</v>
      </c>
      <c r="P140" s="138">
        <v>12547.13</v>
      </c>
      <c r="Q140" s="138">
        <v>-12.75</v>
      </c>
      <c r="R140" s="138">
        <v>21174.73</v>
      </c>
      <c r="S140" s="138">
        <v>11877.58</v>
      </c>
      <c r="T140" s="138">
        <v>7417.06</v>
      </c>
      <c r="U140" s="138">
        <v>8450.0499999999993</v>
      </c>
      <c r="V140" s="138">
        <v>5247.87</v>
      </c>
      <c r="W140" s="138">
        <v>5625.86</v>
      </c>
      <c r="X140" s="138">
        <v>6079.81</v>
      </c>
      <c r="Y140" s="138">
        <v>8643.64</v>
      </c>
      <c r="Z140" s="138">
        <v>8503.83</v>
      </c>
      <c r="AA140" s="138">
        <f>SUM(O140:Z140)</f>
        <v>105570.31</v>
      </c>
      <c r="AB140" s="458">
        <f>IF(_epmOfflineCondition_,0.254243618665266,IF(AA140=0,"",IFERROR(AA140/_xll.EVGTS($B$1,1,_xll.EVPRO($B$1,$H140,"COSBASIS"),$B$3,$B$5,$B$6,$B$7,$B$9,AA$16,AA$17,AA$11),"")))</f>
        <v>0.25424361866526601</v>
      </c>
      <c r="AC140" s="140"/>
      <c r="AD140" s="138">
        <v>97065.62</v>
      </c>
      <c r="AE140" s="458">
        <f>IF(_epmOfflineCondition_,0.242530052146189,IF(AD140=0,"",IFERROR(AD140/_xll.EVGTS($B$1,1,_xll.EVPRO($B$1,$H140,"COSBASIS"),$B$3,$B$5,$B$6,$B$7,$B$9,AD$16,AD$17,AD$18),"")))</f>
        <v>0.242530052146189</v>
      </c>
      <c r="AF140" s="141">
        <f t="shared" si="58"/>
        <v>8504.6900000000023</v>
      </c>
      <c r="AG140" s="138">
        <v>148948.99</v>
      </c>
      <c r="AH140" s="458">
        <f>IF(_epmOfflineCondition_,0.262734081425857,IF(AG140=0,"",IFERROR(AG140/_xll.EVGTS($B$1,1,_xll.EVPRO($B$1,$H140,"COSBASIS"),$B$3,$B$5,$B$6,$B$7,$B$9,AG$16,AG$17,AG$18),"")))</f>
        <v>0.26273408142585702</v>
      </c>
      <c r="AI140" s="141">
        <f t="shared" si="59"/>
        <v>-43378.679999999993</v>
      </c>
    </row>
    <row r="141" spans="1:35" x14ac:dyDescent="0.25">
      <c r="A141" s="11"/>
      <c r="B141" s="11"/>
      <c r="C141" s="208"/>
      <c r="D141" s="11"/>
      <c r="E141" s="11"/>
      <c r="F141" s="11"/>
      <c r="G141" s="11"/>
      <c r="H141" s="185"/>
      <c r="I141" s="122"/>
      <c r="J141" s="122"/>
      <c r="K141" s="11"/>
      <c r="L141" s="90"/>
      <c r="M141" s="90"/>
      <c r="N141" s="493" t="s">
        <v>762</v>
      </c>
      <c r="O141" s="508">
        <f t="shared" ref="O141:AA141" si="60">IFERROR(O140/O85,"")</f>
        <v>0.26291887067347447</v>
      </c>
      <c r="P141" s="508">
        <f t="shared" si="60"/>
        <v>0.25641710519593314</v>
      </c>
      <c r="Q141" s="508">
        <f t="shared" si="60"/>
        <v>-2.9429415566429695E-4</v>
      </c>
      <c r="R141" s="508">
        <f t="shared" si="60"/>
        <v>0.55696298088810103</v>
      </c>
      <c r="S141" s="508">
        <f t="shared" si="60"/>
        <v>0.25868142293316515</v>
      </c>
      <c r="T141" s="508">
        <f t="shared" si="60"/>
        <v>0.25986293978740255</v>
      </c>
      <c r="U141" s="508">
        <f t="shared" si="60"/>
        <v>0.26249728184896398</v>
      </c>
      <c r="V141" s="508">
        <f t="shared" si="60"/>
        <v>0.24523329984345429</v>
      </c>
      <c r="W141" s="508">
        <f t="shared" si="60"/>
        <v>0.24040523776823519</v>
      </c>
      <c r="X141" s="508">
        <f t="shared" si="60"/>
        <v>0.24182848733145063</v>
      </c>
      <c r="Y141" s="508">
        <f t="shared" si="60"/>
        <v>0.2410405667199019</v>
      </c>
      <c r="Z141" s="508">
        <f t="shared" si="60"/>
        <v>0.24710480021712181</v>
      </c>
      <c r="AA141" s="508">
        <f t="shared" si="60"/>
        <v>0.25424361866526562</v>
      </c>
      <c r="AB141" s="458"/>
      <c r="AC141" s="140"/>
      <c r="AD141" s="508">
        <f>IFERROR(AD140/AD85,"")</f>
        <v>0.24253005214618922</v>
      </c>
      <c r="AE141" s="458"/>
      <c r="AF141" s="521">
        <f t="shared" si="58"/>
        <v>1.1713566519076402E-2</v>
      </c>
      <c r="AG141" s="508">
        <f>IFERROR(AG140/AG85,"")</f>
        <v>0.2627340814258568</v>
      </c>
      <c r="AH141" s="458"/>
      <c r="AI141" s="521">
        <f t="shared" si="59"/>
        <v>-8.4904627605911775E-3</v>
      </c>
    </row>
    <row r="142" spans="1:35" x14ac:dyDescent="0.2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2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2"/>
      <c r="AC143" s="140"/>
      <c r="AD143" s="511">
        <f>AD39+AD49+AD59+AD69+AD79+AD83-AD85</f>
        <v>0</v>
      </c>
      <c r="AE143" s="142"/>
      <c r="AF143" s="138"/>
      <c r="AG143" s="511">
        <f>AG39+AG49+AG59+AG69+AG79+AG83-AG85</f>
        <v>0</v>
      </c>
      <c r="AH143" s="142"/>
      <c r="AI143" s="138"/>
    </row>
    <row r="144" spans="1:35" x14ac:dyDescent="0.2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2"/>
      <c r="AC144" s="140"/>
      <c r="AD144" s="511">
        <f>AD41+AD51+AD61+AD71+AD80-AD87</f>
        <v>0</v>
      </c>
      <c r="AE144" s="142"/>
      <c r="AF144" s="138"/>
      <c r="AG144" s="511">
        <f>AG41+AG51+AG61+AG71+AG80-AG87</f>
        <v>0</v>
      </c>
      <c r="AH144" s="142"/>
      <c r="AI144" s="138"/>
    </row>
    <row r="145" spans="1:35" x14ac:dyDescent="0.25">
      <c r="A145" s="11"/>
      <c r="B145" s="11"/>
      <c r="C145" s="208"/>
      <c r="D145" s="11"/>
      <c r="E145" s="11"/>
      <c r="F145" s="11"/>
      <c r="G145" s="11"/>
      <c r="H145" s="185"/>
      <c r="I145" s="122"/>
      <c r="J145" s="122"/>
      <c r="K145" s="11"/>
      <c r="L145" s="11"/>
      <c r="M145" s="11"/>
      <c r="N145" s="104" t="str">
        <f>N88&amp;" - Check"</f>
        <v>Total Average Check - Check</v>
      </c>
      <c r="O145" s="510">
        <f t="shared" ref="O145:AA145" si="63">IFERROR(O$85/O87,"")-O88</f>
        <v>0</v>
      </c>
      <c r="P145" s="510">
        <f t="shared" si="63"/>
        <v>0</v>
      </c>
      <c r="Q145" s="510">
        <f t="shared" si="63"/>
        <v>-3.5527136788005009E-14</v>
      </c>
      <c r="R145" s="510">
        <f t="shared" si="63"/>
        <v>0</v>
      </c>
      <c r="S145" s="510">
        <f t="shared" si="63"/>
        <v>0</v>
      </c>
      <c r="T145" s="510">
        <f t="shared" si="63"/>
        <v>0</v>
      </c>
      <c r="U145" s="510">
        <f t="shared" si="63"/>
        <v>0</v>
      </c>
      <c r="V145" s="510">
        <f t="shared" si="63"/>
        <v>0</v>
      </c>
      <c r="W145" s="510">
        <f t="shared" si="63"/>
        <v>0</v>
      </c>
      <c r="X145" s="510">
        <f t="shared" si="63"/>
        <v>-3.907985046680551E-14</v>
      </c>
      <c r="Y145" s="510">
        <f t="shared" si="63"/>
        <v>2.8421709430404007E-14</v>
      </c>
      <c r="Z145" s="510">
        <f t="shared" si="63"/>
        <v>0</v>
      </c>
      <c r="AA145" s="510">
        <f t="shared" si="63"/>
        <v>0</v>
      </c>
      <c r="AB145" s="142"/>
      <c r="AC145" s="140"/>
      <c r="AD145" s="510">
        <f>IFERROR(AD$85/AD87,"")-AD88</f>
        <v>4.9737991503207013E-14</v>
      </c>
      <c r="AE145" s="142"/>
      <c r="AF145" s="138"/>
      <c r="AG145" s="510">
        <f>IFERROR(AG$85/AG87,"")-AG88</f>
        <v>4.6185277824406512E-14</v>
      </c>
      <c r="AH145" s="142"/>
      <c r="AI145" s="138"/>
    </row>
    <row r="146" spans="1:35" x14ac:dyDescent="0.2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2"/>
      <c r="AC146" s="140"/>
      <c r="AD146" s="511">
        <f>(AD130+AD132)-AD140</f>
        <v>0</v>
      </c>
      <c r="AE146" s="142"/>
      <c r="AF146" s="138"/>
      <c r="AG146" s="511">
        <f>(AG130+AG132)-AG140</f>
        <v>0</v>
      </c>
      <c r="AH146" s="142"/>
      <c r="AI146" s="138"/>
    </row>
    <row r="147" spans="1:35" x14ac:dyDescent="0.2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2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2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2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2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MScK7DY933B10w1kXQqM2JnH7LbXtxIl7SoIygA88mv0PHahyzyThspO0Qy19+EBzeGtpBMYQMo8a3omBFkTUw==" saltValue="SnPS00Slxo+zDUs+zcerdg==" spinCount="100000" sheet="1" scenarios="1"/>
  <mergeCells count="2">
    <mergeCell ref="AD31:AE31"/>
    <mergeCell ref="AG31:AH31"/>
  </mergeCells>
  <conditionalFormatting sqref="AD43 AF43:AG43 O43:AA43">
    <cfRule type="expression" dxfId="65" priority="15">
      <formula>ROUND(O42,2)&lt;&gt;ROUND(O43,2)</formula>
    </cfRule>
  </conditionalFormatting>
  <conditionalFormatting sqref="N43">
    <cfRule type="expression" dxfId="64" priority="14">
      <formula>$G43&lt;&gt;0</formula>
    </cfRule>
  </conditionalFormatting>
  <conditionalFormatting sqref="O53:AA53 AD53 AF53:AG53">
    <cfRule type="expression" dxfId="63" priority="13">
      <formula>ROUND(O52,2)&lt;&gt;ROUND(O53,2)</formula>
    </cfRule>
  </conditionalFormatting>
  <conditionalFormatting sqref="N53">
    <cfRule type="expression" dxfId="62" priority="12">
      <formula>$G53&lt;&gt;0</formula>
    </cfRule>
  </conditionalFormatting>
  <conditionalFormatting sqref="O63:AA63 AD63 AF63:AG63">
    <cfRule type="expression" dxfId="61" priority="11">
      <formula>ROUND(O62,2)&lt;&gt;ROUND(O63,2)</formula>
    </cfRule>
  </conditionalFormatting>
  <conditionalFormatting sqref="N63">
    <cfRule type="expression" dxfId="60" priority="10">
      <formula>$G63&lt;&gt;0</formula>
    </cfRule>
  </conditionalFormatting>
  <conditionalFormatting sqref="O73:AA73 AD73 AF73:AG73">
    <cfRule type="expression" dxfId="59" priority="9">
      <formula>ROUND(O72,2)&lt;&gt;ROUND(O73,2)</formula>
    </cfRule>
  </conditionalFormatting>
  <conditionalFormatting sqref="N73">
    <cfRule type="expression" dxfId="58" priority="8">
      <formula>$G73&lt;&gt;0</formula>
    </cfRule>
  </conditionalFormatting>
  <conditionalFormatting sqref="N82">
    <cfRule type="expression" dxfId="57" priority="7">
      <formula>$G82&lt;&gt;0</formula>
    </cfRule>
  </conditionalFormatting>
  <conditionalFormatting sqref="AD82 AF82:AG82 O82:AA82">
    <cfRule type="expression" dxfId="56" priority="6">
      <formula>ROUND(O81,2)&lt;&gt;ROUND(O82,2)</formula>
    </cfRule>
  </conditionalFormatting>
  <conditionalFormatting sqref="AI43">
    <cfRule type="expression" dxfId="55" priority="5">
      <formula>ROUND(AI42,2)&lt;&gt;ROUND(AI43,2)</formula>
    </cfRule>
  </conditionalFormatting>
  <conditionalFormatting sqref="AI53">
    <cfRule type="expression" dxfId="54" priority="4">
      <formula>ROUND(AI52,2)&lt;&gt;ROUND(AI53,2)</formula>
    </cfRule>
  </conditionalFormatting>
  <conditionalFormatting sqref="AI63">
    <cfRule type="expression" dxfId="53" priority="3">
      <formula>ROUND(AI62,2)&lt;&gt;ROUND(AI63,2)</formula>
    </cfRule>
  </conditionalFormatting>
  <conditionalFormatting sqref="AI73">
    <cfRule type="expression" dxfId="52" priority="2">
      <formula>ROUND(AI72,2)&lt;&gt;ROUND(AI73,2)</formula>
    </cfRule>
  </conditionalFormatting>
  <conditionalFormatting sqref="AI82">
    <cfRule type="expression" dxfId="51" priority="1">
      <formula>ROUND(AI81,2)&lt;&gt;ROUND(AI82,2)</formula>
    </cfRule>
  </conditionalFormatting>
  <dataValidations disablePrompts="1" count="2">
    <dataValidation type="list" allowBlank="1" sqref="B29" xr:uid="{00000000-0002-0000-1400-000000000000}">
      <formula1>"SELF,ALL,BAS,DEP,BASMEMBERS,MEMBERS,NOEXPAND,GDEP"</formula1>
    </dataValidation>
    <dataValidation type="list" allowBlank="1" sqref="B28" xr:uid="{00000000-0002-0000-1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legacyDrawing r:id="rId5"/>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346</v>
      </c>
      <c r="C6" s="11" t="str">
        <f>IF(_epmOfflineCondition_,"In Room Dining",_xll.EVDES(B6,$B$1))</f>
        <v>In Room Dining</v>
      </c>
      <c r="D6" s="11"/>
      <c r="E6" s="58" t="str">
        <f>IF(_epmOfflineCondition_,"D2147",_xll.EVPRO($B$1,$B$6,$F$6))</f>
        <v>D2147</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IF(_epmOfflineCondition_,"'IRD'!$B$2:$B$10",_xll.EVRNG($B$2:$B$10))</f>
        <v>'IRD'!$B$2:$B$10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IF(_epmOfflineCondition_,"'IRD'!$O$16:$AN$18",_xll.EVRNG($O$16:$AN$18))</f>
        <v>'IRD'!$O$16:$AN$18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IF(_epmOfflineCondition_,"'IRD'!$H$35:$H$51",_xll.EVRNG(H35:H51))</f>
        <v>'IRD'!$H$35:$H$51</v>
      </c>
      <c r="C19" s="11"/>
      <c r="D19" s="11"/>
      <c r="E19" s="11"/>
      <c r="F19" s="11"/>
      <c r="G19" s="67" t="str">
        <f>$B$6</f>
        <v>D_RS_CON</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25">
      <c r="A20" s="65" t="s">
        <v>5</v>
      </c>
      <c r="B20" s="66"/>
      <c r="C20" s="11"/>
      <c r="D20" s="11"/>
      <c r="E20" s="11"/>
      <c r="F20" s="11"/>
      <c r="G20" s="67" t="str">
        <f>$B$6</f>
        <v>D_RS_CON</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IF(_epmOfflineCondition_,"'IRD'!$A$36:$F$44",_xll.EVRNG(A36:F44))</f>
        <v>'IRD'!$A$36:$F$44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IF(_epmOfflineCondition_,"'IRD'!$A$125:$B$146",_xll.EVRNG($A$125:$B$146))</f>
        <v>'IRD'!$A$125:$B$146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IF(_epmOfflineCondition_,"In Room Dining Department",IF(_xll.EVDES(B6,$B$1)="#NODATA","",_xll.EVDES(B6,$B$1)&amp;" Department"))</f>
        <v>In Room Dining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D2147=Y,REV_F,BEV,DEP(REV_BEV) AND D2147=Y,REV_BEV,ALLOW_FB,REV_FB,OTHR_REV,DEP(REV_OTHR) AND D2147=Y,REV_OTHR,400000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1"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c r="P35" s="564"/>
      <c r="Q35" s="564"/>
      <c r="R35" s="564"/>
      <c r="S35" s="564"/>
      <c r="T35" s="564"/>
      <c r="U35" s="564"/>
      <c r="V35" s="564"/>
      <c r="W35" s="564"/>
      <c r="X35" s="564"/>
      <c r="Y35" s="564"/>
      <c r="Z35" s="564"/>
      <c r="AA35" s="210">
        <f t="shared" ref="AA35:AA51" si="1">IF($I35="B1","",SUM(O35:Z35))</f>
        <v>0</v>
      </c>
      <c r="AB35" s="565" t="str">
        <f t="shared" ref="AB35:AB51" si="2">IF(AA35=0,"",IFERROR(AA35/AA$19,""))</f>
        <v/>
      </c>
      <c r="AC35" s="459"/>
      <c r="AD35" s="564"/>
      <c r="AE35" s="565" t="str">
        <f t="shared" ref="AE35:AE51" si="3">IF(AD35=0,"",IFERROR(AD35/AD$19,""))</f>
        <v/>
      </c>
      <c r="AF35" s="566">
        <f t="shared" ref="AF35:AF51" si="4">IF(AND($AA35="",AD35=""),"",$AA35-AD35)</f>
        <v>0</v>
      </c>
      <c r="AG35" s="564"/>
      <c r="AH35" s="565" t="str">
        <f t="shared" ref="AH35:AH51" si="5">IF(AG35=0,"",IFERROR(AG35/AG$19,""))</f>
        <v/>
      </c>
      <c r="AI35" s="567">
        <f t="shared" ref="AI35:AI51" si="6">IF(AND($AA35="",AG35=""),"",$AA35-AG35)</f>
        <v>0</v>
      </c>
      <c r="AJ35" s="462">
        <f t="shared" ref="AJ35:AJ51" si="7">IFERROR(AA35/AA$20,0)</f>
        <v>0</v>
      </c>
      <c r="AK35" s="463">
        <f t="shared" ref="AK35:AK51" si="8">IFERROR(AD35/AD$20,0)</f>
        <v>0</v>
      </c>
      <c r="AL35" s="464">
        <f t="shared" ref="AL35:AL51" si="9">IFERROR(AG35/AG$20,0)</f>
        <v>0</v>
      </c>
      <c r="AM35" s="465">
        <f t="shared" ref="AM35:AM51" si="10">+IFERROR(ROUND(($AB35-AE35)*100,2)&amp;" pts.",0)</f>
        <v>0</v>
      </c>
      <c r="AN35" s="466">
        <f t="shared" ref="AN35:AN51" si="11">+IFERROR(ROUND(($AB35-AH35)*100,2)&amp;" pts.",0)</f>
        <v>0</v>
      </c>
      <c r="AO35" s="11"/>
    </row>
    <row r="36" spans="1:41" x14ac:dyDescent="0.2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c r="P36" s="564"/>
      <c r="Q36" s="564"/>
      <c r="R36" s="564"/>
      <c r="S36" s="564"/>
      <c r="T36" s="564"/>
      <c r="U36" s="564"/>
      <c r="V36" s="564"/>
      <c r="W36" s="564"/>
      <c r="X36" s="564"/>
      <c r="Y36" s="564"/>
      <c r="Z36" s="564"/>
      <c r="AA36" s="210">
        <f t="shared" si="1"/>
        <v>0</v>
      </c>
      <c r="AB36" s="565" t="str">
        <f t="shared" si="2"/>
        <v/>
      </c>
      <c r="AC36" s="459"/>
      <c r="AD36" s="564"/>
      <c r="AE36" s="565" t="str">
        <f t="shared" si="3"/>
        <v/>
      </c>
      <c r="AF36" s="566">
        <f t="shared" si="4"/>
        <v>0</v>
      </c>
      <c r="AG36" s="564"/>
      <c r="AH36" s="565" t="str">
        <f t="shared" si="5"/>
        <v/>
      </c>
      <c r="AI36" s="567">
        <f t="shared" si="6"/>
        <v>0</v>
      </c>
      <c r="AJ36" s="462">
        <f t="shared" si="7"/>
        <v>0</v>
      </c>
      <c r="AK36" s="463">
        <f t="shared" si="8"/>
        <v>0</v>
      </c>
      <c r="AL36" s="464">
        <f t="shared" si="9"/>
        <v>0</v>
      </c>
      <c r="AM36" s="465">
        <f t="shared" si="10"/>
        <v>0</v>
      </c>
      <c r="AN36" s="466">
        <f t="shared" si="11"/>
        <v>0</v>
      </c>
      <c r="AO36" s="11"/>
    </row>
    <row r="37" spans="1:41" x14ac:dyDescent="0.2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467"/>
      <c r="P37" s="216"/>
      <c r="Q37" s="216"/>
      <c r="R37" s="216"/>
      <c r="S37" s="216"/>
      <c r="T37" s="216"/>
      <c r="U37" s="216"/>
      <c r="V37" s="216"/>
      <c r="W37" s="216"/>
      <c r="X37" s="216"/>
      <c r="Y37" s="216"/>
      <c r="Z37" s="216"/>
      <c r="AA37" s="216">
        <f t="shared" si="1"/>
        <v>0</v>
      </c>
      <c r="AB37" s="468" t="str">
        <f t="shared" si="2"/>
        <v/>
      </c>
      <c r="AC37" s="459"/>
      <c r="AD37" s="216"/>
      <c r="AE37" s="468" t="str">
        <f t="shared" si="3"/>
        <v/>
      </c>
      <c r="AF37" s="469">
        <f t="shared" si="4"/>
        <v>0</v>
      </c>
      <c r="AG37" s="216"/>
      <c r="AH37" s="468" t="str">
        <f t="shared" si="5"/>
        <v/>
      </c>
      <c r="AI37" s="470">
        <f t="shared" si="6"/>
        <v>0</v>
      </c>
      <c r="AJ37" s="471">
        <f t="shared" si="7"/>
        <v>0</v>
      </c>
      <c r="AK37" s="472">
        <f t="shared" si="8"/>
        <v>0</v>
      </c>
      <c r="AL37" s="473">
        <f t="shared" si="9"/>
        <v>0</v>
      </c>
      <c r="AM37" s="474">
        <f t="shared" si="10"/>
        <v>0</v>
      </c>
      <c r="AN37" s="475">
        <f t="shared" si="11"/>
        <v>0</v>
      </c>
      <c r="AO37" s="11"/>
    </row>
    <row r="38" spans="1:41" x14ac:dyDescent="0.25">
      <c r="A38" s="11" t="s">
        <v>105</v>
      </c>
      <c r="B38" s="11"/>
      <c r="C38" s="104" t="s">
        <v>101</v>
      </c>
      <c r="D38" s="11" t="s">
        <v>106</v>
      </c>
      <c r="E38" s="11"/>
      <c r="F38" s="11" t="s">
        <v>98</v>
      </c>
      <c r="G38" s="11"/>
      <c r="H38" s="88" t="s">
        <v>265</v>
      </c>
      <c r="I38" s="188" t="str">
        <f>IF(_epmOfflineCondition_,"T4",_xll.EVPRO($B$1,$H38,"STYLE"))</f>
        <v>T4</v>
      </c>
      <c r="J38" s="188" t="str">
        <f>IF(_epmOfflineCondition_,"Y",_xll.EVPRO($B$1,$H38,"CALC"))</f>
        <v>Y</v>
      </c>
      <c r="K38" s="189" t="str">
        <f t="shared" si="0"/>
        <v/>
      </c>
      <c r="L38" s="190" t="str">
        <f>IF(_epmOfflineCondition_,"",_xll.EVPRO($B$1,H38,"JDEID"))</f>
        <v/>
      </c>
      <c r="M38" s="190" t="str">
        <f>IF(_epmOfflineCondition_,"",IF(AND(I38="N",J38="N"),_xll.EVPRO($B$1,H38,"PSFTID"),""))</f>
        <v/>
      </c>
      <c r="N38" s="190" t="str">
        <f>IF(_epmOfflineCondition_,"Total Food Revenue",IF(_xll.EVDES(H38,$B$1)="#NODATA","",_xll.EVDES(H38,$B$1)))</f>
        <v>Total Food Revenue</v>
      </c>
      <c r="O38" s="476"/>
      <c r="P38" s="223"/>
      <c r="Q38" s="223"/>
      <c r="R38" s="223"/>
      <c r="S38" s="223"/>
      <c r="T38" s="223"/>
      <c r="U38" s="223"/>
      <c r="V38" s="223"/>
      <c r="W38" s="223"/>
      <c r="X38" s="223"/>
      <c r="Y38" s="223"/>
      <c r="Z38" s="223"/>
      <c r="AA38" s="223">
        <f t="shared" si="1"/>
        <v>0</v>
      </c>
      <c r="AB38" s="224" t="str">
        <f t="shared" si="2"/>
        <v/>
      </c>
      <c r="AC38" s="225"/>
      <c r="AD38" s="223"/>
      <c r="AE38" s="224" t="str">
        <f t="shared" si="3"/>
        <v/>
      </c>
      <c r="AF38" s="226">
        <f t="shared" si="4"/>
        <v>0</v>
      </c>
      <c r="AG38" s="223"/>
      <c r="AH38" s="224" t="str">
        <f t="shared" si="5"/>
        <v/>
      </c>
      <c r="AI38" s="477">
        <f t="shared" si="6"/>
        <v>0</v>
      </c>
      <c r="AJ38" s="227">
        <f t="shared" si="7"/>
        <v>0</v>
      </c>
      <c r="AK38" s="228">
        <f t="shared" si="8"/>
        <v>0</v>
      </c>
      <c r="AL38" s="230">
        <f t="shared" si="9"/>
        <v>0</v>
      </c>
      <c r="AM38" s="427">
        <f t="shared" si="10"/>
        <v>0</v>
      </c>
      <c r="AN38" s="478">
        <f t="shared" si="11"/>
        <v>0</v>
      </c>
      <c r="AO38" s="11"/>
    </row>
    <row r="39" spans="1:41" x14ac:dyDescent="0.25">
      <c r="A39" s="11" t="s">
        <v>104</v>
      </c>
      <c r="B39" s="11"/>
      <c r="C39" s="104" t="s">
        <v>101</v>
      </c>
      <c r="D39" s="11" t="s">
        <v>106</v>
      </c>
      <c r="E39" s="11"/>
      <c r="F39" s="11" t="s">
        <v>98</v>
      </c>
      <c r="G39" s="11"/>
      <c r="H39" s="88" t="s">
        <v>266</v>
      </c>
      <c r="I39" s="188" t="str">
        <f>IF(_epmOfflineCondition_,"B1",_xll.EVPRO($B$1,$H39,"STYLE"))</f>
        <v>B1</v>
      </c>
      <c r="J39" s="188" t="str">
        <f>IF(_epmOfflineCondition_,"Y",_xll.EVPRO($B$1,$H39,"CALC"))</f>
        <v>Y</v>
      </c>
      <c r="K39" s="189" t="str">
        <f t="shared" si="0"/>
        <v/>
      </c>
      <c r="L39" s="190" t="str">
        <f>IF(_epmOfflineCondition_,"",_xll.EVPRO($B$1,H39,"JDEID"))</f>
        <v/>
      </c>
      <c r="M39" s="190" t="str">
        <f>IF(_epmOfflineCondition_,"",IF(AND(I39="N",J39="N"),_xll.EVPRO($B$1,H39,"PSFTID"),""))</f>
        <v/>
      </c>
      <c r="N39" s="190" t="str">
        <f>IF(_epmOfflineCondition_,"Beverage Revenue",IF(_xll.EVDES(H39,$B$1)="#NODATA","",_xll.EVDES(H39,$B$1)))</f>
        <v>Beverage Revenue</v>
      </c>
      <c r="O39" s="568"/>
      <c r="P39" s="231"/>
      <c r="Q39" s="231"/>
      <c r="R39" s="231"/>
      <c r="S39" s="231"/>
      <c r="T39" s="231"/>
      <c r="U39" s="231"/>
      <c r="V39" s="231"/>
      <c r="W39" s="231"/>
      <c r="X39" s="231"/>
      <c r="Y39" s="231"/>
      <c r="Z39" s="231"/>
      <c r="AA39" s="232" t="str">
        <f t="shared" si="1"/>
        <v/>
      </c>
      <c r="AB39" s="233" t="str">
        <f t="shared" si="2"/>
        <v/>
      </c>
      <c r="AC39" s="481"/>
      <c r="AD39" s="231"/>
      <c r="AE39" s="233" t="str">
        <f t="shared" si="3"/>
        <v/>
      </c>
      <c r="AF39" s="234" t="str">
        <f t="shared" si="4"/>
        <v/>
      </c>
      <c r="AG39" s="231"/>
      <c r="AH39" s="233" t="str">
        <f t="shared" si="5"/>
        <v/>
      </c>
      <c r="AI39" s="569" t="str">
        <f t="shared" si="6"/>
        <v/>
      </c>
      <c r="AJ39" s="235">
        <f t="shared" si="7"/>
        <v>0</v>
      </c>
      <c r="AK39" s="236">
        <f t="shared" si="8"/>
        <v>0</v>
      </c>
      <c r="AL39" s="238">
        <f t="shared" si="9"/>
        <v>0</v>
      </c>
      <c r="AM39" s="429">
        <f t="shared" si="10"/>
        <v>0</v>
      </c>
      <c r="AN39" s="484">
        <f t="shared" si="11"/>
        <v>0</v>
      </c>
      <c r="AO39" s="11"/>
    </row>
    <row r="40" spans="1:41" x14ac:dyDescent="0.25">
      <c r="A40" s="11" t="s">
        <v>100</v>
      </c>
      <c r="B40" s="11"/>
      <c r="C40" s="53" t="s">
        <v>101</v>
      </c>
      <c r="D40" s="11" t="s">
        <v>106</v>
      </c>
      <c r="E40" s="11"/>
      <c r="F40" s="11" t="s">
        <v>98</v>
      </c>
      <c r="G40" s="11"/>
      <c r="H40" s="88" t="s">
        <v>267</v>
      </c>
      <c r="I40" s="122" t="str">
        <f>IF(_epmOfflineCondition_,"T5",_xll.EVPRO($B$1,$H40,"STYLE"))</f>
        <v>T5</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IF(_epmOfflineCondition_,"Breakfast  Beverage Revenue",IF(_xll.EVDES(H40,$B$1)="#NODATA","",_xll.EVDES(H40,$B$1)))</f>
        <v>Breakfast  Beverage Revenue</v>
      </c>
      <c r="O40" s="563"/>
      <c r="P40" s="564"/>
      <c r="Q40" s="564"/>
      <c r="R40" s="564"/>
      <c r="S40" s="564"/>
      <c r="T40" s="564"/>
      <c r="U40" s="564"/>
      <c r="V40" s="564"/>
      <c r="W40" s="564"/>
      <c r="X40" s="564"/>
      <c r="Y40" s="564"/>
      <c r="Z40" s="564"/>
      <c r="AA40" s="210">
        <f t="shared" si="1"/>
        <v>0</v>
      </c>
      <c r="AB40" s="565" t="str">
        <f t="shared" si="2"/>
        <v/>
      </c>
      <c r="AC40" s="459"/>
      <c r="AD40" s="564"/>
      <c r="AE40" s="565" t="str">
        <f t="shared" si="3"/>
        <v/>
      </c>
      <c r="AF40" s="566">
        <f t="shared" si="4"/>
        <v>0</v>
      </c>
      <c r="AG40" s="564"/>
      <c r="AH40" s="565" t="str">
        <f t="shared" si="5"/>
        <v/>
      </c>
      <c r="AI40" s="567">
        <f t="shared" si="6"/>
        <v>0</v>
      </c>
      <c r="AJ40" s="462">
        <f t="shared" si="7"/>
        <v>0</v>
      </c>
      <c r="AK40" s="463">
        <f t="shared" si="8"/>
        <v>0</v>
      </c>
      <c r="AL40" s="464">
        <f t="shared" si="9"/>
        <v>0</v>
      </c>
      <c r="AM40" s="465">
        <f t="shared" si="10"/>
        <v>0</v>
      </c>
      <c r="AN40" s="466">
        <f t="shared" si="11"/>
        <v>0</v>
      </c>
      <c r="AO40" s="11"/>
    </row>
    <row r="41" spans="1:41" x14ac:dyDescent="0.25">
      <c r="A41" s="11" t="s">
        <v>102</v>
      </c>
      <c r="B41" s="11"/>
      <c r="C41" s="106" t="s">
        <v>101</v>
      </c>
      <c r="D41" s="11" t="s">
        <v>106</v>
      </c>
      <c r="E41" s="11"/>
      <c r="F41" s="11" t="s">
        <v>98</v>
      </c>
      <c r="G41" s="11"/>
      <c r="H41" s="88" t="s">
        <v>268</v>
      </c>
      <c r="I41" s="122" t="str">
        <f>IF(_epmOfflineCondition_,"T5",_xll.EVPRO($B$1,$H41,"STYLE"))</f>
        <v>T5</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IF(_epmOfflineCondition_,"Lunch Beverage Revenue",IF(_xll.EVDES(H41,$B$1)="#NODATA","",_xll.EVDES(H41,$B$1)))</f>
        <v>Lunch Beverage Revenue</v>
      </c>
      <c r="O41" s="563"/>
      <c r="P41" s="564"/>
      <c r="Q41" s="564"/>
      <c r="R41" s="564"/>
      <c r="S41" s="564"/>
      <c r="T41" s="564"/>
      <c r="U41" s="564"/>
      <c r="V41" s="564"/>
      <c r="W41" s="564"/>
      <c r="X41" s="564"/>
      <c r="Y41" s="564"/>
      <c r="Z41" s="564"/>
      <c r="AA41" s="210">
        <f t="shared" si="1"/>
        <v>0</v>
      </c>
      <c r="AB41" s="565" t="str">
        <f t="shared" si="2"/>
        <v/>
      </c>
      <c r="AC41" s="459"/>
      <c r="AD41" s="564"/>
      <c r="AE41" s="565" t="str">
        <f t="shared" si="3"/>
        <v/>
      </c>
      <c r="AF41" s="566">
        <f t="shared" si="4"/>
        <v>0</v>
      </c>
      <c r="AG41" s="564"/>
      <c r="AH41" s="565" t="str">
        <f t="shared" si="5"/>
        <v/>
      </c>
      <c r="AI41" s="567">
        <f t="shared" si="6"/>
        <v>0</v>
      </c>
      <c r="AJ41" s="462">
        <f t="shared" si="7"/>
        <v>0</v>
      </c>
      <c r="AK41" s="463">
        <f t="shared" si="8"/>
        <v>0</v>
      </c>
      <c r="AL41" s="464">
        <f t="shared" si="9"/>
        <v>0</v>
      </c>
      <c r="AM41" s="465">
        <f t="shared" si="10"/>
        <v>0</v>
      </c>
      <c r="AN41" s="466">
        <f t="shared" si="11"/>
        <v>0</v>
      </c>
      <c r="AO41" s="11"/>
    </row>
    <row r="42" spans="1:41" x14ac:dyDescent="0.25">
      <c r="A42" s="11" t="s">
        <v>102</v>
      </c>
      <c r="B42" s="11"/>
      <c r="C42" s="196" t="s">
        <v>101</v>
      </c>
      <c r="D42" s="11" t="s">
        <v>107</v>
      </c>
      <c r="E42" s="11"/>
      <c r="F42" s="11" t="s">
        <v>99</v>
      </c>
      <c r="G42" s="11"/>
      <c r="H42" s="88" t="s">
        <v>269</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IF(_epmOfflineCondition_,"Dinner Beverage Revenue",IF(_xll.EVDES(H42,$B$1)="#NODATA","",_xll.EVDES(H42,$B$1)))</f>
        <v>Dinner Beverage Revenue</v>
      </c>
      <c r="O42" s="467"/>
      <c r="P42" s="216"/>
      <c r="Q42" s="216"/>
      <c r="R42" s="216"/>
      <c r="S42" s="216"/>
      <c r="T42" s="216"/>
      <c r="U42" s="216"/>
      <c r="V42" s="216"/>
      <c r="W42" s="216"/>
      <c r="X42" s="216"/>
      <c r="Y42" s="216"/>
      <c r="Z42" s="216"/>
      <c r="AA42" s="216">
        <f t="shared" si="1"/>
        <v>0</v>
      </c>
      <c r="AB42" s="468" t="str">
        <f t="shared" si="2"/>
        <v/>
      </c>
      <c r="AC42" s="459"/>
      <c r="AD42" s="216"/>
      <c r="AE42" s="468" t="str">
        <f t="shared" si="3"/>
        <v/>
      </c>
      <c r="AF42" s="469">
        <f t="shared" si="4"/>
        <v>0</v>
      </c>
      <c r="AG42" s="216"/>
      <c r="AH42" s="468" t="str">
        <f t="shared" si="5"/>
        <v/>
      </c>
      <c r="AI42" s="470">
        <f t="shared" si="6"/>
        <v>0</v>
      </c>
      <c r="AJ42" s="471">
        <f t="shared" si="7"/>
        <v>0</v>
      </c>
      <c r="AK42" s="472">
        <f t="shared" si="8"/>
        <v>0</v>
      </c>
      <c r="AL42" s="473">
        <f t="shared" si="9"/>
        <v>0</v>
      </c>
      <c r="AM42" s="474">
        <f t="shared" si="10"/>
        <v>0</v>
      </c>
      <c r="AN42" s="475">
        <f t="shared" si="11"/>
        <v>0</v>
      </c>
      <c r="AO42" s="11"/>
    </row>
    <row r="43" spans="1:41" x14ac:dyDescent="0.25">
      <c r="A43" s="11" t="s">
        <v>108</v>
      </c>
      <c r="B43" s="11"/>
      <c r="C43" s="106" t="s">
        <v>101</v>
      </c>
      <c r="D43" s="11" t="s">
        <v>106</v>
      </c>
      <c r="E43" s="11"/>
      <c r="F43" s="11" t="s">
        <v>98</v>
      </c>
      <c r="G43" s="11"/>
      <c r="H43" s="88" t="s">
        <v>272</v>
      </c>
      <c r="I43" s="188" t="str">
        <f>IF(_epmOfflineCondition_,"T4",_xll.EVPRO($B$1,$H43,"STYLE"))</f>
        <v>T4</v>
      </c>
      <c r="J43" s="188" t="str">
        <f>IF(_epmOfflineCondition_,"Y",_xll.EVPRO($B$1,$H43,"CALC"))</f>
        <v>Y</v>
      </c>
      <c r="K43" s="189" t="str">
        <f t="shared" si="0"/>
        <v/>
      </c>
      <c r="L43" s="190" t="str">
        <f>IF(_epmOfflineCondition_,"",_xll.EVPRO($B$1,H43,"JDEID"))</f>
        <v/>
      </c>
      <c r="M43" s="190" t="str">
        <f>IF(_epmOfflineCondition_,"",IF(AND(I43="N",J43="N"),_xll.EVPRO($B$1,H43,"PSFTID"),""))</f>
        <v/>
      </c>
      <c r="N43" s="190" t="str">
        <f>IF(_epmOfflineCondition_,"Total Beverage Revenue",IF(_xll.EVDES(H43,$B$1)="#NODATA","",_xll.EVDES(H43,$B$1)))</f>
        <v>Total Beverage Revenue</v>
      </c>
      <c r="O43" s="476"/>
      <c r="P43" s="223"/>
      <c r="Q43" s="223"/>
      <c r="R43" s="223"/>
      <c r="S43" s="223"/>
      <c r="T43" s="223"/>
      <c r="U43" s="223"/>
      <c r="V43" s="223"/>
      <c r="W43" s="223"/>
      <c r="X43" s="223"/>
      <c r="Y43" s="223"/>
      <c r="Z43" s="223"/>
      <c r="AA43" s="223">
        <f t="shared" si="1"/>
        <v>0</v>
      </c>
      <c r="AB43" s="224" t="str">
        <f t="shared" si="2"/>
        <v/>
      </c>
      <c r="AC43" s="225"/>
      <c r="AD43" s="223"/>
      <c r="AE43" s="224" t="str">
        <f t="shared" si="3"/>
        <v/>
      </c>
      <c r="AF43" s="226">
        <f t="shared" si="4"/>
        <v>0</v>
      </c>
      <c r="AG43" s="223"/>
      <c r="AH43" s="224" t="str">
        <f t="shared" si="5"/>
        <v/>
      </c>
      <c r="AI43" s="477">
        <f t="shared" si="6"/>
        <v>0</v>
      </c>
      <c r="AJ43" s="227">
        <f t="shared" si="7"/>
        <v>0</v>
      </c>
      <c r="AK43" s="228">
        <f t="shared" si="8"/>
        <v>0</v>
      </c>
      <c r="AL43" s="230">
        <f t="shared" si="9"/>
        <v>0</v>
      </c>
      <c r="AM43" s="427">
        <f t="shared" si="10"/>
        <v>0</v>
      </c>
      <c r="AN43" s="478">
        <f t="shared" si="11"/>
        <v>0</v>
      </c>
      <c r="AO43" s="11"/>
    </row>
    <row r="44" spans="1:41" x14ac:dyDescent="0.25">
      <c r="A44" s="11" t="s">
        <v>108</v>
      </c>
      <c r="B44" s="11"/>
      <c r="C44" s="196" t="s">
        <v>101</v>
      </c>
      <c r="D44" s="11" t="s">
        <v>107</v>
      </c>
      <c r="E44" s="11"/>
      <c r="F44" s="11" t="s">
        <v>99</v>
      </c>
      <c r="G44" s="11"/>
      <c r="H44" s="88" t="s">
        <v>486</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IF(_epmOfflineCondition_,"Food &amp; Beverage: Allowances",IF(_xll.EVDES(H44,$B$1)="#NODATA","",_xll.EVDES(H44,$B$1)))</f>
        <v>Food &amp; Beverage: Allowances</v>
      </c>
      <c r="O44" s="530"/>
      <c r="P44" s="239"/>
      <c r="Q44" s="239"/>
      <c r="R44" s="239"/>
      <c r="S44" s="239"/>
      <c r="T44" s="239"/>
      <c r="U44" s="239"/>
      <c r="V44" s="239"/>
      <c r="W44" s="239"/>
      <c r="X44" s="239"/>
      <c r="Y44" s="239"/>
      <c r="Z44" s="239"/>
      <c r="AA44" s="239">
        <f t="shared" si="1"/>
        <v>0</v>
      </c>
      <c r="AB44" s="240" t="str">
        <f t="shared" si="2"/>
        <v/>
      </c>
      <c r="AC44" s="481"/>
      <c r="AD44" s="239"/>
      <c r="AE44" s="240" t="str">
        <f t="shared" si="3"/>
        <v/>
      </c>
      <c r="AF44" s="241">
        <f t="shared" si="4"/>
        <v>0</v>
      </c>
      <c r="AG44" s="239"/>
      <c r="AH44" s="240" t="str">
        <f t="shared" si="5"/>
        <v/>
      </c>
      <c r="AI44" s="531">
        <f t="shared" si="6"/>
        <v>0</v>
      </c>
      <c r="AJ44" s="532">
        <f t="shared" si="7"/>
        <v>0</v>
      </c>
      <c r="AK44" s="533">
        <f t="shared" si="8"/>
        <v>0</v>
      </c>
      <c r="AL44" s="534">
        <f t="shared" si="9"/>
        <v>0</v>
      </c>
      <c r="AM44" s="535">
        <f t="shared" si="10"/>
        <v>0</v>
      </c>
      <c r="AN44" s="536">
        <f t="shared" si="11"/>
        <v>0</v>
      </c>
      <c r="AO44" s="11"/>
    </row>
    <row r="45" spans="1:41" x14ac:dyDescent="0.25">
      <c r="A45" s="11"/>
      <c r="B45" s="11"/>
      <c r="C45" s="11"/>
      <c r="D45" s="11"/>
      <c r="E45" s="11"/>
      <c r="F45" s="11"/>
      <c r="G45" s="11"/>
      <c r="H45" s="88" t="s">
        <v>273</v>
      </c>
      <c r="I45" s="188" t="str">
        <f>IF(_epmOfflineCondition_,"T4",_xll.EVPRO($B$1,$H45,"STYLE"))</f>
        <v>T4</v>
      </c>
      <c r="J45" s="188" t="str">
        <f>IF(_epmOfflineCondition_,"Y",_xll.EVPRO($B$1,$H45,"CALC"))</f>
        <v>Y</v>
      </c>
      <c r="K45" s="189" t="str">
        <f t="shared" si="0"/>
        <v/>
      </c>
      <c r="L45" s="190" t="str">
        <f>IF(_epmOfflineCondition_,"",_xll.EVPRO($B$1,H45,"JDEID"))</f>
        <v/>
      </c>
      <c r="M45" s="190" t="str">
        <f>IF(_epmOfflineCondition_,"",IF(AND(I45="N",J45="N"),_xll.EVPRO($B$1,H45,"PSFTID"),""))</f>
        <v/>
      </c>
      <c r="N45" s="190" t="str">
        <f>IF(_epmOfflineCondition_,"Total Food &amp; Beverage Revenue",IF(_xll.EVDES(H45,$B$1)="#NODATA","",_xll.EVDES(H45,$B$1)))</f>
        <v>Total Food &amp; Beverage Revenue</v>
      </c>
      <c r="O45" s="476"/>
      <c r="P45" s="223"/>
      <c r="Q45" s="223"/>
      <c r="R45" s="223"/>
      <c r="S45" s="223"/>
      <c r="T45" s="223"/>
      <c r="U45" s="223"/>
      <c r="V45" s="223"/>
      <c r="W45" s="223"/>
      <c r="X45" s="223"/>
      <c r="Y45" s="223"/>
      <c r="Z45" s="223"/>
      <c r="AA45" s="223">
        <f t="shared" si="1"/>
        <v>0</v>
      </c>
      <c r="AB45" s="224" t="str">
        <f t="shared" si="2"/>
        <v/>
      </c>
      <c r="AC45" s="225"/>
      <c r="AD45" s="223"/>
      <c r="AE45" s="224" t="str">
        <f t="shared" si="3"/>
        <v/>
      </c>
      <c r="AF45" s="226">
        <f t="shared" si="4"/>
        <v>0</v>
      </c>
      <c r="AG45" s="223"/>
      <c r="AH45" s="224" t="str">
        <f t="shared" si="5"/>
        <v/>
      </c>
      <c r="AI45" s="477">
        <f t="shared" si="6"/>
        <v>0</v>
      </c>
      <c r="AJ45" s="227">
        <f t="shared" si="7"/>
        <v>0</v>
      </c>
      <c r="AK45" s="228">
        <f t="shared" si="8"/>
        <v>0</v>
      </c>
      <c r="AL45" s="230">
        <f t="shared" si="9"/>
        <v>0</v>
      </c>
      <c r="AM45" s="427">
        <f t="shared" si="10"/>
        <v>0</v>
      </c>
      <c r="AN45" s="478">
        <f t="shared" si="11"/>
        <v>0</v>
      </c>
      <c r="AO45" s="11"/>
    </row>
    <row r="46" spans="1:41" x14ac:dyDescent="0.25">
      <c r="A46" s="11"/>
      <c r="B46" s="11"/>
      <c r="C46" s="11"/>
      <c r="D46" s="11"/>
      <c r="E46" s="11"/>
      <c r="F46" s="11"/>
      <c r="G46" s="11"/>
      <c r="H46" s="88" t="s">
        <v>279</v>
      </c>
      <c r="I46" s="188" t="str">
        <f>IF(_epmOfflineCondition_,"B1",_xll.EVPRO($B$1,$H46,"STYLE"))</f>
        <v>B1</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IF(_epmOfflineCondition_,"Other Revenue",IF(_xll.EVDES(H46,$B$1)="#NODATA","",_xll.EVDES(H46,$B$1)))</f>
        <v>Other Revenue</v>
      </c>
      <c r="O46" s="568"/>
      <c r="P46" s="231"/>
      <c r="Q46" s="231"/>
      <c r="R46" s="231"/>
      <c r="S46" s="231"/>
      <c r="T46" s="231"/>
      <c r="U46" s="231"/>
      <c r="V46" s="231"/>
      <c r="W46" s="231"/>
      <c r="X46" s="231"/>
      <c r="Y46" s="231"/>
      <c r="Z46" s="231"/>
      <c r="AA46" s="232" t="str">
        <f t="shared" si="1"/>
        <v/>
      </c>
      <c r="AB46" s="233" t="str">
        <f t="shared" si="2"/>
        <v/>
      </c>
      <c r="AC46" s="481"/>
      <c r="AD46" s="231"/>
      <c r="AE46" s="233" t="str">
        <f t="shared" si="3"/>
        <v/>
      </c>
      <c r="AF46" s="234" t="str">
        <f t="shared" si="4"/>
        <v/>
      </c>
      <c r="AG46" s="231"/>
      <c r="AH46" s="233" t="str">
        <f t="shared" si="5"/>
        <v/>
      </c>
      <c r="AI46" s="569" t="str">
        <f t="shared" si="6"/>
        <v/>
      </c>
      <c r="AJ46" s="235">
        <f t="shared" si="7"/>
        <v>0</v>
      </c>
      <c r="AK46" s="236">
        <f t="shared" si="8"/>
        <v>0</v>
      </c>
      <c r="AL46" s="238">
        <f t="shared" si="9"/>
        <v>0</v>
      </c>
      <c r="AM46" s="429">
        <f t="shared" si="10"/>
        <v>0</v>
      </c>
      <c r="AN46" s="484">
        <f t="shared" si="11"/>
        <v>0</v>
      </c>
      <c r="AO46" s="11"/>
    </row>
    <row r="47" spans="1:41" x14ac:dyDescent="0.25">
      <c r="A47" s="61" t="str">
        <f>IF(_epmOfflineCondition_,"Evdre:Ok",_xll.EVDRE($B$1,A50:B57,A60:B66))</f>
        <v>Evdre:Ok</v>
      </c>
      <c r="B47" s="11"/>
      <c r="C47" s="11"/>
      <c r="D47" s="11"/>
      <c r="E47" s="11"/>
      <c r="F47" s="11"/>
      <c r="G47" s="11"/>
      <c r="H47" s="88" t="s">
        <v>282</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IF(_epmOfflineCondition_,"Surcharges &amp; Services Charges",IF(_xll.EVDES(H47,$B$1)="#NODATA","",_xll.EVDES(H47,$B$1)))</f>
        <v>Surcharges &amp; Services Charges</v>
      </c>
      <c r="O47" s="563"/>
      <c r="P47" s="564"/>
      <c r="Q47" s="564"/>
      <c r="R47" s="564"/>
      <c r="S47" s="564"/>
      <c r="T47" s="564"/>
      <c r="U47" s="564"/>
      <c r="V47" s="564"/>
      <c r="W47" s="564"/>
      <c r="X47" s="564"/>
      <c r="Y47" s="564"/>
      <c r="Z47" s="564"/>
      <c r="AA47" s="210">
        <f t="shared" si="1"/>
        <v>0</v>
      </c>
      <c r="AB47" s="565" t="str">
        <f t="shared" si="2"/>
        <v/>
      </c>
      <c r="AC47" s="459"/>
      <c r="AD47" s="564"/>
      <c r="AE47" s="565" t="str">
        <f t="shared" si="3"/>
        <v/>
      </c>
      <c r="AF47" s="566">
        <f t="shared" si="4"/>
        <v>0</v>
      </c>
      <c r="AG47" s="564"/>
      <c r="AH47" s="565" t="str">
        <f t="shared" si="5"/>
        <v/>
      </c>
      <c r="AI47" s="567">
        <f t="shared" si="6"/>
        <v>0</v>
      </c>
      <c r="AJ47" s="462">
        <f t="shared" si="7"/>
        <v>0</v>
      </c>
      <c r="AK47" s="463">
        <f t="shared" si="8"/>
        <v>0</v>
      </c>
      <c r="AL47" s="464">
        <f t="shared" si="9"/>
        <v>0</v>
      </c>
      <c r="AM47" s="465">
        <f t="shared" si="10"/>
        <v>0</v>
      </c>
      <c r="AN47" s="466">
        <f t="shared" si="11"/>
        <v>0</v>
      </c>
      <c r="AO47" s="11"/>
    </row>
    <row r="48" spans="1:41" x14ac:dyDescent="0.25">
      <c r="A48" s="11"/>
      <c r="B48" s="11"/>
      <c r="C48" s="11"/>
      <c r="D48" s="11"/>
      <c r="E48" s="11"/>
      <c r="F48" s="11"/>
      <c r="G48" s="11"/>
      <c r="H48" s="88" t="s">
        <v>283</v>
      </c>
      <c r="I48" s="122" t="str">
        <f>IF(_epmOfflineCondition_,"T5",_xll.EVPRO($B$1,$H48,"STYLE"))</f>
        <v>T5</v>
      </c>
      <c r="J48" s="122" t="str">
        <f>IF(_epmOfflineCondition_,"Y",_xll.EVPRO($B$1,$H48,"CALC"))</f>
        <v>Y</v>
      </c>
      <c r="K48" s="179" t="str">
        <f t="shared" si="0"/>
        <v>&gt;</v>
      </c>
      <c r="L48" s="90" t="str">
        <f>IF(_epmOfflineCondition_,"",_xll.EVPRO($B$1,H48,"JDEID"))</f>
        <v/>
      </c>
      <c r="M48" s="90" t="str">
        <f>IF(_epmOfflineCondition_,"",IF(AND(I48="N",J48="N"),_xll.EVPRO($B$1,H48,"PSFTID"),""))</f>
        <v/>
      </c>
      <c r="N48" s="90" t="str">
        <f>IF(_epmOfflineCondition_,"Miscellaneous Other Revenue",IF(_xll.EVDES(H48,$B$1)="#NODATA","",_xll.EVDES(H48,$B$1)))</f>
        <v>Miscellaneous Other Revenue</v>
      </c>
      <c r="O48" s="563"/>
      <c r="P48" s="564"/>
      <c r="Q48" s="564"/>
      <c r="R48" s="564"/>
      <c r="S48" s="564"/>
      <c r="T48" s="564"/>
      <c r="U48" s="564"/>
      <c r="V48" s="564"/>
      <c r="W48" s="564"/>
      <c r="X48" s="564"/>
      <c r="Y48" s="564"/>
      <c r="Z48" s="564"/>
      <c r="AA48" s="210">
        <f t="shared" si="1"/>
        <v>0</v>
      </c>
      <c r="AB48" s="565" t="str">
        <f t="shared" si="2"/>
        <v/>
      </c>
      <c r="AC48" s="459"/>
      <c r="AD48" s="564"/>
      <c r="AE48" s="565" t="str">
        <f t="shared" si="3"/>
        <v/>
      </c>
      <c r="AF48" s="566">
        <f t="shared" si="4"/>
        <v>0</v>
      </c>
      <c r="AG48" s="564"/>
      <c r="AH48" s="565" t="str">
        <f t="shared" si="5"/>
        <v/>
      </c>
      <c r="AI48" s="567">
        <f t="shared" si="6"/>
        <v>0</v>
      </c>
      <c r="AJ48" s="462">
        <f t="shared" si="7"/>
        <v>0</v>
      </c>
      <c r="AK48" s="463">
        <f t="shared" si="8"/>
        <v>0</v>
      </c>
      <c r="AL48" s="464">
        <f t="shared" si="9"/>
        <v>0</v>
      </c>
      <c r="AM48" s="465">
        <f t="shared" si="10"/>
        <v>0</v>
      </c>
      <c r="AN48" s="466">
        <f t="shared" si="11"/>
        <v>0</v>
      </c>
      <c r="AO48" s="11"/>
    </row>
    <row r="49" spans="1:41" x14ac:dyDescent="0.25">
      <c r="A49" s="62" t="s">
        <v>0</v>
      </c>
      <c r="B49" s="63" t="s">
        <v>1</v>
      </c>
      <c r="C49" s="11"/>
      <c r="D49" s="11"/>
      <c r="E49" s="11"/>
      <c r="F49" s="11"/>
      <c r="G49" s="11"/>
      <c r="H49" s="88" t="s">
        <v>473</v>
      </c>
      <c r="I49" s="122" t="str">
        <f>IF(_epmOfflineCondition_,"N",_xll.EVPRO($B$1,$H49,"STYLE"))</f>
        <v>N</v>
      </c>
      <c r="J49" s="122" t="str">
        <f>IF(_epmOfflineCondition_,"N",_xll.EVPRO($B$1,$H49,"CALC"))</f>
        <v>N</v>
      </c>
      <c r="K49" s="179" t="str">
        <f t="shared" si="0"/>
        <v/>
      </c>
      <c r="L49" s="90" t="str">
        <f>IF(_epmOfflineCondition_,"468990",_xll.EVPRO($B$1,H49,"JDEID"))</f>
        <v>468990</v>
      </c>
      <c r="M49" s="90" t="str">
        <f>IF(_epmOfflineCondition_,"206022",IF(AND(I49="N",J49="N"),_xll.EVPRO($B$1,H49,"PSFTID"),""))</f>
        <v>206022</v>
      </c>
      <c r="N49" s="90" t="str">
        <f>IF(_epmOfflineCondition_,"Other Revenue: Allowances",IF(_xll.EVDES(H49,$B$1)="#NODATA","",_xll.EVDES(H49,$B$1)))</f>
        <v>Other Revenue: Allowances</v>
      </c>
      <c r="O49" s="467"/>
      <c r="P49" s="216"/>
      <c r="Q49" s="216"/>
      <c r="R49" s="216"/>
      <c r="S49" s="216"/>
      <c r="T49" s="216"/>
      <c r="U49" s="216"/>
      <c r="V49" s="216"/>
      <c r="W49" s="216"/>
      <c r="X49" s="216"/>
      <c r="Y49" s="216"/>
      <c r="Z49" s="216"/>
      <c r="AA49" s="216">
        <f t="shared" si="1"/>
        <v>0</v>
      </c>
      <c r="AB49" s="468" t="str">
        <f t="shared" si="2"/>
        <v/>
      </c>
      <c r="AC49" s="459"/>
      <c r="AD49" s="216"/>
      <c r="AE49" s="468" t="str">
        <f t="shared" si="3"/>
        <v/>
      </c>
      <c r="AF49" s="469">
        <f t="shared" si="4"/>
        <v>0</v>
      </c>
      <c r="AG49" s="216"/>
      <c r="AH49" s="468" t="str">
        <f t="shared" si="5"/>
        <v/>
      </c>
      <c r="AI49" s="470">
        <f t="shared" si="6"/>
        <v>0</v>
      </c>
      <c r="AJ49" s="471">
        <f t="shared" si="7"/>
        <v>0</v>
      </c>
      <c r="AK49" s="472">
        <f t="shared" si="8"/>
        <v>0</v>
      </c>
      <c r="AL49" s="473">
        <f t="shared" si="9"/>
        <v>0</v>
      </c>
      <c r="AM49" s="474">
        <f t="shared" si="10"/>
        <v>0</v>
      </c>
      <c r="AN49" s="475">
        <f t="shared" si="11"/>
        <v>0</v>
      </c>
      <c r="AO49" s="11"/>
    </row>
    <row r="50" spans="1:41" x14ac:dyDescent="0.25">
      <c r="A50" s="65" t="s">
        <v>2</v>
      </c>
      <c r="B50" s="66" t="str">
        <f>IF(_epmOfflineCondition_,"'IRD'!$B$2:$B$10",_xll.EVRNG($B$2:$B$10))</f>
        <v>'IRD'!$B$2:$B$10</v>
      </c>
      <c r="C50" s="11"/>
      <c r="D50" s="11"/>
      <c r="E50" s="11"/>
      <c r="F50" s="11"/>
      <c r="G50" s="11"/>
      <c r="H50" s="88" t="s">
        <v>277</v>
      </c>
      <c r="I50" s="188" t="str">
        <f>IF(_epmOfflineCondition_,"T4",_xll.EVPRO($B$1,$H50,"STYLE"))</f>
        <v>T4</v>
      </c>
      <c r="J50" s="188" t="str">
        <f>IF(_epmOfflineCondition_,"Y",_xll.EVPRO($B$1,$H50,"CALC"))</f>
        <v>Y</v>
      </c>
      <c r="K50" s="189" t="str">
        <f t="shared" si="0"/>
        <v/>
      </c>
      <c r="L50" s="190" t="str">
        <f>IF(_epmOfflineCondition_,"",_xll.EVPRO($B$1,H50,"JDEID"))</f>
        <v/>
      </c>
      <c r="M50" s="190" t="str">
        <f>IF(_epmOfflineCondition_,"",IF(AND(I50="N",J50="N"),_xll.EVPRO($B$1,H50,"PSFTID"),""))</f>
        <v/>
      </c>
      <c r="N50" s="190" t="str">
        <f>IF(_epmOfflineCondition_,"Total Other Revenue",IF(_xll.EVDES(H50,$B$1)="#NODATA","",_xll.EVDES(H50,$B$1)))</f>
        <v>Total Other Revenue</v>
      </c>
      <c r="O50" s="485"/>
      <c r="P50" s="242"/>
      <c r="Q50" s="242"/>
      <c r="R50" s="242"/>
      <c r="S50" s="242"/>
      <c r="T50" s="242"/>
      <c r="U50" s="242"/>
      <c r="V50" s="242"/>
      <c r="W50" s="242"/>
      <c r="X50" s="242"/>
      <c r="Y50" s="242"/>
      <c r="Z50" s="242"/>
      <c r="AA50" s="242">
        <f t="shared" si="1"/>
        <v>0</v>
      </c>
      <c r="AB50" s="243" t="str">
        <f t="shared" si="2"/>
        <v/>
      </c>
      <c r="AC50" s="244"/>
      <c r="AD50" s="242"/>
      <c r="AE50" s="243" t="str">
        <f t="shared" si="3"/>
        <v/>
      </c>
      <c r="AF50" s="245">
        <f t="shared" si="4"/>
        <v>0</v>
      </c>
      <c r="AG50" s="242"/>
      <c r="AH50" s="243" t="str">
        <f t="shared" si="5"/>
        <v/>
      </c>
      <c r="AI50" s="486">
        <f t="shared" si="6"/>
        <v>0</v>
      </c>
      <c r="AJ50" s="246">
        <f t="shared" si="7"/>
        <v>0</v>
      </c>
      <c r="AK50" s="247">
        <f t="shared" si="8"/>
        <v>0</v>
      </c>
      <c r="AL50" s="249">
        <f t="shared" si="9"/>
        <v>0</v>
      </c>
      <c r="AM50" s="431">
        <f t="shared" si="10"/>
        <v>0</v>
      </c>
      <c r="AN50" s="487">
        <f t="shared" si="11"/>
        <v>0</v>
      </c>
      <c r="AO50" s="11"/>
    </row>
    <row r="51" spans="1:41" x14ac:dyDescent="0.25">
      <c r="A51" s="65" t="s">
        <v>3</v>
      </c>
      <c r="B51" s="66" t="str">
        <f>IF(_epmOfflineCondition_,"'IRD'!$O$16:$AN$18",_xll.EVRNG($O$16:$AN$18))</f>
        <v>'IRD'!$O$16:$AN$18</v>
      </c>
      <c r="C51" s="11"/>
      <c r="D51" s="11"/>
      <c r="E51" s="11"/>
      <c r="F51" s="11"/>
      <c r="G51" s="11"/>
      <c r="H51" s="88" t="s">
        <v>280</v>
      </c>
      <c r="I51" s="188" t="str">
        <f>IF(_epmOfflineCondition_,"T3",_xll.EVPRO($B$1,$H51,"STYLE"))</f>
        <v>T3</v>
      </c>
      <c r="J51" s="188" t="str">
        <f>IF(_epmOfflineCondition_,"Y",_xll.EVPRO($B$1,$H51,"CALC"))</f>
        <v>Y</v>
      </c>
      <c r="K51" s="189" t="str">
        <f t="shared" si="0"/>
        <v/>
      </c>
      <c r="L51" s="190" t="str">
        <f>IF(_epmOfflineCondition_,"400000",_xll.EVPRO($B$1,H51,"JDEID"))</f>
        <v>400000</v>
      </c>
      <c r="M51" s="190" t="str">
        <f>IF(_epmOfflineCondition_,"",IF(AND(I51="N",J51="N"),_xll.EVPRO($B$1,H51,"PSFTID"),""))</f>
        <v/>
      </c>
      <c r="N51" s="190" t="str">
        <f>IF(_epmOfflineCondition_,"Total Revenue",IF(_xll.EVDES(H51,$B$1)="#NODATA","",_xll.EVDES(H51,$B$1)))</f>
        <v>Total Revenue</v>
      </c>
      <c r="O51" s="476"/>
      <c r="P51" s="223"/>
      <c r="Q51" s="223"/>
      <c r="R51" s="223"/>
      <c r="S51" s="223"/>
      <c r="T51" s="223"/>
      <c r="U51" s="223"/>
      <c r="V51" s="223"/>
      <c r="W51" s="223"/>
      <c r="X51" s="223"/>
      <c r="Y51" s="223"/>
      <c r="Z51" s="223"/>
      <c r="AA51" s="223">
        <f t="shared" si="1"/>
        <v>0</v>
      </c>
      <c r="AB51" s="224" t="str">
        <f t="shared" si="2"/>
        <v/>
      </c>
      <c r="AC51" s="225"/>
      <c r="AD51" s="223"/>
      <c r="AE51" s="224" t="str">
        <f t="shared" si="3"/>
        <v/>
      </c>
      <c r="AF51" s="226">
        <f t="shared" si="4"/>
        <v>0</v>
      </c>
      <c r="AG51" s="223"/>
      <c r="AH51" s="224" t="str">
        <f t="shared" si="5"/>
        <v/>
      </c>
      <c r="AI51" s="477">
        <f t="shared" si="6"/>
        <v>0</v>
      </c>
      <c r="AJ51" s="227">
        <f t="shared" si="7"/>
        <v>0</v>
      </c>
      <c r="AK51" s="228">
        <f t="shared" si="8"/>
        <v>0</v>
      </c>
      <c r="AL51" s="230">
        <f t="shared" si="9"/>
        <v>0</v>
      </c>
      <c r="AM51" s="427">
        <f t="shared" si="10"/>
        <v>0</v>
      </c>
      <c r="AN51" s="478">
        <f t="shared" si="11"/>
        <v>0</v>
      </c>
      <c r="AO51" s="11"/>
    </row>
    <row r="52" spans="1:41" x14ac:dyDescent="0.25">
      <c r="A52" s="65" t="s">
        <v>4</v>
      </c>
      <c r="B52" s="66" t="str">
        <f>IF(_epmOfflineCondition_,"'IRD'!$H$55:$H$61",_xll.EVRNG(H55:H61))</f>
        <v>'IRD'!$H$55:$H$61</v>
      </c>
      <c r="C52" s="11"/>
      <c r="D52" s="11"/>
      <c r="E52" s="11"/>
      <c r="F52" s="11"/>
      <c r="G52" s="11"/>
      <c r="H52" s="11"/>
      <c r="I52" s="59"/>
      <c r="J52" s="59"/>
      <c r="K52" s="11"/>
      <c r="L52" s="11"/>
      <c r="M52" s="11"/>
      <c r="N52" s="11"/>
      <c r="O52" s="393"/>
      <c r="P52" s="394"/>
      <c r="Q52" s="394"/>
      <c r="R52" s="394"/>
      <c r="S52" s="394"/>
      <c r="T52" s="394"/>
      <c r="U52" s="394"/>
      <c r="V52" s="394"/>
      <c r="W52" s="394"/>
      <c r="X52" s="394"/>
      <c r="Y52" s="394"/>
      <c r="Z52" s="394"/>
      <c r="AA52" s="394"/>
      <c r="AB52" s="118"/>
      <c r="AC52" s="11"/>
      <c r="AD52" s="203"/>
      <c r="AE52" s="204"/>
      <c r="AF52" s="118"/>
      <c r="AG52" s="204"/>
      <c r="AH52" s="204"/>
      <c r="AI52" s="118"/>
      <c r="AJ52" s="11"/>
      <c r="AK52" s="11"/>
      <c r="AL52" s="11"/>
      <c r="AM52" s="11"/>
      <c r="AN52" s="11"/>
      <c r="AO52" s="11"/>
    </row>
    <row r="53" spans="1:41" x14ac:dyDescent="0.25">
      <c r="A53" s="65" t="s">
        <v>5</v>
      </c>
      <c r="B53" s="66"/>
      <c r="C53" s="11"/>
      <c r="D53" s="11"/>
      <c r="E53" s="11"/>
      <c r="F53" s="384"/>
      <c r="G53" s="11"/>
      <c r="H53" s="11" t="s">
        <v>281</v>
      </c>
      <c r="I53" s="59" t="str">
        <f>IF(_epmOfflineCondition_,"B1",_xll.EVPRO($B$1,$H53,"STYLE"))</f>
        <v>B1</v>
      </c>
      <c r="J53" s="59" t="str">
        <f>IF(_epmOfflineCondition_,"Y",_xll.EVPRO($B$1,$H53,"CALC"))</f>
        <v>Y</v>
      </c>
      <c r="K53" s="11"/>
      <c r="L53" s="11"/>
      <c r="M53" s="11"/>
      <c r="N53" s="105" t="str">
        <f>IF(_epmOfflineCondition_,"Cost of Sales",IF(_xll.EVDES(H53,$B$1)="#NODATA","",_xll.EVDES(H53,$B$1)))</f>
        <v>Cost of Sales</v>
      </c>
      <c r="O53" s="203"/>
      <c r="P53" s="204"/>
      <c r="Q53" s="204"/>
      <c r="R53" s="204"/>
      <c r="S53" s="204"/>
      <c r="T53" s="204"/>
      <c r="U53" s="204"/>
      <c r="V53" s="204"/>
      <c r="W53" s="204"/>
      <c r="X53" s="204"/>
      <c r="Y53" s="204"/>
      <c r="Z53" s="204"/>
      <c r="AA53" s="204"/>
      <c r="AB53" s="410"/>
      <c r="AC53" s="11"/>
      <c r="AD53" s="411"/>
      <c r="AE53" s="412"/>
      <c r="AF53" s="118"/>
      <c r="AG53" s="204"/>
      <c r="AH53" s="412"/>
      <c r="AI53" s="118"/>
      <c r="AJ53" s="11"/>
      <c r="AK53" s="11"/>
      <c r="AL53" s="11"/>
      <c r="AM53" s="11"/>
      <c r="AN53" s="11"/>
      <c r="AO53" s="11"/>
    </row>
    <row r="54" spans="1:41" x14ac:dyDescent="0.25">
      <c r="A54" s="65" t="s">
        <v>6</v>
      </c>
      <c r="B54" s="66"/>
      <c r="C54" s="11"/>
      <c r="D54" s="11"/>
      <c r="E54" s="11"/>
      <c r="F54" s="384"/>
      <c r="G54" s="11"/>
      <c r="H54" s="11" t="s">
        <v>284</v>
      </c>
      <c r="I54" s="59" t="str">
        <f>IF(_epmOfflineCondition_,"B1",_xll.EVPRO($B$1,$H54,"STYLE"))</f>
        <v>B1</v>
      </c>
      <c r="J54" s="59" t="str">
        <f>IF(_epmOfflineCondition_,"Y",_xll.EVPRO($B$1,$H54,"CALC"))</f>
        <v>Y</v>
      </c>
      <c r="K54" s="11"/>
      <c r="L54" s="11"/>
      <c r="M54" s="11"/>
      <c r="N54" s="53" t="str">
        <f>IF(_epmOfflineCondition_,"Cost of Food &amp; Beverage Sales",IF(_xll.EVDES(H54,$B$1)="#NODATA","",_xll.EVDES(H54,$B$1)))</f>
        <v>Cost of Food &amp; Beverage Sales</v>
      </c>
      <c r="O54" s="203"/>
      <c r="P54" s="204"/>
      <c r="Q54" s="204"/>
      <c r="R54" s="204"/>
      <c r="S54" s="204"/>
      <c r="T54" s="204"/>
      <c r="U54" s="204"/>
      <c r="V54" s="204"/>
      <c r="W54" s="204"/>
      <c r="X54" s="204"/>
      <c r="Y54" s="204"/>
      <c r="Z54" s="204"/>
      <c r="AA54" s="204"/>
      <c r="AB54" s="118"/>
      <c r="AC54" s="11"/>
      <c r="AD54" s="203"/>
      <c r="AE54" s="204"/>
      <c r="AF54" s="118"/>
      <c r="AG54" s="204"/>
      <c r="AH54" s="204"/>
      <c r="AI54" s="118"/>
      <c r="AJ54" s="11"/>
      <c r="AK54" s="11"/>
      <c r="AL54" s="11"/>
      <c r="AM54" s="11"/>
      <c r="AN54" s="11"/>
      <c r="AO54" s="11"/>
    </row>
    <row r="55" spans="1:41" x14ac:dyDescent="0.25">
      <c r="A55" s="65" t="s">
        <v>7</v>
      </c>
      <c r="B55" s="66" t="str">
        <f>IF(_epmOfflineCondition_,"'IRD'!$A$69:$F$77",_xll.EVRNG(A69:F77))</f>
        <v>'IRD'!$A$69:$F$77</v>
      </c>
      <c r="C55" s="11"/>
      <c r="D55" s="11"/>
      <c r="E55" s="11"/>
      <c r="F55" s="384"/>
      <c r="G55" s="11"/>
      <c r="H55" s="88" t="s">
        <v>285</v>
      </c>
      <c r="I55" s="122" t="str">
        <f>IF(_epmOfflineCondition_,"T5",_xll.EVPRO($B$1,$H55,"STYLE"))</f>
        <v>T5</v>
      </c>
      <c r="J55" s="122" t="str">
        <f>IF(_epmOfflineCondition_,"Y",_xll.EVPRO($B$1,$H55,"CALC"))</f>
        <v>Y</v>
      </c>
      <c r="K55" s="179" t="str">
        <f t="shared" ref="K55:K63" si="12">IF(AND(I55&gt;="T5"),"&gt;","")</f>
        <v>&gt;</v>
      </c>
      <c r="L55" s="90" t="str">
        <f>IF(_epmOfflineCondition_,"561100",_xll.EVPRO($B$1,H55,"JDEID"))</f>
        <v>561100</v>
      </c>
      <c r="M55" s="90" t="str">
        <f>IF(_epmOfflineCondition_,"",IF(AND(I55="N",J55="N"),_xll.EVPRO($B$1,H55,"PSFTID"),""))</f>
        <v/>
      </c>
      <c r="N55" s="90" t="str">
        <f>IF(_epmOfflineCondition_,"Cost of Food Sales",IF(_xll.EVDES(H55,$B$1)="#NODATA","",_xll.EVDES(H55,$B$1)))</f>
        <v>Cost of Food Sales</v>
      </c>
      <c r="O55" s="563"/>
      <c r="P55" s="564"/>
      <c r="Q55" s="564"/>
      <c r="R55" s="564">
        <v>7839.57</v>
      </c>
      <c r="S55" s="564">
        <v>-7839.57</v>
      </c>
      <c r="T55" s="564"/>
      <c r="U55" s="564"/>
      <c r="V55" s="564"/>
      <c r="W55" s="564"/>
      <c r="X55" s="564"/>
      <c r="Y55" s="564"/>
      <c r="Z55" s="564"/>
      <c r="AA55" s="210">
        <f t="shared" ref="AA55:AA61" si="13">IF($I55="B1","",SUM(O55:Z55))</f>
        <v>0</v>
      </c>
      <c r="AB55" s="565" t="str">
        <f>IF(_epmOfflineCondition_,"",IF(AA55=0,"",IFERROR(AA55/_xll.EVGTS($B$1,1,_xll.EVPRO($B$1,$H55,"COSBASIS"),$B$3,$B$5,$B$6,$B$7,$B$9,AA$16,AA$17,AA$11),"")))</f>
        <v/>
      </c>
      <c r="AC55" s="459"/>
      <c r="AD55" s="564"/>
      <c r="AE55" s="565" t="str">
        <f>IF(_epmOfflineCondition_,"",IF(AD55=0,"",IFERROR(AD55/_xll.EVGTS($B$1,1,_xll.EVPRO($B$1,$H55,"COSBASIS"),$B$3,$B$5,$B$6,$B$7,$B$9,AD$16,AD$17,AD$18),"")))</f>
        <v/>
      </c>
      <c r="AF55" s="566">
        <f t="shared" ref="AF55:AF63" si="14">IF(AND($AA55="",AD55=""),"",$AA55-AD55)</f>
        <v>0</v>
      </c>
      <c r="AG55" s="564"/>
      <c r="AH55" s="565" t="str">
        <f>IF(_epmOfflineCondition_,"",IF(AG55=0,"",IFERROR(AG55/_xll.EVGTS($B$1,1,_xll.EVPRO($B$1,$H55,"COSBASIS"),$B$3,$B$5,$B$6,$B$7,$B$9,AG$16,AG$17,AG$18),"")))</f>
        <v/>
      </c>
      <c r="AI55" s="567">
        <f t="shared" ref="AI55:AI63" si="15">IF(AND($AA55="",AG55=""),"",$AA55-AG55)</f>
        <v>0</v>
      </c>
      <c r="AJ55" s="462">
        <f t="shared" ref="AJ55:AJ63" si="16">IFERROR(AA55/AA$20,0)</f>
        <v>0</v>
      </c>
      <c r="AK55" s="463">
        <f t="shared" ref="AK55:AK63" si="17">IFERROR(AD55/AD$20,0)</f>
        <v>0</v>
      </c>
      <c r="AL55" s="464">
        <f t="shared" ref="AL55:AL63" si="18">IFERROR(AG55/AG$20,0)</f>
        <v>0</v>
      </c>
      <c r="AM55" s="465">
        <f t="shared" ref="AM55:AM63" si="19">+IFERROR(ROUND(($AB55-AE55)*100,2)&amp;" pts.",0)</f>
        <v>0</v>
      </c>
      <c r="AN55" s="466">
        <f t="shared" ref="AN55:AN63" si="20">+IFERROR(ROUND(($AB55-AH55)*100,2)&amp;" pts.",0)</f>
        <v>0</v>
      </c>
      <c r="AO55" s="11"/>
    </row>
    <row r="56" spans="1:41" x14ac:dyDescent="0.25">
      <c r="A56" s="65" t="s">
        <v>47</v>
      </c>
      <c r="B56" s="66" t="str">
        <f>IF(_epmOfflineCondition_,"'IRD'!$A$125:$B$146",_xll.EVRNG($A$125:$B$146))</f>
        <v>'IRD'!$A$125:$B$146</v>
      </c>
      <c r="C56" s="11"/>
      <c r="D56" s="11"/>
      <c r="E56" s="11"/>
      <c r="F56" s="11"/>
      <c r="G56" s="11"/>
      <c r="H56" s="88" t="s">
        <v>636</v>
      </c>
      <c r="I56" s="122" t="str">
        <f>IF(_epmOfflineCondition_,"T5",_xll.EVPRO($B$1,$H56,"STYLE"))</f>
        <v>T5</v>
      </c>
      <c r="J56" s="122" t="str">
        <f>IF(_epmOfflineCondition_,"Y",_xll.EVPRO($B$1,$H56,"CALC"))</f>
        <v>Y</v>
      </c>
      <c r="K56" s="179" t="str">
        <f t="shared" si="12"/>
        <v>&gt;</v>
      </c>
      <c r="L56" s="90" t="str">
        <f>IF(_epmOfflineCondition_,"",_xll.EVPRO($B$1,H56,"JDEID"))</f>
        <v/>
      </c>
      <c r="M56" s="90" t="str">
        <f>IF(_epmOfflineCondition_,"",IF(AND(I56="N",J56="N"),_xll.EVPRO($B$1,H56,"PSFTID"),""))</f>
        <v/>
      </c>
      <c r="N56" s="90" t="str">
        <f>IF(_epmOfflineCondition_,"Cost of Beverage Sales",IF(_xll.EVDES(H56,$B$1)="#NODATA","",_xll.EVDES(H56,$B$1)))</f>
        <v>Cost of Beverage Sales</v>
      </c>
      <c r="O56" s="467"/>
      <c r="P56" s="216"/>
      <c r="Q56" s="216"/>
      <c r="R56" s="216"/>
      <c r="S56" s="216"/>
      <c r="T56" s="216"/>
      <c r="U56" s="216"/>
      <c r="V56" s="216"/>
      <c r="W56" s="216"/>
      <c r="X56" s="216"/>
      <c r="Y56" s="216"/>
      <c r="Z56" s="216"/>
      <c r="AA56" s="216">
        <f t="shared" si="13"/>
        <v>0</v>
      </c>
      <c r="AB56" s="468" t="str">
        <f>IF(_epmOfflineCondition_,"",IF(AA56=0,"",IFERROR(AA56/_xll.EVGTS($B$1,1,_xll.EVPRO($B$1,$H56,"COSBASIS"),$B$3,$B$5,$B$6,$B$7,$B$9,AA$16,AA$17,AA$11),"")))</f>
        <v/>
      </c>
      <c r="AC56" s="459"/>
      <c r="AD56" s="216"/>
      <c r="AE56" s="468" t="str">
        <f>IF(_epmOfflineCondition_,"",IF(AD56=0,"",IFERROR(AD56/_xll.EVGTS($B$1,1,_xll.EVPRO($B$1,$H56,"COSBASIS"),$B$3,$B$5,$B$6,$B$7,$B$9,AD$16,AD$17,AD$18),"")))</f>
        <v/>
      </c>
      <c r="AF56" s="469">
        <f t="shared" si="14"/>
        <v>0</v>
      </c>
      <c r="AG56" s="216"/>
      <c r="AH56" s="468" t="str">
        <f>IF(_epmOfflineCondition_,"",IF(AG56=0,"",IFERROR(AG56/_xll.EVGTS($B$1,1,_xll.EVPRO($B$1,$H56,"COSBASIS"),$B$3,$B$5,$B$6,$B$7,$B$9,AG$16,AG$17,AG$18),"")))</f>
        <v/>
      </c>
      <c r="AI56" s="470">
        <f t="shared" si="15"/>
        <v>0</v>
      </c>
      <c r="AJ56" s="471">
        <f t="shared" si="16"/>
        <v>0</v>
      </c>
      <c r="AK56" s="472">
        <f t="shared" si="17"/>
        <v>0</v>
      </c>
      <c r="AL56" s="473">
        <f t="shared" si="18"/>
        <v>0</v>
      </c>
      <c r="AM56" s="474">
        <f t="shared" si="19"/>
        <v>0</v>
      </c>
      <c r="AN56" s="475">
        <f t="shared" si="20"/>
        <v>0</v>
      </c>
      <c r="AO56" s="11"/>
    </row>
    <row r="57" spans="1:41" x14ac:dyDescent="0.25">
      <c r="A57" s="65" t="s">
        <v>8</v>
      </c>
      <c r="B57" s="66"/>
      <c r="C57" s="11"/>
      <c r="D57" s="11"/>
      <c r="E57" s="11"/>
      <c r="F57" s="11"/>
      <c r="G57" s="11"/>
      <c r="H57" s="88" t="s">
        <v>286</v>
      </c>
      <c r="I57" s="188" t="str">
        <f>IF(_epmOfflineCondition_,"T4",_xll.EVPRO($B$1,$H57,"STYLE"))</f>
        <v>T4</v>
      </c>
      <c r="J57" s="188" t="str">
        <f>IF(_epmOfflineCondition_,"Y",_xll.EVPRO($B$1,$H57,"CALC"))</f>
        <v>Y</v>
      </c>
      <c r="K57" s="189" t="str">
        <f t="shared" si="12"/>
        <v/>
      </c>
      <c r="L57" s="190" t="str">
        <f>IF(_epmOfflineCondition_,"",_xll.EVPRO($B$1,H57,"JDEID"))</f>
        <v/>
      </c>
      <c r="M57" s="190" t="str">
        <f>IF(_epmOfflineCondition_,"",IF(AND(I57="N",J57="N"),_xll.EVPRO($B$1,H57,"PSFTID"),""))</f>
        <v/>
      </c>
      <c r="N57" s="190" t="str">
        <f>IF(_epmOfflineCondition_,"Total Cost of Food &amp; Beverage Sales",IF(_xll.EVDES(H57,$B$1)="#NODATA","",_xll.EVDES(H57,$B$1)))</f>
        <v>Total Cost of Food &amp; Beverage Sales</v>
      </c>
      <c r="O57" s="476"/>
      <c r="P57" s="223"/>
      <c r="Q57" s="223"/>
      <c r="R57" s="223">
        <v>7839.57</v>
      </c>
      <c r="S57" s="223">
        <v>-7839.57</v>
      </c>
      <c r="T57" s="223"/>
      <c r="U57" s="223"/>
      <c r="V57" s="223"/>
      <c r="W57" s="223"/>
      <c r="X57" s="223"/>
      <c r="Y57" s="223"/>
      <c r="Z57" s="223"/>
      <c r="AA57" s="223">
        <f t="shared" si="13"/>
        <v>0</v>
      </c>
      <c r="AB57" s="224" t="str">
        <f>IF(_epmOfflineCondition_,"",IF(AA57=0,"",IFERROR(AA57/_xll.EVGTS($B$1,1,_xll.EVPRO($B$1,$H57,"COSBASIS"),$B$3,$B$5,$B$6,$B$7,$B$9,AA$16,AA$17,AA$11),"")))</f>
        <v/>
      </c>
      <c r="AC57" s="225"/>
      <c r="AD57" s="223"/>
      <c r="AE57" s="224" t="str">
        <f>IF(_epmOfflineCondition_,"",IF(AD57=0,"",IFERROR(AD57/_xll.EVGTS($B$1,1,_xll.EVPRO($B$1,$H57,"COSBASIS"),$B$3,$B$5,$B$6,$B$7,$B$9,AD$16,AD$17,AD$18),"")))</f>
        <v/>
      </c>
      <c r="AF57" s="226">
        <f t="shared" si="14"/>
        <v>0</v>
      </c>
      <c r="AG57" s="223"/>
      <c r="AH57" s="224" t="str">
        <f>IF(_epmOfflineCondition_,"",IF(AG57=0,"",IFERROR(AG57/_xll.EVGTS($B$1,1,_xll.EVPRO($B$1,$H57,"COSBASIS"),$B$3,$B$5,$B$6,$B$7,$B$9,AG$16,AG$17,AG$18),"")))</f>
        <v/>
      </c>
      <c r="AI57" s="477">
        <f t="shared" si="15"/>
        <v>0</v>
      </c>
      <c r="AJ57" s="227">
        <f t="shared" si="16"/>
        <v>0</v>
      </c>
      <c r="AK57" s="228">
        <f t="shared" si="17"/>
        <v>0</v>
      </c>
      <c r="AL57" s="230">
        <f t="shared" si="18"/>
        <v>0</v>
      </c>
      <c r="AM57" s="427">
        <f t="shared" si="19"/>
        <v>0</v>
      </c>
      <c r="AN57" s="478">
        <f t="shared" si="20"/>
        <v>0</v>
      </c>
      <c r="AO57" s="11"/>
    </row>
    <row r="58" spans="1:41" x14ac:dyDescent="0.25">
      <c r="A58" s="11"/>
      <c r="B58" s="11"/>
      <c r="C58" s="11"/>
      <c r="D58" s="11"/>
      <c r="E58" s="11"/>
      <c r="F58" s="11"/>
      <c r="G58" s="76"/>
      <c r="H58" s="88" t="s">
        <v>287</v>
      </c>
      <c r="I58" s="188" t="str">
        <f>IF(_epmOfflineCondition_,"B1",_xll.EVPRO($B$1,$H58,"STYLE"))</f>
        <v>B1</v>
      </c>
      <c r="J58" s="188" t="str">
        <f>IF(_epmOfflineCondition_,"Y",_xll.EVPRO($B$1,$H58,"CALC"))</f>
        <v>Y</v>
      </c>
      <c r="K58" s="189" t="str">
        <f t="shared" si="12"/>
        <v/>
      </c>
      <c r="L58" s="190" t="str">
        <f>IF(_epmOfflineCondition_,"",_xll.EVPRO($B$1,H58,"JDEID"))</f>
        <v/>
      </c>
      <c r="M58" s="190" t="str">
        <f>IF(_epmOfflineCondition_,"",IF(AND(I58="N",J58="N"),_xll.EVPRO($B$1,H58,"PSFTID"),""))</f>
        <v/>
      </c>
      <c r="N58" s="190" t="str">
        <f>IF(_epmOfflineCondition_,"Cost of Other Revenue",IF(_xll.EVDES(H58,$B$1)="#NODATA","",_xll.EVDES(H58,$B$1)))</f>
        <v>Cost of Other Revenue</v>
      </c>
      <c r="O58" s="568"/>
      <c r="P58" s="231"/>
      <c r="Q58" s="231"/>
      <c r="R58" s="231"/>
      <c r="S58" s="231"/>
      <c r="T58" s="231"/>
      <c r="U58" s="231"/>
      <c r="V58" s="231"/>
      <c r="W58" s="231"/>
      <c r="X58" s="231"/>
      <c r="Y58" s="231"/>
      <c r="Z58" s="231"/>
      <c r="AA58" s="232" t="str">
        <f t="shared" si="13"/>
        <v/>
      </c>
      <c r="AB58" s="233" t="str">
        <f>IF(_epmOfflineCondition_,"",IF(AA58=0,"",IFERROR(AA58/_xll.EVGTS($B$1,1,_xll.EVPRO($B$1,$H58,"COSBASIS"),$B$3,$B$5,$B$6,$B$7,$B$9,AA$16,AA$17,AA$11),"")))</f>
        <v/>
      </c>
      <c r="AC58" s="481"/>
      <c r="AD58" s="231"/>
      <c r="AE58" s="233" t="str">
        <f>IF(_epmOfflineCondition_,"",IF(AD58=0,"",IFERROR(AD58/_xll.EVGTS($B$1,1,_xll.EVPRO($B$1,$H58,"COSBASIS"),$B$3,$B$5,$B$6,$B$7,$B$9,AD$16,AD$17,AD$18),"")))</f>
        <v/>
      </c>
      <c r="AF58" s="234" t="str">
        <f t="shared" si="14"/>
        <v/>
      </c>
      <c r="AG58" s="231"/>
      <c r="AH58" s="233" t="str">
        <f>IF(_epmOfflineCondition_,"",IF(AG58=0,"",IFERROR(AG58/_xll.EVGTS($B$1,1,_xll.EVPRO($B$1,$H58,"COSBASIS"),$B$3,$B$5,$B$6,$B$7,$B$9,AG$16,AG$17,AG$18),"")))</f>
        <v/>
      </c>
      <c r="AI58" s="569" t="str">
        <f t="shared" si="15"/>
        <v/>
      </c>
      <c r="AJ58" s="235">
        <f t="shared" si="16"/>
        <v>0</v>
      </c>
      <c r="AK58" s="236">
        <f t="shared" si="17"/>
        <v>0</v>
      </c>
      <c r="AL58" s="238">
        <f t="shared" si="18"/>
        <v>0</v>
      </c>
      <c r="AM58" s="429">
        <f t="shared" si="19"/>
        <v>0</v>
      </c>
      <c r="AN58" s="484">
        <f t="shared" si="20"/>
        <v>0</v>
      </c>
      <c r="AO58" s="11"/>
    </row>
    <row r="59" spans="1:41" x14ac:dyDescent="0.25">
      <c r="A59" s="62" t="s">
        <v>9</v>
      </c>
      <c r="B59" s="63" t="s">
        <v>10</v>
      </c>
      <c r="C59" s="11"/>
      <c r="D59" s="11"/>
      <c r="E59" s="11"/>
      <c r="F59" s="11"/>
      <c r="G59" s="11"/>
      <c r="H59" s="88" t="s">
        <v>639</v>
      </c>
      <c r="I59" s="122" t="str">
        <f>IF(_epmOfflineCondition_,"T5",_xll.EVPRO($B$1,$H59,"STYLE"))</f>
        <v>T5</v>
      </c>
      <c r="J59" s="122" t="str">
        <f>IF(_epmOfflineCondition_,"Y",_xll.EVPRO($B$1,$H59,"CALC"))</f>
        <v>Y</v>
      </c>
      <c r="K59" s="179" t="str">
        <f t="shared" si="12"/>
        <v>&gt;</v>
      </c>
      <c r="L59" s="90" t="str">
        <f>IF(_epmOfflineCondition_,"",_xll.EVPRO($B$1,H59,"JDEID"))</f>
        <v/>
      </c>
      <c r="M59" s="90" t="str">
        <f>IF(_epmOfflineCondition_,"",IF(AND(I59="N",J59="N"),_xll.EVPRO($B$1,H59,"PSFTID"),""))</f>
        <v/>
      </c>
      <c r="N59" s="90" t="str">
        <f>IF(_epmOfflineCondition_,"Miscellaneous Cost",IF(_xll.EVDES(H59,$B$1)="#NODATA","",_xll.EVDES(H59,$B$1)))</f>
        <v>Miscellaneous Cost</v>
      </c>
      <c r="O59" s="467"/>
      <c r="P59" s="216"/>
      <c r="Q59" s="216"/>
      <c r="R59" s="216"/>
      <c r="S59" s="216"/>
      <c r="T59" s="216"/>
      <c r="U59" s="216"/>
      <c r="V59" s="216"/>
      <c r="W59" s="216"/>
      <c r="X59" s="216"/>
      <c r="Y59" s="216"/>
      <c r="Z59" s="216"/>
      <c r="AA59" s="216">
        <f t="shared" si="13"/>
        <v>0</v>
      </c>
      <c r="AB59" s="468" t="str">
        <f>IF(_epmOfflineCondition_,"",IF(AA59=0,"",IFERROR(AA59/_xll.EVGTS($B$1,1,_xll.EVPRO($B$1,$H59,"COSBASIS"),$B$3,$B$5,$B$6,$B$7,$B$9,AA$16,AA$17,AA$11),"")))</f>
        <v/>
      </c>
      <c r="AC59" s="459"/>
      <c r="AD59" s="216"/>
      <c r="AE59" s="468" t="str">
        <f>IF(_epmOfflineCondition_,"",IF(AD59=0,"",IFERROR(AD59/_xll.EVGTS($B$1,1,_xll.EVPRO($B$1,$H59,"COSBASIS"),$B$3,$B$5,$B$6,$B$7,$B$9,AD$16,AD$17,AD$18),"")))</f>
        <v/>
      </c>
      <c r="AF59" s="469">
        <f t="shared" si="14"/>
        <v>0</v>
      </c>
      <c r="AG59" s="216"/>
      <c r="AH59" s="468" t="str">
        <f>IF(_epmOfflineCondition_,"",IF(AG59=0,"",IFERROR(AG59/_xll.EVGTS($B$1,1,_xll.EVPRO($B$1,$H59,"COSBASIS"),$B$3,$B$5,$B$6,$B$7,$B$9,AG$16,AG$17,AG$18),"")))</f>
        <v/>
      </c>
      <c r="AI59" s="470">
        <f t="shared" si="15"/>
        <v>0</v>
      </c>
      <c r="AJ59" s="471">
        <f t="shared" si="16"/>
        <v>0</v>
      </c>
      <c r="AK59" s="472">
        <f t="shared" si="17"/>
        <v>0</v>
      </c>
      <c r="AL59" s="473">
        <f t="shared" si="18"/>
        <v>0</v>
      </c>
      <c r="AM59" s="474">
        <f t="shared" si="19"/>
        <v>0</v>
      </c>
      <c r="AN59" s="475">
        <f t="shared" si="20"/>
        <v>0</v>
      </c>
      <c r="AO59" s="11"/>
    </row>
    <row r="60" spans="1:41" x14ac:dyDescent="0.25">
      <c r="A60" s="65" t="s">
        <v>11</v>
      </c>
      <c r="B60" s="66" t="s">
        <v>21</v>
      </c>
      <c r="C60" s="11"/>
      <c r="D60" s="11"/>
      <c r="E60" s="11"/>
      <c r="F60" s="11"/>
      <c r="G60" s="11"/>
      <c r="H60" s="88" t="s">
        <v>288</v>
      </c>
      <c r="I60" s="188" t="str">
        <f>IF(_epmOfflineCondition_,"T4",_xll.EVPRO($B$1,$H60,"STYLE"))</f>
        <v>T4</v>
      </c>
      <c r="J60" s="188" t="str">
        <f>IF(_epmOfflineCondition_,"Y",_xll.EVPRO($B$1,$H60,"CALC"))</f>
        <v>Y</v>
      </c>
      <c r="K60" s="189" t="str">
        <f t="shared" si="12"/>
        <v/>
      </c>
      <c r="L60" s="190" t="str">
        <f>IF(_epmOfflineCondition_,"",_xll.EVPRO($B$1,H60,"JDEID"))</f>
        <v/>
      </c>
      <c r="M60" s="190" t="str">
        <f>IF(_epmOfflineCondition_,"",IF(AND(I60="N",J60="N"),_xll.EVPRO($B$1,H60,"PSFTID"),""))</f>
        <v/>
      </c>
      <c r="N60" s="190" t="str">
        <f>IF(_epmOfflineCondition_,"Total Cost of Other Revenue",IF(_xll.EVDES(H60,$B$1)="#NODATA","",_xll.EVDES(H60,$B$1)))</f>
        <v>Total Cost of Other Revenue</v>
      </c>
      <c r="O60" s="485"/>
      <c r="P60" s="242"/>
      <c r="Q60" s="242"/>
      <c r="R60" s="242"/>
      <c r="S60" s="242"/>
      <c r="T60" s="242"/>
      <c r="U60" s="242"/>
      <c r="V60" s="242"/>
      <c r="W60" s="242"/>
      <c r="X60" s="242"/>
      <c r="Y60" s="242"/>
      <c r="Z60" s="242"/>
      <c r="AA60" s="242">
        <f t="shared" si="13"/>
        <v>0</v>
      </c>
      <c r="AB60" s="243" t="str">
        <f>IF(_epmOfflineCondition_,"",IF(AA60=0,"",IFERROR(AA60/_xll.EVGTS($B$1,1,_xll.EVPRO($B$1,$H60,"COSBASIS"),$B$3,$B$5,$B$6,$B$7,$B$9,AA$16,AA$17,AA$11),"")))</f>
        <v/>
      </c>
      <c r="AC60" s="244"/>
      <c r="AD60" s="242"/>
      <c r="AE60" s="243" t="str">
        <f>IF(_epmOfflineCondition_,"",IF(AD60=0,"",IFERROR(AD60/_xll.EVGTS($B$1,1,_xll.EVPRO($B$1,$H60,"COSBASIS"),$B$3,$B$5,$B$6,$B$7,$B$9,AD$16,AD$17,AD$18),"")))</f>
        <v/>
      </c>
      <c r="AF60" s="245">
        <f t="shared" si="14"/>
        <v>0</v>
      </c>
      <c r="AG60" s="242"/>
      <c r="AH60" s="243" t="str">
        <f>IF(_epmOfflineCondition_,"",IF(AG60=0,"",IFERROR(AG60/_xll.EVGTS($B$1,1,_xll.EVPRO($B$1,$H60,"COSBASIS"),$B$3,$B$5,$B$6,$B$7,$B$9,AG$16,AG$17,AG$18),"")))</f>
        <v/>
      </c>
      <c r="AI60" s="486">
        <f t="shared" si="15"/>
        <v>0</v>
      </c>
      <c r="AJ60" s="246">
        <f t="shared" si="16"/>
        <v>0</v>
      </c>
      <c r="AK60" s="247">
        <f t="shared" si="17"/>
        <v>0</v>
      </c>
      <c r="AL60" s="249">
        <f t="shared" si="18"/>
        <v>0</v>
      </c>
      <c r="AM60" s="431">
        <f t="shared" si="19"/>
        <v>0</v>
      </c>
      <c r="AN60" s="487">
        <f t="shared" si="20"/>
        <v>0</v>
      </c>
      <c r="AO60" s="11"/>
    </row>
    <row r="61" spans="1:41" x14ac:dyDescent="0.25">
      <c r="A61" s="65" t="s">
        <v>12</v>
      </c>
      <c r="B61" s="66" t="s">
        <v>22</v>
      </c>
      <c r="C61" s="11"/>
      <c r="D61" s="11"/>
      <c r="E61" s="11"/>
      <c r="F61" s="11"/>
      <c r="G61" s="11"/>
      <c r="H61" s="88" t="s">
        <v>289</v>
      </c>
      <c r="I61" s="188" t="str">
        <f>IF(_epmOfflineCondition_,"T3",_xll.EVPRO($B$1,$H61,"STYLE"))</f>
        <v>T3</v>
      </c>
      <c r="J61" s="188" t="str">
        <f>IF(_epmOfflineCondition_,"Y",_xll.EVPRO($B$1,$H61,"CALC"))</f>
        <v>Y</v>
      </c>
      <c r="K61" s="189" t="str">
        <f t="shared" si="12"/>
        <v/>
      </c>
      <c r="L61" s="190" t="str">
        <f>IF(_epmOfflineCondition_,"500001",_xll.EVPRO($B$1,H61,"JDEID"))</f>
        <v>500001</v>
      </c>
      <c r="M61" s="190" t="str">
        <f>IF(_epmOfflineCondition_,"",IF(AND(I61="N",J61="N"),_xll.EVPRO($B$1,H61,"PSFTID"),""))</f>
        <v/>
      </c>
      <c r="N61" s="190" t="str">
        <f>IF(_epmOfflineCondition_,"Total Cost of Sales",IF(_xll.EVDES(H61,$B$1)="#NODATA","",_xll.EVDES(H61,$B$1)))</f>
        <v>Total Cost of Sales</v>
      </c>
      <c r="O61" s="476"/>
      <c r="P61" s="223"/>
      <c r="Q61" s="223"/>
      <c r="R61" s="223">
        <v>7839.57</v>
      </c>
      <c r="S61" s="223">
        <v>-7839.57</v>
      </c>
      <c r="T61" s="223"/>
      <c r="U61" s="223"/>
      <c r="V61" s="223"/>
      <c r="W61" s="223"/>
      <c r="X61" s="223"/>
      <c r="Y61" s="223"/>
      <c r="Z61" s="223"/>
      <c r="AA61" s="223">
        <f t="shared" si="13"/>
        <v>0</v>
      </c>
      <c r="AB61" s="224" t="str">
        <f>IF(_epmOfflineCondition_,"",IF(AA61=0,"",IFERROR(AA61/_xll.EVGTS($B$1,1,_xll.EVPRO($B$1,$H61,"COSBASIS"),$B$3,$B$5,$B$6,$B$7,$B$9,AA$16,AA$17,AA$11),"")))</f>
        <v/>
      </c>
      <c r="AC61" s="225"/>
      <c r="AD61" s="223"/>
      <c r="AE61" s="224" t="str">
        <f>IF(_epmOfflineCondition_,"",IF(AD61=0,"",IFERROR(AD61/_xll.EVGTS($B$1,1,_xll.EVPRO($B$1,$H61,"COSBASIS"),$B$3,$B$5,$B$6,$B$7,$B$9,AD$16,AD$17,AD$18),"")))</f>
        <v/>
      </c>
      <c r="AF61" s="226">
        <f t="shared" si="14"/>
        <v>0</v>
      </c>
      <c r="AG61" s="223"/>
      <c r="AH61" s="224" t="str">
        <f>IF(_epmOfflineCondition_,"",IF(AG61=0,"",IFERROR(AG61/_xll.EVGTS($B$1,1,_xll.EVPRO($B$1,$H61,"COSBASIS"),$B$3,$B$5,$B$6,$B$7,$B$9,AG$16,AG$17,AG$18),"")))</f>
        <v/>
      </c>
      <c r="AI61" s="477">
        <f t="shared" si="15"/>
        <v>0</v>
      </c>
      <c r="AJ61" s="227">
        <f t="shared" si="16"/>
        <v>0</v>
      </c>
      <c r="AK61" s="228">
        <f t="shared" si="17"/>
        <v>0</v>
      </c>
      <c r="AL61" s="230">
        <f t="shared" si="18"/>
        <v>0</v>
      </c>
      <c r="AM61" s="427">
        <f t="shared" si="19"/>
        <v>0</v>
      </c>
      <c r="AN61" s="478">
        <f t="shared" si="20"/>
        <v>0</v>
      </c>
      <c r="AO61" s="11"/>
    </row>
    <row r="62" spans="1:41" x14ac:dyDescent="0.25">
      <c r="A62" s="65" t="s">
        <v>13</v>
      </c>
      <c r="B62" s="66" t="str">
        <f>"DEP(COS_FB) AND "&amp;$E$6&amp;"=Y,COS_FB,COSOTH,DEP(COS_OTHR) AND "&amp;$E$6&amp;"=Y,COS_OTHR,500001"</f>
        <v>DEP(COS_FB) AND D2147=Y,COS_FB,COSOTH,DEP(COS_OTHR) AND D2147=Y,COS_OTHR,500001</v>
      </c>
      <c r="C62" s="11"/>
      <c r="D62" s="11"/>
      <c r="E62" s="11"/>
      <c r="F62" s="11"/>
      <c r="G62" s="11"/>
      <c r="H62" s="185" t="s">
        <v>175</v>
      </c>
      <c r="I62" s="89" t="str">
        <f>IF(_epmOfflineCondition_,"B1",_xll.EVPRO($B$1,$H62,"STYLE"))</f>
        <v>B1</v>
      </c>
      <c r="J62" s="89" t="str">
        <f>IF(_epmOfflineCondition_,"Y",_xll.EVPRO($B$1,$H62,"CALC"))</f>
        <v>Y</v>
      </c>
      <c r="K62" s="265" t="str">
        <f t="shared" si="12"/>
        <v/>
      </c>
      <c r="L62" s="265"/>
      <c r="M62" s="265"/>
      <c r="N62" s="106" t="str">
        <f>IF(_epmOfflineCondition_,"BLANKROW",IF(_xll.EVDES(H62,$B$1)="#NODATA","",_xll.EVDES(H62,$B$1)))</f>
        <v>BLANKROW</v>
      </c>
      <c r="O62" s="205"/>
      <c r="P62" s="205"/>
      <c r="Q62" s="205"/>
      <c r="R62" s="205"/>
      <c r="S62" s="205"/>
      <c r="T62" s="205"/>
      <c r="U62" s="205"/>
      <c r="V62" s="205"/>
      <c r="W62" s="205"/>
      <c r="X62" s="205"/>
      <c r="Y62" s="205"/>
      <c r="Z62" s="205"/>
      <c r="AA62" s="205"/>
      <c r="AB62" s="206" t="str">
        <f>IF(_epmOfflineCondition_,"",IF(O62=0,"",IFERROR(O62/_xll.EVGTS($B$1,1,INDEX($C$152:$C$175,MATCH($H62,$A$152:$A$175,0)),$B$3,$B$5,$B$6,$B$7,$B$9,O$16,O$17,O$18),"")))</f>
        <v/>
      </c>
      <c r="AC62" s="11"/>
      <c r="AD62" s="205"/>
      <c r="AE62" s="206" t="str">
        <f>IF(_epmOfflineCondition_,"",IF(AD62=0,"",IFERROR(AD62/_xll.EVGTS($B$1,1,INDEX($C$152:$C$175,MATCH($H62,$A$152:$A$175,0)),$B$3,$B$5,$B$6,$B$7,$B$9,AD$16,AD$17,AD$18),"")))</f>
        <v/>
      </c>
      <c r="AF62" s="207" t="str">
        <f t="shared" si="14"/>
        <v/>
      </c>
      <c r="AG62" s="205"/>
      <c r="AH62" s="206" t="str">
        <f>IF(_epmOfflineCondition_,"",IF(AG62=0,"",IFERROR(AG62/_xll.EVGTS($B$1,1,INDEX($C$152:$C$175,MATCH($H62,$A$152:$A$175,0)),$B$3,$B$5,$B$6,$B$7,$B$9,AG$16,AG$17,AG$18),"")))</f>
        <v/>
      </c>
      <c r="AI62" s="207" t="str">
        <f t="shared" si="15"/>
        <v/>
      </c>
      <c r="AJ62" s="523">
        <f t="shared" si="16"/>
        <v>0</v>
      </c>
      <c r="AK62" s="524">
        <f t="shared" si="17"/>
        <v>0</v>
      </c>
      <c r="AL62" s="525">
        <f t="shared" si="18"/>
        <v>0</v>
      </c>
      <c r="AM62" s="526">
        <f t="shared" si="19"/>
        <v>0</v>
      </c>
      <c r="AN62" s="527">
        <f t="shared" si="20"/>
        <v>0</v>
      </c>
      <c r="AO62" s="11"/>
    </row>
    <row r="63" spans="1:41" x14ac:dyDescent="0.25">
      <c r="A63" s="65" t="s">
        <v>14</v>
      </c>
      <c r="B63" s="66"/>
      <c r="C63" s="11"/>
      <c r="D63" s="11"/>
      <c r="E63" s="11"/>
      <c r="F63" s="11"/>
      <c r="G63" s="11"/>
      <c r="H63" s="185" t="s">
        <v>292</v>
      </c>
      <c r="I63" s="89" t="str">
        <f>IF(_epmOfflineCondition_,"T3",_xll.EVPRO($B$1,$H63,"STYLE"))</f>
        <v>T3</v>
      </c>
      <c r="J63" s="89" t="str">
        <f>IF(_epmOfflineCondition_,"Y",_xll.EVPRO($B$1,$H63,"CALC"))</f>
        <v>Y</v>
      </c>
      <c r="K63" s="265" t="str">
        <f t="shared" si="12"/>
        <v/>
      </c>
      <c r="L63" s="265"/>
      <c r="M63" s="265"/>
      <c r="N63" s="106" t="str">
        <f>IF(_epmOfflineCondition_,"Gross Profit",IF(_xll.EVDES(H63,$B$1)="#NODATA","",_xll.EVDES(H63,$B$1)))</f>
        <v>Gross Profit</v>
      </c>
      <c r="O63" s="123">
        <f t="shared" ref="O63:Z63" si="21">SUMIF($H$35:$H$61,"400000",O35:O61)-SUMIF($H$35:$H$61,"500001",O35:O61)</f>
        <v>0</v>
      </c>
      <c r="P63" s="123">
        <f t="shared" si="21"/>
        <v>0</v>
      </c>
      <c r="Q63" s="123">
        <f t="shared" si="21"/>
        <v>0</v>
      </c>
      <c r="R63" s="123">
        <f t="shared" si="21"/>
        <v>-7839.57</v>
      </c>
      <c r="S63" s="123">
        <f t="shared" si="21"/>
        <v>7839.57</v>
      </c>
      <c r="T63" s="123">
        <f t="shared" si="21"/>
        <v>0</v>
      </c>
      <c r="U63" s="123">
        <f t="shared" si="21"/>
        <v>0</v>
      </c>
      <c r="V63" s="123">
        <f t="shared" si="21"/>
        <v>0</v>
      </c>
      <c r="W63" s="123">
        <f t="shared" si="21"/>
        <v>0</v>
      </c>
      <c r="X63" s="123">
        <f t="shared" si="21"/>
        <v>0</v>
      </c>
      <c r="Y63" s="123">
        <f t="shared" si="21"/>
        <v>0</v>
      </c>
      <c r="Z63" s="123">
        <f t="shared" si="21"/>
        <v>0</v>
      </c>
      <c r="AA63" s="123">
        <f>IF($I63="B1","",SUM(O63:Z63))</f>
        <v>0</v>
      </c>
      <c r="AB63" s="192" t="str">
        <f>IF(AA63=0,"",IFERROR(AA63/AA$19,""))</f>
        <v/>
      </c>
      <c r="AC63" s="11"/>
      <c r="AD63" s="123">
        <f>SUMIF($H$35:$H$61,"400000",AD35:AD61)-SUMIF($H$35:$H$61,"500001",AD35:AD61)</f>
        <v>0</v>
      </c>
      <c r="AE63" s="192" t="str">
        <f>IF(AD63=0,"",IFERROR(AD63/AD$19,""))</f>
        <v/>
      </c>
      <c r="AF63" s="125">
        <f t="shared" si="14"/>
        <v>0</v>
      </c>
      <c r="AG63" s="123">
        <f>SUMIF($H$35:$H$61,"400000",AG35:AG61)-SUMIF($H$35:$H$61,"500001",AG35:AG61)</f>
        <v>0</v>
      </c>
      <c r="AH63" s="192" t="str">
        <f>IF(AG63=0,"",IFERROR(AG63/AG$19,""))</f>
        <v/>
      </c>
      <c r="AI63" s="125">
        <f t="shared" si="15"/>
        <v>0</v>
      </c>
      <c r="AJ63" s="388">
        <f t="shared" si="16"/>
        <v>0</v>
      </c>
      <c r="AK63" s="389">
        <f t="shared" si="17"/>
        <v>0</v>
      </c>
      <c r="AL63" s="390">
        <f t="shared" si="18"/>
        <v>0</v>
      </c>
      <c r="AM63" s="391">
        <f t="shared" si="19"/>
        <v>0</v>
      </c>
      <c r="AN63" s="544">
        <f t="shared" si="20"/>
        <v>0</v>
      </c>
      <c r="AO63" s="11"/>
    </row>
    <row r="64" spans="1:41" x14ac:dyDescent="0.25">
      <c r="A64" s="65" t="s">
        <v>15</v>
      </c>
      <c r="B64" s="66"/>
      <c r="C64" s="11"/>
      <c r="D64" s="11"/>
      <c r="E64" s="11"/>
      <c r="F64" s="11"/>
      <c r="G64" s="11"/>
      <c r="H64" s="11"/>
      <c r="I64" s="59"/>
      <c r="J64" s="59"/>
      <c r="K64" s="11"/>
      <c r="L64" s="11"/>
      <c r="M64" s="11"/>
      <c r="N64" s="11"/>
      <c r="O64" s="393"/>
      <c r="P64" s="394"/>
      <c r="Q64" s="394"/>
      <c r="R64" s="394"/>
      <c r="S64" s="394"/>
      <c r="T64" s="394"/>
      <c r="U64" s="394"/>
      <c r="V64" s="394"/>
      <c r="W64" s="394"/>
      <c r="X64" s="394"/>
      <c r="Y64" s="394"/>
      <c r="Z64" s="394"/>
      <c r="AA64" s="394"/>
      <c r="AB64" s="118"/>
      <c r="AC64" s="11"/>
      <c r="AD64" s="203"/>
      <c r="AE64" s="204"/>
      <c r="AF64" s="118"/>
      <c r="AG64" s="204"/>
      <c r="AH64" s="204"/>
      <c r="AI64" s="118"/>
      <c r="AJ64" s="11"/>
      <c r="AK64" s="11"/>
      <c r="AL64" s="11"/>
      <c r="AM64" s="11"/>
      <c r="AN64" s="11"/>
      <c r="AO64" s="11"/>
    </row>
    <row r="65" spans="1:41" x14ac:dyDescent="0.25">
      <c r="A65" s="65" t="s">
        <v>16</v>
      </c>
      <c r="B65" s="66"/>
      <c r="C65" s="11"/>
      <c r="D65" s="11"/>
      <c r="E65" s="11"/>
      <c r="F65" s="11"/>
      <c r="G65" s="11"/>
      <c r="H65" s="11" t="s">
        <v>73</v>
      </c>
      <c r="I65" s="59" t="str">
        <f>IF(_epmOfflineCondition_,"B1",_xll.EVPRO($B$1,$H65,"STYLE"))</f>
        <v>B1</v>
      </c>
      <c r="J65" s="59" t="str">
        <f>IF(_epmOfflineCondition_,"Y",_xll.EVPRO($B$1,$H65,"CALC"))</f>
        <v>Y</v>
      </c>
      <c r="K65" s="11"/>
      <c r="L65" s="11"/>
      <c r="M65" s="11"/>
      <c r="N65" s="105" t="str">
        <f>IF(_epmOfflineCondition_,"Labor &amp; Related Expenses",IF(_xll.EVDES(H65,$B$1)="#NODATA","",_xll.EVDES(H65,$B$1)))</f>
        <v>Labor &amp; Related Expenses</v>
      </c>
      <c r="O65" s="203"/>
      <c r="P65" s="204"/>
      <c r="Q65" s="204"/>
      <c r="R65" s="204"/>
      <c r="S65" s="204"/>
      <c r="T65" s="204"/>
      <c r="U65" s="204"/>
      <c r="V65" s="204"/>
      <c r="W65" s="204"/>
      <c r="X65" s="204"/>
      <c r="Y65" s="204"/>
      <c r="Z65" s="204"/>
      <c r="AA65" s="204"/>
      <c r="AB65" s="410"/>
      <c r="AC65" s="11"/>
      <c r="AD65" s="411"/>
      <c r="AE65" s="412"/>
      <c r="AF65" s="118"/>
      <c r="AG65" s="204"/>
      <c r="AH65" s="412"/>
      <c r="AI65" s="118"/>
      <c r="AJ65" s="11"/>
      <c r="AK65" s="11"/>
      <c r="AL65" s="11"/>
      <c r="AM65" s="11"/>
      <c r="AN65" s="11"/>
      <c r="AO65" s="11"/>
    </row>
    <row r="66" spans="1:41" x14ac:dyDescent="0.25">
      <c r="A66" s="65" t="s">
        <v>17</v>
      </c>
      <c r="B66" s="66"/>
      <c r="C66" s="11"/>
      <c r="D66" s="11"/>
      <c r="E66" s="11"/>
      <c r="F66" s="11"/>
      <c r="G66" s="11"/>
      <c r="H66" s="11" t="s">
        <v>74</v>
      </c>
      <c r="I66" s="59" t="str">
        <f>IF(_epmOfflineCondition_,"B1",_xll.EVPRO($B$1,$H66,"STYLE"))</f>
        <v>B1</v>
      </c>
      <c r="J66" s="59" t="str">
        <f>IF(_epmOfflineCondition_,"Y",_xll.EVPRO($B$1,$H66,"CALC"))</f>
        <v>Y</v>
      </c>
      <c r="K66" s="11"/>
      <c r="L66" s="11"/>
      <c r="M66" s="11"/>
      <c r="N66" s="53" t="str">
        <f>IF(_epmOfflineCondition_,"Salaries &amp; Wages",IF(_xll.EVDES(H66,$B$1)="#NODATA","",_xll.EVDES(H66,$B$1)))</f>
        <v>Salaries &amp; Wages</v>
      </c>
      <c r="O66" s="119"/>
      <c r="P66" s="120"/>
      <c r="Q66" s="120"/>
      <c r="R66" s="120"/>
      <c r="S66" s="120"/>
      <c r="T66" s="120"/>
      <c r="U66" s="120"/>
      <c r="V66" s="120"/>
      <c r="W66" s="120"/>
      <c r="X66" s="120"/>
      <c r="Y66" s="120"/>
      <c r="Z66" s="120"/>
      <c r="AA66" s="120"/>
      <c r="AB66" s="121"/>
      <c r="AC66" s="11"/>
      <c r="AD66" s="119"/>
      <c r="AE66" s="120"/>
      <c r="AF66" s="121"/>
      <c r="AG66" s="120"/>
      <c r="AH66" s="120"/>
      <c r="AI66" s="121"/>
      <c r="AJ66" s="11"/>
      <c r="AK66" s="11"/>
      <c r="AL66" s="11"/>
      <c r="AM66" s="11"/>
      <c r="AN66" s="11"/>
      <c r="AO66" s="11"/>
    </row>
    <row r="67" spans="1:41" hidden="1" x14ac:dyDescent="0.25">
      <c r="A67" s="204"/>
      <c r="B67" s="204"/>
      <c r="C67" s="11"/>
      <c r="D67" s="11"/>
      <c r="E67" s="11"/>
      <c r="F67" s="11"/>
      <c r="G67" s="11"/>
      <c r="H67" s="88" t="s">
        <v>667</v>
      </c>
      <c r="I67" s="122" t="str">
        <f>IF(_epmOfflineCondition_,"",_xll.EVPRO($B$1,$H67,"STYLE"))</f>
        <v/>
      </c>
      <c r="J67" s="122" t="str">
        <f>IF(_epmOfflineCondition_,"",_xll.EVPRO($B$1,$H67,"CALC"))</f>
        <v/>
      </c>
      <c r="K67" s="179" t="str">
        <f>IF(AND(I67&gt;="T3"),"&gt;","")</f>
        <v/>
      </c>
      <c r="L67" s="90" t="str">
        <f>IF(_epmOfflineCondition_,"",_xll.EVPRO($B$1,H67,"JDEID"))</f>
        <v/>
      </c>
      <c r="M67" s="90" t="str">
        <f>IF(_epmOfflineCondition_,"",IF(AND(I67="N",J67="N"),_xll.EVPRO($B$1,H67,"PSFTID"),""))</f>
        <v/>
      </c>
      <c r="N67" s="90" t="str">
        <f>IF(_epmOfflineCondition_,"",IF(_xll.EVDES(H67,$B$1)="#NODATA","",_xll.EVDES(H67,$B$1)))</f>
        <v/>
      </c>
      <c r="O67" s="215"/>
      <c r="P67" s="215"/>
      <c r="Q67" s="215"/>
      <c r="R67" s="215"/>
      <c r="S67" s="215"/>
      <c r="T67" s="215"/>
      <c r="U67" s="215"/>
      <c r="V67" s="215"/>
      <c r="W67" s="215"/>
      <c r="X67" s="215"/>
      <c r="Y67" s="215"/>
      <c r="Z67" s="215"/>
      <c r="AA67" s="216">
        <f>IF($I67="B1","",SUM(O67:Z67))</f>
        <v>0</v>
      </c>
      <c r="AB67" s="217" t="str">
        <f>IF(AA67=0,"",IFERROR(AA67/AA$19,""))</f>
        <v/>
      </c>
      <c r="AC67" s="140"/>
      <c r="AD67" s="215"/>
      <c r="AE67" s="217" t="str">
        <f>IF(AD67=0,"",IFERROR(AD67/AD$19,""))</f>
        <v/>
      </c>
      <c r="AF67" s="218">
        <f>IF(AND($AA67="",AD67=""),"",$AA67-AD67)</f>
        <v>0</v>
      </c>
      <c r="AG67" s="215"/>
      <c r="AH67" s="217" t="str">
        <f>IF(AG67=0,"",IFERROR(AG67/AG$19,""))</f>
        <v/>
      </c>
      <c r="AI67" s="218">
        <f>IF(AND($AA67="",AG67=""),"",$AA67-AG67)</f>
        <v>0</v>
      </c>
      <c r="AJ67" s="462">
        <f>IFERROR(AA67/AA$20,0)</f>
        <v>0</v>
      </c>
      <c r="AK67" s="463">
        <f>IFERROR(AD67/AD$20,0)</f>
        <v>0</v>
      </c>
      <c r="AL67" s="464">
        <f>IFERROR(AG67/AG$20,0)</f>
        <v>0</v>
      </c>
      <c r="AM67" s="465">
        <f>+IFERROR(ROUND(($AB67-AE67)*100,2)&amp;" pts.",0)</f>
        <v>0</v>
      </c>
      <c r="AN67" s="466">
        <f>+IFERROR(ROUND(($AB67-AH67)*100,2)&amp;" pts.",0)</f>
        <v>0</v>
      </c>
      <c r="AO67" s="11"/>
    </row>
    <row r="68" spans="1:41" hidden="1" x14ac:dyDescent="0.25">
      <c r="A68" s="97" t="s">
        <v>92</v>
      </c>
      <c r="B68" s="98" t="s">
        <v>93</v>
      </c>
      <c r="C68" s="98" t="s">
        <v>94</v>
      </c>
      <c r="D68" s="98" t="s">
        <v>95</v>
      </c>
      <c r="E68" s="98" t="s">
        <v>96</v>
      </c>
      <c r="F68" s="99" t="s">
        <v>97</v>
      </c>
      <c r="G68" s="11"/>
      <c r="H68" s="88"/>
      <c r="I68" s="122" t="str">
        <f>IF(_epmOfflineCondition_,"",_xll.EVPRO($B$1,$H68,"STYLE"))</f>
        <v/>
      </c>
      <c r="J68" s="122" t="str">
        <f>IF(_epmOfflineCondition_,"",_xll.EVPRO($B$1,$H68,"CALC"))</f>
        <v/>
      </c>
      <c r="K68" s="179" t="str">
        <f>IF(AND(I68&gt;="T3"),"&gt;","")</f>
        <v/>
      </c>
      <c r="L68" s="90" t="str">
        <f>IF(_epmOfflineCondition_,"",_xll.EVPRO($B$1,H68,"JDEID"))</f>
        <v/>
      </c>
      <c r="M68" s="90" t="str">
        <f>IF(_epmOfflineCondition_,"",IF(AND(I68="N",J68="N"),_xll.EVPRO($B$1,H68,"PSFTID"),""))</f>
        <v/>
      </c>
      <c r="N68" s="90" t="str">
        <f>IF(_epmOfflineCondition_,"",IF(_xll.EVDES(H68,$B$1)="#NODATA","",_xll.EVDES(H68,$B$1)))</f>
        <v/>
      </c>
      <c r="O68" s="215"/>
      <c r="P68" s="215"/>
      <c r="Q68" s="215"/>
      <c r="R68" s="215"/>
      <c r="S68" s="215"/>
      <c r="T68" s="215"/>
      <c r="U68" s="215"/>
      <c r="V68" s="215"/>
      <c r="W68" s="215"/>
      <c r="X68" s="215"/>
      <c r="Y68" s="215"/>
      <c r="Z68" s="215"/>
      <c r="AA68" s="216">
        <f>IF($I68="B1","",SUM(O68:Z68))</f>
        <v>0</v>
      </c>
      <c r="AB68" s="217" t="str">
        <f>IF(AA68=0,"",IFERROR(AA68/AA$19,""))</f>
        <v/>
      </c>
      <c r="AC68" s="140"/>
      <c r="AD68" s="215"/>
      <c r="AE68" s="217" t="str">
        <f>IF(AD68=0,"",IFERROR(AD68/AD$19,""))</f>
        <v/>
      </c>
      <c r="AF68" s="218">
        <f>IF(AND($AA68="",AD68=""),"",$AA68-AD68)</f>
        <v>0</v>
      </c>
      <c r="AG68" s="215"/>
      <c r="AH68" s="217" t="str">
        <f>IF(AG68=0,"",IFERROR(AG68/AG$19,""))</f>
        <v/>
      </c>
      <c r="AI68" s="218">
        <f>IF(AND($AA68="",AG68=""),"",$AA68-AG68)</f>
        <v>0</v>
      </c>
      <c r="AJ68" s="462">
        <f>IFERROR(AA68/AA$20,0)</f>
        <v>0</v>
      </c>
      <c r="AK68" s="463">
        <f>IFERROR(AD68/AD$20,0)</f>
        <v>0</v>
      </c>
      <c r="AL68" s="464">
        <f>IFERROR(AG68/AG$20,0)</f>
        <v>0</v>
      </c>
      <c r="AM68" s="465">
        <f>+IFERROR(ROUND(($AB68-AE68)*100,2)&amp;" pts.",0)</f>
        <v>0</v>
      </c>
      <c r="AN68" s="466">
        <f>+IFERROR(ROUND(($AB68-AH68)*100,2)&amp;" pts.",0)</f>
        <v>0</v>
      </c>
      <c r="AO68" s="11"/>
    </row>
    <row r="69" spans="1:41" x14ac:dyDescent="0.25">
      <c r="A69" s="11"/>
      <c r="B69" s="11"/>
      <c r="C69" s="11"/>
      <c r="D69" s="11"/>
      <c r="E69" s="11"/>
      <c r="F69" s="11"/>
      <c r="G69" s="11"/>
      <c r="H69" s="88" t="s">
        <v>75</v>
      </c>
      <c r="I69" s="89" t="str">
        <f>IF(_epmOfflineCondition_,"B1",_xll.EVPRO($B$1,$H69,"STYLE"))</f>
        <v>B1</v>
      </c>
      <c r="J69" s="89" t="str">
        <f>IF(_epmOfflineCondition_,"Y",_xll.EVPRO($B$1,$H69,"CALC"))</f>
        <v>Y</v>
      </c>
      <c r="K69" s="265" t="str">
        <f>IF(AND(I69&gt;="T3"),"&gt;","")</f>
        <v/>
      </c>
      <c r="L69" s="106" t="str">
        <f>IF(_epmOfflineCondition_,"",_xll.EVPRO($B$1,H69,"JDEID"))</f>
        <v/>
      </c>
      <c r="M69" s="90" t="str">
        <f>IF(_epmOfflineCondition_,"",IF(AND(I69="N",J69="N"),_xll.EVPRO($B$1,H69,"PSFTID"),""))</f>
        <v/>
      </c>
      <c r="N69" s="106" t="str">
        <f>IF(_epmOfflineCondition_,"Non-Management",IF(_xll.EVDES(H69,$B$1)="#NODATA","",_xll.EVDES(H69,$B$1)))</f>
        <v>Non-Management</v>
      </c>
      <c r="O69" s="91"/>
      <c r="P69" s="91"/>
      <c r="Q69" s="91"/>
      <c r="R69" s="91"/>
      <c r="S69" s="91"/>
      <c r="T69" s="91"/>
      <c r="U69" s="91"/>
      <c r="V69" s="91"/>
      <c r="W69" s="91"/>
      <c r="X69" s="91"/>
      <c r="Y69" s="91"/>
      <c r="Z69" s="91"/>
      <c r="AA69" s="180" t="str">
        <f>IF($I69="B1","",SUM(O69:Z69))</f>
        <v/>
      </c>
      <c r="AB69" s="100" t="str">
        <f>IF(AA69=0,"",IFERROR(AA69/AA$19,""))</f>
        <v/>
      </c>
      <c r="AC69" s="11"/>
      <c r="AD69" s="91"/>
      <c r="AE69" s="100" t="str">
        <f>IF(AD69=0,"",IFERROR(AD69/AD$19,""))</f>
        <v/>
      </c>
      <c r="AF69" s="92" t="str">
        <f>IF(AND($AA69="",AD69=""),"",$AA69-AD69)</f>
        <v/>
      </c>
      <c r="AG69" s="91"/>
      <c r="AH69" s="100" t="str">
        <f>IF(AG69=0,"",IFERROR(AG69/AG$19,""))</f>
        <v/>
      </c>
      <c r="AI69" s="92" t="str">
        <f>IF(AND($AA69="",AG69=""),"",$AA69-AG69)</f>
        <v/>
      </c>
      <c r="AJ69" s="397">
        <f>IFERROR(AA69/AA$20,0)</f>
        <v>0</v>
      </c>
      <c r="AK69" s="398">
        <f>IFERROR(AD69/AD$20,0)</f>
        <v>0</v>
      </c>
      <c r="AL69" s="399">
        <f>IFERROR(AG69/AG$20,0)</f>
        <v>0</v>
      </c>
      <c r="AM69" s="400">
        <f>+IFERROR(ROUND(($AB69-AE69)*100,2)&amp;" pts.",0)</f>
        <v>0</v>
      </c>
      <c r="AN69" s="401">
        <f>+IFERROR(ROUND(($AB69-AH69)*100,2)&amp;" pts.",0)</f>
        <v>0</v>
      </c>
      <c r="AO69" s="11"/>
    </row>
    <row r="70" spans="1:41" hidden="1" x14ac:dyDescent="0.25">
      <c r="A70" s="11" t="s">
        <v>209</v>
      </c>
      <c r="B70" s="11" t="s">
        <v>21</v>
      </c>
      <c r="C70" s="395"/>
      <c r="D70" s="11" t="s">
        <v>590</v>
      </c>
      <c r="E70" s="11"/>
      <c r="F70" s="11" t="s">
        <v>99</v>
      </c>
      <c r="G70" s="11"/>
      <c r="H70" s="88" t="s">
        <v>667</v>
      </c>
      <c r="I70" s="122" t="str">
        <f>IF(_epmOfflineCondition_,"",_xll.EVPRO($B$1,$H70,"STYLE"))</f>
        <v/>
      </c>
      <c r="J70" s="122" t="str">
        <f>IF(_epmOfflineCondition_,"",_xll.EVPRO($B$1,$H70,"CALC"))</f>
        <v/>
      </c>
      <c r="K70" s="179" t="str">
        <f>IF(AND(I70&gt;="T3"),"&gt;","")</f>
        <v/>
      </c>
      <c r="L70" s="90" t="str">
        <f>IF(_epmOfflineCondition_,"",_xll.EVPRO($B$1,H70,"JDEID"))</f>
        <v/>
      </c>
      <c r="M70" s="90" t="str">
        <f>IF(_epmOfflineCondition_,"",IF(AND(I70="N",J70="N"),_xll.EVPRO($B$1,H70,"PSFTID"),""))</f>
        <v/>
      </c>
      <c r="N70" s="90" t="str">
        <f>IF(_epmOfflineCondition_,"",IF(_xll.EVDES(H70,$B$1)="#NODATA","",_xll.EVDES(H70,$B$1)))</f>
        <v/>
      </c>
      <c r="O70" s="215"/>
      <c r="P70" s="215"/>
      <c r="Q70" s="215"/>
      <c r="R70" s="215"/>
      <c r="S70" s="215"/>
      <c r="T70" s="215"/>
      <c r="U70" s="215"/>
      <c r="V70" s="215"/>
      <c r="W70" s="215"/>
      <c r="X70" s="215"/>
      <c r="Y70" s="215"/>
      <c r="Z70" s="215"/>
      <c r="AA70" s="216">
        <f>IF($I70="B1","",SUM(O70:Z70))</f>
        <v>0</v>
      </c>
      <c r="AB70" s="217" t="str">
        <f>IF(AA70=0,"",IFERROR(AA70/AA$19,""))</f>
        <v/>
      </c>
      <c r="AC70" s="140"/>
      <c r="AD70" s="215"/>
      <c r="AE70" s="217" t="str">
        <f>IF(AD70=0,"",IFERROR(AD70/AD$19,""))</f>
        <v/>
      </c>
      <c r="AF70" s="218">
        <f>IF(AND($AA70="",AD70=""),"",$AA70-AD70)</f>
        <v>0</v>
      </c>
      <c r="AG70" s="215"/>
      <c r="AH70" s="217" t="str">
        <f>IF(AG70=0,"",IFERROR(AG70/AG$19,""))</f>
        <v/>
      </c>
      <c r="AI70" s="218">
        <f>IF(AND($AA70="",AG70=""),"",$AA70-AG70)</f>
        <v>0</v>
      </c>
      <c r="AJ70" s="471">
        <f>IFERROR(AA70/AA$20,0)</f>
        <v>0</v>
      </c>
      <c r="AK70" s="472">
        <f>IFERROR(AD70/AD$20,0)</f>
        <v>0</v>
      </c>
      <c r="AL70" s="473">
        <f>IFERROR(AG70/AG$20,0)</f>
        <v>0</v>
      </c>
      <c r="AM70" s="474">
        <f>+IFERROR(ROUND(($AB70-AE70)*100,2)&amp;" pts.",0)</f>
        <v>0</v>
      </c>
      <c r="AN70" s="475">
        <f>+IFERROR(ROUND(($AB70-AH70)*100,2)&amp;" pts.",0)</f>
        <v>0</v>
      </c>
      <c r="AO70" s="11"/>
    </row>
    <row r="71" spans="1:41" hidden="1" x14ac:dyDescent="0.25">
      <c r="A71" s="11" t="s">
        <v>105</v>
      </c>
      <c r="B71" s="11"/>
      <c r="C71" s="104" t="s">
        <v>101</v>
      </c>
      <c r="D71" s="11" t="s">
        <v>106</v>
      </c>
      <c r="E71" s="11"/>
      <c r="F71" s="11" t="s">
        <v>98</v>
      </c>
      <c r="G71" s="11"/>
      <c r="H71" s="88"/>
      <c r="I71" s="122" t="str">
        <f>IF(_epmOfflineCondition_,"",_xll.EVPRO($B$1,$H71,"STYLE"))</f>
        <v/>
      </c>
      <c r="J71" s="122" t="str">
        <f>IF(_epmOfflineCondition_,"",_xll.EVPRO($B$1,$H71,"CALC"))</f>
        <v/>
      </c>
      <c r="K71" s="179" t="str">
        <f>IF(AND(I71&gt;="T3"),"&gt;","")</f>
        <v/>
      </c>
      <c r="L71" s="90" t="str">
        <f>IF(_epmOfflineCondition_,"",_xll.EVPRO($B$1,H71,"JDEID"))</f>
        <v/>
      </c>
      <c r="M71" s="90" t="str">
        <f>IF(_epmOfflineCondition_,"",IF(AND(I71="N",J71="N"),_xll.EVPRO($B$1,H71,"PSFTID"),""))</f>
        <v/>
      </c>
      <c r="N71" s="90" t="str">
        <f>IF(_epmOfflineCondition_,"",IF(_xll.EVDES(H71,$B$1)="#NODATA","",_xll.EVDES(H71,$B$1)))</f>
        <v/>
      </c>
      <c r="O71" s="215"/>
      <c r="P71" s="215"/>
      <c r="Q71" s="215"/>
      <c r="R71" s="215"/>
      <c r="S71" s="215"/>
      <c r="T71" s="215"/>
      <c r="U71" s="215"/>
      <c r="V71" s="215"/>
      <c r="W71" s="215"/>
      <c r="X71" s="215"/>
      <c r="Y71" s="215"/>
      <c r="Z71" s="215"/>
      <c r="AA71" s="216">
        <f>IF($I71="B1","",SUM(O71:Z71))</f>
        <v>0</v>
      </c>
      <c r="AB71" s="217" t="str">
        <f>IF(AA71=0,"",IFERROR(AA71/AA$19,""))</f>
        <v/>
      </c>
      <c r="AC71" s="140"/>
      <c r="AD71" s="215"/>
      <c r="AE71" s="217" t="str">
        <f>IF(AD71=0,"",IFERROR(AD71/AD$19,""))</f>
        <v/>
      </c>
      <c r="AF71" s="218">
        <f>IF(AND($AA71="",AD71=""),"",$AA71-AD71)</f>
        <v>0</v>
      </c>
      <c r="AG71" s="215"/>
      <c r="AH71" s="217" t="str">
        <f>IF(AG71=0,"",IFERROR(AG71/AG$19,""))</f>
        <v/>
      </c>
      <c r="AI71" s="218">
        <f>IF(AND($AA71="",AG71=""),"",$AA71-AG71)</f>
        <v>0</v>
      </c>
      <c r="AJ71" s="471">
        <f>IFERROR(AA71/AA$20,0)</f>
        <v>0</v>
      </c>
      <c r="AK71" s="472">
        <f>IFERROR(AD71/AD$20,0)</f>
        <v>0</v>
      </c>
      <c r="AL71" s="473">
        <f>IFERROR(AG71/AG$20,0)</f>
        <v>0</v>
      </c>
      <c r="AM71" s="474">
        <f>+IFERROR(ROUND(($AB71-AE71)*100,2)&amp;" pts.",0)</f>
        <v>0</v>
      </c>
      <c r="AN71" s="475">
        <f>+IFERROR(ROUND(($AB71-AH71)*100,2)&amp;" pts.",0)</f>
        <v>0</v>
      </c>
      <c r="AO71" s="11"/>
    </row>
    <row r="72" spans="1:41" x14ac:dyDescent="0.25">
      <c r="A72" s="11" t="s">
        <v>104</v>
      </c>
      <c r="B72" s="11"/>
      <c r="C72" s="104" t="s">
        <v>101</v>
      </c>
      <c r="D72" s="11" t="s">
        <v>106</v>
      </c>
      <c r="E72" s="11"/>
      <c r="F72" s="11" t="s">
        <v>98</v>
      </c>
      <c r="G72" s="11"/>
      <c r="H72" s="11"/>
      <c r="I72" s="59"/>
      <c r="J72" s="59"/>
      <c r="K72" s="11"/>
      <c r="L72" s="11"/>
      <c r="M72" s="11"/>
      <c r="N72" s="11"/>
      <c r="O72" s="129"/>
      <c r="P72" s="130"/>
      <c r="Q72" s="130"/>
      <c r="R72" s="130"/>
      <c r="S72" s="130"/>
      <c r="T72" s="130"/>
      <c r="U72" s="130"/>
      <c r="V72" s="130"/>
      <c r="W72" s="130"/>
      <c r="X72" s="130"/>
      <c r="Y72" s="130"/>
      <c r="Z72" s="130"/>
      <c r="AA72" s="130"/>
      <c r="AB72" s="131"/>
      <c r="AC72" s="11"/>
      <c r="AD72" s="129"/>
      <c r="AE72" s="130"/>
      <c r="AF72" s="131"/>
      <c r="AG72" s="129"/>
      <c r="AH72" s="130"/>
      <c r="AI72" s="131"/>
      <c r="AJ72" s="11"/>
      <c r="AK72" s="11"/>
      <c r="AL72" s="11"/>
      <c r="AM72" s="11"/>
      <c r="AN72" s="11"/>
      <c r="AO72" s="11"/>
    </row>
    <row r="73" spans="1:41" x14ac:dyDescent="0.25">
      <c r="A73" s="11" t="s">
        <v>100</v>
      </c>
      <c r="B73" s="11"/>
      <c r="C73" s="53" t="s">
        <v>101</v>
      </c>
      <c r="D73" s="11" t="s">
        <v>106</v>
      </c>
      <c r="E73" s="11"/>
      <c r="F73" s="11" t="s">
        <v>98</v>
      </c>
      <c r="G73" s="11"/>
      <c r="H73" s="11" t="s">
        <v>82</v>
      </c>
      <c r="I73" s="59" t="str">
        <f>IF(_epmOfflineCondition_,"B1",_xll.EVPRO($B$1,$H73,"STYLE"))</f>
        <v>B1</v>
      </c>
      <c r="J73" s="59" t="str">
        <f>IF(_epmOfflineCondition_,"Y",_xll.EVPRO($B$1,$H73,"CALC"))</f>
        <v>Y</v>
      </c>
      <c r="K73" s="11"/>
      <c r="L73" s="11"/>
      <c r="M73" s="11"/>
      <c r="N73" s="105" t="str">
        <f>IF(_epmOfflineCondition_,"Other Expenses",IF(_xll.EVDES(H73,$B$1)="#NODATA","",_xll.EVDES(H73,$B$1)))</f>
        <v>Other Expenses</v>
      </c>
      <c r="O73" s="119"/>
      <c r="P73" s="120"/>
      <c r="Q73" s="120"/>
      <c r="R73" s="120"/>
      <c r="S73" s="120"/>
      <c r="T73" s="120"/>
      <c r="U73" s="120"/>
      <c r="V73" s="120"/>
      <c r="W73" s="120"/>
      <c r="X73" s="120"/>
      <c r="Y73" s="120"/>
      <c r="Z73" s="120"/>
      <c r="AA73" s="120"/>
      <c r="AB73" s="121"/>
      <c r="AC73" s="11"/>
      <c r="AD73" s="119"/>
      <c r="AE73" s="120"/>
      <c r="AF73" s="121"/>
      <c r="AG73" s="119"/>
      <c r="AH73" s="120"/>
      <c r="AI73" s="121"/>
      <c r="AJ73" s="11"/>
      <c r="AK73" s="11"/>
      <c r="AL73" s="11"/>
      <c r="AM73" s="11"/>
      <c r="AN73" s="11"/>
      <c r="AO73" s="11"/>
    </row>
    <row r="74" spans="1:41" x14ac:dyDescent="0.25">
      <c r="A74" s="11" t="s">
        <v>102</v>
      </c>
      <c r="B74" s="11"/>
      <c r="C74" s="106" t="s">
        <v>101</v>
      </c>
      <c r="D74" s="11" t="s">
        <v>106</v>
      </c>
      <c r="E74" s="11"/>
      <c r="F74" s="11" t="s">
        <v>98</v>
      </c>
      <c r="G74" s="11"/>
      <c r="H74" s="88" t="s">
        <v>867</v>
      </c>
      <c r="I74" s="122" t="str">
        <f>IF(_epmOfflineCondition_,"N",_xll.EVPRO($B$1,$H74,"STYLE"))</f>
        <v>N</v>
      </c>
      <c r="J74" s="122" t="str">
        <f>IF(_epmOfflineCondition_,"N",_xll.EVPRO($B$1,$H74,"CALC"))</f>
        <v>N</v>
      </c>
      <c r="K74" s="179" t="str">
        <f>IF(AND(I74&lt;&gt;"B1",J74="Y"),"&gt;","")</f>
        <v/>
      </c>
      <c r="L74" s="90" t="str">
        <f>IF(_epmOfflineCondition_,"701600",_xll.EVPRO($B$1,H74,"JDEID"))</f>
        <v>701600</v>
      </c>
      <c r="M74" s="90" t="str">
        <f>IF(_epmOfflineCondition_,"590015",IF(AND(I74="N",J74="N"),_xll.EVPRO($B$1,H74,"PSFTID"),""))</f>
        <v>590015</v>
      </c>
      <c r="N74" s="90" t="str">
        <f>IF(_epmOfflineCondition_,"Cleaning Supplies",IF(_xll.EVDES(H74,$B$1)="#NODATA","",_xll.EVDES(H74,$B$1)))</f>
        <v>Cleaning Supplies</v>
      </c>
      <c r="O74" s="138"/>
      <c r="P74" s="138"/>
      <c r="Q74" s="138"/>
      <c r="R74" s="138"/>
      <c r="S74" s="138"/>
      <c r="T74" s="138"/>
      <c r="U74" s="138"/>
      <c r="V74" s="138"/>
      <c r="W74" s="138"/>
      <c r="X74" s="138"/>
      <c r="Y74" s="138"/>
      <c r="Z74" s="138"/>
      <c r="AA74" s="210">
        <f>IF($I74="B1","",SUM(O74:Z74))</f>
        <v>0</v>
      </c>
      <c r="AB74" s="142" t="str">
        <f>IF(AA74=0,"",IFERROR(AA74/AA$19,""))</f>
        <v/>
      </c>
      <c r="AC74" s="140"/>
      <c r="AD74" s="138"/>
      <c r="AE74" s="142" t="str">
        <f>IF(AD74=0,"",IFERROR(AD74/AD$19,""))</f>
        <v/>
      </c>
      <c r="AF74" s="141">
        <f>IF(AND($AA74="",AD74=""),"",$AA74-AD74)</f>
        <v>0</v>
      </c>
      <c r="AG74" s="138">
        <v>216</v>
      </c>
      <c r="AH74" s="142" t="str">
        <f>IF(AG74=0,"",IFERROR(AG74/AG$19,""))</f>
        <v/>
      </c>
      <c r="AI74" s="141">
        <f>IF(AND($AA74="",AG74=""),"",$AA74-AG74)</f>
        <v>-216</v>
      </c>
      <c r="AJ74" s="462">
        <f>IFERROR(AA74/AA$20,0)</f>
        <v>0</v>
      </c>
      <c r="AK74" s="463">
        <f>IFERROR(AD74/AD$20,0)</f>
        <v>0</v>
      </c>
      <c r="AL74" s="464">
        <f>IFERROR(AG74/AG$20,0)</f>
        <v>0</v>
      </c>
      <c r="AM74" s="465">
        <f>+IFERROR(ROUND(($AB74-AE74)*100,2)&amp;" pts.",0)</f>
        <v>0</v>
      </c>
      <c r="AN74" s="466">
        <f>+IFERROR(ROUND(($AB74-AH74)*100,2)&amp;" pts.",0)</f>
        <v>0</v>
      </c>
      <c r="AO74" s="11"/>
    </row>
    <row r="75" spans="1:41" hidden="1" x14ac:dyDescent="0.25">
      <c r="A75" s="11" t="s">
        <v>102</v>
      </c>
      <c r="B75" s="11"/>
      <c r="C75" s="196" t="s">
        <v>101</v>
      </c>
      <c r="D75" s="11" t="s">
        <v>107</v>
      </c>
      <c r="E75" s="11"/>
      <c r="F75" s="11" t="s">
        <v>99</v>
      </c>
      <c r="G75" s="11"/>
      <c r="H75" s="88"/>
      <c r="I75" s="122" t="str">
        <f>IF(_epmOfflineCondition_,"",_xll.EVPRO($B$1,$H75,"STYLE"))</f>
        <v/>
      </c>
      <c r="J75" s="122" t="str">
        <f>IF(_epmOfflineCondition_,"",_xll.EVPRO($B$1,$H75,"CALC"))</f>
        <v/>
      </c>
      <c r="K75" s="179" t="str">
        <f>IF(AND(I75&lt;&gt;"B1",J75="Y"),"&gt;","")</f>
        <v/>
      </c>
      <c r="L75" s="90" t="str">
        <f>IF(_epmOfflineCondition_,"",_xll.EVPRO($B$1,H75,"JDEID"))</f>
        <v/>
      </c>
      <c r="M75" s="90" t="str">
        <f>IF(_epmOfflineCondition_,"",IF(AND(I75="N",J75="N"),_xll.EVPRO($B$1,H75,"PSFTID"),""))</f>
        <v/>
      </c>
      <c r="N75" s="90" t="str">
        <f>IF(_epmOfflineCondition_,"",IF(_xll.EVDES(H75,$B$1)="#NODATA","",_xll.EVDES(H75,$B$1)))</f>
        <v/>
      </c>
      <c r="O75" s="138"/>
      <c r="P75" s="138"/>
      <c r="Q75" s="138"/>
      <c r="R75" s="138"/>
      <c r="S75" s="138"/>
      <c r="T75" s="138"/>
      <c r="U75" s="138"/>
      <c r="V75" s="138"/>
      <c r="W75" s="138"/>
      <c r="X75" s="138"/>
      <c r="Y75" s="138"/>
      <c r="Z75" s="138"/>
      <c r="AA75" s="210">
        <f>IF($I75="B1","",SUM(O75:Z75))</f>
        <v>0</v>
      </c>
      <c r="AB75" s="142" t="str">
        <f>IF(AA75=0,"",IFERROR(AA75/AA$19,""))</f>
        <v/>
      </c>
      <c r="AC75" s="140"/>
      <c r="AD75" s="138"/>
      <c r="AE75" s="142" t="str">
        <f>IF(AD75=0,"",IFERROR(AD75/AD$19,""))</f>
        <v/>
      </c>
      <c r="AF75" s="141">
        <f>IF(AND($AA75="",AD75=""),"",$AA75-AD75)</f>
        <v>0</v>
      </c>
      <c r="AG75" s="138"/>
      <c r="AH75" s="142" t="str">
        <f>IF(AG75=0,"",IFERROR(AG75/AG$19,""))</f>
        <v/>
      </c>
      <c r="AI75" s="141">
        <f>IF(AND($AA75="",AG75=""),"",$AA75-AG75)</f>
        <v>0</v>
      </c>
      <c r="AJ75" s="462">
        <f>IFERROR(AA75/AA$20,0)</f>
        <v>0</v>
      </c>
      <c r="AK75" s="463">
        <f>IFERROR(AD75/AD$20,0)</f>
        <v>0</v>
      </c>
      <c r="AL75" s="464">
        <f>IFERROR(AG75/AG$20,0)</f>
        <v>0</v>
      </c>
      <c r="AM75" s="465">
        <f>+IFERROR(ROUND(($AB75-AE75)*100,2)&amp;" pts.",0)</f>
        <v>0</v>
      </c>
      <c r="AN75" s="466">
        <f>+IFERROR(ROUND(($AB75-AH75)*100,2)&amp;" pts.",0)</f>
        <v>0</v>
      </c>
      <c r="AO75" s="11"/>
    </row>
    <row r="76" spans="1:41" x14ac:dyDescent="0.25">
      <c r="A76" s="11" t="s">
        <v>108</v>
      </c>
      <c r="B76" s="11"/>
      <c r="C76" s="106" t="s">
        <v>101</v>
      </c>
      <c r="D76" s="11" t="s">
        <v>106</v>
      </c>
      <c r="E76" s="11"/>
      <c r="F76" s="11" t="s">
        <v>98</v>
      </c>
      <c r="G76" s="11"/>
      <c r="H76" s="88" t="s">
        <v>79</v>
      </c>
      <c r="I76" s="136" t="str">
        <f>IF(_epmOfflineCondition_,"T3",_xll.EVPRO($B$1,$H76,"STYLE"))</f>
        <v>T3</v>
      </c>
      <c r="J76" s="136" t="str">
        <f>IF(_epmOfflineCondition_,"Y",_xll.EVPRO($B$1,$H76,"CALC"))</f>
        <v>Y</v>
      </c>
      <c r="K76" s="104"/>
      <c r="L76" s="104"/>
      <c r="M76" s="104"/>
      <c r="N76" s="106" t="str">
        <f>IF(_epmOfflineCondition_,"Total Operations Expense",IF(_xll.EVDES(H76,$B$1)="#NODATA","",_xll.EVDES(H76,$B$1)))</f>
        <v>Total Operations Expense</v>
      </c>
      <c r="O76" s="150"/>
      <c r="P76" s="150"/>
      <c r="Q76" s="150"/>
      <c r="R76" s="150"/>
      <c r="S76" s="150"/>
      <c r="T76" s="150"/>
      <c r="U76" s="150"/>
      <c r="V76" s="150"/>
      <c r="W76" s="150"/>
      <c r="X76" s="150"/>
      <c r="Y76" s="150"/>
      <c r="Z76" s="150"/>
      <c r="AA76" s="150">
        <f>IF($I76="B1","",SUM(O76:Z76))</f>
        <v>0</v>
      </c>
      <c r="AB76" s="151" t="str">
        <f>IF(AA76=0,"",IFERROR(AA76/AA$19,""))</f>
        <v/>
      </c>
      <c r="AC76" s="140"/>
      <c r="AD76" s="150"/>
      <c r="AE76" s="151" t="str">
        <f>IF(AD76=0,"",IFERROR(AD76/AD$19,""))</f>
        <v/>
      </c>
      <c r="AF76" s="152">
        <f>IF(AND($AA76="",AD76=""),"",$AA76-AD76)</f>
        <v>0</v>
      </c>
      <c r="AG76" s="150">
        <v>216</v>
      </c>
      <c r="AH76" s="151" t="str">
        <f>IF(AG76=0,"",IFERROR(AG76/AG$19,""))</f>
        <v/>
      </c>
      <c r="AI76" s="152">
        <f>IF(AND($AA76="",AG76=""),"",$AA76-AG76)</f>
        <v>-216</v>
      </c>
      <c r="AJ76" s="446">
        <f>IFERROR(AA76/AA$20,0)</f>
        <v>0</v>
      </c>
      <c r="AK76" s="447">
        <f>IFERROR(AD76/AD$20,0)</f>
        <v>0</v>
      </c>
      <c r="AL76" s="448">
        <f>IFERROR(AG76/AG$20,0)</f>
        <v>0</v>
      </c>
      <c r="AM76" s="449">
        <f>+IFERROR(ROUND(($AB76-AE76)*100,2)&amp;" pts.",0)</f>
        <v>0</v>
      </c>
      <c r="AN76" s="546">
        <f>+IFERROR(ROUND(($AB76-AH76)*100,2)&amp;" pts.",0)</f>
        <v>0</v>
      </c>
      <c r="AO76" s="11"/>
    </row>
    <row r="77" spans="1:41" x14ac:dyDescent="0.25">
      <c r="A77" s="11" t="s">
        <v>108</v>
      </c>
      <c r="B77" s="11"/>
      <c r="C77" s="196" t="s">
        <v>101</v>
      </c>
      <c r="D77" s="11" t="s">
        <v>107</v>
      </c>
      <c r="E77" s="11"/>
      <c r="F77" s="11" t="s">
        <v>99</v>
      </c>
      <c r="G77" s="11"/>
      <c r="H77" s="11"/>
      <c r="I77" s="59"/>
      <c r="J77" s="59"/>
      <c r="K77" s="11"/>
      <c r="L77" s="11"/>
      <c r="M77" s="11"/>
      <c r="N77" s="11"/>
      <c r="O77" s="140"/>
      <c r="P77" s="140"/>
      <c r="Q77" s="140"/>
      <c r="R77" s="140"/>
      <c r="S77" s="140"/>
      <c r="T77" s="140"/>
      <c r="U77" s="140"/>
      <c r="V77" s="140"/>
      <c r="W77" s="140"/>
      <c r="X77" s="140"/>
      <c r="Y77" s="140"/>
      <c r="Z77" s="140"/>
      <c r="AA77" s="140"/>
      <c r="AB77" s="140"/>
      <c r="AC77" s="140"/>
      <c r="AD77" s="140"/>
      <c r="AE77" s="140"/>
      <c r="AF77" s="140"/>
      <c r="AG77" s="140"/>
      <c r="AH77" s="140"/>
      <c r="AI77" s="140"/>
      <c r="AJ77" s="140"/>
      <c r="AK77" s="140"/>
      <c r="AL77" s="140"/>
      <c r="AM77" s="140"/>
      <c r="AN77" s="140"/>
      <c r="AO77" s="11"/>
    </row>
    <row r="78" spans="1:41" x14ac:dyDescent="0.25">
      <c r="A78" s="11"/>
      <c r="B78" s="11"/>
      <c r="C78" s="11"/>
      <c r="D78" s="11"/>
      <c r="E78" s="11"/>
      <c r="F78" s="11"/>
      <c r="G78" s="11"/>
      <c r="H78" s="88" t="s">
        <v>80</v>
      </c>
      <c r="I78" s="136" t="str">
        <f>IF(_epmOfflineCondition_,"T3",_xll.EVPRO($B$1,$H78,"STYLE"))</f>
        <v>T3</v>
      </c>
      <c r="J78" s="136" t="str">
        <f>IF(_epmOfflineCondition_,"Y",_xll.EVPRO($B$1,$H78,"CALC"))</f>
        <v>Y</v>
      </c>
      <c r="K78" s="106"/>
      <c r="L78" s="106"/>
      <c r="M78" s="106"/>
      <c r="N78" s="106" t="str">
        <f>IF(_epmOfflineCondition_,"Total Expenses",IF(_xll.EVDES(H78,$B$1)="#NODATA","",_xll.EVDES(H78,$B$1)))</f>
        <v>Total Expenses</v>
      </c>
      <c r="O78" s="242"/>
      <c r="P78" s="242"/>
      <c r="Q78" s="242"/>
      <c r="R78" s="242"/>
      <c r="S78" s="242"/>
      <c r="T78" s="242"/>
      <c r="U78" s="242"/>
      <c r="V78" s="242"/>
      <c r="W78" s="242"/>
      <c r="X78" s="242"/>
      <c r="Y78" s="242"/>
      <c r="Z78" s="242"/>
      <c r="AA78" s="242">
        <f>IF($I78="B1","",SUM(O78:Z78))</f>
        <v>0</v>
      </c>
      <c r="AB78" s="243" t="str">
        <f>IF(AA78=0,"",IFERROR(AA78/AA$19,""))</f>
        <v/>
      </c>
      <c r="AC78" s="140"/>
      <c r="AD78" s="242"/>
      <c r="AE78" s="243" t="str">
        <f>IF(AD78=0,"",IFERROR(AD78/AD$19,""))</f>
        <v/>
      </c>
      <c r="AF78" s="254">
        <f>IF(AND($AA78="",AD78=""),"",$AA78-AD78)</f>
        <v>0</v>
      </c>
      <c r="AG78" s="255">
        <v>216</v>
      </c>
      <c r="AH78" s="256" t="str">
        <f>IF(AG78=0,"",IFERROR(AG78/AG$19,""))</f>
        <v/>
      </c>
      <c r="AI78" s="254">
        <f>IF(AND($AA78="",AG78=""),"",$AA78-AG78)</f>
        <v>-216</v>
      </c>
      <c r="AJ78" s="435">
        <f>IFERROR(AA78/AA$20,0)</f>
        <v>0</v>
      </c>
      <c r="AK78" s="436">
        <f>IFERROR(AD78/AD$20,0)</f>
        <v>0</v>
      </c>
      <c r="AL78" s="437">
        <f>IFERROR(AG78/AG$20,0)</f>
        <v>0</v>
      </c>
      <c r="AM78" s="438">
        <f>+IFERROR(ROUND(($AB78-AE78)*100,2)&amp;" pts.",0)</f>
        <v>0</v>
      </c>
      <c r="AN78" s="547">
        <f>+IFERROR(ROUND(($AB78-AH78)*100,2)&amp;" pts.",0)</f>
        <v>0</v>
      </c>
      <c r="AO78" s="11"/>
    </row>
    <row r="79" spans="1:41" ht="15.75" thickBot="1" x14ac:dyDescent="0.3">
      <c r="A79" s="11"/>
      <c r="B79" s="11"/>
      <c r="C79" s="208"/>
      <c r="D79" s="11"/>
      <c r="E79" s="11"/>
      <c r="F79" s="11"/>
      <c r="G79" s="11"/>
      <c r="H79" s="88" t="s">
        <v>81</v>
      </c>
      <c r="I79" s="136" t="str">
        <f>IF(_epmOfflineCondition_,"T3",_xll.EVPRO($B$1,$H79,"STYLE"))</f>
        <v>T3</v>
      </c>
      <c r="J79" s="136" t="str">
        <f>IF(_epmOfflineCondition_,"Y",_xll.EVPRO($B$1,$H79,"CALC"))</f>
        <v>Y</v>
      </c>
      <c r="K79" s="106"/>
      <c r="L79" s="106"/>
      <c r="M79" s="106"/>
      <c r="N79" s="106" t="str">
        <f>IF(_epmOfflineCondition_,"Department Profit (Loss)",IF(_xll.EVDES(H79,$B$1)="#NODATA","",_xll.EVDES(H79,$B$1)))</f>
        <v>Department Profit (Loss)</v>
      </c>
      <c r="O79" s="165"/>
      <c r="P79" s="165"/>
      <c r="Q79" s="165"/>
      <c r="R79" s="165">
        <v>-7839.57</v>
      </c>
      <c r="S79" s="165">
        <v>7839.57</v>
      </c>
      <c r="T79" s="165"/>
      <c r="U79" s="165"/>
      <c r="V79" s="165"/>
      <c r="W79" s="165"/>
      <c r="X79" s="165"/>
      <c r="Y79" s="165"/>
      <c r="Z79" s="165"/>
      <c r="AA79" s="165">
        <f>IF($I79="B1","",SUM(O79:Z79))</f>
        <v>0</v>
      </c>
      <c r="AB79" s="166" t="str">
        <f>IF(AA79=0,"",IFERROR(AA79/AA$19,""))</f>
        <v/>
      </c>
      <c r="AC79" s="140"/>
      <c r="AD79" s="165"/>
      <c r="AE79" s="166" t="str">
        <f>IF(AD79=0,"",IFERROR(AD79/AD$19,""))</f>
        <v/>
      </c>
      <c r="AF79" s="167">
        <f>IF(AND($AA79="",AD79=""),"",$AA79-AD79)</f>
        <v>0</v>
      </c>
      <c r="AG79" s="165">
        <v>-216</v>
      </c>
      <c r="AH79" s="166" t="str">
        <f>IF(AG79=0,"",IFERROR(AG79/AG$19,""))</f>
        <v/>
      </c>
      <c r="AI79" s="167">
        <f>IF(AND($AA79="",AG79=""),"",$AA79-AG79)</f>
        <v>216</v>
      </c>
      <c r="AJ79" s="452">
        <f>IFERROR(AA79/AA$20,0)</f>
        <v>0</v>
      </c>
      <c r="AK79" s="453">
        <f>IFERROR(AD79/AD$20,0)</f>
        <v>0</v>
      </c>
      <c r="AL79" s="454">
        <f>IFERROR(AG79/AG$20,0)</f>
        <v>0</v>
      </c>
      <c r="AM79" s="455">
        <f>+IFERROR(ROUND(($AB79-AE79)*100,2)&amp;" pts.",0)</f>
        <v>0</v>
      </c>
      <c r="AN79" s="548">
        <f>+IFERROR(ROUND(($AB79-AH79)*100,2)&amp;" pts.",0)</f>
        <v>0</v>
      </c>
      <c r="AO79" s="11"/>
    </row>
    <row r="80" spans="1:41" ht="15.75" thickTop="1" x14ac:dyDescent="0.25">
      <c r="A80" s="61" t="str">
        <f>IF(_epmOfflineCondition_,"Evdre:Ok",_xll.EVDRE($B$1,A83:B90,A93:B99))</f>
        <v>Evdre:Ok</v>
      </c>
      <c r="B80" s="11"/>
      <c r="C80" s="11"/>
      <c r="D80" s="11"/>
      <c r="E80" s="11"/>
      <c r="F80" s="11"/>
      <c r="G80" s="11"/>
      <c r="H80" s="11"/>
      <c r="I80" s="59"/>
      <c r="J80" s="59"/>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11"/>
      <c r="B81" s="11"/>
      <c r="C81" s="11"/>
      <c r="D81" s="11"/>
      <c r="E81" s="11"/>
      <c r="F81" s="11"/>
      <c r="G81" s="11"/>
      <c r="H81" s="11"/>
      <c r="I81" s="59"/>
      <c r="J81" s="59"/>
      <c r="K81" s="11"/>
      <c r="L81" s="11"/>
      <c r="M81" s="11"/>
      <c r="N81" s="104" t="str">
        <f>N78&amp;" - Check"</f>
        <v>Total Expenses - Check</v>
      </c>
      <c r="O81" s="209">
        <f t="shared" ref="O81:AA81" si="22">SUMIF($H$35:$H$79,"600000",O$35:O$79)+SUMIF($H$35:$H$79,"700000",O$35:O$79)-SUMIF($H$35:$H$79,"TOTDEPTEXP",O$35:O$79)</f>
        <v>0</v>
      </c>
      <c r="P81" s="209">
        <f t="shared" si="22"/>
        <v>0</v>
      </c>
      <c r="Q81" s="209">
        <f t="shared" si="22"/>
        <v>0</v>
      </c>
      <c r="R81" s="209">
        <f t="shared" si="22"/>
        <v>0</v>
      </c>
      <c r="S81" s="209">
        <f t="shared" si="22"/>
        <v>0</v>
      </c>
      <c r="T81" s="209">
        <f t="shared" si="22"/>
        <v>0</v>
      </c>
      <c r="U81" s="209">
        <f t="shared" si="22"/>
        <v>0</v>
      </c>
      <c r="V81" s="209">
        <f t="shared" si="22"/>
        <v>0</v>
      </c>
      <c r="W81" s="209">
        <f t="shared" si="22"/>
        <v>0</v>
      </c>
      <c r="X81" s="209">
        <f t="shared" si="22"/>
        <v>0</v>
      </c>
      <c r="Y81" s="209">
        <f t="shared" si="22"/>
        <v>0</v>
      </c>
      <c r="Z81" s="209">
        <f t="shared" si="22"/>
        <v>0</v>
      </c>
      <c r="AA81" s="209">
        <f t="shared" si="22"/>
        <v>0</v>
      </c>
      <c r="AB81" s="100"/>
      <c r="AC81" s="11"/>
      <c r="AD81" s="209">
        <f>SUMIF($H$35:$H$79,"600000",AD$35:AD$79)+SUMIF($H$35:$H$79,"700000",AD$35:AD$79)-SUMIF($H$35:$H$79,"TOTDEPTEXP",AD$35:AD$79)</f>
        <v>0</v>
      </c>
      <c r="AE81" s="100"/>
      <c r="AF81" s="91"/>
      <c r="AG81" s="209">
        <f>SUMIF($H$35:$H$79,"600000",AG$35:AG$79)+SUMIF($H$35:$H$79,"700000",AG$35:AG$79)-SUMIF($H$35:$H$79,"TOTDEPTEXP",AG$35:AG$79)</f>
        <v>0</v>
      </c>
      <c r="AH81" s="100"/>
      <c r="AI81" s="91"/>
      <c r="AJ81" s="11"/>
      <c r="AK81" s="11"/>
      <c r="AL81" s="11"/>
      <c r="AM81" s="11"/>
      <c r="AN81" s="11"/>
      <c r="AO81" s="11"/>
    </row>
    <row r="82" spans="1:41" x14ac:dyDescent="0.25">
      <c r="A82" s="62" t="s">
        <v>0</v>
      </c>
      <c r="B82" s="63" t="s">
        <v>1</v>
      </c>
      <c r="C82" s="11"/>
      <c r="D82" s="11"/>
      <c r="E82" s="11"/>
      <c r="F82" s="11"/>
      <c r="G82" s="11"/>
      <c r="H82" s="11"/>
      <c r="I82" s="59"/>
      <c r="J82" s="59"/>
      <c r="K82" s="11"/>
      <c r="L82" s="11"/>
      <c r="M82" s="11"/>
      <c r="N82" s="104" t="str">
        <f>N79&amp;" - Check"</f>
        <v>Department Profit (Loss) - Check</v>
      </c>
      <c r="O82" s="209">
        <f t="shared" ref="O82:AA82" si="23">SUMIF($H$35:$H$79,"KPI_GP",O$35:O$79)-SUMIF($H$35:$H$79,"TOTDEPTEXP",O$35:O$79)-SUMIF($H$35:$H$79,"TOTDEPTPL",O$35:O$79)</f>
        <v>0</v>
      </c>
      <c r="P82" s="209">
        <f t="shared" si="23"/>
        <v>0</v>
      </c>
      <c r="Q82" s="209">
        <f t="shared" si="23"/>
        <v>0</v>
      </c>
      <c r="R82" s="209">
        <f t="shared" si="23"/>
        <v>0</v>
      </c>
      <c r="S82" s="209">
        <f t="shared" si="23"/>
        <v>0</v>
      </c>
      <c r="T82" s="209">
        <f t="shared" si="23"/>
        <v>0</v>
      </c>
      <c r="U82" s="209">
        <f t="shared" si="23"/>
        <v>0</v>
      </c>
      <c r="V82" s="209">
        <f t="shared" si="23"/>
        <v>0</v>
      </c>
      <c r="W82" s="209">
        <f t="shared" si="23"/>
        <v>0</v>
      </c>
      <c r="X82" s="209">
        <f t="shared" si="23"/>
        <v>0</v>
      </c>
      <c r="Y82" s="209">
        <f t="shared" si="23"/>
        <v>0</v>
      </c>
      <c r="Z82" s="209">
        <f t="shared" si="23"/>
        <v>0</v>
      </c>
      <c r="AA82" s="209">
        <f t="shared" si="23"/>
        <v>0</v>
      </c>
      <c r="AB82" s="100"/>
      <c r="AC82" s="11"/>
      <c r="AD82" s="209">
        <f>SUMIF($H$35:$H$79,"KPI_GP",AD$35:AD$79)-SUMIF($H$35:$H$79,"TOTDEPTEXP",AD$35:AD$79)-SUMIF($H$35:$H$79,"TOTDEPTPL",AD$35:AD$79)</f>
        <v>0</v>
      </c>
      <c r="AE82" s="100"/>
      <c r="AF82" s="91"/>
      <c r="AG82" s="209">
        <f>SUMIF($H$35:$H$79,"KPI_GP",AG$35:AG$79)-SUMIF($H$35:$H$79,"TOTDEPTEXP",AG$35:AG$79)-SUMIF($H$35:$H$79,"TOTDEPTPL",AG$35:AG$79)</f>
        <v>0</v>
      </c>
      <c r="AH82" s="100"/>
      <c r="AI82" s="91"/>
      <c r="AJ82" s="11"/>
      <c r="AK82" s="11"/>
      <c r="AL82" s="11"/>
      <c r="AM82" s="11"/>
      <c r="AN82" s="11"/>
      <c r="AO82" s="11"/>
    </row>
    <row r="83" spans="1:41" x14ac:dyDescent="0.25">
      <c r="A83" s="65" t="s">
        <v>2</v>
      </c>
      <c r="B83" s="66" t="str">
        <f>IF(_epmOfflineCondition_,"'IRD'!$B$2:$B$10",_xll.EVRNG($B$2:$B$10))</f>
        <v>'IRD'!$B$2:$B$10</v>
      </c>
      <c r="C83" s="11"/>
      <c r="D83" s="11"/>
      <c r="E83" s="11"/>
      <c r="F83" s="11"/>
      <c r="G83" s="11"/>
      <c r="H83" s="11"/>
      <c r="I83" s="59"/>
      <c r="J83" s="59"/>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3</v>
      </c>
      <c r="B84" s="66" t="str">
        <f>IF(_epmOfflineCondition_,"'IRD'!$O$16:$AN$18",_xll.EVRNG($O$16:$AN$18))</f>
        <v>'IRD'!$O$16:$AN$18</v>
      </c>
      <c r="C84" s="11"/>
      <c r="D84" s="11"/>
      <c r="E84" s="11"/>
      <c r="F84" s="11"/>
      <c r="G84" s="11"/>
      <c r="H84" s="11"/>
      <c r="I84" s="59"/>
      <c r="J84" s="59"/>
      <c r="K84" s="11"/>
      <c r="L84" s="11"/>
      <c r="M84" s="11"/>
      <c r="N84" s="11"/>
      <c r="O84" s="137"/>
      <c r="P84" s="137"/>
      <c r="Q84" s="137"/>
      <c r="R84" s="137"/>
      <c r="S84" s="137"/>
      <c r="T84" s="137"/>
      <c r="U84" s="137"/>
      <c r="V84" s="137"/>
      <c r="W84" s="137"/>
      <c r="X84" s="137"/>
      <c r="Y84" s="137"/>
      <c r="Z84" s="137"/>
      <c r="AA84" s="137"/>
      <c r="AB84" s="11"/>
      <c r="AC84" s="11"/>
      <c r="AD84" s="137"/>
      <c r="AE84" s="11"/>
      <c r="AF84" s="11"/>
      <c r="AG84" s="137"/>
      <c r="AH84" s="11"/>
      <c r="AI84" s="11"/>
      <c r="AJ84" s="11"/>
      <c r="AK84" s="11"/>
      <c r="AL84" s="11"/>
      <c r="AM84" s="11"/>
      <c r="AN84" s="11"/>
      <c r="AO84" s="11"/>
    </row>
    <row r="85" spans="1:41" x14ac:dyDescent="0.25">
      <c r="A85" s="65" t="s">
        <v>4</v>
      </c>
      <c r="B85" s="66" t="str">
        <f>IF(_epmOfflineCondition_,"'IRD'!$H$67:$H$68,'IRD'!$H$70:$H$71,'IRD'!$H$74:$H$75",_xll.EVRNG(H67:H68,H70:H71,H74:H75))</f>
        <v>'IRD'!$H$67:$H$68,'IRD'!$H$70:$H$71,'IRD'!$H$74:$H$75</v>
      </c>
      <c r="C85" s="11"/>
      <c r="D85" s="11"/>
      <c r="E85" s="11"/>
      <c r="F85" s="11"/>
      <c r="G85" s="11"/>
      <c r="H85" s="11"/>
      <c r="I85" s="59"/>
      <c r="J85" s="59"/>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5</v>
      </c>
      <c r="B86" s="66"/>
      <c r="C86" s="11"/>
      <c r="D86" s="11"/>
      <c r="E86" s="11"/>
      <c r="F86" s="11"/>
      <c r="G86" s="11"/>
      <c r="H86" s="11"/>
      <c r="I86" s="59"/>
      <c r="J86" s="59"/>
      <c r="K86" s="11"/>
      <c r="L86" s="11"/>
      <c r="M86" s="11"/>
      <c r="N86" s="11"/>
      <c r="O86" s="137"/>
      <c r="P86" s="137"/>
      <c r="Q86" s="137"/>
      <c r="R86" s="137"/>
      <c r="S86" s="137"/>
      <c r="T86" s="137"/>
      <c r="U86" s="137"/>
      <c r="V86" s="137"/>
      <c r="W86" s="137"/>
      <c r="X86" s="137"/>
      <c r="Y86" s="137"/>
      <c r="Z86" s="137"/>
      <c r="AA86" s="137"/>
      <c r="AB86" s="11"/>
      <c r="AC86" s="11"/>
      <c r="AD86" s="137"/>
      <c r="AE86" s="11"/>
      <c r="AF86" s="11"/>
      <c r="AG86" s="137"/>
      <c r="AH86" s="11"/>
      <c r="AI86" s="11"/>
      <c r="AJ86" s="11"/>
      <c r="AK86" s="11"/>
      <c r="AL86" s="11"/>
      <c r="AM86" s="11"/>
      <c r="AN86" s="11"/>
      <c r="AO86" s="11"/>
    </row>
    <row r="87" spans="1:41" x14ac:dyDescent="0.25">
      <c r="A87" s="65" t="s">
        <v>6</v>
      </c>
      <c r="B87" s="66"/>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7</v>
      </c>
      <c r="B88" s="66" t="str">
        <f>IF(_epmOfflineCondition_,"'IRD'!$A$102:$F$108",_xll.EVRNG(A102:F108))</f>
        <v>'IRD'!$A$102:$F$108</v>
      </c>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65" t="s">
        <v>47</v>
      </c>
      <c r="B89" s="66" t="str">
        <f>IF(_epmOfflineCondition_,"'IRD'!$A$125:$B$146",_xll.EVRNG($A$125:$B$146))</f>
        <v>'IRD'!$A$125:$B$146</v>
      </c>
      <c r="C89" s="11"/>
      <c r="D89" s="11"/>
      <c r="E89" s="11"/>
      <c r="F89" s="11"/>
      <c r="G89" s="11"/>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8</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62" t="s">
        <v>9</v>
      </c>
      <c r="B92" s="63" t="s">
        <v>10</v>
      </c>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5" t="s">
        <v>11</v>
      </c>
      <c r="B93" s="66" t="s">
        <v>21</v>
      </c>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65" t="s">
        <v>12</v>
      </c>
      <c r="B94" s="66" t="s">
        <v>22</v>
      </c>
      <c r="C94" s="11"/>
      <c r="D94" s="11"/>
      <c r="E94" s="11"/>
      <c r="F94" s="11"/>
      <c r="G94" s="76"/>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13</v>
      </c>
      <c r="B95" s="66" t="s">
        <v>737</v>
      </c>
      <c r="C95" s="11"/>
      <c r="D95" s="11"/>
      <c r="E95" s="11"/>
      <c r="F95" s="11"/>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65" t="s">
        <v>14</v>
      </c>
      <c r="B96" s="66"/>
      <c r="C96" s="11"/>
      <c r="D96" s="11"/>
      <c r="E96" s="11"/>
      <c r="F96" s="11"/>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15</v>
      </c>
      <c r="B97" s="66"/>
      <c r="C97" s="11"/>
      <c r="D97" s="11"/>
      <c r="E97" s="11"/>
      <c r="F97" s="11"/>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65" t="s">
        <v>16</v>
      </c>
      <c r="B98" s="66" t="s">
        <v>78</v>
      </c>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17</v>
      </c>
      <c r="B99" s="66"/>
      <c r="C99" s="11"/>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97" t="s">
        <v>92</v>
      </c>
      <c r="B101" s="98" t="s">
        <v>93</v>
      </c>
      <c r="C101" s="98" t="s">
        <v>94</v>
      </c>
      <c r="D101" s="98" t="s">
        <v>95</v>
      </c>
      <c r="E101" s="98" t="s">
        <v>96</v>
      </c>
      <c r="F101" s="99" t="s">
        <v>97</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t="s">
        <v>108</v>
      </c>
      <c r="B103" s="11"/>
      <c r="C103" s="104"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t="s">
        <v>100</v>
      </c>
      <c r="B104" s="11"/>
      <c r="C104" s="53" t="s">
        <v>101</v>
      </c>
      <c r="D104" s="11" t="s">
        <v>106</v>
      </c>
      <c r="E104" s="11"/>
      <c r="F104" s="11" t="s">
        <v>98</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t="s">
        <v>109</v>
      </c>
      <c r="B105" s="11"/>
      <c r="C105" s="106" t="s">
        <v>101</v>
      </c>
      <c r="D105" s="11" t="s">
        <v>106</v>
      </c>
      <c r="E105" s="11"/>
      <c r="F105" s="11" t="s">
        <v>98</v>
      </c>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t="s">
        <v>109</v>
      </c>
      <c r="B106" s="11"/>
      <c r="C106" s="196" t="s">
        <v>101</v>
      </c>
      <c r="D106" s="11" t="s">
        <v>107</v>
      </c>
      <c r="E106" s="11"/>
      <c r="F106" s="11" t="s">
        <v>99</v>
      </c>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t="s">
        <v>110</v>
      </c>
      <c r="B107" s="11"/>
      <c r="C107" s="106" t="s">
        <v>101</v>
      </c>
      <c r="D107" s="11" t="s">
        <v>106</v>
      </c>
      <c r="E107" s="11"/>
      <c r="F107" s="11" t="s">
        <v>98</v>
      </c>
      <c r="G107" s="11"/>
      <c r="H107" s="59"/>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t="s">
        <v>110</v>
      </c>
      <c r="B108" s="11"/>
      <c r="C108" s="109" t="s">
        <v>101</v>
      </c>
      <c r="D108" s="11" t="s">
        <v>107</v>
      </c>
      <c r="E108" s="11"/>
      <c r="F108" s="11" t="s">
        <v>99</v>
      </c>
      <c r="G108" s="76"/>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208"/>
      <c r="D109" s="11"/>
      <c r="E109" s="11"/>
      <c r="F109" s="11"/>
      <c r="G109" s="76"/>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1" t="str">
        <f>IF(_epmOfflineCondition_,"Evdre:Ok",_xll.EVDRE($B$1,A114:B121))</f>
        <v>Evdre:Ok</v>
      </c>
      <c r="B111" s="11" t="s">
        <v>736</v>
      </c>
      <c r="C111" s="11"/>
      <c r="D111" s="11"/>
      <c r="E111" s="11"/>
      <c r="F111" s="11"/>
      <c r="G111" s="11"/>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2" t="s">
        <v>0</v>
      </c>
      <c r="B113" s="63" t="s">
        <v>1</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5" t="s">
        <v>2</v>
      </c>
      <c r="B114" s="66" t="str">
        <f>IF(_epmOfflineCondition_,"'IRD'!$B$2:$B$10",_xll.EVRNG($B$2:$B$10))</f>
        <v>'IRD'!$B$2:$B$10</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3</v>
      </c>
      <c r="B115" s="66" t="str">
        <f>IF(_epmOfflineCondition_,"'IRD'!$O$16:$AN$18",_xll.EVRNG($O$16:$AN$18))</f>
        <v>'IRD'!$O$16:$AN$18</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4</v>
      </c>
      <c r="B116" s="66" t="str">
        <f>IF(_epmOfflineCondition_,"'IRD'!$H$76:$H$79",_xll.EVRNG(H76:H79))</f>
        <v>'IRD'!$H$76:$H$79</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47</v>
      </c>
      <c r="B120" s="66" t="str">
        <f>IF(_epmOfflineCondition_,"'IRD'!$A$125:$B$146",_xll.EVRNG($A$125:$B$146))</f>
        <v>'IRD'!$A$125:$B$146</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267"/>
      <c r="J152" s="11"/>
      <c r="K152" s="267"/>
      <c r="L152" s="267"/>
      <c r="M152" s="267"/>
      <c r="N152" s="11"/>
      <c r="O152" s="267"/>
      <c r="P152" s="267"/>
      <c r="Q152" s="267"/>
      <c r="R152" s="267"/>
      <c r="S152" s="267"/>
      <c r="T152" s="267"/>
      <c r="U152" s="267"/>
      <c r="V152" s="267"/>
      <c r="W152" s="267"/>
      <c r="X152" s="267"/>
      <c r="Y152" s="267"/>
      <c r="Z152" s="267"/>
      <c r="AA152" s="267"/>
      <c r="AB152" s="11"/>
      <c r="AC152" s="11"/>
      <c r="AD152" s="267"/>
      <c r="AE152" s="11"/>
      <c r="AF152" s="267"/>
      <c r="AG152" s="11"/>
      <c r="AH152" s="267"/>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267"/>
      <c r="J156" s="11"/>
      <c r="K156" s="267"/>
      <c r="L156" s="267"/>
      <c r="M156" s="267"/>
      <c r="N156" s="11"/>
      <c r="O156" s="267"/>
      <c r="P156" s="267"/>
      <c r="Q156" s="267"/>
      <c r="R156" s="267"/>
      <c r="S156" s="267"/>
      <c r="T156" s="267"/>
      <c r="U156" s="267"/>
      <c r="V156" s="267"/>
      <c r="W156" s="267"/>
      <c r="X156" s="267"/>
      <c r="Y156" s="267"/>
      <c r="Z156" s="267"/>
      <c r="AA156" s="267"/>
      <c r="AB156" s="11"/>
      <c r="AC156" s="11"/>
      <c r="AD156" s="267"/>
      <c r="AE156" s="11"/>
      <c r="AF156" s="267"/>
      <c r="AG156" s="11"/>
      <c r="AH156" s="267"/>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267"/>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267"/>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267"/>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sheetData>
  <sheetProtection algorithmName="SHA-512" hashValue="BCzdWCkdA8kONZub9d8lFmn1Ubox5Pz5dphIVMdqscvdol9NIciEODD+UH0znSxWXtAIvzVlrmu+xKbSdgsQBA==" saltValue="an8d7v2oahJN7ZnBxugyQw==" spinCount="100000" sheet="1" scenarios="1"/>
  <mergeCells count="2">
    <mergeCell ref="AD31:AE31"/>
    <mergeCell ref="AG31:AH31"/>
  </mergeCells>
  <dataValidations disablePrompts="1" count="2">
    <dataValidation type="list" allowBlank="1" sqref="B62 B29 B95" xr:uid="{00000000-0002-0000-1500-000000000000}">
      <formula1>"SELF,ALL,BAS,DEP,BASMEMBERS,MEMBERS,NOEXPAND,GDEP"</formula1>
    </dataValidation>
    <dataValidation type="list" allowBlank="1" sqref="B61 B28 B94" xr:uid="{00000000-0002-0000-15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14344"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14344" r:id="rId7" name="FPMExcelClientSheetOptionstb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0">
    <tabColor theme="6" tint="0.39997558519241921"/>
    <pageSetUpPr fitToPage="1"/>
  </sheetPr>
  <dimension ref="A1:AI21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346</v>
      </c>
      <c r="C6" s="11" t="str">
        <f>IF(_epmOfflineCondition_,"In Room Dining",_xll.EVDES(B6,$B$1))</f>
        <v>In Room Dining</v>
      </c>
      <c r="D6" s="11"/>
      <c r="E6" s="58" t="str">
        <f>IF(_epmOfflineCondition_,"D2147",_xll.EVPRO($B$1,$B$6,$F$6))</f>
        <v>D2147</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IF(_epmOfflineCondition_,"'IRD_KPI'!$B$2:$B$10",_xll.EVRNG($B$2:$B$10))</f>
        <v>'IRD_KPI'!$B$2:$B$10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IF(_epmOfflineCondition_,"'IRD_KPI'!$O$16:$AI$18",_xll.EVRNG(O16:AI18))</f>
        <v>'IRD_KPI'!$O$16:$AI$18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IF(_epmOfflineCondition_,"'IRD_KPI'!$H$35:$H$146",_xll.EVRNG(H35:H146))</f>
        <v>'IRD_KPI'!$H$35:$H$146</v>
      </c>
      <c r="C19" s="11"/>
      <c r="D19" s="11"/>
      <c r="E19" s="11"/>
      <c r="F19" s="11"/>
      <c r="G19" s="67" t="str">
        <f>$B$6</f>
        <v>D_RS_CON</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25">
      <c r="A20" s="65" t="s">
        <v>5</v>
      </c>
      <c r="B20" s="66"/>
      <c r="C20" s="11"/>
      <c r="D20" s="11"/>
      <c r="E20" s="11"/>
      <c r="F20" s="11"/>
      <c r="G20" s="67" t="str">
        <f>$B$6</f>
        <v>D_RS_CON</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IF(_epmOfflineCondition_,"'IRD_KPI'!$A$37:$B$58",_xll.EVRNG($A$37:$B$58))</f>
        <v>'IRD_KPI'!$A$37:$B$58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IF(_epmOfflineCondition_,"In Room Dining Department",IF($N$1="",IF(_xll.EVDES(B6,$B$1)="#NODATA","",_xll.EVDES(B6,$B$1)&amp;" Department"),$N$1))</f>
        <v>In Room Dining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c r="P35" s="138"/>
      <c r="Q35" s="138"/>
      <c r="R35" s="138"/>
      <c r="S35" s="138"/>
      <c r="T35" s="138"/>
      <c r="U35" s="138"/>
      <c r="V35" s="138"/>
      <c r="W35" s="138"/>
      <c r="X35" s="138"/>
      <c r="Y35" s="138"/>
      <c r="Z35" s="138"/>
      <c r="AA35" s="138">
        <f t="shared" ref="AA35:AA41" si="0">SUM(O35:Z35)</f>
        <v>0</v>
      </c>
      <c r="AB35" s="142" t="str">
        <f>IF(AA35=0,"",IFERROR(AA35/AA$19,""))</f>
        <v/>
      </c>
      <c r="AC35" s="140"/>
      <c r="AD35" s="138"/>
      <c r="AE35" s="142" t="str">
        <f>IF(AD35=0,"",IFERROR(AD35/AD$19,""))</f>
        <v/>
      </c>
      <c r="AF35" s="141">
        <f t="shared" ref="AF35:AF42" si="1">IF(AND($AA35="",AD35=""),"",$AA35-AD35)</f>
        <v>0</v>
      </c>
      <c r="AG35" s="138"/>
      <c r="AH35" s="142" t="str">
        <f>IF(AG35=0,"",IFERROR(AG35/AG$19,""))</f>
        <v/>
      </c>
      <c r="AI35" s="141">
        <f t="shared" ref="AI35:AI42" si="2">IF(AND($AA35="",AG35=""),"",$AA35-AG35)</f>
        <v>0</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c r="P36" s="138"/>
      <c r="Q36" s="138"/>
      <c r="R36" s="138"/>
      <c r="S36" s="138"/>
      <c r="T36" s="138"/>
      <c r="U36" s="138"/>
      <c r="V36" s="138"/>
      <c r="W36" s="138"/>
      <c r="X36" s="138"/>
      <c r="Y36" s="138"/>
      <c r="Z36" s="138"/>
      <c r="AA36" s="138">
        <f t="shared" si="0"/>
        <v>0</v>
      </c>
      <c r="AB36" s="142" t="str">
        <f>IF(AA36=0,"",IFERROR(AA36/AA$19,""))</f>
        <v/>
      </c>
      <c r="AC36" s="140"/>
      <c r="AD36" s="138"/>
      <c r="AE36" s="142" t="str">
        <f>IF(AD36=0,"",IFERROR(AD36/AD$19,""))</f>
        <v/>
      </c>
      <c r="AF36" s="141">
        <f t="shared" si="1"/>
        <v>0</v>
      </c>
      <c r="AG36" s="138"/>
      <c r="AH36" s="142" t="str">
        <f>IF(AG36=0,"",IFERROR(AG36/AG$19,""))</f>
        <v/>
      </c>
      <c r="AI36" s="141">
        <f t="shared" si="2"/>
        <v>0</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c r="P37" s="138"/>
      <c r="Q37" s="138"/>
      <c r="R37" s="138"/>
      <c r="S37" s="138"/>
      <c r="T37" s="138"/>
      <c r="U37" s="138"/>
      <c r="V37" s="138"/>
      <c r="W37" s="138"/>
      <c r="X37" s="138"/>
      <c r="Y37" s="138"/>
      <c r="Z37" s="138"/>
      <c r="AA37" s="138">
        <f t="shared" si="0"/>
        <v>0</v>
      </c>
      <c r="AB37" s="142" t="str">
        <f>IF(AA37=0,"",IFERROR(AA37/AA$19,""))</f>
        <v/>
      </c>
      <c r="AC37" s="140"/>
      <c r="AD37" s="138"/>
      <c r="AE37" s="142" t="str">
        <f>IF(AD37=0,"",IFERROR(AD37/AD$19,""))</f>
        <v/>
      </c>
      <c r="AF37" s="141">
        <f t="shared" si="1"/>
        <v>0</v>
      </c>
      <c r="AG37" s="138"/>
      <c r="AH37" s="142" t="str">
        <f>IF(AG37=0,"",IFERROR(AG37/AG$19,""))</f>
        <v/>
      </c>
      <c r="AI37" s="141">
        <f t="shared" si="2"/>
        <v>0</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c r="P38" s="215"/>
      <c r="Q38" s="215"/>
      <c r="R38" s="215"/>
      <c r="S38" s="215"/>
      <c r="T38" s="215"/>
      <c r="U38" s="215"/>
      <c r="V38" s="215"/>
      <c r="W38" s="215"/>
      <c r="X38" s="215"/>
      <c r="Y38" s="215"/>
      <c r="Z38" s="215"/>
      <c r="AA38" s="215">
        <f t="shared" si="0"/>
        <v>0</v>
      </c>
      <c r="AB38" s="217" t="str">
        <f>IF(AA38=0,"",IFERROR(AA38/AA$19,""))</f>
        <v/>
      </c>
      <c r="AC38" s="140"/>
      <c r="AD38" s="215"/>
      <c r="AE38" s="217" t="str">
        <f>IF(AD38=0,"",IFERROR(AD38/AD$19,""))</f>
        <v/>
      </c>
      <c r="AF38" s="218">
        <f t="shared" si="1"/>
        <v>0</v>
      </c>
      <c r="AG38" s="215"/>
      <c r="AH38" s="217" t="str">
        <f>IF(AG38=0,"",IFERROR(AG38/AG$19,""))</f>
        <v/>
      </c>
      <c r="AI38" s="218">
        <f t="shared" si="2"/>
        <v>0</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c r="P39" s="162"/>
      <c r="Q39" s="162"/>
      <c r="R39" s="162"/>
      <c r="S39" s="162"/>
      <c r="T39" s="162"/>
      <c r="U39" s="162"/>
      <c r="V39" s="162"/>
      <c r="W39" s="162"/>
      <c r="X39" s="162"/>
      <c r="Y39" s="162"/>
      <c r="Z39" s="162"/>
      <c r="AA39" s="162">
        <f t="shared" si="0"/>
        <v>0</v>
      </c>
      <c r="AB39" s="163" t="str">
        <f>IF(AA39=0,"",IFERROR(AA39/AA$19,""))</f>
        <v/>
      </c>
      <c r="AC39" s="140"/>
      <c r="AD39" s="162"/>
      <c r="AE39" s="163" t="str">
        <f>IF(AD39=0,"",IFERROR(AD39/AD$19,""))</f>
        <v/>
      </c>
      <c r="AF39" s="164">
        <f t="shared" si="1"/>
        <v>0</v>
      </c>
      <c r="AG39" s="162"/>
      <c r="AH39" s="163" t="str">
        <f>IF(AG39=0,"",IFERROR(AG39/AG$19,""))</f>
        <v/>
      </c>
      <c r="AI39" s="164">
        <f t="shared" si="2"/>
        <v>0</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c r="P40" s="231"/>
      <c r="Q40" s="231"/>
      <c r="R40" s="231"/>
      <c r="S40" s="231"/>
      <c r="T40" s="231"/>
      <c r="U40" s="231"/>
      <c r="V40" s="231"/>
      <c r="W40" s="231"/>
      <c r="X40" s="231"/>
      <c r="Y40" s="231"/>
      <c r="Z40" s="231"/>
      <c r="AA40" s="231">
        <f t="shared" si="0"/>
        <v>0</v>
      </c>
      <c r="AB40" s="233"/>
      <c r="AC40" s="140"/>
      <c r="AD40" s="231"/>
      <c r="AE40" s="233"/>
      <c r="AF40" s="234">
        <f t="shared" si="1"/>
        <v>0</v>
      </c>
      <c r="AG40" s="231"/>
      <c r="AH40" s="233"/>
      <c r="AI40" s="234">
        <f t="shared" si="2"/>
        <v>0</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c r="P41" s="231"/>
      <c r="Q41" s="231"/>
      <c r="R41" s="231"/>
      <c r="S41" s="231"/>
      <c r="T41" s="231"/>
      <c r="U41" s="231"/>
      <c r="V41" s="231"/>
      <c r="W41" s="231"/>
      <c r="X41" s="231"/>
      <c r="Y41" s="231"/>
      <c r="Z41" s="231"/>
      <c r="AA41" s="231">
        <f t="shared" si="0"/>
        <v>0</v>
      </c>
      <c r="AB41" s="233" t="str">
        <f>IF(AA41=0,"",IFERROR(AA41/AA$87,""))</f>
        <v/>
      </c>
      <c r="AC41" s="140"/>
      <c r="AD41" s="231"/>
      <c r="AE41" s="233" t="str">
        <f>IF(AD41=0,"",IFERROR(AD41/AD$87,""))</f>
        <v/>
      </c>
      <c r="AF41" s="234">
        <f t="shared" si="1"/>
        <v>0</v>
      </c>
      <c r="AG41" s="231"/>
      <c r="AH41" s="233" t="str">
        <f>IF(AG41=0,"",IFERROR(AG41/AG$87,""))</f>
        <v/>
      </c>
      <c r="AI41" s="234">
        <f t="shared" si="2"/>
        <v>0</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25">
      <c r="A43" s="65" t="s">
        <v>31</v>
      </c>
      <c r="B43" s="66" t="s">
        <v>78</v>
      </c>
      <c r="C43" s="11"/>
      <c r="D43" s="11"/>
      <c r="E43" s="11"/>
      <c r="F43" s="11"/>
      <c r="G43" s="490">
        <f>COUNTIF(O44:AI44,FALSE)</f>
        <v>0</v>
      </c>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5"/>
      <c r="AG43" s="497">
        <f>ROUND(IFERROR(AG39/AG41,0),2)</f>
        <v>0</v>
      </c>
      <c r="AH43" s="498"/>
      <c r="AI43" s="155"/>
    </row>
    <row r="44" spans="1:35" x14ac:dyDescent="0.25">
      <c r="A44" s="65" t="s">
        <v>32</v>
      </c>
      <c r="B44" s="66"/>
      <c r="C44" s="11"/>
      <c r="D44" s="11"/>
      <c r="E44" s="11"/>
      <c r="F44" s="11"/>
      <c r="G44" s="11"/>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c r="P45" s="138"/>
      <c r="Q45" s="138"/>
      <c r="R45" s="138"/>
      <c r="S45" s="138"/>
      <c r="T45" s="138"/>
      <c r="U45" s="138"/>
      <c r="V45" s="138"/>
      <c r="W45" s="138"/>
      <c r="X45" s="138"/>
      <c r="Y45" s="138"/>
      <c r="Z45" s="138"/>
      <c r="AA45" s="138">
        <f t="shared" ref="AA45:AA51" si="5">SUM(O45:Z45)</f>
        <v>0</v>
      </c>
      <c r="AB45" s="142" t="str">
        <f>IF(AA45=0,"",IFERROR(AA45/AA$19,""))</f>
        <v/>
      </c>
      <c r="AC45" s="140"/>
      <c r="AD45" s="138"/>
      <c r="AE45" s="142" t="str">
        <f>IF(AD45=0,"",IFERROR(AD45/AD$19,""))</f>
        <v/>
      </c>
      <c r="AF45" s="141">
        <f t="shared" ref="AF45:AF52" si="6">IF(AND($AA45="",AD45=""),"",$AA45-AD45)</f>
        <v>0</v>
      </c>
      <c r="AG45" s="138"/>
      <c r="AH45" s="142" t="str">
        <f>IF(AG45=0,"",IFERROR(AG45/AG$19,""))</f>
        <v/>
      </c>
      <c r="AI45" s="141">
        <f t="shared" ref="AI45:AI52" si="7">IF(AND($AA45="",AG45=""),"",$AA45-AG45)</f>
        <v>0</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c r="P46" s="138"/>
      <c r="Q46" s="138"/>
      <c r="R46" s="138"/>
      <c r="S46" s="138"/>
      <c r="T46" s="138"/>
      <c r="U46" s="138"/>
      <c r="V46" s="138"/>
      <c r="W46" s="138"/>
      <c r="X46" s="138"/>
      <c r="Y46" s="138"/>
      <c r="Z46" s="138"/>
      <c r="AA46" s="138">
        <f t="shared" si="5"/>
        <v>0</v>
      </c>
      <c r="AB46" s="142" t="str">
        <f>IF(AA46=0,"",IFERROR(AA46/AA$19,""))</f>
        <v/>
      </c>
      <c r="AC46" s="140"/>
      <c r="AD46" s="138"/>
      <c r="AE46" s="142" t="str">
        <f>IF(AD46=0,"",IFERROR(AD46/AD$19,""))</f>
        <v/>
      </c>
      <c r="AF46" s="141">
        <f t="shared" si="6"/>
        <v>0</v>
      </c>
      <c r="AG46" s="138"/>
      <c r="AH46" s="142" t="str">
        <f>IF(AG46=0,"",IFERROR(AG46/AG$19,""))</f>
        <v/>
      </c>
      <c r="AI46" s="141">
        <f t="shared" si="7"/>
        <v>0</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c r="P47" s="138"/>
      <c r="Q47" s="138"/>
      <c r="R47" s="138"/>
      <c r="S47" s="138"/>
      <c r="T47" s="138"/>
      <c r="U47" s="138"/>
      <c r="V47" s="138"/>
      <c r="W47" s="138"/>
      <c r="X47" s="138"/>
      <c r="Y47" s="138"/>
      <c r="Z47" s="138"/>
      <c r="AA47" s="138">
        <f t="shared" si="5"/>
        <v>0</v>
      </c>
      <c r="AB47" s="142" t="str">
        <f>IF(AA47=0,"",IFERROR(AA47/AA$19,""))</f>
        <v/>
      </c>
      <c r="AC47" s="140"/>
      <c r="AD47" s="138"/>
      <c r="AE47" s="142" t="str">
        <f>IF(AD47=0,"",IFERROR(AD47/AD$19,""))</f>
        <v/>
      </c>
      <c r="AF47" s="141">
        <f t="shared" si="6"/>
        <v>0</v>
      </c>
      <c r="AG47" s="138"/>
      <c r="AH47" s="142" t="str">
        <f>IF(AG47=0,"",IFERROR(AG47/AG$19,""))</f>
        <v/>
      </c>
      <c r="AI47" s="141">
        <f t="shared" si="7"/>
        <v>0</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c r="P48" s="215"/>
      <c r="Q48" s="215"/>
      <c r="R48" s="215"/>
      <c r="S48" s="215"/>
      <c r="T48" s="215"/>
      <c r="U48" s="215"/>
      <c r="V48" s="215"/>
      <c r="W48" s="215"/>
      <c r="X48" s="215"/>
      <c r="Y48" s="215"/>
      <c r="Z48" s="215"/>
      <c r="AA48" s="215">
        <f t="shared" si="5"/>
        <v>0</v>
      </c>
      <c r="AB48" s="217" t="str">
        <f>IF(AA48=0,"",IFERROR(AA48/AA$19,""))</f>
        <v/>
      </c>
      <c r="AC48" s="140"/>
      <c r="AD48" s="215"/>
      <c r="AE48" s="217" t="str">
        <f>IF(AD48=0,"",IFERROR(AD48/AD$19,""))</f>
        <v/>
      </c>
      <c r="AF48" s="218">
        <f t="shared" si="6"/>
        <v>0</v>
      </c>
      <c r="AG48" s="215"/>
      <c r="AH48" s="217" t="str">
        <f>IF(AG48=0,"",IFERROR(AG48/AG$19,""))</f>
        <v/>
      </c>
      <c r="AI48" s="218">
        <f t="shared" si="7"/>
        <v>0</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c r="P49" s="162"/>
      <c r="Q49" s="162"/>
      <c r="R49" s="162"/>
      <c r="S49" s="162"/>
      <c r="T49" s="162"/>
      <c r="U49" s="162"/>
      <c r="V49" s="162"/>
      <c r="W49" s="162"/>
      <c r="X49" s="162"/>
      <c r="Y49" s="162"/>
      <c r="Z49" s="162"/>
      <c r="AA49" s="162">
        <f t="shared" si="5"/>
        <v>0</v>
      </c>
      <c r="AB49" s="163" t="str">
        <f>IF(AA49=0,"",IFERROR(AA49/AA$19,""))</f>
        <v/>
      </c>
      <c r="AC49" s="140"/>
      <c r="AD49" s="162"/>
      <c r="AE49" s="163" t="str">
        <f>IF(AD49=0,"",IFERROR(AD49/AD$19,""))</f>
        <v/>
      </c>
      <c r="AF49" s="164">
        <f t="shared" si="6"/>
        <v>0</v>
      </c>
      <c r="AG49" s="162"/>
      <c r="AH49" s="163" t="str">
        <f>IF(AG49=0,"",IFERROR(AG49/AG$19,""))</f>
        <v/>
      </c>
      <c r="AI49" s="164">
        <f t="shared" si="7"/>
        <v>0</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c r="P50" s="231"/>
      <c r="Q50" s="231"/>
      <c r="R50" s="231"/>
      <c r="S50" s="231"/>
      <c r="T50" s="231"/>
      <c r="U50" s="231"/>
      <c r="V50" s="231"/>
      <c r="W50" s="231"/>
      <c r="X50" s="231"/>
      <c r="Y50" s="231"/>
      <c r="Z50" s="231"/>
      <c r="AA50" s="231">
        <f t="shared" si="5"/>
        <v>0</v>
      </c>
      <c r="AB50" s="233"/>
      <c r="AC50" s="140"/>
      <c r="AD50" s="231"/>
      <c r="AE50" s="233"/>
      <c r="AF50" s="234">
        <f t="shared" si="6"/>
        <v>0</v>
      </c>
      <c r="AG50" s="231"/>
      <c r="AH50" s="233"/>
      <c r="AI50" s="234">
        <f t="shared" si="7"/>
        <v>0</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c r="P51" s="231"/>
      <c r="Q51" s="231"/>
      <c r="R51" s="231"/>
      <c r="S51" s="231"/>
      <c r="T51" s="231"/>
      <c r="U51" s="231"/>
      <c r="V51" s="231"/>
      <c r="W51" s="231"/>
      <c r="X51" s="231"/>
      <c r="Y51" s="231"/>
      <c r="Z51" s="231"/>
      <c r="AA51" s="231">
        <f t="shared" si="5"/>
        <v>0</v>
      </c>
      <c r="AB51" s="233" t="str">
        <f>IF(AA51=0,"",IFERROR(AA51/AA$87,""))</f>
        <v/>
      </c>
      <c r="AC51" s="140"/>
      <c r="AD51" s="231"/>
      <c r="AE51" s="233" t="str">
        <f>IF(AD51=0,"",IFERROR(AD51/AD$87,""))</f>
        <v/>
      </c>
      <c r="AF51" s="234">
        <f t="shared" si="6"/>
        <v>0</v>
      </c>
      <c r="AG51" s="231"/>
      <c r="AH51" s="233" t="str">
        <f>IF(AG51=0,"",IFERROR(AG51/AG$87,""))</f>
        <v/>
      </c>
      <c r="AI51" s="234">
        <f t="shared" si="7"/>
        <v>0</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c r="Q52" s="495"/>
      <c r="R52" s="495"/>
      <c r="S52" s="495"/>
      <c r="T52" s="495"/>
      <c r="U52" s="495"/>
      <c r="V52" s="495"/>
      <c r="W52" s="495"/>
      <c r="X52" s="495"/>
      <c r="Y52" s="495"/>
      <c r="Z52" s="495"/>
      <c r="AA52" s="495" t="str">
        <f>IFERROR(AA49/AA51,"")</f>
        <v/>
      </c>
      <c r="AB52" s="495"/>
      <c r="AC52" s="140"/>
      <c r="AD52" s="495"/>
      <c r="AE52" s="495"/>
      <c r="AF52" s="496" t="str">
        <f t="shared" si="6"/>
        <v/>
      </c>
      <c r="AG52" s="495"/>
      <c r="AH52" s="495"/>
      <c r="AI52" s="496" t="str">
        <f t="shared" si="7"/>
        <v/>
      </c>
    </row>
    <row r="53" spans="1:35" x14ac:dyDescent="0.25">
      <c r="A53" s="65" t="s">
        <v>41</v>
      </c>
      <c r="B53" s="66"/>
      <c r="C53" s="11"/>
      <c r="D53" s="11"/>
      <c r="E53" s="11"/>
      <c r="F53" s="11"/>
      <c r="G53" s="490">
        <f>COUNTIF(O54:AI54,FALSE)</f>
        <v>0</v>
      </c>
      <c r="H53" s="88"/>
      <c r="I53" s="122"/>
      <c r="J53" s="122"/>
      <c r="K53" s="90"/>
      <c r="L53" s="90"/>
      <c r="M53" s="90"/>
      <c r="N53" s="491" t="s">
        <v>345</v>
      </c>
      <c r="O53" s="497">
        <f t="shared" ref="O53:AA53" si="8">ROUND(IFERROR(O49/O51,0),2)</f>
        <v>0</v>
      </c>
      <c r="P53" s="498">
        <f t="shared" si="8"/>
        <v>0</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0</v>
      </c>
      <c r="AB53" s="499"/>
      <c r="AC53" s="140"/>
      <c r="AD53" s="497">
        <f>ROUND(IFERROR(AD49/AD51,0),2)</f>
        <v>0</v>
      </c>
      <c r="AE53" s="498"/>
      <c r="AF53" s="155"/>
      <c r="AG53" s="497">
        <f>ROUND(IFERROR(AG49/AG51,0),2)</f>
        <v>0</v>
      </c>
      <c r="AH53" s="498"/>
      <c r="AI53" s="155"/>
    </row>
    <row r="54" spans="1:35" x14ac:dyDescent="0.25">
      <c r="A54" s="65" t="s">
        <v>42</v>
      </c>
      <c r="B54" s="66"/>
      <c r="C54" s="11"/>
      <c r="D54" s="11"/>
      <c r="E54" s="11"/>
      <c r="F54" s="11"/>
      <c r="G54" s="11"/>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e">
        <f t="shared" si="9"/>
        <v>#VALUE!</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c r="P55" s="138"/>
      <c r="Q55" s="138"/>
      <c r="R55" s="138"/>
      <c r="S55" s="138"/>
      <c r="T55" s="138"/>
      <c r="U55" s="138"/>
      <c r="V55" s="138"/>
      <c r="W55" s="138"/>
      <c r="X55" s="138"/>
      <c r="Y55" s="138"/>
      <c r="Z55" s="138"/>
      <c r="AA55" s="138">
        <f t="shared" ref="AA55:AA61" si="10">SUM(O55:Z55)</f>
        <v>0</v>
      </c>
      <c r="AB55" s="142" t="str">
        <f>IF(AA55=0,"",IFERROR(AA55/AA$19,""))</f>
        <v/>
      </c>
      <c r="AC55" s="140"/>
      <c r="AD55" s="138"/>
      <c r="AE55" s="142" t="str">
        <f>IF(AD55=0,"",IFERROR(AD55/AD$19,""))</f>
        <v/>
      </c>
      <c r="AF55" s="141">
        <f t="shared" ref="AF55:AF62" si="11">IF(AND($AA55="",AD55=""),"",$AA55-AD55)</f>
        <v>0</v>
      </c>
      <c r="AG55" s="138"/>
      <c r="AH55" s="142" t="str">
        <f>IF(AG55=0,"",IFERROR(AG55/AG$19,""))</f>
        <v/>
      </c>
      <c r="AI55" s="141">
        <f t="shared" ref="AI55:AI62" si="12">IF(AND($AA55="",AG55=""),"",$AA55-AG55)</f>
        <v>0</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c r="P56" s="138"/>
      <c r="Q56" s="138"/>
      <c r="R56" s="138"/>
      <c r="S56" s="138"/>
      <c r="T56" s="138"/>
      <c r="U56" s="138"/>
      <c r="V56" s="138"/>
      <c r="W56" s="138"/>
      <c r="X56" s="138"/>
      <c r="Y56" s="138"/>
      <c r="Z56" s="138"/>
      <c r="AA56" s="138">
        <f t="shared" si="10"/>
        <v>0</v>
      </c>
      <c r="AB56" s="142" t="str">
        <f>IF(AA56=0,"",IFERROR(AA56/AA$19,""))</f>
        <v/>
      </c>
      <c r="AC56" s="140"/>
      <c r="AD56" s="138"/>
      <c r="AE56" s="142" t="str">
        <f>IF(AD56=0,"",IFERROR(AD56/AD$19,""))</f>
        <v/>
      </c>
      <c r="AF56" s="141">
        <f t="shared" si="11"/>
        <v>0</v>
      </c>
      <c r="AG56" s="138"/>
      <c r="AH56" s="142" t="str">
        <f>IF(AG56=0,"",IFERROR(AG56/AG$19,""))</f>
        <v/>
      </c>
      <c r="AI56" s="141">
        <f t="shared" si="12"/>
        <v>0</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c r="P57" s="138"/>
      <c r="Q57" s="138"/>
      <c r="R57" s="138"/>
      <c r="S57" s="138"/>
      <c r="T57" s="138"/>
      <c r="U57" s="138"/>
      <c r="V57" s="138"/>
      <c r="W57" s="138"/>
      <c r="X57" s="138"/>
      <c r="Y57" s="138"/>
      <c r="Z57" s="138"/>
      <c r="AA57" s="138">
        <f t="shared" si="10"/>
        <v>0</v>
      </c>
      <c r="AB57" s="142" t="str">
        <f>IF(AA57=0,"",IFERROR(AA57/AA$19,""))</f>
        <v/>
      </c>
      <c r="AC57" s="140"/>
      <c r="AD57" s="138"/>
      <c r="AE57" s="142" t="str">
        <f>IF(AD57=0,"",IFERROR(AD57/AD$19,""))</f>
        <v/>
      </c>
      <c r="AF57" s="141">
        <f t="shared" si="11"/>
        <v>0</v>
      </c>
      <c r="AG57" s="138"/>
      <c r="AH57" s="142" t="str">
        <f>IF(AG57=0,"",IFERROR(AG57/AG$19,""))</f>
        <v/>
      </c>
      <c r="AI57" s="141">
        <f t="shared" si="12"/>
        <v>0</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c r="P58" s="215"/>
      <c r="Q58" s="215"/>
      <c r="R58" s="215"/>
      <c r="S58" s="215"/>
      <c r="T58" s="215"/>
      <c r="U58" s="215"/>
      <c r="V58" s="215"/>
      <c r="W58" s="215"/>
      <c r="X58" s="215"/>
      <c r="Y58" s="215"/>
      <c r="Z58" s="215"/>
      <c r="AA58" s="215">
        <f t="shared" si="10"/>
        <v>0</v>
      </c>
      <c r="AB58" s="217" t="str">
        <f>IF(AA58=0,"",IFERROR(AA58/AA$19,""))</f>
        <v/>
      </c>
      <c r="AC58" s="140"/>
      <c r="AD58" s="215"/>
      <c r="AE58" s="217" t="str">
        <f>IF(AD58=0,"",IFERROR(AD58/AD$19,""))</f>
        <v/>
      </c>
      <c r="AF58" s="218">
        <f t="shared" si="11"/>
        <v>0</v>
      </c>
      <c r="AG58" s="215"/>
      <c r="AH58" s="217" t="str">
        <f>IF(AG58=0,"",IFERROR(AG58/AG$19,""))</f>
        <v/>
      </c>
      <c r="AI58" s="218">
        <f t="shared" si="12"/>
        <v>0</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c r="P59" s="162"/>
      <c r="Q59" s="162"/>
      <c r="R59" s="162"/>
      <c r="S59" s="162"/>
      <c r="T59" s="162"/>
      <c r="U59" s="162"/>
      <c r="V59" s="162"/>
      <c r="W59" s="162"/>
      <c r="X59" s="162"/>
      <c r="Y59" s="162"/>
      <c r="Z59" s="162"/>
      <c r="AA59" s="162">
        <f t="shared" si="10"/>
        <v>0</v>
      </c>
      <c r="AB59" s="163" t="str">
        <f>IF(AA59=0,"",IFERROR(AA59/AA$19,""))</f>
        <v/>
      </c>
      <c r="AC59" s="140"/>
      <c r="AD59" s="162"/>
      <c r="AE59" s="163" t="str">
        <f>IF(AD59=0,"",IFERROR(AD59/AD$19,""))</f>
        <v/>
      </c>
      <c r="AF59" s="164">
        <f t="shared" si="11"/>
        <v>0</v>
      </c>
      <c r="AG59" s="162"/>
      <c r="AH59" s="163" t="str">
        <f>IF(AG59=0,"",IFERROR(AG59/AG$19,""))</f>
        <v/>
      </c>
      <c r="AI59" s="164">
        <f t="shared" si="12"/>
        <v>0</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c r="P60" s="231"/>
      <c r="Q60" s="231"/>
      <c r="R60" s="231"/>
      <c r="S60" s="231"/>
      <c r="T60" s="231"/>
      <c r="U60" s="231"/>
      <c r="V60" s="231"/>
      <c r="W60" s="231"/>
      <c r="X60" s="231"/>
      <c r="Y60" s="231"/>
      <c r="Z60" s="231"/>
      <c r="AA60" s="231">
        <f t="shared" si="10"/>
        <v>0</v>
      </c>
      <c r="AB60" s="233"/>
      <c r="AC60" s="140"/>
      <c r="AD60" s="231"/>
      <c r="AE60" s="233"/>
      <c r="AF60" s="234">
        <f t="shared" si="11"/>
        <v>0</v>
      </c>
      <c r="AG60" s="231"/>
      <c r="AH60" s="233"/>
      <c r="AI60" s="234">
        <f t="shared" si="12"/>
        <v>0</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c r="P61" s="231"/>
      <c r="Q61" s="231"/>
      <c r="R61" s="231"/>
      <c r="S61" s="231"/>
      <c r="T61" s="231"/>
      <c r="U61" s="231"/>
      <c r="V61" s="231"/>
      <c r="W61" s="231"/>
      <c r="X61" s="231"/>
      <c r="Y61" s="231"/>
      <c r="Z61" s="231"/>
      <c r="AA61" s="231">
        <f t="shared" si="10"/>
        <v>0</v>
      </c>
      <c r="AB61" s="233" t="str">
        <f>IF(AA61=0,"",IFERROR(AA61/AA$87,""))</f>
        <v/>
      </c>
      <c r="AC61" s="140"/>
      <c r="AD61" s="231"/>
      <c r="AE61" s="233" t="str">
        <f>IF(AD61=0,"",IFERROR(AD61/AD$87,""))</f>
        <v/>
      </c>
      <c r="AF61" s="234">
        <f t="shared" si="11"/>
        <v>0</v>
      </c>
      <c r="AG61" s="231"/>
      <c r="AH61" s="233" t="str">
        <f>IF(AG61=0,"",IFERROR(AG61/AG$87,""))</f>
        <v/>
      </c>
      <c r="AI61" s="234">
        <f t="shared" si="12"/>
        <v>0</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c r="Q62" s="495"/>
      <c r="R62" s="495"/>
      <c r="S62" s="495"/>
      <c r="T62" s="495"/>
      <c r="U62" s="495"/>
      <c r="V62" s="495"/>
      <c r="W62" s="495"/>
      <c r="X62" s="495"/>
      <c r="Y62" s="495"/>
      <c r="Z62" s="495"/>
      <c r="AA62" s="495" t="str">
        <f>IFERROR(AA59/AA61,"")</f>
        <v/>
      </c>
      <c r="AB62" s="495"/>
      <c r="AC62" s="140"/>
      <c r="AD62" s="495"/>
      <c r="AE62" s="495"/>
      <c r="AF62" s="496" t="str">
        <f t="shared" si="11"/>
        <v/>
      </c>
      <c r="AG62" s="495"/>
      <c r="AH62" s="495"/>
      <c r="AI62" s="496" t="str">
        <f t="shared" si="12"/>
        <v/>
      </c>
    </row>
    <row r="63" spans="1:35" x14ac:dyDescent="0.25">
      <c r="A63" s="11"/>
      <c r="B63" s="11"/>
      <c r="C63" s="11"/>
      <c r="D63" s="11"/>
      <c r="E63" s="11"/>
      <c r="F63" s="11"/>
      <c r="G63" s="490">
        <f>COUNTIF(O64:AI64,FALSE)</f>
        <v>0</v>
      </c>
      <c r="H63" s="88"/>
      <c r="I63" s="122"/>
      <c r="J63" s="122"/>
      <c r="K63" s="90"/>
      <c r="L63" s="90"/>
      <c r="M63" s="90"/>
      <c r="N63" s="491" t="s">
        <v>345</v>
      </c>
      <c r="O63" s="497">
        <f t="shared" ref="O63:AA63" si="13">ROUND(IFERROR(O59/O61,0),2)</f>
        <v>0</v>
      </c>
      <c r="P63" s="498">
        <f t="shared" si="13"/>
        <v>0</v>
      </c>
      <c r="Q63" s="498">
        <f t="shared" si="13"/>
        <v>0</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0</v>
      </c>
      <c r="AB63" s="499"/>
      <c r="AC63" s="140"/>
      <c r="AD63" s="497">
        <f>ROUND(IFERROR(AD59/AD61,0),2)</f>
        <v>0</v>
      </c>
      <c r="AE63" s="498"/>
      <c r="AF63" s="155"/>
      <c r="AG63" s="497">
        <f>ROUND(IFERROR(AG59/AG61,0),2)</f>
        <v>0</v>
      </c>
      <c r="AH63" s="498"/>
      <c r="AI63" s="155"/>
    </row>
    <row r="64" spans="1:35" x14ac:dyDescent="0.25">
      <c r="A64" s="11"/>
      <c r="B64" s="11"/>
      <c r="C64" s="11"/>
      <c r="D64" s="11"/>
      <c r="E64" s="11"/>
      <c r="F64" s="11"/>
      <c r="G64" s="11"/>
      <c r="H64" s="185"/>
      <c r="I64" s="122"/>
      <c r="J64" s="122"/>
      <c r="K64" s="90"/>
      <c r="L64" s="90"/>
      <c r="M64" s="90"/>
      <c r="N64" s="53" t="s">
        <v>307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e">
        <f t="shared" si="14"/>
        <v>#VALUE!</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263</v>
      </c>
      <c r="I65" s="122" t="str">
        <f>IF(_epmOfflineCondition_,"T5",_xll.EVPRO($B$1,$H65,"STYLE"))</f>
        <v>T5</v>
      </c>
      <c r="J65" s="122" t="str">
        <f>IF(_epmOfflineCondition_,"Y",_xll.EVPRO($B$1,$H65,"CALC"))</f>
        <v>Y</v>
      </c>
      <c r="K65" s="90"/>
      <c r="L65" s="90" t="str">
        <f>IF(_epmOfflineCondition_,"464100",_xll.EVPRO($B$1,H65,"JDEID"))</f>
        <v>464100</v>
      </c>
      <c r="M65" s="90" t="str">
        <f>IF(_epmOfflineCondition_,"",IF(AND(I65="N",J65="N"),_xll.EVPRO($B$1,H65,"PSFTID"),""))</f>
        <v/>
      </c>
      <c r="N65" s="90" t="str">
        <f>IF(_epmOfflineCondition_,"Bar Food",IF(_xll.EVDES(H65,$B$1)="#NODATA","",_xll.EVDES(H65,$B$1)))</f>
        <v>Bar Food</v>
      </c>
      <c r="O65" s="138"/>
      <c r="P65" s="138"/>
      <c r="Q65" s="138"/>
      <c r="R65" s="138"/>
      <c r="S65" s="138"/>
      <c r="T65" s="138"/>
      <c r="U65" s="138"/>
      <c r="V65" s="138"/>
      <c r="W65" s="138"/>
      <c r="X65" s="138"/>
      <c r="Y65" s="138"/>
      <c r="Z65" s="138"/>
      <c r="AA65" s="138">
        <f t="shared" ref="AA65:AA71" si="15">SUM(O65:Z65)</f>
        <v>0</v>
      </c>
      <c r="AB65" s="142" t="str">
        <f>IF(AA65=0,"",IFERROR(AA65/AA$19,""))</f>
        <v/>
      </c>
      <c r="AC65" s="140"/>
      <c r="AD65" s="138"/>
      <c r="AE65" s="142" t="str">
        <f>IF(AD65=0,"",IFERROR(AD65/AD$19,""))</f>
        <v/>
      </c>
      <c r="AF65" s="141">
        <f t="shared" ref="AF65:AF72" si="16">IF(AND($AA65="",AD65=""),"",$AA65-AD65)</f>
        <v>0</v>
      </c>
      <c r="AG65" s="138"/>
      <c r="AH65" s="142" t="str">
        <f>IF(AG65=0,"",IFERROR(AG65/AG$19,""))</f>
        <v/>
      </c>
      <c r="AI65" s="141">
        <f t="shared" ref="AI65:AI72" si="17">IF(AND($AA65="",AG65=""),"",$AA65-AG65)</f>
        <v>0</v>
      </c>
    </row>
    <row r="66" spans="1:35" x14ac:dyDescent="0.25">
      <c r="A66" s="11"/>
      <c r="B66" s="11"/>
      <c r="C66" s="11"/>
      <c r="D66" s="11"/>
      <c r="E66" s="11"/>
      <c r="F66" s="11"/>
      <c r="G66" s="11"/>
      <c r="H66" s="185" t="s">
        <v>308</v>
      </c>
      <c r="I66" s="122" t="str">
        <f>IF(_epmOfflineCondition_,"T6",_xll.EVPRO($B$1,$H66,"STYLE"))</f>
        <v>T6</v>
      </c>
      <c r="J66" s="122" t="str">
        <f>IF(_epmOfflineCondition_,"Y",_xll.EVPRO($B$1,$H66,"CALC"))</f>
        <v>Y</v>
      </c>
      <c r="K66" s="90"/>
      <c r="L66" s="90" t="str">
        <f>IF(_epmOfflineCondition_,"464200",_xll.EVPRO($B$1,H66,"JDEID"))</f>
        <v>464200</v>
      </c>
      <c r="M66" s="90" t="str">
        <f>IF(_epmOfflineCondition_,"",IF(AND(I66="N",J66="N"),_xll.EVPRO($B$1,H66,"PSFTID"),""))</f>
        <v/>
      </c>
      <c r="N66" s="90" t="str">
        <f>IF(_epmOfflineCondition_,"Bar Liquor",IF(_xll.EVDES(H66,$B$1)="#NODATA","",_xll.EVDES(H66,$B$1)))</f>
        <v>Bar Liquor</v>
      </c>
      <c r="O66" s="138"/>
      <c r="P66" s="138"/>
      <c r="Q66" s="138"/>
      <c r="R66" s="138"/>
      <c r="S66" s="138"/>
      <c r="T66" s="138"/>
      <c r="U66" s="138"/>
      <c r="V66" s="138"/>
      <c r="W66" s="138"/>
      <c r="X66" s="138"/>
      <c r="Y66" s="138"/>
      <c r="Z66" s="138"/>
      <c r="AA66" s="138">
        <f t="shared" si="15"/>
        <v>0</v>
      </c>
      <c r="AB66" s="142" t="str">
        <f>IF(AA66=0,"",IFERROR(AA66/AA$19,""))</f>
        <v/>
      </c>
      <c r="AC66" s="140"/>
      <c r="AD66" s="138"/>
      <c r="AE66" s="142" t="str">
        <f>IF(AD66=0,"",IFERROR(AD66/AD$19,""))</f>
        <v/>
      </c>
      <c r="AF66" s="141">
        <f t="shared" si="16"/>
        <v>0</v>
      </c>
      <c r="AG66" s="138"/>
      <c r="AH66" s="142" t="str">
        <f>IF(AG66=0,"",IFERROR(AG66/AG$19,""))</f>
        <v/>
      </c>
      <c r="AI66" s="141">
        <f t="shared" si="17"/>
        <v>0</v>
      </c>
    </row>
    <row r="67" spans="1:35" x14ac:dyDescent="0.25">
      <c r="A67" s="11"/>
      <c r="B67" s="11"/>
      <c r="C67" s="11"/>
      <c r="D67" s="11"/>
      <c r="E67" s="11"/>
      <c r="F67" s="11"/>
      <c r="G67" s="11"/>
      <c r="H67" s="185" t="s">
        <v>310</v>
      </c>
      <c r="I67" s="122" t="str">
        <f>IF(_epmOfflineCondition_,"T6",_xll.EVPRO($B$1,$H67,"STYLE"))</f>
        <v>T6</v>
      </c>
      <c r="J67" s="122" t="str">
        <f>IF(_epmOfflineCondition_,"Y",_xll.EVPRO($B$1,$H67,"CALC"))</f>
        <v>Y</v>
      </c>
      <c r="K67" s="90"/>
      <c r="L67" s="90" t="str">
        <f>IF(_epmOfflineCondition_,"464300",_xll.EVPRO($B$1,H67,"JDEID"))</f>
        <v>464300</v>
      </c>
      <c r="M67" s="90" t="str">
        <f>IF(_epmOfflineCondition_,"",IF(AND(I67="N",J67="N"),_xll.EVPRO($B$1,H67,"PSFTID"),""))</f>
        <v/>
      </c>
      <c r="N67" s="90" t="str">
        <f>IF(_epmOfflineCondition_,"Bar Beer",IF(_xll.EVDES(H67,$B$1)="#NODATA","",_xll.EVDES(H67,$B$1)))</f>
        <v>Bar Beer</v>
      </c>
      <c r="O67" s="138"/>
      <c r="P67" s="138"/>
      <c r="Q67" s="138"/>
      <c r="R67" s="138"/>
      <c r="S67" s="138"/>
      <c r="T67" s="138"/>
      <c r="U67" s="138"/>
      <c r="V67" s="138"/>
      <c r="W67" s="138"/>
      <c r="X67" s="138"/>
      <c r="Y67" s="138"/>
      <c r="Z67" s="138"/>
      <c r="AA67" s="138">
        <f t="shared" si="15"/>
        <v>0</v>
      </c>
      <c r="AB67" s="142" t="str">
        <f>IF(AA67=0,"",IFERROR(AA67/AA$19,""))</f>
        <v/>
      </c>
      <c r="AC67" s="140"/>
      <c r="AD67" s="138"/>
      <c r="AE67" s="142" t="str">
        <f>IF(AD67=0,"",IFERROR(AD67/AD$19,""))</f>
        <v/>
      </c>
      <c r="AF67" s="141">
        <f t="shared" si="16"/>
        <v>0</v>
      </c>
      <c r="AG67" s="138"/>
      <c r="AH67" s="142" t="str">
        <f>IF(AG67=0,"",IFERROR(AG67/AG$19,""))</f>
        <v/>
      </c>
      <c r="AI67" s="141">
        <f t="shared" si="17"/>
        <v>0</v>
      </c>
    </row>
    <row r="68" spans="1:35" x14ac:dyDescent="0.25">
      <c r="A68" s="11"/>
      <c r="B68" s="11"/>
      <c r="C68" s="11"/>
      <c r="D68" s="11"/>
      <c r="E68" s="11"/>
      <c r="F68" s="11"/>
      <c r="G68" s="11"/>
      <c r="H68" s="185" t="s">
        <v>309</v>
      </c>
      <c r="I68" s="122" t="str">
        <f>IF(_epmOfflineCondition_,"T6",_xll.EVPRO($B$1,$H68,"STYLE"))</f>
        <v>T6</v>
      </c>
      <c r="J68" s="122" t="str">
        <f>IF(_epmOfflineCondition_,"Y",_xll.EVPRO($B$1,$H68,"CALC"))</f>
        <v>Y</v>
      </c>
      <c r="K68" s="90"/>
      <c r="L68" s="90" t="str">
        <f>IF(_epmOfflineCondition_,"464400",_xll.EVPRO($B$1,H68,"JDEID"))</f>
        <v>464400</v>
      </c>
      <c r="M68" s="90" t="str">
        <f>IF(_epmOfflineCondition_,"",IF(AND(I68="N",J68="N"),_xll.EVPRO($B$1,H68,"PSFTID"),""))</f>
        <v/>
      </c>
      <c r="N68" s="90" t="str">
        <f>IF(_epmOfflineCondition_,"Bar Wine",IF(_xll.EVDES(H68,$B$1)="#NODATA","",_xll.EVDES(H68,$B$1)))</f>
        <v>Bar Wine</v>
      </c>
      <c r="O68" s="215"/>
      <c r="P68" s="215"/>
      <c r="Q68" s="215"/>
      <c r="R68" s="215"/>
      <c r="S68" s="215"/>
      <c r="T68" s="215"/>
      <c r="U68" s="215"/>
      <c r="V68" s="215"/>
      <c r="W68" s="215"/>
      <c r="X68" s="215"/>
      <c r="Y68" s="215"/>
      <c r="Z68" s="215"/>
      <c r="AA68" s="215">
        <f t="shared" si="15"/>
        <v>0</v>
      </c>
      <c r="AB68" s="217" t="str">
        <f>IF(AA68=0,"",IFERROR(AA68/AA$19,""))</f>
        <v/>
      </c>
      <c r="AC68" s="140"/>
      <c r="AD68" s="215"/>
      <c r="AE68" s="217" t="str">
        <f>IF(AD68=0,"",IFERROR(AD68/AD$19,""))</f>
        <v/>
      </c>
      <c r="AF68" s="218">
        <f t="shared" si="16"/>
        <v>0</v>
      </c>
      <c r="AG68" s="215"/>
      <c r="AH68" s="217" t="str">
        <f>IF(AG68=0,"",IFERROR(AG68/AG$19,""))</f>
        <v/>
      </c>
      <c r="AI68" s="218">
        <f t="shared" si="17"/>
        <v>0</v>
      </c>
    </row>
    <row r="69" spans="1:35" x14ac:dyDescent="0.25">
      <c r="A69" s="11"/>
      <c r="B69" s="11"/>
      <c r="C69" s="11"/>
      <c r="D69" s="11"/>
      <c r="E69" s="11"/>
      <c r="F69" s="11"/>
      <c r="G69" s="11"/>
      <c r="H69" s="185" t="s">
        <v>327</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IF(_epmOfflineCondition_,"Bar Revenue",IF(_xll.EVDES(H69,$B$1)="#NODATA","",_xll.EVDES(H69,$B$1)))</f>
        <v>Bar Revenue</v>
      </c>
      <c r="O69" s="162"/>
      <c r="P69" s="162"/>
      <c r="Q69" s="162"/>
      <c r="R69" s="162"/>
      <c r="S69" s="162"/>
      <c r="T69" s="162"/>
      <c r="U69" s="162"/>
      <c r="V69" s="162"/>
      <c r="W69" s="162"/>
      <c r="X69" s="162"/>
      <c r="Y69" s="162"/>
      <c r="Z69" s="162"/>
      <c r="AA69" s="162">
        <f t="shared" si="15"/>
        <v>0</v>
      </c>
      <c r="AB69" s="163" t="str">
        <f>IF(AA69=0,"",IFERROR(AA69/AA$19,""))</f>
        <v/>
      </c>
      <c r="AC69" s="140"/>
      <c r="AD69" s="162"/>
      <c r="AE69" s="163" t="str">
        <f>IF(AD69=0,"",IFERROR(AD69/AD$19,""))</f>
        <v/>
      </c>
      <c r="AF69" s="164">
        <f t="shared" si="16"/>
        <v>0</v>
      </c>
      <c r="AG69" s="162"/>
      <c r="AH69" s="163" t="str">
        <f>IF(AG69=0,"",IFERROR(AG69/AG$19,""))</f>
        <v/>
      </c>
      <c r="AI69" s="164">
        <f t="shared" si="17"/>
        <v>0</v>
      </c>
    </row>
    <row r="70" spans="1:35" x14ac:dyDescent="0.25">
      <c r="A70" s="11"/>
      <c r="B70" s="11"/>
      <c r="C70" s="11"/>
      <c r="D70" s="11"/>
      <c r="E70" s="11"/>
      <c r="F70" s="11"/>
      <c r="G70" s="11"/>
      <c r="H70" s="185" t="s">
        <v>766</v>
      </c>
      <c r="I70" s="122" t="str">
        <f>IF(_epmOfflineCondition_,"N",_xll.EVPRO($B$1,$H70,"STYLE"))</f>
        <v>N</v>
      </c>
      <c r="J70" s="122" t="str">
        <f>IF(_epmOfflineCondition_,"N",_xll.EVPRO($B$1,$H70,"CALC"))</f>
        <v>N</v>
      </c>
      <c r="K70" s="90"/>
      <c r="L70" s="90" t="str">
        <f>IF(_epmOfflineCondition_,"947400",_xll.EVPRO($B$1,H70,"JDEID"))</f>
        <v>947400</v>
      </c>
      <c r="M70" s="90" t="str">
        <f>IF(_epmOfflineCondition_,"999994",IF(AND(I70="N",J70="N"),_xll.EVPRO($B$1,H70,"PSFTID"),""))</f>
        <v>999994</v>
      </c>
      <c r="N70" s="90" t="str">
        <f>IF(_epmOfflineCondition_,"# of Operating Days - Bar",IF(_xll.EVDES(H70,$B$1)="#NODATA","",_xll.EVDES(H70,$B$1)))</f>
        <v># of Operating Days - Bar</v>
      </c>
      <c r="O70" s="231"/>
      <c r="P70" s="231"/>
      <c r="Q70" s="231"/>
      <c r="R70" s="231"/>
      <c r="S70" s="231"/>
      <c r="T70" s="231"/>
      <c r="U70" s="231"/>
      <c r="V70" s="231"/>
      <c r="W70" s="231"/>
      <c r="X70" s="231"/>
      <c r="Y70" s="231"/>
      <c r="Z70" s="231"/>
      <c r="AA70" s="231">
        <f t="shared" si="15"/>
        <v>0</v>
      </c>
      <c r="AB70" s="233"/>
      <c r="AC70" s="140"/>
      <c r="AD70" s="231"/>
      <c r="AE70" s="233"/>
      <c r="AF70" s="234">
        <f t="shared" si="16"/>
        <v>0</v>
      </c>
      <c r="AG70" s="231"/>
      <c r="AH70" s="233"/>
      <c r="AI70" s="234">
        <f t="shared" si="17"/>
        <v>0</v>
      </c>
    </row>
    <row r="71" spans="1:35" x14ac:dyDescent="0.25">
      <c r="A71" s="11"/>
      <c r="B71" s="11"/>
      <c r="C71" s="11"/>
      <c r="D71" s="11"/>
      <c r="E71" s="11"/>
      <c r="F71" s="11"/>
      <c r="G71" s="11"/>
      <c r="H71" s="185" t="s">
        <v>326</v>
      </c>
      <c r="I71" s="122" t="str">
        <f>IF(_epmOfflineCondition_,"N",_xll.EVPRO($B$1,$H71,"STYLE"))</f>
        <v>N</v>
      </c>
      <c r="J71" s="122" t="str">
        <f>IF(_epmOfflineCondition_,"N",_xll.EVPRO($B$1,$H71,"CALC"))</f>
        <v>N</v>
      </c>
      <c r="K71" s="90"/>
      <c r="L71" s="90" t="str">
        <f>IF(_epmOfflineCondition_,"946500",_xll.EVPRO($B$1,H71,"JDEID"))</f>
        <v>946500</v>
      </c>
      <c r="M71" s="90" t="str">
        <f>IF(_epmOfflineCondition_,"991522",IF(AND(I71="N",J71="N"),_xll.EVPRO($B$1,H71,"PSFTID"),""))</f>
        <v>991522</v>
      </c>
      <c r="N71" s="90" t="str">
        <f>IF(_epmOfflineCondition_,"Bar Customers",IF(_xll.EVDES(H71,$B$1)="#NODATA","",_xll.EVDES(H71,$B$1)))</f>
        <v>Bar Customers</v>
      </c>
      <c r="O71" s="231"/>
      <c r="P71" s="231"/>
      <c r="Q71" s="231"/>
      <c r="R71" s="231"/>
      <c r="S71" s="231"/>
      <c r="T71" s="231"/>
      <c r="U71" s="231"/>
      <c r="V71" s="231"/>
      <c r="W71" s="231"/>
      <c r="X71" s="231"/>
      <c r="Y71" s="231"/>
      <c r="Z71" s="231"/>
      <c r="AA71" s="231">
        <f t="shared" si="15"/>
        <v>0</v>
      </c>
      <c r="AB71" s="233" t="str">
        <f>IF(AA71=0,"",IFERROR(AA71/AA$87,""))</f>
        <v/>
      </c>
      <c r="AC71" s="140"/>
      <c r="AD71" s="231"/>
      <c r="AE71" s="233" t="str">
        <f>IF(AD71=0,"",IFERROR(AD71/AD$87,""))</f>
        <v/>
      </c>
      <c r="AF71" s="234">
        <f t="shared" si="16"/>
        <v>0</v>
      </c>
      <c r="AG71" s="231"/>
      <c r="AH71" s="233" t="str">
        <f>IF(AG71=0,"",IFERROR(AG71/AG$87,""))</f>
        <v/>
      </c>
      <c r="AI71" s="234">
        <f t="shared" si="17"/>
        <v>0</v>
      </c>
    </row>
    <row r="72" spans="1:35" x14ac:dyDescent="0.25">
      <c r="A72" s="11"/>
      <c r="B72" s="11"/>
      <c r="C72" s="11"/>
      <c r="D72" s="11"/>
      <c r="E72" s="11"/>
      <c r="F72" s="11"/>
      <c r="G72" s="11"/>
      <c r="H72" s="185" t="s">
        <v>328</v>
      </c>
      <c r="I72" s="122" t="str">
        <f>IF(_epmOfflineCondition_,"N",_xll.EVPRO($B$1,$H72,"STYLE"))</f>
        <v>N</v>
      </c>
      <c r="J72" s="122" t="str">
        <f>IF(_epmOfflineCondition_,"Y",_xll.EVPRO($B$1,$H72,"CALC"))</f>
        <v>Y</v>
      </c>
      <c r="K72" s="90"/>
      <c r="L72" s="90" t="str">
        <f>IF(_epmOfflineCondition_,"",_xll.EVPRO($B$1,H72,"JDEID"))</f>
        <v/>
      </c>
      <c r="M72" s="90" t="str">
        <f>IF(_epmOfflineCondition_,"",IF(AND(I72="N",J72="N"),_xll.EVPRO($B$1,H72,"PSFTID"),""))</f>
        <v/>
      </c>
      <c r="N72" s="190" t="str">
        <f>IF(_epmOfflineCondition_,"Bar- Average Check",IF(_xll.EVDES(H72,$B$1)="#NODATA","",_xll.EVDES(H72,$B$1)))</f>
        <v>Bar- Average Check</v>
      </c>
      <c r="O72" s="495"/>
      <c r="P72" s="495"/>
      <c r="Q72" s="495"/>
      <c r="R72" s="495"/>
      <c r="S72" s="495"/>
      <c r="T72" s="495"/>
      <c r="U72" s="495"/>
      <c r="V72" s="495"/>
      <c r="W72" s="495"/>
      <c r="X72" s="495"/>
      <c r="Y72" s="495"/>
      <c r="Z72" s="495"/>
      <c r="AA72" s="495" t="str">
        <f>IFERROR(AA69/AA71,"")</f>
        <v/>
      </c>
      <c r="AB72" s="495"/>
      <c r="AC72" s="140"/>
      <c r="AD72" s="495"/>
      <c r="AE72" s="495"/>
      <c r="AF72" s="496" t="str">
        <f t="shared" si="16"/>
        <v/>
      </c>
      <c r="AG72" s="495"/>
      <c r="AH72" s="495"/>
      <c r="AI72" s="496" t="str">
        <f t="shared" si="17"/>
        <v/>
      </c>
    </row>
    <row r="73" spans="1:35" x14ac:dyDescent="0.25">
      <c r="A73" s="11"/>
      <c r="B73" s="11"/>
      <c r="C73" s="11"/>
      <c r="D73" s="11"/>
      <c r="E73" s="11"/>
      <c r="F73" s="11"/>
      <c r="G73" s="490">
        <f>COUNTIF(O74:AI74,FALSE)</f>
        <v>0</v>
      </c>
      <c r="H73" s="88"/>
      <c r="I73" s="122"/>
      <c r="J73" s="122"/>
      <c r="K73" s="90"/>
      <c r="L73" s="90"/>
      <c r="M73" s="90"/>
      <c r="N73" s="491" t="s">
        <v>345</v>
      </c>
      <c r="O73" s="497">
        <f t="shared" ref="O73:AA73" si="18">ROUND(IFERROR(O69/O71,0),2)</f>
        <v>0</v>
      </c>
      <c r="P73" s="498">
        <f t="shared" si="18"/>
        <v>0</v>
      </c>
      <c r="Q73" s="498">
        <f t="shared" si="18"/>
        <v>0</v>
      </c>
      <c r="R73" s="498">
        <f t="shared" si="18"/>
        <v>0</v>
      </c>
      <c r="S73" s="498">
        <f t="shared" si="18"/>
        <v>0</v>
      </c>
      <c r="T73" s="498">
        <f t="shared" si="18"/>
        <v>0</v>
      </c>
      <c r="U73" s="498">
        <f t="shared" si="18"/>
        <v>0</v>
      </c>
      <c r="V73" s="498">
        <f t="shared" si="18"/>
        <v>0</v>
      </c>
      <c r="W73" s="498">
        <f t="shared" si="18"/>
        <v>0</v>
      </c>
      <c r="X73" s="498">
        <f t="shared" si="18"/>
        <v>0</v>
      </c>
      <c r="Y73" s="498">
        <f t="shared" si="18"/>
        <v>0</v>
      </c>
      <c r="Z73" s="498">
        <f t="shared" si="18"/>
        <v>0</v>
      </c>
      <c r="AA73" s="498">
        <f t="shared" si="18"/>
        <v>0</v>
      </c>
      <c r="AB73" s="499"/>
      <c r="AC73" s="140"/>
      <c r="AD73" s="497">
        <f>ROUND(IFERROR(AD69/AD71,0),2)</f>
        <v>0</v>
      </c>
      <c r="AE73" s="498"/>
      <c r="AF73" s="155"/>
      <c r="AG73" s="497">
        <f>ROUND(IFERROR(AG69/AG71,0),2)</f>
        <v>0</v>
      </c>
      <c r="AH73" s="498"/>
      <c r="AI73" s="155"/>
    </row>
    <row r="74" spans="1:35" x14ac:dyDescent="0.25">
      <c r="A74" s="11"/>
      <c r="B74" s="11"/>
      <c r="C74" s="11"/>
      <c r="D74" s="11"/>
      <c r="E74" s="11"/>
      <c r="F74" s="11"/>
      <c r="G74" s="11"/>
      <c r="H74" s="185"/>
      <c r="I74" s="122"/>
      <c r="J74" s="122"/>
      <c r="K74" s="90"/>
      <c r="L74" s="90"/>
      <c r="M74" s="90"/>
      <c r="N74" s="53" t="s">
        <v>324</v>
      </c>
      <c r="O74" s="500" t="b">
        <f t="shared" ref="O74:AA74" si="19">ROUND(O72,2)=ROUND(O73,2)</f>
        <v>1</v>
      </c>
      <c r="P74" s="501" t="b">
        <f t="shared" si="19"/>
        <v>1</v>
      </c>
      <c r="Q74" s="501" t="b">
        <f t="shared" si="19"/>
        <v>1</v>
      </c>
      <c r="R74" s="501" t="b">
        <f t="shared" si="19"/>
        <v>1</v>
      </c>
      <c r="S74" s="501" t="b">
        <f t="shared" si="19"/>
        <v>1</v>
      </c>
      <c r="T74" s="501" t="b">
        <f t="shared" si="19"/>
        <v>1</v>
      </c>
      <c r="U74" s="501" t="b">
        <f t="shared" si="19"/>
        <v>1</v>
      </c>
      <c r="V74" s="501" t="b">
        <f t="shared" si="19"/>
        <v>1</v>
      </c>
      <c r="W74" s="501" t="b">
        <f t="shared" si="19"/>
        <v>1</v>
      </c>
      <c r="X74" s="501" t="b">
        <f t="shared" si="19"/>
        <v>1</v>
      </c>
      <c r="Y74" s="501" t="b">
        <f t="shared" si="19"/>
        <v>1</v>
      </c>
      <c r="Z74" s="501" t="b">
        <f t="shared" si="19"/>
        <v>1</v>
      </c>
      <c r="AA74" s="501" t="e">
        <f t="shared" si="19"/>
        <v>#VALUE!</v>
      </c>
      <c r="AB74" s="502"/>
      <c r="AC74" s="503"/>
      <c r="AD74" s="500"/>
      <c r="AE74" s="501" t="b">
        <f>ROUND(AD72,2)=ROUND(AD73,2)</f>
        <v>1</v>
      </c>
      <c r="AF74" s="502"/>
      <c r="AG74" s="500"/>
      <c r="AH74" s="501" t="b">
        <f>ROUND(AG72,2)=ROUND(AG73,2)</f>
        <v>1</v>
      </c>
      <c r="AI74" s="502"/>
    </row>
    <row r="75" spans="1:35" x14ac:dyDescent="0.25">
      <c r="A75" s="11"/>
      <c r="B75" s="11"/>
      <c r="C75" s="11"/>
      <c r="D75" s="11"/>
      <c r="E75" s="11"/>
      <c r="F75" s="11"/>
      <c r="G75" s="11"/>
      <c r="H75" s="185" t="s">
        <v>264</v>
      </c>
      <c r="I75" s="122" t="str">
        <f>IF(_epmOfflineCondition_,"T5",_xll.EVPRO($B$1,$H75,"STYLE"))</f>
        <v>T5</v>
      </c>
      <c r="J75" s="122" t="str">
        <f>IF(_epmOfflineCondition_,"Y",_xll.EVPRO($B$1,$H75,"CALC"))</f>
        <v>Y</v>
      </c>
      <c r="K75" s="90"/>
      <c r="L75" s="90" t="str">
        <f>IF(_epmOfflineCondition_,"465100",_xll.EVPRO($B$1,H75,"JDEID"))</f>
        <v>465100</v>
      </c>
      <c r="M75" s="90" t="str">
        <f>IF(_epmOfflineCondition_,"",IF(AND(I75="N",J75="N"),_xll.EVPRO($B$1,H75,"PSFTID"),""))</f>
        <v/>
      </c>
      <c r="N75" s="90" t="str">
        <f>IF(_epmOfflineCondition_,"Private Dining Food",IF(_xll.EVDES(H75,$B$1)="#NODATA","",_xll.EVDES(H75,$B$1)))</f>
        <v>Private Dining Food</v>
      </c>
      <c r="O75" s="138"/>
      <c r="P75" s="138"/>
      <c r="Q75" s="138"/>
      <c r="R75" s="138"/>
      <c r="S75" s="138"/>
      <c r="T75" s="138"/>
      <c r="U75" s="138"/>
      <c r="V75" s="138"/>
      <c r="W75" s="138"/>
      <c r="X75" s="138"/>
      <c r="Y75" s="138"/>
      <c r="Z75" s="138"/>
      <c r="AA75" s="138">
        <f t="shared" ref="AA75:AA80" si="20">SUM(O75:Z75)</f>
        <v>0</v>
      </c>
      <c r="AB75" s="142" t="str">
        <f>IF(AA75=0,"",IFERROR(AA75/AA$19,""))</f>
        <v/>
      </c>
      <c r="AC75" s="140"/>
      <c r="AD75" s="138"/>
      <c r="AE75" s="142" t="str">
        <f>IF(AD75=0,"",IFERROR(AD75/AD$19,""))</f>
        <v/>
      </c>
      <c r="AF75" s="141">
        <f t="shared" ref="AF75:AF81" si="21">IF(AND($AA75="",AD75=""),"",$AA75-AD75)</f>
        <v>0</v>
      </c>
      <c r="AG75" s="138"/>
      <c r="AH75" s="142" t="str">
        <f>IF(AG75=0,"",IFERROR(AG75/AG$19,""))</f>
        <v/>
      </c>
      <c r="AI75" s="141">
        <f t="shared" ref="AI75:AI81" si="22">IF(AND($AA75="",AG75=""),"",$AA75-AG75)</f>
        <v>0</v>
      </c>
    </row>
    <row r="76" spans="1:35" x14ac:dyDescent="0.25">
      <c r="A76" s="11"/>
      <c r="B76" s="11"/>
      <c r="C76" s="11"/>
      <c r="D76" s="11"/>
      <c r="E76" s="11"/>
      <c r="F76" s="11"/>
      <c r="G76" s="11"/>
      <c r="H76" s="185" t="s">
        <v>321</v>
      </c>
      <c r="I76" s="122" t="str">
        <f>IF(_epmOfflineCondition_,"T6",_xll.EVPRO($B$1,$H76,"STYLE"))</f>
        <v>T6</v>
      </c>
      <c r="J76" s="122" t="str">
        <f>IF(_epmOfflineCondition_,"Y",_xll.EVPRO($B$1,$H76,"CALC"))</f>
        <v>Y</v>
      </c>
      <c r="K76" s="90"/>
      <c r="L76" s="90" t="str">
        <f>IF(_epmOfflineCondition_,"465200",_xll.EVPRO($B$1,H76,"JDEID"))</f>
        <v>465200</v>
      </c>
      <c r="M76" s="90" t="str">
        <f>IF(_epmOfflineCondition_,"",IF(AND(I76="N",J76="N"),_xll.EVPRO($B$1,H76,"PSFTID"),""))</f>
        <v/>
      </c>
      <c r="N76" s="90" t="str">
        <f>IF(_epmOfflineCondition_,"Private Dining Liquor",IF(_xll.EVDES(H76,$B$1)="#NODATA","",_xll.EVDES(H76,$B$1)))</f>
        <v>Private Dining Liquor</v>
      </c>
      <c r="O76" s="138"/>
      <c r="P76" s="138"/>
      <c r="Q76" s="138"/>
      <c r="R76" s="138"/>
      <c r="S76" s="138"/>
      <c r="T76" s="138"/>
      <c r="U76" s="138"/>
      <c r="V76" s="138"/>
      <c r="W76" s="138"/>
      <c r="X76" s="138"/>
      <c r="Y76" s="138"/>
      <c r="Z76" s="138"/>
      <c r="AA76" s="138">
        <f t="shared" si="20"/>
        <v>0</v>
      </c>
      <c r="AB76" s="142" t="str">
        <f>IF(AA76=0,"",IFERROR(AA76/AA$19,""))</f>
        <v/>
      </c>
      <c r="AC76" s="140"/>
      <c r="AD76" s="138"/>
      <c r="AE76" s="142" t="str">
        <f>IF(AD76=0,"",IFERROR(AD76/AD$19,""))</f>
        <v/>
      </c>
      <c r="AF76" s="141">
        <f t="shared" si="21"/>
        <v>0</v>
      </c>
      <c r="AG76" s="138"/>
      <c r="AH76" s="142" t="str">
        <f>IF(AG76=0,"",IFERROR(AG76/AG$19,""))</f>
        <v/>
      </c>
      <c r="AI76" s="141">
        <f t="shared" si="22"/>
        <v>0</v>
      </c>
    </row>
    <row r="77" spans="1:35" x14ac:dyDescent="0.25">
      <c r="A77" s="11"/>
      <c r="B77" s="11"/>
      <c r="C77" s="11"/>
      <c r="D77" s="11"/>
      <c r="E77" s="11"/>
      <c r="F77" s="11"/>
      <c r="G77" s="11"/>
      <c r="H77" s="185" t="s">
        <v>323</v>
      </c>
      <c r="I77" s="122" t="str">
        <f>IF(_epmOfflineCondition_,"T6",_xll.EVPRO($B$1,$H77,"STYLE"))</f>
        <v>T6</v>
      </c>
      <c r="J77" s="122" t="str">
        <f>IF(_epmOfflineCondition_,"Y",_xll.EVPRO($B$1,$H77,"CALC"))</f>
        <v>Y</v>
      </c>
      <c r="K77" s="90"/>
      <c r="L77" s="90" t="str">
        <f>IF(_epmOfflineCondition_,"465300",_xll.EVPRO($B$1,H77,"JDEID"))</f>
        <v>465300</v>
      </c>
      <c r="M77" s="90" t="str">
        <f>IF(_epmOfflineCondition_,"",IF(AND(I77="N",J77="N"),_xll.EVPRO($B$1,H77,"PSFTID"),""))</f>
        <v/>
      </c>
      <c r="N77" s="90" t="str">
        <f>IF(_epmOfflineCondition_,"Private Dining Beer",IF(_xll.EVDES(H77,$B$1)="#NODATA","",_xll.EVDES(H77,$B$1)))</f>
        <v>Private Dining Beer</v>
      </c>
      <c r="O77" s="138"/>
      <c r="P77" s="138"/>
      <c r="Q77" s="138"/>
      <c r="R77" s="138"/>
      <c r="S77" s="138"/>
      <c r="T77" s="138"/>
      <c r="U77" s="138"/>
      <c r="V77" s="138"/>
      <c r="W77" s="138"/>
      <c r="X77" s="138"/>
      <c r="Y77" s="138"/>
      <c r="Z77" s="138"/>
      <c r="AA77" s="138">
        <f t="shared" si="20"/>
        <v>0</v>
      </c>
      <c r="AB77" s="142" t="str">
        <f>IF(AA77=0,"",IFERROR(AA77/AA$19,""))</f>
        <v/>
      </c>
      <c r="AC77" s="140"/>
      <c r="AD77" s="138"/>
      <c r="AE77" s="142" t="str">
        <f>IF(AD77=0,"",IFERROR(AD77/AD$19,""))</f>
        <v/>
      </c>
      <c r="AF77" s="141">
        <f t="shared" si="21"/>
        <v>0</v>
      </c>
      <c r="AG77" s="138"/>
      <c r="AH77" s="142" t="str">
        <f>IF(AG77=0,"",IFERROR(AG77/AG$19,""))</f>
        <v/>
      </c>
      <c r="AI77" s="141">
        <f t="shared" si="22"/>
        <v>0</v>
      </c>
    </row>
    <row r="78" spans="1:35" x14ac:dyDescent="0.25">
      <c r="A78" s="11"/>
      <c r="B78" s="11"/>
      <c r="C78" s="208"/>
      <c r="D78" s="11"/>
      <c r="E78" s="11"/>
      <c r="F78" s="11"/>
      <c r="G78" s="11"/>
      <c r="H78" s="185" t="s">
        <v>322</v>
      </c>
      <c r="I78" s="122" t="str">
        <f>IF(_epmOfflineCondition_,"T6",_xll.EVPRO($B$1,$H78,"STYLE"))</f>
        <v>T6</v>
      </c>
      <c r="J78" s="122" t="str">
        <f>IF(_epmOfflineCondition_,"Y",_xll.EVPRO($B$1,$H78,"CALC"))</f>
        <v>Y</v>
      </c>
      <c r="K78" s="90"/>
      <c r="L78" s="90" t="str">
        <f>IF(_epmOfflineCondition_,"465400",_xll.EVPRO($B$1,H78,"JDEID"))</f>
        <v>465400</v>
      </c>
      <c r="M78" s="90" t="str">
        <f>IF(_epmOfflineCondition_,"",IF(AND(I78="N",J78="N"),_xll.EVPRO($B$1,H78,"PSFTID"),""))</f>
        <v/>
      </c>
      <c r="N78" s="90" t="str">
        <f>IF(_epmOfflineCondition_,"Private Dining Wine",IF(_xll.EVDES(H78,$B$1)="#NODATA","",_xll.EVDES(H78,$B$1)))</f>
        <v>Private Dining Wine</v>
      </c>
      <c r="O78" s="215"/>
      <c r="P78" s="215"/>
      <c r="Q78" s="215"/>
      <c r="R78" s="215"/>
      <c r="S78" s="215"/>
      <c r="T78" s="215"/>
      <c r="U78" s="215"/>
      <c r="V78" s="215"/>
      <c r="W78" s="215"/>
      <c r="X78" s="215"/>
      <c r="Y78" s="215"/>
      <c r="Z78" s="215"/>
      <c r="AA78" s="215">
        <f t="shared" si="20"/>
        <v>0</v>
      </c>
      <c r="AB78" s="217" t="str">
        <f>IF(AA78=0,"",IFERROR(AA78/AA$19,""))</f>
        <v/>
      </c>
      <c r="AC78" s="140"/>
      <c r="AD78" s="215"/>
      <c r="AE78" s="217" t="str">
        <f>IF(AD78=0,"",IFERROR(AD78/AD$19,""))</f>
        <v/>
      </c>
      <c r="AF78" s="218">
        <f t="shared" si="21"/>
        <v>0</v>
      </c>
      <c r="AG78" s="215"/>
      <c r="AH78" s="217" t="str">
        <f>IF(AG78=0,"",IFERROR(AG78/AG$19,""))</f>
        <v/>
      </c>
      <c r="AI78" s="218">
        <f t="shared" si="22"/>
        <v>0</v>
      </c>
    </row>
    <row r="79" spans="1:35" x14ac:dyDescent="0.25">
      <c r="A79" s="11"/>
      <c r="B79" s="11"/>
      <c r="C79" s="208"/>
      <c r="D79" s="11"/>
      <c r="E79" s="11"/>
      <c r="F79" s="11"/>
      <c r="G79" s="11"/>
      <c r="H79" s="185" t="s">
        <v>329</v>
      </c>
      <c r="I79" s="122" t="str">
        <f>IF(_epmOfflineCondition_,"N",_xll.EVPRO($B$1,$H79,"STYLE"))</f>
        <v>N</v>
      </c>
      <c r="J79" s="122" t="str">
        <f>IF(_epmOfflineCondition_,"Y",_xll.EVPRO($B$1,$H79,"CALC"))</f>
        <v>Y</v>
      </c>
      <c r="K79" s="90"/>
      <c r="L79" s="90" t="str">
        <f>IF(_epmOfflineCondition_,"",_xll.EVPRO($B$1,H79,"JDEID"))</f>
        <v/>
      </c>
      <c r="M79" s="90" t="str">
        <f>IF(_epmOfflineCondition_,"",IF(AND(I79="N",J79="N"),_xll.EVPRO($B$1,H79,"PSFTID"),""))</f>
        <v/>
      </c>
      <c r="N79" s="106" t="str">
        <f>IF(_epmOfflineCondition_,"Private Dining Revenue",IF(_xll.EVDES(H79,$B$1)="#NODATA","",_xll.EVDES(H79,$B$1)))</f>
        <v>Private Dining Revenue</v>
      </c>
      <c r="O79" s="162"/>
      <c r="P79" s="162"/>
      <c r="Q79" s="162"/>
      <c r="R79" s="162"/>
      <c r="S79" s="162"/>
      <c r="T79" s="162"/>
      <c r="U79" s="162"/>
      <c r="V79" s="162"/>
      <c r="W79" s="162"/>
      <c r="X79" s="162"/>
      <c r="Y79" s="162"/>
      <c r="Z79" s="162"/>
      <c r="AA79" s="162">
        <f t="shared" si="20"/>
        <v>0</v>
      </c>
      <c r="AB79" s="163" t="str">
        <f>IF(AA79=0,"",IFERROR(AA79/AA$19,""))</f>
        <v/>
      </c>
      <c r="AC79" s="140"/>
      <c r="AD79" s="162"/>
      <c r="AE79" s="163" t="str">
        <f>IF(AD79=0,"",IFERROR(AD79/AD$19,""))</f>
        <v/>
      </c>
      <c r="AF79" s="164">
        <f t="shared" si="21"/>
        <v>0</v>
      </c>
      <c r="AG79" s="162"/>
      <c r="AH79" s="163" t="str">
        <f>IF(AG79=0,"",IFERROR(AG79/AG$19,""))</f>
        <v/>
      </c>
      <c r="AI79" s="164">
        <f t="shared" si="22"/>
        <v>0</v>
      </c>
    </row>
    <row r="80" spans="1:35" x14ac:dyDescent="0.25">
      <c r="A80" s="11"/>
      <c r="B80" s="11"/>
      <c r="C80" s="208"/>
      <c r="D80" s="11"/>
      <c r="E80" s="11"/>
      <c r="F80" s="11"/>
      <c r="G80" s="11"/>
      <c r="H80" s="185" t="s">
        <v>300</v>
      </c>
      <c r="I80" s="122" t="str">
        <f>IF(_epmOfflineCondition_,"N",_xll.EVPRO($B$1,$H80,"STYLE"))</f>
        <v>N</v>
      </c>
      <c r="J80" s="122" t="str">
        <f>IF(_epmOfflineCondition_,"N",_xll.EVPRO($B$1,$H80,"CALC"))</f>
        <v>N</v>
      </c>
      <c r="K80" s="90"/>
      <c r="L80" s="90" t="str">
        <f>IF(_epmOfflineCondition_,"946400",_xll.EVPRO($B$1,H80,"JDEID"))</f>
        <v>946400</v>
      </c>
      <c r="M80" s="90" t="str">
        <f>IF(_epmOfflineCondition_,"991510",IF(AND(I80="N",J80="N"),_xll.EVPRO($B$1,H80,"PSFTID"),""))</f>
        <v>991510</v>
      </c>
      <c r="N80" s="90" t="str">
        <f>IF(_epmOfflineCondition_,"Private Dining Customers",IF(_xll.EVDES(H80,$B$1)="#NODATA","",_xll.EVDES(H80,$B$1)))</f>
        <v>Private Dining Customers</v>
      </c>
      <c r="O80" s="231"/>
      <c r="P80" s="231"/>
      <c r="Q80" s="231"/>
      <c r="R80" s="231"/>
      <c r="S80" s="231"/>
      <c r="T80" s="231"/>
      <c r="U80" s="231"/>
      <c r="V80" s="231"/>
      <c r="W80" s="231"/>
      <c r="X80" s="231"/>
      <c r="Y80" s="231"/>
      <c r="Z80" s="231"/>
      <c r="AA80" s="231">
        <f t="shared" si="20"/>
        <v>0</v>
      </c>
      <c r="AB80" s="233" t="str">
        <f>IF(AA80=0,"",IFERROR(AA80/AA$87,""))</f>
        <v/>
      </c>
      <c r="AC80" s="140"/>
      <c r="AD80" s="231"/>
      <c r="AE80" s="233" t="str">
        <f>IF(AD80=0,"",IFERROR(AD80/AD$87,""))</f>
        <v/>
      </c>
      <c r="AF80" s="234">
        <f t="shared" si="21"/>
        <v>0</v>
      </c>
      <c r="AG80" s="231"/>
      <c r="AH80" s="233" t="str">
        <f>IF(AG80=0,"",IFERROR(AG80/AG$87,""))</f>
        <v/>
      </c>
      <c r="AI80" s="234">
        <f t="shared" si="22"/>
        <v>0</v>
      </c>
    </row>
    <row r="81" spans="1:35" x14ac:dyDescent="0.25">
      <c r="A81" s="11"/>
      <c r="B81" s="11"/>
      <c r="C81" s="208"/>
      <c r="D81" s="11"/>
      <c r="E81" s="11"/>
      <c r="F81" s="11"/>
      <c r="G81" s="11"/>
      <c r="H81" s="185" t="s">
        <v>325</v>
      </c>
      <c r="I81" s="122" t="str">
        <f>IF(_epmOfflineCondition_,"N",_xll.EVPRO($B$1,$H81,"STYLE"))</f>
        <v>N</v>
      </c>
      <c r="J81" s="122" t="str">
        <f>IF(_epmOfflineCondition_,"Y",_xll.EVPRO($B$1,$H81,"CALC"))</f>
        <v>Y</v>
      </c>
      <c r="K81" s="90"/>
      <c r="L81" s="90" t="str">
        <f>IF(_epmOfflineCondition_,"",_xll.EVPRO($B$1,H81,"JDEID"))</f>
        <v/>
      </c>
      <c r="M81" s="90" t="str">
        <f>IF(_epmOfflineCondition_,"",IF(AND(I81="N",J81="N"),_xll.EVPRO($B$1,H81,"PSFTID"),""))</f>
        <v/>
      </c>
      <c r="N81" s="190" t="str">
        <f>IF(_epmOfflineCondition_,"Private Dining - Average Check",IF(_xll.EVDES(H81,$B$1)="#NODATA","",_xll.EVDES(H81,$B$1)))</f>
        <v>Private Dining - Average Check</v>
      </c>
      <c r="O81" s="495"/>
      <c r="P81" s="495"/>
      <c r="Q81" s="495"/>
      <c r="R81" s="495"/>
      <c r="S81" s="495"/>
      <c r="T81" s="495"/>
      <c r="U81" s="495"/>
      <c r="V81" s="495"/>
      <c r="W81" s="495"/>
      <c r="X81" s="495"/>
      <c r="Y81" s="495"/>
      <c r="Z81" s="495"/>
      <c r="AA81" s="495" t="str">
        <f>IFERROR(AA79/AA80,"")</f>
        <v/>
      </c>
      <c r="AB81" s="495"/>
      <c r="AC81" s="140"/>
      <c r="AD81" s="495"/>
      <c r="AE81" s="495"/>
      <c r="AF81" s="496" t="str">
        <f t="shared" si="21"/>
        <v/>
      </c>
      <c r="AG81" s="495"/>
      <c r="AH81" s="495"/>
      <c r="AI81" s="496" t="str">
        <f t="shared" si="22"/>
        <v/>
      </c>
    </row>
    <row r="82" spans="1:35" x14ac:dyDescent="0.25">
      <c r="A82" s="11"/>
      <c r="B82" s="11"/>
      <c r="C82" s="208"/>
      <c r="D82" s="11"/>
      <c r="E82" s="11"/>
      <c r="F82" s="11"/>
      <c r="G82" s="490">
        <f>COUNTIF(O84:AI84,FALSE)</f>
        <v>0</v>
      </c>
      <c r="H82" s="88"/>
      <c r="I82" s="122"/>
      <c r="J82" s="122"/>
      <c r="K82" s="90"/>
      <c r="L82" s="90"/>
      <c r="M82" s="90"/>
      <c r="N82" s="491" t="s">
        <v>345</v>
      </c>
      <c r="O82" s="497">
        <f t="shared" ref="O82:AA82" si="23">ROUND(IFERROR(O79/O80,0),2)</f>
        <v>0</v>
      </c>
      <c r="P82" s="498">
        <f t="shared" si="23"/>
        <v>0</v>
      </c>
      <c r="Q82" s="498">
        <f t="shared" si="23"/>
        <v>0</v>
      </c>
      <c r="R82" s="498">
        <f t="shared" si="23"/>
        <v>0</v>
      </c>
      <c r="S82" s="498">
        <f t="shared" si="23"/>
        <v>0</v>
      </c>
      <c r="T82" s="498">
        <f t="shared" si="23"/>
        <v>0</v>
      </c>
      <c r="U82" s="498">
        <f t="shared" si="23"/>
        <v>0</v>
      </c>
      <c r="V82" s="498">
        <f t="shared" si="23"/>
        <v>0</v>
      </c>
      <c r="W82" s="498">
        <f t="shared" si="23"/>
        <v>0</v>
      </c>
      <c r="X82" s="498">
        <f t="shared" si="23"/>
        <v>0</v>
      </c>
      <c r="Y82" s="498">
        <f t="shared" si="23"/>
        <v>0</v>
      </c>
      <c r="Z82" s="498">
        <f t="shared" si="23"/>
        <v>0</v>
      </c>
      <c r="AA82" s="498">
        <f t="shared" si="23"/>
        <v>0</v>
      </c>
      <c r="AB82" s="499"/>
      <c r="AC82" s="140"/>
      <c r="AD82" s="497">
        <f>ROUND(IFERROR(AD79/AD80,0),2)</f>
        <v>0</v>
      </c>
      <c r="AE82" s="498"/>
      <c r="AF82" s="155"/>
      <c r="AG82" s="497">
        <f>ROUND(IFERROR(AG79/AG80,0),2)</f>
        <v>0</v>
      </c>
      <c r="AH82" s="498"/>
      <c r="AI82" s="155"/>
    </row>
    <row r="83" spans="1:35" x14ac:dyDescent="0.25">
      <c r="A83" s="11"/>
      <c r="B83" s="11"/>
      <c r="C83" s="208"/>
      <c r="D83" s="11"/>
      <c r="E83" s="11"/>
      <c r="F83" s="11"/>
      <c r="G83" s="11"/>
      <c r="H83" s="88" t="s">
        <v>486</v>
      </c>
      <c r="I83" s="122" t="str">
        <f>IF(_epmOfflineCondition_,"T5",_xll.EVPRO($B$1,$H83,"STYLE"))</f>
        <v>T5</v>
      </c>
      <c r="J83" s="122" t="str">
        <f>IF(_epmOfflineCondition_,"Y",_xll.EVPRO($B$1,$H83,"CALC"))</f>
        <v>Y</v>
      </c>
      <c r="K83" s="90"/>
      <c r="L83" s="90" t="str">
        <f>IF(_epmOfflineCondition_,"",_xll.EVPRO($B$1,H83,"JDEID"))</f>
        <v/>
      </c>
      <c r="M83" s="90" t="str">
        <f>IF(_epmOfflineCondition_,"",IF(AND(I83="N",J83="N"),_xll.EVPRO($B$1,H83,"PSFTID"),""))</f>
        <v/>
      </c>
      <c r="N83" s="90" t="str">
        <f>IF(_epmOfflineCondition_,"Food &amp; Beverage: Allowances",IF(_xll.EVDES(H83,$B$1)="#NODATA","",_xll.EVDES(H83,$B$1)))</f>
        <v>Food &amp; Beverage: Allowances</v>
      </c>
      <c r="O83" s="138"/>
      <c r="P83" s="138"/>
      <c r="Q83" s="138"/>
      <c r="R83" s="138"/>
      <c r="S83" s="138"/>
      <c r="T83" s="138"/>
      <c r="U83" s="138"/>
      <c r="V83" s="138"/>
      <c r="W83" s="138"/>
      <c r="X83" s="138"/>
      <c r="Y83" s="138"/>
      <c r="Z83" s="138"/>
      <c r="AA83" s="138">
        <f>SUM(O83:Z83)</f>
        <v>0</v>
      </c>
      <c r="AB83" s="142" t="str">
        <f>IF(AA83=0,"",IFERROR(AA83/AA$19,""))</f>
        <v/>
      </c>
      <c r="AC83" s="140"/>
      <c r="AD83" s="138"/>
      <c r="AE83" s="142" t="str">
        <f>IF(AD83=0,"",IFERROR(AD83/AD$19,""))</f>
        <v/>
      </c>
      <c r="AF83" s="141">
        <f>IF(AND($AA83="",AD83=""),"",$AA83-AD83)</f>
        <v>0</v>
      </c>
      <c r="AG83" s="138"/>
      <c r="AH83" s="142" t="str">
        <f>IF(AG83=0,"",IFERROR(AG83/AG$19,""))</f>
        <v/>
      </c>
      <c r="AI83" s="141">
        <f>IF(AND($AA83="",AG83=""),"",$AA83-AG83)</f>
        <v>0</v>
      </c>
    </row>
    <row r="84" spans="1:35" x14ac:dyDescent="0.25">
      <c r="A84" s="11"/>
      <c r="B84" s="11"/>
      <c r="C84" s="208"/>
      <c r="D84" s="11"/>
      <c r="E84" s="11"/>
      <c r="F84" s="11"/>
      <c r="G84" s="11"/>
      <c r="H84" s="88"/>
      <c r="I84" s="122"/>
      <c r="J84" s="122"/>
      <c r="K84" s="90"/>
      <c r="L84" s="90"/>
      <c r="M84" s="90"/>
      <c r="N84" s="53" t="s">
        <v>348</v>
      </c>
      <c r="O84" s="500" t="b">
        <f t="shared" ref="O84:AA84" si="24">ROUND(O81,2)=ROUND(O82,2)</f>
        <v>1</v>
      </c>
      <c r="P84" s="501" t="b">
        <f t="shared" si="24"/>
        <v>1</v>
      </c>
      <c r="Q84" s="501" t="b">
        <f t="shared" si="24"/>
        <v>1</v>
      </c>
      <c r="R84" s="501" t="b">
        <f t="shared" si="24"/>
        <v>1</v>
      </c>
      <c r="S84" s="501" t="b">
        <f t="shared" si="24"/>
        <v>1</v>
      </c>
      <c r="T84" s="501" t="b">
        <f t="shared" si="24"/>
        <v>1</v>
      </c>
      <c r="U84" s="501" t="b">
        <f t="shared" si="24"/>
        <v>1</v>
      </c>
      <c r="V84" s="501" t="b">
        <f t="shared" si="24"/>
        <v>1</v>
      </c>
      <c r="W84" s="501" t="b">
        <f t="shared" si="24"/>
        <v>1</v>
      </c>
      <c r="X84" s="501" t="b">
        <f t="shared" si="24"/>
        <v>1</v>
      </c>
      <c r="Y84" s="501" t="b">
        <f t="shared" si="24"/>
        <v>1</v>
      </c>
      <c r="Z84" s="501" t="b">
        <f t="shared" si="24"/>
        <v>1</v>
      </c>
      <c r="AA84" s="501" t="e">
        <f t="shared" si="24"/>
        <v>#VALUE!</v>
      </c>
      <c r="AB84" s="502"/>
      <c r="AC84" s="503"/>
      <c r="AD84" s="500"/>
      <c r="AE84" s="501" t="b">
        <f>ROUND(AD81,2)=ROUND(AD82,2)</f>
        <v>1</v>
      </c>
      <c r="AF84" s="502"/>
      <c r="AG84" s="500"/>
      <c r="AH84" s="501" t="b">
        <f>ROUND(AG81,2)=ROUND(AG82,2)</f>
        <v>1</v>
      </c>
      <c r="AI84" s="502"/>
    </row>
    <row r="85" spans="1:35" x14ac:dyDescent="0.25">
      <c r="A85" s="11"/>
      <c r="B85" s="11"/>
      <c r="C85" s="208"/>
      <c r="D85" s="11"/>
      <c r="E85" s="11"/>
      <c r="F85" s="11"/>
      <c r="G85" s="11"/>
      <c r="H85" s="185" t="s">
        <v>273</v>
      </c>
      <c r="I85" s="122" t="str">
        <f>IF(_epmOfflineCondition_,"T4",_xll.EVPRO($B$1,$H85,"STYLE"))</f>
        <v>T4</v>
      </c>
      <c r="J85" s="122" t="str">
        <f>IF(_epmOfflineCondition_,"Y",_xll.EVPRO($B$1,$H85,"CALC"))</f>
        <v>Y</v>
      </c>
      <c r="K85" s="11"/>
      <c r="L85" s="90" t="str">
        <f>IF(_epmOfflineCondition_,"",_xll.EVPRO($B$1,H85,"JDEID"))</f>
        <v/>
      </c>
      <c r="M85" s="90" t="str">
        <f>IF(_epmOfflineCondition_,"",IF(AND(I85="N",J85="N"),_xll.EVPRO($B$1,H85,"PSFTID"),""))</f>
        <v/>
      </c>
      <c r="N85" s="90" t="str">
        <f>IF(_epmOfflineCondition_,"Total Food &amp; Beverage Revenue",IF(_xll.EVDES(H85,$B$1)="#NODATA","",_xll.EVDES(H85,$B$1)))</f>
        <v>Total Food &amp; Beverage Revenue</v>
      </c>
      <c r="O85" s="507"/>
      <c r="P85" s="507"/>
      <c r="Q85" s="507"/>
      <c r="R85" s="507"/>
      <c r="S85" s="507"/>
      <c r="T85" s="507"/>
      <c r="U85" s="507"/>
      <c r="V85" s="507"/>
      <c r="W85" s="507"/>
      <c r="X85" s="507"/>
      <c r="Y85" s="507"/>
      <c r="Z85" s="507"/>
      <c r="AA85" s="507">
        <f>SUM(O85:Z85)</f>
        <v>0</v>
      </c>
      <c r="AB85" s="508" t="str">
        <f>IF(AA85=0,"",IFERROR(AA85/AA$19,""))</f>
        <v/>
      </c>
      <c r="AC85" s="140"/>
      <c r="AD85" s="507"/>
      <c r="AE85" s="508" t="str">
        <f>IF(AD85=0,"",IFERROR(AD85/AD$19,""))</f>
        <v/>
      </c>
      <c r="AF85" s="509">
        <f>IF(AND($AA85="",AD85=""),"",$AA85-AD85)</f>
        <v>0</v>
      </c>
      <c r="AG85" s="507"/>
      <c r="AH85" s="508" t="str">
        <f>IF(AG85=0,"",IFERROR(AG85/AG$19,""))</f>
        <v/>
      </c>
      <c r="AI85" s="509">
        <f>IF(AND($AA85="",AG85=""),"",$AA85-AG85)</f>
        <v>0</v>
      </c>
    </row>
    <row r="86" spans="1:35" x14ac:dyDescent="0.25">
      <c r="A86" s="11"/>
      <c r="B86" s="11"/>
      <c r="C86" s="208"/>
      <c r="D86" s="11"/>
      <c r="E86" s="11"/>
      <c r="F86" s="11"/>
      <c r="G86" s="11"/>
      <c r="H86" s="185" t="s">
        <v>767</v>
      </c>
      <c r="I86" s="122" t="str">
        <f>IF(_epmOfflineCondition_,"N",_xll.EVPRO($B$1,$H86,"STYLE"))</f>
        <v>N</v>
      </c>
      <c r="J86" s="122" t="str">
        <f>IF(_epmOfflineCondition_,"N",_xll.EVPRO($B$1,$H86,"CALC"))</f>
        <v>N</v>
      </c>
      <c r="K86" s="11"/>
      <c r="L86" s="90" t="str">
        <f>IF(_epmOfflineCondition_,"947500",_xll.EVPRO($B$1,H86,"JDEID"))</f>
        <v>947500</v>
      </c>
      <c r="M86" s="90" t="str">
        <f>IF(_epmOfflineCondition_,"991552",IF(AND(I86="N",J86="N"),_xll.EVPRO($B$1,H86,"PSFTID"),""))</f>
        <v>991552</v>
      </c>
      <c r="N86" s="90" t="str">
        <f>IF(_epmOfflineCondition_,"# of Seats in Outlet",IF(_xll.EVDES(H86,$B$1)="#NODATA","",_xll.EVDES(H86,$B$1)))</f>
        <v># of Seats in Outlet</v>
      </c>
      <c r="O86" s="507"/>
      <c r="P86" s="507"/>
      <c r="Q86" s="507"/>
      <c r="R86" s="507"/>
      <c r="S86" s="507"/>
      <c r="T86" s="507"/>
      <c r="U86" s="507"/>
      <c r="V86" s="507"/>
      <c r="W86" s="507"/>
      <c r="X86" s="507"/>
      <c r="Y86" s="507"/>
      <c r="Z86" s="507"/>
      <c r="AA86" s="507">
        <f>SUM(O86:Z86)</f>
        <v>0</v>
      </c>
      <c r="AB86" s="508"/>
      <c r="AC86" s="140"/>
      <c r="AD86" s="507"/>
      <c r="AE86" s="508"/>
      <c r="AF86" s="509">
        <f>IF(AND($AA86="",AD86=""),"",$AA86-AD86)</f>
        <v>0</v>
      </c>
      <c r="AG86" s="507"/>
      <c r="AH86" s="508"/>
      <c r="AI86" s="509">
        <f>IF(AND($AA86="",AG86=""),"",$AA86-AG86)</f>
        <v>0</v>
      </c>
    </row>
    <row r="87" spans="1:35" x14ac:dyDescent="0.25">
      <c r="A87" s="11"/>
      <c r="B87" s="11"/>
      <c r="C87" s="208"/>
      <c r="D87" s="11"/>
      <c r="E87" s="11"/>
      <c r="F87" s="11"/>
      <c r="G87" s="11"/>
      <c r="H87" s="185" t="s">
        <v>331</v>
      </c>
      <c r="I87" s="122" t="str">
        <f>IF(_epmOfflineCondition_,"T2",_xll.EVPRO($B$1,$H87,"STYLE"))</f>
        <v>T2</v>
      </c>
      <c r="J87" s="122" t="str">
        <f>IF(_epmOfflineCondition_,"Y",_xll.EVPRO($B$1,$H87,"CALC"))</f>
        <v>Y</v>
      </c>
      <c r="K87" s="11"/>
      <c r="L87" s="90" t="str">
        <f>IF(_epmOfflineCondition_,"946000",_xll.EVPRO($B$1,H87,"JDEID"))</f>
        <v>946000</v>
      </c>
      <c r="M87" s="90" t="str">
        <f>IF(_epmOfflineCondition_,"",IF(AND(I87="N",J87="N"),_xll.EVPRO($B$1,H87,"PSFTID"),""))</f>
        <v/>
      </c>
      <c r="N87" s="90" t="str">
        <f>IF(_epmOfflineCondition_,"Total Customers",IF(_xll.EVDES(H87,$B$1)="#NODATA","",_xll.EVDES(H87,$B$1)))</f>
        <v>Total Customers</v>
      </c>
      <c r="O87" s="507"/>
      <c r="P87" s="507"/>
      <c r="Q87" s="507"/>
      <c r="R87" s="507"/>
      <c r="S87" s="507"/>
      <c r="T87" s="507"/>
      <c r="U87" s="507"/>
      <c r="V87" s="507"/>
      <c r="W87" s="507"/>
      <c r="X87" s="507"/>
      <c r="Y87" s="507"/>
      <c r="Z87" s="507"/>
      <c r="AA87" s="507">
        <f>SUM(O87:Z87)</f>
        <v>0</v>
      </c>
      <c r="AB87" s="508" t="str">
        <f>IF(AA87=0,"",IFERROR(AA87/AA$20,""))</f>
        <v/>
      </c>
      <c r="AC87" s="140"/>
      <c r="AD87" s="507"/>
      <c r="AE87" s="508" t="str">
        <f>IF(AD87=0,"",IFERROR(AD87/AD$20,""))</f>
        <v/>
      </c>
      <c r="AF87" s="509">
        <f>IF(AND($AA87="",AD87=""),"",$AA87-AD87)</f>
        <v>0</v>
      </c>
      <c r="AG87" s="507"/>
      <c r="AH87" s="508" t="str">
        <f>IF(AG87=0,"",IFERROR(AG87/AG$20,""))</f>
        <v/>
      </c>
      <c r="AI87" s="509">
        <f>IF(AND($AA87="",AG87=""),"",$AA87-AG87)</f>
        <v>0</v>
      </c>
    </row>
    <row r="88" spans="1:35" x14ac:dyDescent="0.25">
      <c r="A88" s="11"/>
      <c r="B88" s="11"/>
      <c r="C88" s="208"/>
      <c r="D88" s="11"/>
      <c r="E88" s="11"/>
      <c r="F88" s="11"/>
      <c r="G88" s="11"/>
      <c r="H88" s="185" t="s">
        <v>311</v>
      </c>
      <c r="I88" s="122" t="str">
        <f>IF(_epmOfflineCondition_,"N",_xll.EVPRO($B$1,$H88,"STYLE"))</f>
        <v>N</v>
      </c>
      <c r="J88" s="122" t="str">
        <f>IF(_epmOfflineCondition_,"Y",_xll.EVPRO($B$1,$H88,"CALC"))</f>
        <v>Y</v>
      </c>
      <c r="K88" s="11"/>
      <c r="L88" s="90"/>
      <c r="M88" s="90" t="str">
        <f>IF(_epmOfflineCondition_,"",IF(AND(I88="N",J88="N"),_xll.EVPRO($B$1,H88,"PSFTID"),""))</f>
        <v/>
      </c>
      <c r="N88" s="90" t="str">
        <f>IF(_epmOfflineCondition_,"Total Average Check",IF(_xll.EVDES(H88,$B$1)="#NODATA","",_xll.EVDES(H88,$B$1)))</f>
        <v>Total Average Check</v>
      </c>
      <c r="O88" s="495"/>
      <c r="P88" s="495"/>
      <c r="Q88" s="495"/>
      <c r="R88" s="495"/>
      <c r="S88" s="495"/>
      <c r="T88" s="495"/>
      <c r="U88" s="495"/>
      <c r="V88" s="495"/>
      <c r="W88" s="495"/>
      <c r="X88" s="495"/>
      <c r="Y88" s="495"/>
      <c r="Z88" s="495"/>
      <c r="AA88" s="495" t="str">
        <f>IFERROR(AA85/AA87,"")</f>
        <v/>
      </c>
      <c r="AB88" s="495"/>
      <c r="AC88" s="140"/>
      <c r="AD88" s="495"/>
      <c r="AE88" s="495"/>
      <c r="AF88" s="496" t="str">
        <f>IF(AND($AA88="",AD88=""),"",$AA88-AD88)</f>
        <v/>
      </c>
      <c r="AG88" s="495"/>
      <c r="AH88" s="495"/>
      <c r="AI88" s="496" t="str">
        <f>IF(AND($AA88="",AG88=""),"",$AA88-AG88)</f>
        <v/>
      </c>
    </row>
    <row r="89" spans="1:35" x14ac:dyDescent="0.25">
      <c r="A89" s="11"/>
      <c r="B89" s="11"/>
      <c r="C89" s="208"/>
      <c r="D89" s="11"/>
      <c r="E89" s="11"/>
      <c r="F89" s="11"/>
      <c r="G89" s="11"/>
      <c r="H89" s="185"/>
      <c r="I89" s="122"/>
      <c r="J89" s="122"/>
      <c r="K89" s="11"/>
      <c r="L89" s="90"/>
      <c r="M89" s="90"/>
      <c r="N89" s="90"/>
      <c r="O89" s="170"/>
      <c r="P89" s="171"/>
      <c r="Q89" s="171"/>
      <c r="R89" s="171"/>
      <c r="S89" s="171"/>
      <c r="T89" s="171"/>
      <c r="U89" s="171"/>
      <c r="V89" s="171"/>
      <c r="W89" s="171"/>
      <c r="X89" s="171"/>
      <c r="Y89" s="171"/>
      <c r="Z89" s="171"/>
      <c r="AA89" s="171"/>
      <c r="AB89" s="172"/>
      <c r="AC89" s="140"/>
      <c r="AD89" s="170"/>
      <c r="AE89" s="171"/>
      <c r="AF89" s="172"/>
      <c r="AG89" s="170"/>
      <c r="AH89" s="171"/>
      <c r="AI89" s="172"/>
    </row>
    <row r="90" spans="1:35" x14ac:dyDescent="0.25">
      <c r="A90" s="11"/>
      <c r="B90" s="11"/>
      <c r="C90" s="208"/>
      <c r="D90" s="11"/>
      <c r="E90" s="11"/>
      <c r="F90" s="11"/>
      <c r="G90" s="11"/>
      <c r="H90" s="185"/>
      <c r="I90" s="122"/>
      <c r="J90" s="122"/>
      <c r="K90" s="11"/>
      <c r="L90" s="90"/>
      <c r="M90" s="90"/>
      <c r="N90" s="53" t="s">
        <v>334</v>
      </c>
      <c r="O90" s="158"/>
      <c r="P90" s="159"/>
      <c r="Q90" s="159"/>
      <c r="R90" s="159"/>
      <c r="S90" s="159"/>
      <c r="T90" s="159"/>
      <c r="U90" s="159"/>
      <c r="V90" s="159"/>
      <c r="W90" s="159"/>
      <c r="X90" s="159"/>
      <c r="Y90" s="159"/>
      <c r="Z90" s="159"/>
      <c r="AA90" s="159"/>
      <c r="AB90" s="160"/>
      <c r="AC90" s="140"/>
      <c r="AD90" s="158"/>
      <c r="AE90" s="159"/>
      <c r="AF90" s="160"/>
      <c r="AG90" s="158"/>
      <c r="AH90" s="159"/>
      <c r="AI90" s="160"/>
    </row>
    <row r="91" spans="1:35" hidden="1" outlineLevel="1" x14ac:dyDescent="0.25">
      <c r="A91" s="11"/>
      <c r="B91" s="11"/>
      <c r="C91" s="208"/>
      <c r="D91" s="11"/>
      <c r="E91" s="11"/>
      <c r="F91" s="11"/>
      <c r="G91" s="11"/>
      <c r="H91" s="185" t="s">
        <v>332</v>
      </c>
      <c r="I91" s="122" t="str">
        <f>IF(_epmOfflineCondition_,"T4",_xll.EVPRO($B$1,$H91,"STYLE"))</f>
        <v>T4</v>
      </c>
      <c r="J91" s="122" t="str">
        <f>IF(_epmOfflineCondition_,"Y",_xll.EVPRO($B$1,$H91,"CALC"))</f>
        <v>Y</v>
      </c>
      <c r="K91" s="11"/>
      <c r="L91" s="90"/>
      <c r="M91" s="90"/>
      <c r="N91" s="90" t="str">
        <f>IF(_epmOfflineCondition_,"F&amp;B Kitchen - THW",IF(_xll.EVDES(H91,$B$1)="#NODATA","",_xll.EVDES(H91,$B$1)))</f>
        <v>F&amp;B Kitchen - THW</v>
      </c>
      <c r="O91" s="138"/>
      <c r="P91" s="138"/>
      <c r="Q91" s="138"/>
      <c r="R91" s="138"/>
      <c r="S91" s="138"/>
      <c r="T91" s="138"/>
      <c r="U91" s="138"/>
      <c r="V91" s="138"/>
      <c r="W91" s="138"/>
      <c r="X91" s="138"/>
      <c r="Y91" s="138"/>
      <c r="Z91" s="138"/>
      <c r="AA91" s="138">
        <f>SUM(O91:Z91)</f>
        <v>0</v>
      </c>
      <c r="AB91" s="142"/>
      <c r="AC91" s="140"/>
      <c r="AD91" s="138"/>
      <c r="AE91" s="142"/>
      <c r="AF91" s="141">
        <f>IF(AND($AA91="",AD91=""),"",$AA91-AD91)</f>
        <v>0</v>
      </c>
      <c r="AG91" s="138"/>
      <c r="AH91" s="142"/>
      <c r="AI91" s="141">
        <f>IF(AND($AA91="",AG91=""),"",$AA91-AG91)</f>
        <v>0</v>
      </c>
    </row>
    <row r="92" spans="1:35" hidden="1" outlineLevel="1" x14ac:dyDescent="0.25">
      <c r="A92" s="11"/>
      <c r="B92" s="11"/>
      <c r="C92" s="208"/>
      <c r="D92" s="11"/>
      <c r="E92" s="11"/>
      <c r="F92" s="11"/>
      <c r="G92" s="11"/>
      <c r="H92" s="185" t="s">
        <v>333</v>
      </c>
      <c r="I92" s="122" t="str">
        <f>IF(_epmOfflineCondition_,"T4",_xll.EVPRO($B$1,$H92,"STYLE"))</f>
        <v>T4</v>
      </c>
      <c r="J92" s="122" t="str">
        <f>IF(_epmOfflineCondition_,"Y",_xll.EVPRO($B$1,$H92,"CALC"))</f>
        <v>Y</v>
      </c>
      <c r="K92" s="11"/>
      <c r="L92" s="90"/>
      <c r="M92" s="90"/>
      <c r="N92" s="90" t="str">
        <f>IF(_epmOfflineCondition_,"F&amp;B Venues - THW",IF(_xll.EVDES(H92,$B$1)="#NODATA","",_xll.EVDES(H92,$B$1)))</f>
        <v>F&amp;B Venues - THW</v>
      </c>
      <c r="O92" s="138"/>
      <c r="P92" s="138"/>
      <c r="Q92" s="138"/>
      <c r="R92" s="138"/>
      <c r="S92" s="138"/>
      <c r="T92" s="138"/>
      <c r="U92" s="138"/>
      <c r="V92" s="138"/>
      <c r="W92" s="138"/>
      <c r="X92" s="138"/>
      <c r="Y92" s="138"/>
      <c r="Z92" s="138"/>
      <c r="AA92" s="138">
        <f>SUM(O92:Z92)</f>
        <v>0</v>
      </c>
      <c r="AB92" s="142"/>
      <c r="AC92" s="140"/>
      <c r="AD92" s="138"/>
      <c r="AE92" s="142"/>
      <c r="AF92" s="141">
        <f>IF(AND($AA92="",AD92=""),"",$AA92-AD92)</f>
        <v>0</v>
      </c>
      <c r="AG92" s="138"/>
      <c r="AH92" s="142"/>
      <c r="AI92" s="141">
        <f>IF(AND($AA92="",AG92=""),"",$AA92-AG92)</f>
        <v>0</v>
      </c>
    </row>
    <row r="93" spans="1:35" collapsed="1" x14ac:dyDescent="0.25">
      <c r="A93" s="11"/>
      <c r="B93" s="11"/>
      <c r="C93" s="208"/>
      <c r="D93" s="11"/>
      <c r="E93" s="11"/>
      <c r="F93" s="11"/>
      <c r="G93" s="11"/>
      <c r="H93" s="185"/>
      <c r="I93" s="122"/>
      <c r="J93" s="122"/>
      <c r="K93" s="11"/>
      <c r="L93" s="90"/>
      <c r="M93" s="90"/>
      <c r="N93" s="104" t="s">
        <v>335</v>
      </c>
      <c r="O93" s="510" t="str">
        <f t="shared" ref="O93:AA93" si="25">IFERROR(O$87/O91,"")</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IFERROR(AD$87/AD91,"")</f>
        <v/>
      </c>
      <c r="AE93" s="511"/>
      <c r="AF93" s="213" t="str">
        <f>IF(AND($AA93="",AD93=""),"",$AA93-AD93)</f>
        <v/>
      </c>
      <c r="AG93" s="510" t="str">
        <f>IFERROR(AG$87/AG91,"")</f>
        <v/>
      </c>
      <c r="AH93" s="511"/>
      <c r="AI93" s="213" t="str">
        <f>IF(AND($AA93="",AG93=""),"",$AA93-AG93)</f>
        <v/>
      </c>
    </row>
    <row r="94" spans="1:35" x14ac:dyDescent="0.25">
      <c r="A94" s="11"/>
      <c r="B94" s="11"/>
      <c r="C94" s="208"/>
      <c r="D94" s="11"/>
      <c r="E94" s="11"/>
      <c r="F94" s="11"/>
      <c r="G94" s="11"/>
      <c r="H94" s="185"/>
      <c r="I94" s="122"/>
      <c r="J94" s="122"/>
      <c r="K94" s="11"/>
      <c r="L94" s="90"/>
      <c r="M94" s="90"/>
      <c r="N94" s="104" t="s">
        <v>336</v>
      </c>
      <c r="O94" s="510" t="str">
        <f t="shared" ref="O94:AA94" si="26">IFERROR(O$87/O92,"")</f>
        <v/>
      </c>
      <c r="P94" s="510" t="str">
        <f t="shared" si="26"/>
        <v/>
      </c>
      <c r="Q94" s="510" t="str">
        <f t="shared" si="26"/>
        <v/>
      </c>
      <c r="R94" s="510" t="str">
        <f t="shared" si="26"/>
        <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t="str">
        <f t="shared" si="26"/>
        <v/>
      </c>
      <c r="AB94" s="511"/>
      <c r="AC94" s="140"/>
      <c r="AD94" s="510" t="str">
        <f>IFERROR(AD$87/AD92,"")</f>
        <v/>
      </c>
      <c r="AE94" s="511"/>
      <c r="AF94" s="213" t="str">
        <f>IF(AND($AA94="",AD94=""),"",$AA94-AD94)</f>
        <v/>
      </c>
      <c r="AG94" s="510" t="str">
        <f>IFERROR(AG$87/AG92,"")</f>
        <v/>
      </c>
      <c r="AH94" s="511"/>
      <c r="AI94" s="213" t="str">
        <f>IF(AND($AA94="",AG94=""),"",$AA94-AG94)</f>
        <v/>
      </c>
    </row>
    <row r="95" spans="1:35" x14ac:dyDescent="0.2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57"/>
      <c r="AC95" s="140"/>
      <c r="AD95" s="514"/>
      <c r="AE95" s="481"/>
      <c r="AF95" s="157"/>
      <c r="AG95" s="481"/>
      <c r="AH95" s="481"/>
      <c r="AI95" s="157"/>
    </row>
    <row r="96" spans="1:35" x14ac:dyDescent="0.25">
      <c r="A96" s="11"/>
      <c r="B96" s="11"/>
      <c r="C96" s="208"/>
      <c r="D96" s="11"/>
      <c r="E96" s="11"/>
      <c r="F96" s="11"/>
      <c r="G96" s="11"/>
      <c r="H96" s="185"/>
      <c r="I96" s="122"/>
      <c r="J96" s="122"/>
      <c r="K96" s="11"/>
      <c r="L96" s="90"/>
      <c r="M96" s="90"/>
      <c r="N96" s="53" t="s">
        <v>343</v>
      </c>
      <c r="O96" s="514"/>
      <c r="P96" s="481"/>
      <c r="Q96" s="481"/>
      <c r="R96" s="481"/>
      <c r="S96" s="481"/>
      <c r="T96" s="481"/>
      <c r="U96" s="481"/>
      <c r="V96" s="481"/>
      <c r="W96" s="481"/>
      <c r="X96" s="481"/>
      <c r="Y96" s="481"/>
      <c r="Z96" s="481"/>
      <c r="AA96" s="481"/>
      <c r="AB96" s="515"/>
      <c r="AC96" s="140"/>
      <c r="AD96" s="516"/>
      <c r="AE96" s="517"/>
      <c r="AF96" s="157"/>
      <c r="AG96" s="481"/>
      <c r="AH96" s="517"/>
      <c r="AI96" s="157"/>
    </row>
    <row r="97" spans="1:35" x14ac:dyDescent="0.25">
      <c r="A97" s="11"/>
      <c r="B97" s="11"/>
      <c r="C97" s="208"/>
      <c r="D97" s="11"/>
      <c r="E97" s="11"/>
      <c r="F97" s="11"/>
      <c r="G97" s="11"/>
      <c r="H97" s="185"/>
      <c r="I97" s="122"/>
      <c r="J97" s="122"/>
      <c r="K97" s="11"/>
      <c r="L97" s="90"/>
      <c r="M97" s="90"/>
      <c r="N97" s="53" t="s">
        <v>337</v>
      </c>
      <c r="O97" s="158"/>
      <c r="P97" s="159"/>
      <c r="Q97" s="159"/>
      <c r="R97" s="159"/>
      <c r="S97" s="159"/>
      <c r="T97" s="159"/>
      <c r="U97" s="159"/>
      <c r="V97" s="159"/>
      <c r="W97" s="159"/>
      <c r="X97" s="159"/>
      <c r="Y97" s="159"/>
      <c r="Z97" s="159"/>
      <c r="AA97" s="159"/>
      <c r="AB97" s="160"/>
      <c r="AC97" s="140"/>
      <c r="AD97" s="158"/>
      <c r="AE97" s="159"/>
      <c r="AF97" s="160"/>
      <c r="AG97" s="159"/>
      <c r="AH97" s="159"/>
      <c r="AI97" s="160"/>
    </row>
    <row r="98" spans="1:35" x14ac:dyDescent="0.2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38"/>
      <c r="P98" s="138"/>
      <c r="Q98" s="138"/>
      <c r="R98" s="138"/>
      <c r="S98" s="138"/>
      <c r="T98" s="138"/>
      <c r="U98" s="138"/>
      <c r="V98" s="138"/>
      <c r="W98" s="138"/>
      <c r="X98" s="138"/>
      <c r="Y98" s="138"/>
      <c r="Z98" s="138"/>
      <c r="AA98" s="138">
        <f t="shared" ref="AA98:AA103" si="27">SUM(O98:Z98)</f>
        <v>0</v>
      </c>
      <c r="AB98" s="142" t="str">
        <f t="shared" ref="AB98:AB103" si="28">IF(AA98=0,"",IFERROR(AA98/AA$19,""))</f>
        <v/>
      </c>
      <c r="AC98" s="140"/>
      <c r="AD98" s="138"/>
      <c r="AE98" s="142" t="str">
        <f t="shared" ref="AE98:AE103" si="29">IF(AD98=0,"",IFERROR(AD98/AD$19,""))</f>
        <v/>
      </c>
      <c r="AF98" s="141">
        <f t="shared" ref="AF98:AF103" si="30">IF(AND($AA98="",AD98=""),"",$AA98-AD98)</f>
        <v>0</v>
      </c>
      <c r="AG98" s="138"/>
      <c r="AH98" s="142" t="str">
        <f t="shared" ref="AH98:AH103" si="31">IF(AG98=0,"",IFERROR(AG98/AG$19,""))</f>
        <v/>
      </c>
      <c r="AI98" s="141">
        <f t="shared" ref="AI98:AI103" si="32">IF(AND($AA98="",AG98=""),"",$AA98-AG98)</f>
        <v>0</v>
      </c>
    </row>
    <row r="99" spans="1:35" x14ac:dyDescent="0.2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38"/>
      <c r="P99" s="138"/>
      <c r="Q99" s="138"/>
      <c r="R99" s="138"/>
      <c r="S99" s="138"/>
      <c r="T99" s="138"/>
      <c r="U99" s="138"/>
      <c r="V99" s="138"/>
      <c r="W99" s="138"/>
      <c r="X99" s="138"/>
      <c r="Y99" s="138"/>
      <c r="Z99" s="138"/>
      <c r="AA99" s="138">
        <f t="shared" si="27"/>
        <v>0</v>
      </c>
      <c r="AB99" s="142" t="str">
        <f t="shared" si="28"/>
        <v/>
      </c>
      <c r="AC99" s="140"/>
      <c r="AD99" s="138"/>
      <c r="AE99" s="142" t="str">
        <f t="shared" si="29"/>
        <v/>
      </c>
      <c r="AF99" s="141">
        <f t="shared" si="30"/>
        <v>0</v>
      </c>
      <c r="AG99" s="138"/>
      <c r="AH99" s="142" t="str">
        <f t="shared" si="31"/>
        <v/>
      </c>
      <c r="AI99" s="141">
        <f t="shared" si="32"/>
        <v>0</v>
      </c>
    </row>
    <row r="100" spans="1:35" x14ac:dyDescent="0.2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38"/>
      <c r="P100" s="138"/>
      <c r="Q100" s="138"/>
      <c r="R100" s="138"/>
      <c r="S100" s="138"/>
      <c r="T100" s="138"/>
      <c r="U100" s="138"/>
      <c r="V100" s="138"/>
      <c r="W100" s="138"/>
      <c r="X100" s="138"/>
      <c r="Y100" s="138"/>
      <c r="Z100" s="138"/>
      <c r="AA100" s="138">
        <f t="shared" si="27"/>
        <v>0</v>
      </c>
      <c r="AB100" s="142" t="str">
        <f t="shared" si="28"/>
        <v/>
      </c>
      <c r="AC100" s="140"/>
      <c r="AD100" s="138"/>
      <c r="AE100" s="142" t="str">
        <f t="shared" si="29"/>
        <v/>
      </c>
      <c r="AF100" s="141">
        <f t="shared" si="30"/>
        <v>0</v>
      </c>
      <c r="AG100" s="138"/>
      <c r="AH100" s="142" t="str">
        <f t="shared" si="31"/>
        <v/>
      </c>
      <c r="AI100" s="141">
        <f t="shared" si="32"/>
        <v>0</v>
      </c>
    </row>
    <row r="101" spans="1:35" x14ac:dyDescent="0.25">
      <c r="A101" s="11"/>
      <c r="B101" s="11"/>
      <c r="C101" s="208"/>
      <c r="D101" s="11"/>
      <c r="E101" s="11"/>
      <c r="F101" s="11"/>
      <c r="G101" s="11"/>
      <c r="H101" s="185" t="s">
        <v>308</v>
      </c>
      <c r="I101" s="122"/>
      <c r="J101" s="122"/>
      <c r="K101" s="11"/>
      <c r="L101" s="90" t="str">
        <f>IF(_epmOfflineCondition_,"464200",_xll.EVPRO($B$1,H101,"JDEID"))</f>
        <v>464200</v>
      </c>
      <c r="M101" s="90" t="str">
        <f>IF(_epmOfflineCondition_,"",IF(AND(I101="N",J101="N"),_xll.EVPRO($B$1,H101,"PSFTID"),""))</f>
        <v/>
      </c>
      <c r="N101" s="90" t="str">
        <f>IF(_epmOfflineCondition_,"Bar Liquor",IF(_xll.EVDES(H101,$B$1)="#NODATA","",_xll.EVDES(H101,$B$1)))</f>
        <v>Bar Liquor</v>
      </c>
      <c r="O101" s="138"/>
      <c r="P101" s="138"/>
      <c r="Q101" s="138"/>
      <c r="R101" s="138"/>
      <c r="S101" s="138"/>
      <c r="T101" s="138"/>
      <c r="U101" s="138"/>
      <c r="V101" s="138"/>
      <c r="W101" s="138"/>
      <c r="X101" s="138"/>
      <c r="Y101" s="138"/>
      <c r="Z101" s="138"/>
      <c r="AA101" s="138">
        <f t="shared" si="27"/>
        <v>0</v>
      </c>
      <c r="AB101" s="142" t="str">
        <f t="shared" si="28"/>
        <v/>
      </c>
      <c r="AC101" s="140"/>
      <c r="AD101" s="138"/>
      <c r="AE101" s="142" t="str">
        <f t="shared" si="29"/>
        <v/>
      </c>
      <c r="AF101" s="141">
        <f t="shared" si="30"/>
        <v>0</v>
      </c>
      <c r="AG101" s="138"/>
      <c r="AH101" s="142" t="str">
        <f t="shared" si="31"/>
        <v/>
      </c>
      <c r="AI101" s="141">
        <f t="shared" si="32"/>
        <v>0</v>
      </c>
    </row>
    <row r="102" spans="1:35" x14ac:dyDescent="0.25">
      <c r="A102" s="11"/>
      <c r="B102" s="11"/>
      <c r="C102" s="208"/>
      <c r="D102" s="11"/>
      <c r="E102" s="11"/>
      <c r="F102" s="11"/>
      <c r="G102" s="11"/>
      <c r="H102" s="185" t="s">
        <v>321</v>
      </c>
      <c r="I102" s="122"/>
      <c r="J102" s="122"/>
      <c r="K102" s="11"/>
      <c r="L102" s="90" t="str">
        <f>IF(_epmOfflineCondition_,"465200",_xll.EVPRO($B$1,H102,"JDEID"))</f>
        <v>465200</v>
      </c>
      <c r="M102" s="90" t="str">
        <f>IF(_epmOfflineCondition_,"",IF(AND(I102="N",J102="N"),_xll.EVPRO($B$1,H102,"PSFTID"),""))</f>
        <v/>
      </c>
      <c r="N102" s="90" t="str">
        <f>IF(_epmOfflineCondition_,"Private Dining Liquor",IF(_xll.EVDES(H102,$B$1)="#NODATA","",_xll.EVDES(H102,$B$1)))</f>
        <v>Private Dining Liquor</v>
      </c>
      <c r="O102" s="138"/>
      <c r="P102" s="138"/>
      <c r="Q102" s="138"/>
      <c r="R102" s="138"/>
      <c r="S102" s="138"/>
      <c r="T102" s="138"/>
      <c r="U102" s="138"/>
      <c r="V102" s="138"/>
      <c r="W102" s="138"/>
      <c r="X102" s="138"/>
      <c r="Y102" s="138"/>
      <c r="Z102" s="138"/>
      <c r="AA102" s="138">
        <f t="shared" si="27"/>
        <v>0</v>
      </c>
      <c r="AB102" s="142" t="str">
        <f t="shared" si="28"/>
        <v/>
      </c>
      <c r="AC102" s="140"/>
      <c r="AD102" s="138"/>
      <c r="AE102" s="142" t="str">
        <f t="shared" si="29"/>
        <v/>
      </c>
      <c r="AF102" s="141">
        <f t="shared" si="30"/>
        <v>0</v>
      </c>
      <c r="AG102" s="138"/>
      <c r="AH102" s="142" t="str">
        <f t="shared" si="31"/>
        <v/>
      </c>
      <c r="AI102" s="141">
        <f t="shared" si="32"/>
        <v>0</v>
      </c>
    </row>
    <row r="103" spans="1:35" x14ac:dyDescent="0.25">
      <c r="A103" s="11"/>
      <c r="B103" s="11"/>
      <c r="C103" s="208"/>
      <c r="D103" s="11"/>
      <c r="E103" s="11"/>
      <c r="F103" s="11"/>
      <c r="G103" s="11"/>
      <c r="H103" s="185" t="s">
        <v>340</v>
      </c>
      <c r="I103" s="122"/>
      <c r="J103" s="122"/>
      <c r="K103" s="11"/>
      <c r="L103" s="90" t="str">
        <f>IF(_epmOfflineCondition_,"",_xll.EVPRO($B$1,H103,"JDEID"))</f>
        <v/>
      </c>
      <c r="M103" s="90" t="str">
        <f>IF(_epmOfflineCondition_,"",IF(AND(I103="N",J103="N"),_xll.EVPRO($B$1,H103,"PSFTID"),""))</f>
        <v/>
      </c>
      <c r="N103" s="106" t="str">
        <f>IF(_epmOfflineCondition_,"Liquor Revenue ",IF(_xll.EVDES(H103,$B$1)="#NODATA","",_xll.EVDES(H103,$B$1)))</f>
        <v xml:space="preserve">Liquor Revenue </v>
      </c>
      <c r="O103" s="162"/>
      <c r="P103" s="162"/>
      <c r="Q103" s="162"/>
      <c r="R103" s="162"/>
      <c r="S103" s="162"/>
      <c r="T103" s="162"/>
      <c r="U103" s="162"/>
      <c r="V103" s="162"/>
      <c r="W103" s="162"/>
      <c r="X103" s="162"/>
      <c r="Y103" s="162"/>
      <c r="Z103" s="162"/>
      <c r="AA103" s="162">
        <f t="shared" si="27"/>
        <v>0</v>
      </c>
      <c r="AB103" s="163" t="str">
        <f t="shared" si="28"/>
        <v/>
      </c>
      <c r="AC103" s="140"/>
      <c r="AD103" s="162"/>
      <c r="AE103" s="163" t="str">
        <f t="shared" si="29"/>
        <v/>
      </c>
      <c r="AF103" s="164">
        <f t="shared" si="30"/>
        <v>0</v>
      </c>
      <c r="AG103" s="162"/>
      <c r="AH103" s="163" t="str">
        <f t="shared" si="31"/>
        <v/>
      </c>
      <c r="AI103" s="164">
        <f t="shared" si="32"/>
        <v>0</v>
      </c>
    </row>
    <row r="104" spans="1:35" x14ac:dyDescent="0.25">
      <c r="A104" s="11"/>
      <c r="B104" s="11"/>
      <c r="C104" s="208"/>
      <c r="D104" s="11"/>
      <c r="E104" s="11"/>
      <c r="F104" s="11"/>
      <c r="G104" s="11"/>
      <c r="H104" s="185"/>
      <c r="I104" s="122"/>
      <c r="J104" s="122"/>
      <c r="K104" s="11"/>
      <c r="L104" s="90"/>
      <c r="M104" s="90"/>
      <c r="N104" s="53"/>
      <c r="O104" s="170"/>
      <c r="P104" s="171"/>
      <c r="Q104" s="171"/>
      <c r="R104" s="171"/>
      <c r="S104" s="171"/>
      <c r="T104" s="171"/>
      <c r="U104" s="171"/>
      <c r="V104" s="171"/>
      <c r="W104" s="171"/>
      <c r="X104" s="171"/>
      <c r="Y104" s="171"/>
      <c r="Z104" s="171"/>
      <c r="AA104" s="171"/>
      <c r="AB104" s="172"/>
      <c r="AC104" s="140"/>
      <c r="AD104" s="170"/>
      <c r="AE104" s="171"/>
      <c r="AF104" s="172"/>
      <c r="AG104" s="170"/>
      <c r="AH104" s="171"/>
      <c r="AI104" s="172"/>
    </row>
    <row r="105" spans="1:35" x14ac:dyDescent="0.25">
      <c r="A105" s="11"/>
      <c r="B105" s="11"/>
      <c r="C105" s="208"/>
      <c r="D105" s="11"/>
      <c r="E105" s="11"/>
      <c r="F105" s="11"/>
      <c r="G105" s="11"/>
      <c r="H105" s="185"/>
      <c r="I105" s="122"/>
      <c r="J105" s="122"/>
      <c r="K105" s="11"/>
      <c r="L105" s="90"/>
      <c r="M105" s="90"/>
      <c r="N105" s="53" t="s">
        <v>339</v>
      </c>
      <c r="O105" s="158"/>
      <c r="P105" s="159"/>
      <c r="Q105" s="159"/>
      <c r="R105" s="159"/>
      <c r="S105" s="159"/>
      <c r="T105" s="159"/>
      <c r="U105" s="159"/>
      <c r="V105" s="159"/>
      <c r="W105" s="159"/>
      <c r="X105" s="159"/>
      <c r="Y105" s="159"/>
      <c r="Z105" s="159"/>
      <c r="AA105" s="159"/>
      <c r="AB105" s="160"/>
      <c r="AC105" s="140"/>
      <c r="AD105" s="158"/>
      <c r="AE105" s="159"/>
      <c r="AF105" s="160"/>
      <c r="AG105" s="158"/>
      <c r="AH105" s="159"/>
      <c r="AI105" s="160"/>
    </row>
    <row r="106" spans="1:35" x14ac:dyDescent="0.25">
      <c r="A106" s="11"/>
      <c r="B106" s="11"/>
      <c r="C106" s="208"/>
      <c r="D106" s="11"/>
      <c r="E106" s="11"/>
      <c r="F106" s="11"/>
      <c r="G106" s="11"/>
      <c r="H106" s="185" t="s">
        <v>295</v>
      </c>
      <c r="I106" s="122"/>
      <c r="J106" s="122"/>
      <c r="K106" s="11"/>
      <c r="L106" s="90" t="str">
        <f>IF(_epmOfflineCondition_,"461300",_xll.EVPRO($B$1,H106,"JDEID"))</f>
        <v>461300</v>
      </c>
      <c r="M106" s="90" t="str">
        <f>IF(_epmOfflineCondition_,"",IF(AND(I106="N",J106="N"),_xll.EVPRO($B$1,H106,"PSFTID"),""))</f>
        <v/>
      </c>
      <c r="N106" s="90" t="str">
        <f>IF(_epmOfflineCondition_,"Breakfast Beer",IF(_xll.EVDES(H106,$B$1)="#NODATA","",_xll.EVDES(H106,$B$1)))</f>
        <v>Breakfast Beer</v>
      </c>
      <c r="O106" s="138"/>
      <c r="P106" s="138"/>
      <c r="Q106" s="138"/>
      <c r="R106" s="138"/>
      <c r="S106" s="138"/>
      <c r="T106" s="138"/>
      <c r="U106" s="138"/>
      <c r="V106" s="138"/>
      <c r="W106" s="138"/>
      <c r="X106" s="138"/>
      <c r="Y106" s="138"/>
      <c r="Z106" s="138"/>
      <c r="AA106" s="138">
        <f t="shared" ref="AA106:AA111" si="33">SUM(O106:Z106)</f>
        <v>0</v>
      </c>
      <c r="AB106" s="142" t="str">
        <f t="shared" ref="AB106:AB111" si="34">IF(AA106=0,"",IFERROR(AA106/AA$19,""))</f>
        <v/>
      </c>
      <c r="AC106" s="140"/>
      <c r="AD106" s="138"/>
      <c r="AE106" s="142" t="str">
        <f t="shared" ref="AE106:AE111" si="35">IF(AD106=0,"",IFERROR(AD106/AD$19,""))</f>
        <v/>
      </c>
      <c r="AF106" s="141">
        <f t="shared" ref="AF106:AF111" si="36">IF(AND($AA106="",AD106=""),"",$AA106-AD106)</f>
        <v>0</v>
      </c>
      <c r="AG106" s="138"/>
      <c r="AH106" s="142" t="str">
        <f t="shared" ref="AH106:AH111" si="37">IF(AG106=0,"",IFERROR(AG106/AG$19,""))</f>
        <v/>
      </c>
      <c r="AI106" s="141">
        <f t="shared" ref="AI106:AI111" si="38">IF(AND($AA106="",AG106=""),"",$AA106-AG106)</f>
        <v>0</v>
      </c>
    </row>
    <row r="107" spans="1:35" x14ac:dyDescent="0.25">
      <c r="A107" s="11"/>
      <c r="B107" s="11"/>
      <c r="C107" s="208"/>
      <c r="D107" s="11"/>
      <c r="E107" s="11"/>
      <c r="F107" s="11"/>
      <c r="G107" s="11"/>
      <c r="H107" s="185" t="s">
        <v>305</v>
      </c>
      <c r="I107" s="122"/>
      <c r="J107" s="122"/>
      <c r="K107" s="11"/>
      <c r="L107" s="90" t="str">
        <f>IF(_epmOfflineCondition_,"462300",_xll.EVPRO($B$1,H107,"JDEID"))</f>
        <v>462300</v>
      </c>
      <c r="M107" s="90" t="str">
        <f>IF(_epmOfflineCondition_,"",IF(AND(I107="N",J107="N"),_xll.EVPRO($B$1,H107,"PSFTID"),""))</f>
        <v/>
      </c>
      <c r="N107" s="90" t="str">
        <f>IF(_epmOfflineCondition_,"Lunch Beer",IF(_xll.EVDES(H107,$B$1)="#NODATA","",_xll.EVDES(H107,$B$1)))</f>
        <v>Lunch Beer</v>
      </c>
      <c r="O107" s="138"/>
      <c r="P107" s="138"/>
      <c r="Q107" s="138"/>
      <c r="R107" s="138"/>
      <c r="S107" s="138"/>
      <c r="T107" s="138"/>
      <c r="U107" s="138"/>
      <c r="V107" s="138"/>
      <c r="W107" s="138"/>
      <c r="X107" s="138"/>
      <c r="Y107" s="138"/>
      <c r="Z107" s="138"/>
      <c r="AA107" s="138">
        <f t="shared" si="33"/>
        <v>0</v>
      </c>
      <c r="AB107" s="142" t="str">
        <f t="shared" si="34"/>
        <v/>
      </c>
      <c r="AC107" s="140"/>
      <c r="AD107" s="138"/>
      <c r="AE107" s="142" t="str">
        <f t="shared" si="35"/>
        <v/>
      </c>
      <c r="AF107" s="141">
        <f t="shared" si="36"/>
        <v>0</v>
      </c>
      <c r="AG107" s="138"/>
      <c r="AH107" s="142" t="str">
        <f t="shared" si="37"/>
        <v/>
      </c>
      <c r="AI107" s="141">
        <f t="shared" si="38"/>
        <v>0</v>
      </c>
    </row>
    <row r="108" spans="1:35" x14ac:dyDescent="0.25">
      <c r="A108" s="11"/>
      <c r="B108" s="11"/>
      <c r="C108" s="208"/>
      <c r="D108" s="11"/>
      <c r="E108" s="11"/>
      <c r="F108" s="11"/>
      <c r="G108" s="11"/>
      <c r="H108" s="185" t="s">
        <v>306</v>
      </c>
      <c r="I108" s="122"/>
      <c r="J108" s="122"/>
      <c r="K108" s="11"/>
      <c r="L108" s="90" t="str">
        <f>IF(_epmOfflineCondition_,"463300",_xll.EVPRO($B$1,H108,"JDEID"))</f>
        <v>463300</v>
      </c>
      <c r="M108" s="90" t="str">
        <f>IF(_epmOfflineCondition_,"",IF(AND(I108="N",J108="N"),_xll.EVPRO($B$1,H108,"PSFTID"),""))</f>
        <v/>
      </c>
      <c r="N108" s="90" t="str">
        <f>IF(_epmOfflineCondition_,"Dinner Beer",IF(_xll.EVDES(H108,$B$1)="#NODATA","",_xll.EVDES(H108,$B$1)))</f>
        <v>Dinner Beer</v>
      </c>
      <c r="O108" s="138"/>
      <c r="P108" s="138"/>
      <c r="Q108" s="138"/>
      <c r="R108" s="138"/>
      <c r="S108" s="138"/>
      <c r="T108" s="138"/>
      <c r="U108" s="138"/>
      <c r="V108" s="138"/>
      <c r="W108" s="138"/>
      <c r="X108" s="138"/>
      <c r="Y108" s="138"/>
      <c r="Z108" s="138"/>
      <c r="AA108" s="138">
        <f t="shared" si="33"/>
        <v>0</v>
      </c>
      <c r="AB108" s="142" t="str">
        <f t="shared" si="34"/>
        <v/>
      </c>
      <c r="AC108" s="140"/>
      <c r="AD108" s="138"/>
      <c r="AE108" s="142" t="str">
        <f t="shared" si="35"/>
        <v/>
      </c>
      <c r="AF108" s="141">
        <f t="shared" si="36"/>
        <v>0</v>
      </c>
      <c r="AG108" s="138"/>
      <c r="AH108" s="142" t="str">
        <f t="shared" si="37"/>
        <v/>
      </c>
      <c r="AI108" s="141">
        <f t="shared" si="38"/>
        <v>0</v>
      </c>
    </row>
    <row r="109" spans="1:35" x14ac:dyDescent="0.25">
      <c r="A109" s="11"/>
      <c r="B109" s="11"/>
      <c r="C109" s="208"/>
      <c r="D109" s="11"/>
      <c r="E109" s="11"/>
      <c r="F109" s="11"/>
      <c r="G109" s="11"/>
      <c r="H109" s="185" t="s">
        <v>310</v>
      </c>
      <c r="I109" s="122"/>
      <c r="J109" s="122"/>
      <c r="K109" s="11"/>
      <c r="L109" s="90" t="str">
        <f>IF(_epmOfflineCondition_,"464300",_xll.EVPRO($B$1,H109,"JDEID"))</f>
        <v>464300</v>
      </c>
      <c r="M109" s="90" t="str">
        <f>IF(_epmOfflineCondition_,"",IF(AND(I109="N",J109="N"),_xll.EVPRO($B$1,H109,"PSFTID"),""))</f>
        <v/>
      </c>
      <c r="N109" s="90" t="str">
        <f>IF(_epmOfflineCondition_,"Bar Beer",IF(_xll.EVDES(H109,$B$1)="#NODATA","",_xll.EVDES(H109,$B$1)))</f>
        <v>Bar Beer</v>
      </c>
      <c r="O109" s="138"/>
      <c r="P109" s="138"/>
      <c r="Q109" s="138"/>
      <c r="R109" s="138"/>
      <c r="S109" s="138"/>
      <c r="T109" s="138"/>
      <c r="U109" s="138"/>
      <c r="V109" s="138"/>
      <c r="W109" s="138"/>
      <c r="X109" s="138"/>
      <c r="Y109" s="138"/>
      <c r="Z109" s="138"/>
      <c r="AA109" s="138">
        <f t="shared" si="33"/>
        <v>0</v>
      </c>
      <c r="AB109" s="142" t="str">
        <f t="shared" si="34"/>
        <v/>
      </c>
      <c r="AC109" s="140"/>
      <c r="AD109" s="138"/>
      <c r="AE109" s="142" t="str">
        <f t="shared" si="35"/>
        <v/>
      </c>
      <c r="AF109" s="141">
        <f t="shared" si="36"/>
        <v>0</v>
      </c>
      <c r="AG109" s="138"/>
      <c r="AH109" s="142" t="str">
        <f t="shared" si="37"/>
        <v/>
      </c>
      <c r="AI109" s="141">
        <f t="shared" si="38"/>
        <v>0</v>
      </c>
    </row>
    <row r="110" spans="1:35" x14ac:dyDescent="0.25">
      <c r="A110" s="11"/>
      <c r="B110" s="11"/>
      <c r="C110" s="208"/>
      <c r="D110" s="11"/>
      <c r="E110" s="11"/>
      <c r="F110" s="11"/>
      <c r="G110" s="11"/>
      <c r="H110" s="185" t="s">
        <v>323</v>
      </c>
      <c r="I110" s="122"/>
      <c r="J110" s="122"/>
      <c r="K110" s="11"/>
      <c r="L110" s="90" t="str">
        <f>IF(_epmOfflineCondition_,"465300",_xll.EVPRO($B$1,H110,"JDEID"))</f>
        <v>465300</v>
      </c>
      <c r="M110" s="90" t="str">
        <f>IF(_epmOfflineCondition_,"",IF(AND(I110="N",J110="N"),_xll.EVPRO($B$1,H110,"PSFTID"),""))</f>
        <v/>
      </c>
      <c r="N110" s="90" t="str">
        <f>IF(_epmOfflineCondition_,"Private Dining Beer",IF(_xll.EVDES(H110,$B$1)="#NODATA","",_xll.EVDES(H110,$B$1)))</f>
        <v>Private Dining Beer</v>
      </c>
      <c r="O110" s="138"/>
      <c r="P110" s="138"/>
      <c r="Q110" s="138"/>
      <c r="R110" s="138"/>
      <c r="S110" s="138"/>
      <c r="T110" s="138"/>
      <c r="U110" s="138"/>
      <c r="V110" s="138"/>
      <c r="W110" s="138"/>
      <c r="X110" s="138"/>
      <c r="Y110" s="138"/>
      <c r="Z110" s="138"/>
      <c r="AA110" s="138">
        <f t="shared" si="33"/>
        <v>0</v>
      </c>
      <c r="AB110" s="142" t="str">
        <f t="shared" si="34"/>
        <v/>
      </c>
      <c r="AC110" s="140"/>
      <c r="AD110" s="138"/>
      <c r="AE110" s="142" t="str">
        <f t="shared" si="35"/>
        <v/>
      </c>
      <c r="AF110" s="141">
        <f t="shared" si="36"/>
        <v>0</v>
      </c>
      <c r="AG110" s="138"/>
      <c r="AH110" s="142" t="str">
        <f t="shared" si="37"/>
        <v/>
      </c>
      <c r="AI110" s="141">
        <f t="shared" si="38"/>
        <v>0</v>
      </c>
    </row>
    <row r="111" spans="1:35" x14ac:dyDescent="0.25">
      <c r="A111" s="11"/>
      <c r="B111" s="11"/>
      <c r="C111" s="208"/>
      <c r="D111" s="11"/>
      <c r="E111" s="11"/>
      <c r="F111" s="11"/>
      <c r="G111" s="11"/>
      <c r="H111" s="185" t="s">
        <v>342</v>
      </c>
      <c r="I111" s="122"/>
      <c r="J111" s="122"/>
      <c r="K111" s="11"/>
      <c r="L111" s="90" t="str">
        <f>IF(_epmOfflineCondition_,"",_xll.EVPRO($B$1,H111,"JDEID"))</f>
        <v/>
      </c>
      <c r="M111" s="90" t="str">
        <f>IF(_epmOfflineCondition_,"",IF(AND(I111="N",J111="N"),_xll.EVPRO($B$1,H111,"PSFTID"),""))</f>
        <v/>
      </c>
      <c r="N111" s="106" t="str">
        <f>IF(_epmOfflineCondition_,"Beer Revenue",IF(_xll.EVDES(H111,$B$1)="#NODATA","",_xll.EVDES(H111,$B$1)))</f>
        <v>Beer Revenue</v>
      </c>
      <c r="O111" s="162"/>
      <c r="P111" s="162"/>
      <c r="Q111" s="162"/>
      <c r="R111" s="162"/>
      <c r="S111" s="162"/>
      <c r="T111" s="162"/>
      <c r="U111" s="162"/>
      <c r="V111" s="162"/>
      <c r="W111" s="162"/>
      <c r="X111" s="162"/>
      <c r="Y111" s="162"/>
      <c r="Z111" s="162"/>
      <c r="AA111" s="162">
        <f t="shared" si="33"/>
        <v>0</v>
      </c>
      <c r="AB111" s="163" t="str">
        <f t="shared" si="34"/>
        <v/>
      </c>
      <c r="AC111" s="140"/>
      <c r="AD111" s="162"/>
      <c r="AE111" s="163" t="str">
        <f t="shared" si="35"/>
        <v/>
      </c>
      <c r="AF111" s="164">
        <f t="shared" si="36"/>
        <v>0</v>
      </c>
      <c r="AG111" s="162"/>
      <c r="AH111" s="163" t="str">
        <f t="shared" si="37"/>
        <v/>
      </c>
      <c r="AI111" s="164">
        <f t="shared" si="38"/>
        <v>0</v>
      </c>
    </row>
    <row r="112" spans="1:35" x14ac:dyDescent="0.25">
      <c r="A112" s="11"/>
      <c r="B112" s="11"/>
      <c r="C112" s="208"/>
      <c r="D112" s="11"/>
      <c r="E112" s="11"/>
      <c r="F112" s="11"/>
      <c r="G112" s="11"/>
      <c r="H112" s="185"/>
      <c r="I112" s="122"/>
      <c r="J112" s="122"/>
      <c r="K112" s="11"/>
      <c r="L112" s="90"/>
      <c r="M112" s="90"/>
      <c r="N112" s="53"/>
      <c r="O112" s="170"/>
      <c r="P112" s="171"/>
      <c r="Q112" s="171"/>
      <c r="R112" s="171"/>
      <c r="S112" s="171"/>
      <c r="T112" s="171"/>
      <c r="U112" s="171"/>
      <c r="V112" s="171"/>
      <c r="W112" s="171"/>
      <c r="X112" s="171"/>
      <c r="Y112" s="171"/>
      <c r="Z112" s="171"/>
      <c r="AA112" s="171"/>
      <c r="AB112" s="172"/>
      <c r="AC112" s="140"/>
      <c r="AD112" s="170"/>
      <c r="AE112" s="171"/>
      <c r="AF112" s="172"/>
      <c r="AG112" s="170"/>
      <c r="AH112" s="171"/>
      <c r="AI112" s="172"/>
    </row>
    <row r="113" spans="1:35" x14ac:dyDescent="0.25">
      <c r="A113" s="11"/>
      <c r="B113" s="11"/>
      <c r="C113" s="208"/>
      <c r="D113" s="11"/>
      <c r="E113" s="11"/>
      <c r="F113" s="11"/>
      <c r="G113" s="11"/>
      <c r="H113" s="185"/>
      <c r="I113" s="122"/>
      <c r="J113" s="122"/>
      <c r="K113" s="11"/>
      <c r="L113" s="90"/>
      <c r="M113" s="90"/>
      <c r="N113" s="53" t="s">
        <v>338</v>
      </c>
      <c r="O113" s="158"/>
      <c r="P113" s="159"/>
      <c r="Q113" s="159"/>
      <c r="R113" s="159"/>
      <c r="S113" s="159"/>
      <c r="T113" s="159"/>
      <c r="U113" s="159"/>
      <c r="V113" s="159"/>
      <c r="W113" s="159"/>
      <c r="X113" s="159"/>
      <c r="Y113" s="159"/>
      <c r="Z113" s="159"/>
      <c r="AA113" s="159"/>
      <c r="AB113" s="160"/>
      <c r="AC113" s="140"/>
      <c r="AD113" s="158"/>
      <c r="AE113" s="159"/>
      <c r="AF113" s="160"/>
      <c r="AG113" s="158"/>
      <c r="AH113" s="159"/>
      <c r="AI113" s="160"/>
    </row>
    <row r="114" spans="1:35" x14ac:dyDescent="0.25">
      <c r="A114" s="11"/>
      <c r="B114" s="11"/>
      <c r="C114" s="208"/>
      <c r="D114" s="11"/>
      <c r="E114" s="11"/>
      <c r="F114" s="11"/>
      <c r="G114" s="11"/>
      <c r="H114" s="185" t="s">
        <v>296</v>
      </c>
      <c r="I114" s="122"/>
      <c r="J114" s="122"/>
      <c r="K114" s="11"/>
      <c r="L114" s="90" t="str">
        <f>IF(_epmOfflineCondition_,"461400",_xll.EVPRO($B$1,H114,"JDEID"))</f>
        <v>461400</v>
      </c>
      <c r="M114" s="90" t="str">
        <f>IF(_epmOfflineCondition_,"",IF(AND(I114="N",J114="N"),_xll.EVPRO($B$1,H114,"PSFTID"),""))</f>
        <v/>
      </c>
      <c r="N114" s="90" t="str">
        <f>IF(_epmOfflineCondition_,"Breakfast Wine",IF(_xll.EVDES(H114,$B$1)="#NODATA","",_xll.EVDES(H114,$B$1)))</f>
        <v>Breakfast Wine</v>
      </c>
      <c r="O114" s="138"/>
      <c r="P114" s="138"/>
      <c r="Q114" s="138"/>
      <c r="R114" s="138"/>
      <c r="S114" s="138"/>
      <c r="T114" s="138"/>
      <c r="U114" s="138"/>
      <c r="V114" s="138"/>
      <c r="W114" s="138"/>
      <c r="X114" s="138"/>
      <c r="Y114" s="138"/>
      <c r="Z114" s="138"/>
      <c r="AA114" s="138">
        <f t="shared" ref="AA114:AA119" si="39">SUM(O114:Z114)</f>
        <v>0</v>
      </c>
      <c r="AB114" s="142" t="str">
        <f t="shared" ref="AB114:AB119" si="40">IF(AA114=0,"",IFERROR(AA114/AA$19,""))</f>
        <v/>
      </c>
      <c r="AC114" s="140"/>
      <c r="AD114" s="138"/>
      <c r="AE114" s="142" t="str">
        <f t="shared" ref="AE114:AE119" si="41">IF(AD114=0,"",IFERROR(AD114/AD$19,""))</f>
        <v/>
      </c>
      <c r="AF114" s="141">
        <f t="shared" ref="AF114:AF119" si="42">IF(AND($AA114="",AD114=""),"",$AA114-AD114)</f>
        <v>0</v>
      </c>
      <c r="AG114" s="138"/>
      <c r="AH114" s="142" t="str">
        <f t="shared" ref="AH114:AH119" si="43">IF(AG114=0,"",IFERROR(AG114/AG$19,""))</f>
        <v/>
      </c>
      <c r="AI114" s="141">
        <f t="shared" ref="AI114:AI119" si="44">IF(AND($AA114="",AG114=""),"",$AA114-AG114)</f>
        <v>0</v>
      </c>
    </row>
    <row r="115" spans="1:35" x14ac:dyDescent="0.25">
      <c r="A115" s="11"/>
      <c r="B115" s="11"/>
      <c r="C115" s="208"/>
      <c r="D115" s="11"/>
      <c r="E115" s="11"/>
      <c r="F115" s="11"/>
      <c r="G115" s="11"/>
      <c r="H115" s="185" t="s">
        <v>303</v>
      </c>
      <c r="I115" s="122"/>
      <c r="J115" s="122"/>
      <c r="K115" s="11"/>
      <c r="L115" s="90" t="str">
        <f>IF(_epmOfflineCondition_,"462400",_xll.EVPRO($B$1,H115,"JDEID"))</f>
        <v>462400</v>
      </c>
      <c r="M115" s="90" t="str">
        <f>IF(_epmOfflineCondition_,"",IF(AND(I115="N",J115="N"),_xll.EVPRO($B$1,H115,"PSFTID"),""))</f>
        <v/>
      </c>
      <c r="N115" s="90" t="str">
        <f>IF(_epmOfflineCondition_,"Lunch Wine",IF(_xll.EVDES(H115,$B$1)="#NODATA","",_xll.EVDES(H115,$B$1)))</f>
        <v>Lunch Wine</v>
      </c>
      <c r="O115" s="138"/>
      <c r="P115" s="138"/>
      <c r="Q115" s="138"/>
      <c r="R115" s="138"/>
      <c r="S115" s="138"/>
      <c r="T115" s="138"/>
      <c r="U115" s="138"/>
      <c r="V115" s="138"/>
      <c r="W115" s="138"/>
      <c r="X115" s="138"/>
      <c r="Y115" s="138"/>
      <c r="Z115" s="138"/>
      <c r="AA115" s="138">
        <f t="shared" si="39"/>
        <v>0</v>
      </c>
      <c r="AB115" s="142" t="str">
        <f t="shared" si="40"/>
        <v/>
      </c>
      <c r="AC115" s="140"/>
      <c r="AD115" s="138"/>
      <c r="AE115" s="142" t="str">
        <f t="shared" si="41"/>
        <v/>
      </c>
      <c r="AF115" s="141">
        <f t="shared" si="42"/>
        <v>0</v>
      </c>
      <c r="AG115" s="138"/>
      <c r="AH115" s="142" t="str">
        <f t="shared" si="43"/>
        <v/>
      </c>
      <c r="AI115" s="141">
        <f t="shared" si="44"/>
        <v>0</v>
      </c>
    </row>
    <row r="116" spans="1:35" x14ac:dyDescent="0.25">
      <c r="A116" s="11"/>
      <c r="B116" s="11"/>
      <c r="C116" s="208"/>
      <c r="D116" s="11"/>
      <c r="E116" s="11"/>
      <c r="F116" s="11"/>
      <c r="G116" s="11"/>
      <c r="H116" s="185" t="s">
        <v>304</v>
      </c>
      <c r="I116" s="122"/>
      <c r="J116" s="122"/>
      <c r="K116" s="11"/>
      <c r="L116" s="90" t="str">
        <f>IF(_epmOfflineCondition_,"463400",_xll.EVPRO($B$1,H116,"JDEID"))</f>
        <v>463400</v>
      </c>
      <c r="M116" s="90" t="str">
        <f>IF(_epmOfflineCondition_,"",IF(AND(I116="N",J116="N"),_xll.EVPRO($B$1,H116,"PSFTID"),""))</f>
        <v/>
      </c>
      <c r="N116" s="90" t="str">
        <f>IF(_epmOfflineCondition_,"Dinner Wine",IF(_xll.EVDES(H116,$B$1)="#NODATA","",_xll.EVDES(H116,$B$1)))</f>
        <v>Dinner Wine</v>
      </c>
      <c r="O116" s="138"/>
      <c r="P116" s="138"/>
      <c r="Q116" s="138"/>
      <c r="R116" s="138"/>
      <c r="S116" s="138"/>
      <c r="T116" s="138"/>
      <c r="U116" s="138"/>
      <c r="V116" s="138"/>
      <c r="W116" s="138"/>
      <c r="X116" s="138"/>
      <c r="Y116" s="138"/>
      <c r="Z116" s="138"/>
      <c r="AA116" s="138">
        <f t="shared" si="39"/>
        <v>0</v>
      </c>
      <c r="AB116" s="142" t="str">
        <f t="shared" si="40"/>
        <v/>
      </c>
      <c r="AC116" s="140"/>
      <c r="AD116" s="138"/>
      <c r="AE116" s="142" t="str">
        <f t="shared" si="41"/>
        <v/>
      </c>
      <c r="AF116" s="141">
        <f t="shared" si="42"/>
        <v>0</v>
      </c>
      <c r="AG116" s="138"/>
      <c r="AH116" s="142" t="str">
        <f t="shared" si="43"/>
        <v/>
      </c>
      <c r="AI116" s="141">
        <f t="shared" si="44"/>
        <v>0</v>
      </c>
    </row>
    <row r="117" spans="1:35" x14ac:dyDescent="0.25">
      <c r="A117" s="11"/>
      <c r="B117" s="11"/>
      <c r="C117" s="208"/>
      <c r="D117" s="11"/>
      <c r="E117" s="11"/>
      <c r="F117" s="11"/>
      <c r="G117" s="11"/>
      <c r="H117" s="185" t="s">
        <v>309</v>
      </c>
      <c r="I117" s="122"/>
      <c r="J117" s="122"/>
      <c r="K117" s="11"/>
      <c r="L117" s="90" t="str">
        <f>IF(_epmOfflineCondition_,"464400",_xll.EVPRO($B$1,H117,"JDEID"))</f>
        <v>464400</v>
      </c>
      <c r="M117" s="90" t="str">
        <f>IF(_epmOfflineCondition_,"",IF(AND(I117="N",J117="N"),_xll.EVPRO($B$1,H117,"PSFTID"),""))</f>
        <v/>
      </c>
      <c r="N117" s="90" t="str">
        <f>IF(_epmOfflineCondition_,"Bar Wine",IF(_xll.EVDES(H117,$B$1)="#NODATA","",_xll.EVDES(H117,$B$1)))</f>
        <v>Bar Wine</v>
      </c>
      <c r="O117" s="138"/>
      <c r="P117" s="138"/>
      <c r="Q117" s="138"/>
      <c r="R117" s="138"/>
      <c r="S117" s="138"/>
      <c r="T117" s="138"/>
      <c r="U117" s="138"/>
      <c r="V117" s="138"/>
      <c r="W117" s="138"/>
      <c r="X117" s="138"/>
      <c r="Y117" s="138"/>
      <c r="Z117" s="138"/>
      <c r="AA117" s="138">
        <f t="shared" si="39"/>
        <v>0</v>
      </c>
      <c r="AB117" s="142" t="str">
        <f t="shared" si="40"/>
        <v/>
      </c>
      <c r="AC117" s="140"/>
      <c r="AD117" s="138"/>
      <c r="AE117" s="142" t="str">
        <f t="shared" si="41"/>
        <v/>
      </c>
      <c r="AF117" s="141">
        <f t="shared" si="42"/>
        <v>0</v>
      </c>
      <c r="AG117" s="138"/>
      <c r="AH117" s="142" t="str">
        <f t="shared" si="43"/>
        <v/>
      </c>
      <c r="AI117" s="141">
        <f t="shared" si="44"/>
        <v>0</v>
      </c>
    </row>
    <row r="118" spans="1:35" x14ac:dyDescent="0.25">
      <c r="A118" s="11"/>
      <c r="B118" s="11"/>
      <c r="C118" s="208"/>
      <c r="D118" s="11"/>
      <c r="E118" s="11"/>
      <c r="F118" s="11"/>
      <c r="G118" s="11"/>
      <c r="H118" s="185" t="s">
        <v>322</v>
      </c>
      <c r="I118" s="122"/>
      <c r="J118" s="122"/>
      <c r="K118" s="11"/>
      <c r="L118" s="90" t="str">
        <f>IF(_epmOfflineCondition_,"465400",_xll.EVPRO($B$1,H118,"JDEID"))</f>
        <v>465400</v>
      </c>
      <c r="M118" s="90" t="str">
        <f>IF(_epmOfflineCondition_,"",IF(AND(I118="N",J118="N"),_xll.EVPRO($B$1,H118,"PSFTID"),""))</f>
        <v/>
      </c>
      <c r="N118" s="90" t="str">
        <f>IF(_epmOfflineCondition_,"Private Dining Wine",IF(_xll.EVDES(H118,$B$1)="#NODATA","",_xll.EVDES(H118,$B$1)))</f>
        <v>Private Dining Wine</v>
      </c>
      <c r="O118" s="138"/>
      <c r="P118" s="138"/>
      <c r="Q118" s="138"/>
      <c r="R118" s="138"/>
      <c r="S118" s="138"/>
      <c r="T118" s="138"/>
      <c r="U118" s="138"/>
      <c r="V118" s="138"/>
      <c r="W118" s="138"/>
      <c r="X118" s="138"/>
      <c r="Y118" s="138"/>
      <c r="Z118" s="138"/>
      <c r="AA118" s="138">
        <f t="shared" si="39"/>
        <v>0</v>
      </c>
      <c r="AB118" s="142" t="str">
        <f t="shared" si="40"/>
        <v/>
      </c>
      <c r="AC118" s="140"/>
      <c r="AD118" s="138"/>
      <c r="AE118" s="142" t="str">
        <f t="shared" si="41"/>
        <v/>
      </c>
      <c r="AF118" s="141">
        <f t="shared" si="42"/>
        <v>0</v>
      </c>
      <c r="AG118" s="138"/>
      <c r="AH118" s="142" t="str">
        <f t="shared" si="43"/>
        <v/>
      </c>
      <c r="AI118" s="141">
        <f t="shared" si="44"/>
        <v>0</v>
      </c>
    </row>
    <row r="119" spans="1:35" x14ac:dyDescent="0.25">
      <c r="A119" s="11"/>
      <c r="B119" s="11"/>
      <c r="C119" s="208"/>
      <c r="D119" s="11"/>
      <c r="E119" s="11"/>
      <c r="F119" s="11"/>
      <c r="G119" s="11"/>
      <c r="H119" s="185" t="s">
        <v>341</v>
      </c>
      <c r="I119" s="122"/>
      <c r="J119" s="122"/>
      <c r="K119" s="11"/>
      <c r="L119" s="90" t="str">
        <f>IF(_epmOfflineCondition_,"",_xll.EVPRO($B$1,H119,"JDEID"))</f>
        <v/>
      </c>
      <c r="M119" s="90" t="str">
        <f>IF(_epmOfflineCondition_,"",IF(AND(I119="N",J119="N"),_xll.EVPRO($B$1,H119,"PSFTID"),""))</f>
        <v/>
      </c>
      <c r="N119" s="106" t="str">
        <f>IF(_epmOfflineCondition_,"Wine Revenue",IF(_xll.EVDES(H119,$B$1)="#NODATA","",_xll.EVDES(H119,$B$1)))</f>
        <v>Wine Revenue</v>
      </c>
      <c r="O119" s="162"/>
      <c r="P119" s="162"/>
      <c r="Q119" s="162"/>
      <c r="R119" s="162"/>
      <c r="S119" s="162"/>
      <c r="T119" s="162"/>
      <c r="U119" s="162"/>
      <c r="V119" s="162"/>
      <c r="W119" s="162"/>
      <c r="X119" s="162"/>
      <c r="Y119" s="162"/>
      <c r="Z119" s="162"/>
      <c r="AA119" s="162">
        <f t="shared" si="39"/>
        <v>0</v>
      </c>
      <c r="AB119" s="163" t="str">
        <f t="shared" si="40"/>
        <v/>
      </c>
      <c r="AC119" s="140"/>
      <c r="AD119" s="162"/>
      <c r="AE119" s="163" t="str">
        <f t="shared" si="41"/>
        <v/>
      </c>
      <c r="AF119" s="164">
        <f t="shared" si="42"/>
        <v>0</v>
      </c>
      <c r="AG119" s="162"/>
      <c r="AH119" s="163" t="str">
        <f t="shared" si="43"/>
        <v/>
      </c>
      <c r="AI119" s="164">
        <f t="shared" si="44"/>
        <v>0</v>
      </c>
    </row>
    <row r="120" spans="1:35" x14ac:dyDescent="0.25">
      <c r="A120" s="11"/>
      <c r="B120" s="11"/>
      <c r="C120" s="208"/>
      <c r="D120" s="11"/>
      <c r="E120" s="11"/>
      <c r="F120" s="11"/>
      <c r="G120" s="11"/>
      <c r="H120" s="185"/>
      <c r="I120" s="122"/>
      <c r="J120" s="122"/>
      <c r="K120" s="11"/>
      <c r="L120" s="90"/>
      <c r="M120" s="90"/>
      <c r="N120" s="11"/>
      <c r="O120" s="170"/>
      <c r="P120" s="171"/>
      <c r="Q120" s="171"/>
      <c r="R120" s="171"/>
      <c r="S120" s="171"/>
      <c r="T120" s="171"/>
      <c r="U120" s="171"/>
      <c r="V120" s="171"/>
      <c r="W120" s="171"/>
      <c r="X120" s="171"/>
      <c r="Y120" s="171"/>
      <c r="Z120" s="171"/>
      <c r="AA120" s="171"/>
      <c r="AB120" s="172"/>
      <c r="AC120" s="140"/>
      <c r="AD120" s="170"/>
      <c r="AE120" s="171"/>
      <c r="AF120" s="172"/>
      <c r="AG120" s="170"/>
      <c r="AH120" s="171"/>
      <c r="AI120" s="172"/>
    </row>
    <row r="121" spans="1:35" x14ac:dyDescent="0.25">
      <c r="A121" s="11"/>
      <c r="B121" s="11"/>
      <c r="C121" s="208"/>
      <c r="D121" s="11"/>
      <c r="E121" s="11"/>
      <c r="F121" s="11"/>
      <c r="G121" s="11"/>
      <c r="H121" s="88" t="s">
        <v>267</v>
      </c>
      <c r="I121" s="122"/>
      <c r="J121" s="122"/>
      <c r="K121" s="11"/>
      <c r="L121" s="90" t="str">
        <f>IF(_epmOfflineCondition_,"",_xll.EVPRO($B$1,H121,"JDEID"))</f>
        <v/>
      </c>
      <c r="M121" s="90" t="str">
        <f>IF(_epmOfflineCondition_,"",IF(AND(I121="N",J121="N"),_xll.EVPRO($B$1,H121,"PSFTID"),""))</f>
        <v/>
      </c>
      <c r="N121" s="90" t="str">
        <f>IF(_epmOfflineCondition_,"Breakfast  Beverage Revenue",IF(_xll.EVDES(H121,$B$1)="#NODATA","",_xll.EVDES(H121,$B$1)))</f>
        <v>Breakfast  Beverage Revenue</v>
      </c>
      <c r="O121" s="138">
        <f t="shared" ref="O121:Z121" si="45">O98+O106+O114</f>
        <v>0</v>
      </c>
      <c r="P121" s="138">
        <f t="shared" si="45"/>
        <v>0</v>
      </c>
      <c r="Q121" s="138">
        <f t="shared" si="45"/>
        <v>0</v>
      </c>
      <c r="R121" s="138">
        <f t="shared" si="45"/>
        <v>0</v>
      </c>
      <c r="S121" s="138">
        <f t="shared" si="45"/>
        <v>0</v>
      </c>
      <c r="T121" s="138">
        <f t="shared" si="45"/>
        <v>0</v>
      </c>
      <c r="U121" s="138">
        <f t="shared" si="45"/>
        <v>0</v>
      </c>
      <c r="V121" s="138">
        <f t="shared" si="45"/>
        <v>0</v>
      </c>
      <c r="W121" s="138">
        <f t="shared" si="45"/>
        <v>0</v>
      </c>
      <c r="X121" s="138">
        <f t="shared" si="45"/>
        <v>0</v>
      </c>
      <c r="Y121" s="138">
        <f t="shared" si="45"/>
        <v>0</v>
      </c>
      <c r="Z121" s="138">
        <f t="shared" si="45"/>
        <v>0</v>
      </c>
      <c r="AA121" s="138">
        <f t="shared" ref="AA121:AA126" si="46">SUM(O121:Z121)</f>
        <v>0</v>
      </c>
      <c r="AB121" s="142" t="str">
        <f t="shared" ref="AB121:AB126" si="47">IF(AA121=0,"",IFERROR(AA121/AA$19,""))</f>
        <v/>
      </c>
      <c r="AC121" s="140"/>
      <c r="AD121" s="138">
        <f>AD98+AD106+AD114</f>
        <v>0</v>
      </c>
      <c r="AE121" s="142" t="str">
        <f t="shared" ref="AE121:AE126" si="48">IF(AD121=0,"",IFERROR(AD121/AD$19,""))</f>
        <v/>
      </c>
      <c r="AF121" s="141">
        <f t="shared" ref="AF121:AF126" si="49">IF(AND($AA121="",AD121=""),"",$AA121-AD121)</f>
        <v>0</v>
      </c>
      <c r="AG121" s="138">
        <f>AG98+AG106+AG114</f>
        <v>0</v>
      </c>
      <c r="AH121" s="142" t="str">
        <f t="shared" ref="AH121:AH126" si="50">IF(AG121=0,"",IFERROR(AG121/AG$19,""))</f>
        <v/>
      </c>
      <c r="AI121" s="141">
        <f t="shared" ref="AI121:AI126" si="51">IF(AND($AA121="",AG121=""),"",$AA121-AG121)</f>
        <v>0</v>
      </c>
    </row>
    <row r="122" spans="1:35" x14ac:dyDescent="0.25">
      <c r="A122" s="11"/>
      <c r="B122" s="11"/>
      <c r="C122" s="208"/>
      <c r="D122" s="11"/>
      <c r="E122" s="11"/>
      <c r="F122" s="11"/>
      <c r="G122" s="11"/>
      <c r="H122" s="88" t="s">
        <v>268</v>
      </c>
      <c r="I122" s="122"/>
      <c r="J122" s="122"/>
      <c r="K122" s="11"/>
      <c r="L122" s="90" t="str">
        <f>IF(_epmOfflineCondition_,"",_xll.EVPRO($B$1,H122,"JDEID"))</f>
        <v/>
      </c>
      <c r="M122" s="90" t="str">
        <f>IF(_epmOfflineCondition_,"",IF(AND(I122="N",J122="N"),_xll.EVPRO($B$1,H122,"PSFTID"),""))</f>
        <v/>
      </c>
      <c r="N122" s="90" t="str">
        <f>IF(_epmOfflineCondition_,"Lunch Beverage Revenue",IF(_xll.EVDES(H122,$B$1)="#NODATA","",_xll.EVDES(H122,$B$1)))</f>
        <v>Lunch Beverage Revenue</v>
      </c>
      <c r="O122" s="138">
        <f t="shared" ref="O122:Z122" si="52">O99+O107+O115</f>
        <v>0</v>
      </c>
      <c r="P122" s="138">
        <f t="shared" si="52"/>
        <v>0</v>
      </c>
      <c r="Q122" s="138">
        <f t="shared" si="52"/>
        <v>0</v>
      </c>
      <c r="R122" s="138">
        <f t="shared" si="52"/>
        <v>0</v>
      </c>
      <c r="S122" s="138">
        <f t="shared" si="52"/>
        <v>0</v>
      </c>
      <c r="T122" s="138">
        <f t="shared" si="52"/>
        <v>0</v>
      </c>
      <c r="U122" s="138">
        <f t="shared" si="52"/>
        <v>0</v>
      </c>
      <c r="V122" s="138">
        <f t="shared" si="52"/>
        <v>0</v>
      </c>
      <c r="W122" s="138">
        <f t="shared" si="52"/>
        <v>0</v>
      </c>
      <c r="X122" s="138">
        <f t="shared" si="52"/>
        <v>0</v>
      </c>
      <c r="Y122" s="138">
        <f t="shared" si="52"/>
        <v>0</v>
      </c>
      <c r="Z122" s="138">
        <f t="shared" si="52"/>
        <v>0</v>
      </c>
      <c r="AA122" s="138">
        <f t="shared" si="46"/>
        <v>0</v>
      </c>
      <c r="AB122" s="142" t="str">
        <f t="shared" si="47"/>
        <v/>
      </c>
      <c r="AC122" s="140"/>
      <c r="AD122" s="138">
        <f>AD99+AD107+AD115</f>
        <v>0</v>
      </c>
      <c r="AE122" s="142" t="str">
        <f t="shared" si="48"/>
        <v/>
      </c>
      <c r="AF122" s="141">
        <f t="shared" si="49"/>
        <v>0</v>
      </c>
      <c r="AG122" s="138">
        <f>AG99+AG107+AG115</f>
        <v>0</v>
      </c>
      <c r="AH122" s="142" t="str">
        <f t="shared" si="50"/>
        <v/>
      </c>
      <c r="AI122" s="141">
        <f t="shared" si="51"/>
        <v>0</v>
      </c>
    </row>
    <row r="123" spans="1:35" x14ac:dyDescent="0.25">
      <c r="A123" s="11"/>
      <c r="B123" s="11"/>
      <c r="C123" s="208"/>
      <c r="D123" s="11"/>
      <c r="E123" s="11"/>
      <c r="F123" s="11"/>
      <c r="G123" s="11"/>
      <c r="H123" s="185" t="s">
        <v>269</v>
      </c>
      <c r="I123" s="122"/>
      <c r="J123" s="122"/>
      <c r="K123" s="11"/>
      <c r="L123" s="90" t="str">
        <f>IF(_epmOfflineCondition_,"",_xll.EVPRO($B$1,H123,"JDEID"))</f>
        <v/>
      </c>
      <c r="M123" s="90" t="str">
        <f>IF(_epmOfflineCondition_,"",IF(AND(I123="N",J123="N"),_xll.EVPRO($B$1,H123,"PSFTID"),""))</f>
        <v/>
      </c>
      <c r="N123" s="90" t="str">
        <f>IF(_epmOfflineCondition_,"Dinner Beverage Revenue",IF(_xll.EVDES(H123,$B$1)="#NODATA","",_xll.EVDES(H123,$B$1)))</f>
        <v>Dinner Beverage Revenue</v>
      </c>
      <c r="O123" s="138">
        <f t="shared" ref="O123:Z123" si="53">O100+O108+O116</f>
        <v>0</v>
      </c>
      <c r="P123" s="138">
        <f t="shared" si="53"/>
        <v>0</v>
      </c>
      <c r="Q123" s="138">
        <f t="shared" si="53"/>
        <v>0</v>
      </c>
      <c r="R123" s="138">
        <f t="shared" si="53"/>
        <v>0</v>
      </c>
      <c r="S123" s="138">
        <f t="shared" si="53"/>
        <v>0</v>
      </c>
      <c r="T123" s="138">
        <f t="shared" si="53"/>
        <v>0</v>
      </c>
      <c r="U123" s="138">
        <f t="shared" si="53"/>
        <v>0</v>
      </c>
      <c r="V123" s="138">
        <f t="shared" si="53"/>
        <v>0</v>
      </c>
      <c r="W123" s="138">
        <f t="shared" si="53"/>
        <v>0</v>
      </c>
      <c r="X123" s="138">
        <f t="shared" si="53"/>
        <v>0</v>
      </c>
      <c r="Y123" s="138">
        <f t="shared" si="53"/>
        <v>0</v>
      </c>
      <c r="Z123" s="138">
        <f t="shared" si="53"/>
        <v>0</v>
      </c>
      <c r="AA123" s="138">
        <f t="shared" si="46"/>
        <v>0</v>
      </c>
      <c r="AB123" s="142" t="str">
        <f t="shared" si="47"/>
        <v/>
      </c>
      <c r="AC123" s="140"/>
      <c r="AD123" s="138">
        <f>AD100+AD108+AD116</f>
        <v>0</v>
      </c>
      <c r="AE123" s="142" t="str">
        <f t="shared" si="48"/>
        <v/>
      </c>
      <c r="AF123" s="141">
        <f t="shared" si="49"/>
        <v>0</v>
      </c>
      <c r="AG123" s="138">
        <f>AG100+AG108+AG116</f>
        <v>0</v>
      </c>
      <c r="AH123" s="142" t="str">
        <f t="shared" si="50"/>
        <v/>
      </c>
      <c r="AI123" s="141">
        <f t="shared" si="51"/>
        <v>0</v>
      </c>
    </row>
    <row r="124" spans="1:35" x14ac:dyDescent="0.25">
      <c r="A124" s="11"/>
      <c r="B124" s="11"/>
      <c r="C124" s="208"/>
      <c r="D124" s="11"/>
      <c r="E124" s="11"/>
      <c r="F124" s="11"/>
      <c r="G124" s="11"/>
      <c r="H124" s="185" t="s">
        <v>270</v>
      </c>
      <c r="I124" s="122"/>
      <c r="J124" s="122"/>
      <c r="K124" s="11"/>
      <c r="L124" s="90" t="str">
        <f>IF(_epmOfflineCondition_,"",_xll.EVPRO($B$1,H124,"JDEID"))</f>
        <v/>
      </c>
      <c r="M124" s="90" t="str">
        <f>IF(_epmOfflineCondition_,"",IF(AND(I124="N",J124="N"),_xll.EVPRO($B$1,H124,"PSFTID"),""))</f>
        <v/>
      </c>
      <c r="N124" s="90" t="str">
        <f>IF(_epmOfflineCondition_,"Bar Beverage Revenue",IF(_xll.EVDES(H124,$B$1)="#NODATA","",_xll.EVDES(H124,$B$1)))</f>
        <v>Bar Beverage Revenue</v>
      </c>
      <c r="O124" s="138">
        <f t="shared" ref="O124:Z124" si="54">O101+O109+O117</f>
        <v>0</v>
      </c>
      <c r="P124" s="138">
        <f t="shared" si="54"/>
        <v>0</v>
      </c>
      <c r="Q124" s="138">
        <f t="shared" si="54"/>
        <v>0</v>
      </c>
      <c r="R124" s="138">
        <f t="shared" si="54"/>
        <v>0</v>
      </c>
      <c r="S124" s="138">
        <f t="shared" si="54"/>
        <v>0</v>
      </c>
      <c r="T124" s="138">
        <f t="shared" si="54"/>
        <v>0</v>
      </c>
      <c r="U124" s="138">
        <f t="shared" si="54"/>
        <v>0</v>
      </c>
      <c r="V124" s="138">
        <f t="shared" si="54"/>
        <v>0</v>
      </c>
      <c r="W124" s="138">
        <f t="shared" si="54"/>
        <v>0</v>
      </c>
      <c r="X124" s="138">
        <f t="shared" si="54"/>
        <v>0</v>
      </c>
      <c r="Y124" s="138">
        <f t="shared" si="54"/>
        <v>0</v>
      </c>
      <c r="Z124" s="138">
        <f t="shared" si="54"/>
        <v>0</v>
      </c>
      <c r="AA124" s="138">
        <f t="shared" si="46"/>
        <v>0</v>
      </c>
      <c r="AB124" s="142" t="str">
        <f t="shared" si="47"/>
        <v/>
      </c>
      <c r="AC124" s="140"/>
      <c r="AD124" s="138">
        <f>AD101+AD109+AD117</f>
        <v>0</v>
      </c>
      <c r="AE124" s="142" t="str">
        <f t="shared" si="48"/>
        <v/>
      </c>
      <c r="AF124" s="141">
        <f t="shared" si="49"/>
        <v>0</v>
      </c>
      <c r="AG124" s="138">
        <f>AG101+AG109+AG117</f>
        <v>0</v>
      </c>
      <c r="AH124" s="142" t="str">
        <f t="shared" si="50"/>
        <v/>
      </c>
      <c r="AI124" s="141">
        <f t="shared" si="51"/>
        <v>0</v>
      </c>
    </row>
    <row r="125" spans="1:35" x14ac:dyDescent="0.25">
      <c r="A125" s="11"/>
      <c r="B125" s="11"/>
      <c r="C125" s="208"/>
      <c r="D125" s="11"/>
      <c r="E125" s="11"/>
      <c r="F125" s="11"/>
      <c r="G125" s="11"/>
      <c r="H125" s="185" t="s">
        <v>271</v>
      </c>
      <c r="I125" s="122"/>
      <c r="J125" s="122"/>
      <c r="K125" s="11"/>
      <c r="L125" s="90" t="str">
        <f>IF(_epmOfflineCondition_,"",_xll.EVPRO($B$1,H125,"JDEID"))</f>
        <v/>
      </c>
      <c r="M125" s="90" t="str">
        <f>IF(_epmOfflineCondition_,"",IF(AND(I125="N",J125="N"),_xll.EVPRO($B$1,H125,"PSFTID"),""))</f>
        <v/>
      </c>
      <c r="N125" s="90" t="str">
        <f>IF(_epmOfflineCondition_,"Private Dining Beverage Revenue",IF(_xll.EVDES(H125,$B$1)="#NODATA","",_xll.EVDES(H125,$B$1)))</f>
        <v>Private Dining Beverage Revenue</v>
      </c>
      <c r="O125" s="138">
        <f t="shared" ref="O125:Z125" si="55">O102+O110+O118</f>
        <v>0</v>
      </c>
      <c r="P125" s="138">
        <f t="shared" si="55"/>
        <v>0</v>
      </c>
      <c r="Q125" s="138">
        <f t="shared" si="55"/>
        <v>0</v>
      </c>
      <c r="R125" s="138">
        <f t="shared" si="55"/>
        <v>0</v>
      </c>
      <c r="S125" s="138">
        <f t="shared" si="55"/>
        <v>0</v>
      </c>
      <c r="T125" s="138">
        <f t="shared" si="55"/>
        <v>0</v>
      </c>
      <c r="U125" s="138">
        <f t="shared" si="55"/>
        <v>0</v>
      </c>
      <c r="V125" s="138">
        <f t="shared" si="55"/>
        <v>0</v>
      </c>
      <c r="W125" s="138">
        <f t="shared" si="55"/>
        <v>0</v>
      </c>
      <c r="X125" s="138">
        <f t="shared" si="55"/>
        <v>0</v>
      </c>
      <c r="Y125" s="138">
        <f t="shared" si="55"/>
        <v>0</v>
      </c>
      <c r="Z125" s="138">
        <f t="shared" si="55"/>
        <v>0</v>
      </c>
      <c r="AA125" s="138">
        <f t="shared" si="46"/>
        <v>0</v>
      </c>
      <c r="AB125" s="142" t="str">
        <f t="shared" si="47"/>
        <v/>
      </c>
      <c r="AC125" s="140"/>
      <c r="AD125" s="138">
        <f>AD102+AD110+AD118</f>
        <v>0</v>
      </c>
      <c r="AE125" s="142" t="str">
        <f t="shared" si="48"/>
        <v/>
      </c>
      <c r="AF125" s="141">
        <f t="shared" si="49"/>
        <v>0</v>
      </c>
      <c r="AG125" s="138">
        <f>AG102+AG110+AG118</f>
        <v>0</v>
      </c>
      <c r="AH125" s="142" t="str">
        <f t="shared" si="50"/>
        <v/>
      </c>
      <c r="AI125" s="141">
        <f t="shared" si="51"/>
        <v>0</v>
      </c>
    </row>
    <row r="126" spans="1:35" x14ac:dyDescent="0.25">
      <c r="A126" s="11"/>
      <c r="B126" s="11"/>
      <c r="C126" s="208"/>
      <c r="D126" s="11"/>
      <c r="E126" s="11"/>
      <c r="F126" s="11"/>
      <c r="G126" s="11"/>
      <c r="H126" s="88" t="s">
        <v>272</v>
      </c>
      <c r="I126" s="122"/>
      <c r="J126" s="122"/>
      <c r="K126" s="11"/>
      <c r="L126" s="90" t="str">
        <f>IF(_epmOfflineCondition_,"",_xll.EVPRO($B$1,H126,"JDEID"))</f>
        <v/>
      </c>
      <c r="M126" s="90" t="str">
        <f>IF(_epmOfflineCondition_,"",IF(AND(I126="N",J126="N"),_xll.EVPRO($B$1,H126,"PSFTID"),""))</f>
        <v/>
      </c>
      <c r="N126" s="106" t="str">
        <f>IF(_epmOfflineCondition_,"Total Beverage Revenue",IF(_xll.EVDES(H126,$B$1)="#NODATA","",_xll.EVDES(H126,$B$1)))</f>
        <v>Total Beverage Revenue</v>
      </c>
      <c r="O126" s="162">
        <f t="shared" ref="O126:Z126" si="56">SUM(O121:O125)</f>
        <v>0</v>
      </c>
      <c r="P126" s="162">
        <f t="shared" si="56"/>
        <v>0</v>
      </c>
      <c r="Q126" s="162">
        <f t="shared" si="56"/>
        <v>0</v>
      </c>
      <c r="R126" s="162">
        <f t="shared" si="56"/>
        <v>0</v>
      </c>
      <c r="S126" s="162">
        <f t="shared" si="56"/>
        <v>0</v>
      </c>
      <c r="T126" s="162">
        <f t="shared" si="56"/>
        <v>0</v>
      </c>
      <c r="U126" s="162">
        <f t="shared" si="56"/>
        <v>0</v>
      </c>
      <c r="V126" s="162">
        <f t="shared" si="56"/>
        <v>0</v>
      </c>
      <c r="W126" s="162">
        <f t="shared" si="56"/>
        <v>0</v>
      </c>
      <c r="X126" s="162">
        <f t="shared" si="56"/>
        <v>0</v>
      </c>
      <c r="Y126" s="162">
        <f t="shared" si="56"/>
        <v>0</v>
      </c>
      <c r="Z126" s="162">
        <f t="shared" si="56"/>
        <v>0</v>
      </c>
      <c r="AA126" s="162">
        <f t="shared" si="46"/>
        <v>0</v>
      </c>
      <c r="AB126" s="163" t="str">
        <f t="shared" si="47"/>
        <v/>
      </c>
      <c r="AC126" s="140"/>
      <c r="AD126" s="162">
        <f>SUM(AD121:AD125)</f>
        <v>0</v>
      </c>
      <c r="AE126" s="163" t="str">
        <f t="shared" si="48"/>
        <v/>
      </c>
      <c r="AF126" s="164">
        <f t="shared" si="49"/>
        <v>0</v>
      </c>
      <c r="AG126" s="162">
        <f>SUM(AG121:AG125)</f>
        <v>0</v>
      </c>
      <c r="AH126" s="163" t="str">
        <f t="shared" si="50"/>
        <v/>
      </c>
      <c r="AI126" s="164">
        <f t="shared" si="51"/>
        <v>0</v>
      </c>
    </row>
    <row r="127" spans="1:35" x14ac:dyDescent="0.25">
      <c r="A127" s="11"/>
      <c r="B127" s="11"/>
      <c r="C127" s="208"/>
      <c r="D127" s="11"/>
      <c r="E127" s="11"/>
      <c r="F127" s="11"/>
      <c r="G127" s="11"/>
      <c r="H127" s="185"/>
      <c r="I127" s="122"/>
      <c r="J127" s="122"/>
      <c r="K127" s="11"/>
      <c r="L127" s="11"/>
      <c r="M127" s="90"/>
      <c r="N127" s="11"/>
      <c r="O127" s="511">
        <f t="shared" ref="O127:AA127" si="57">O103+O111+O119-O126</f>
        <v>0</v>
      </c>
      <c r="P127" s="511">
        <f t="shared" si="57"/>
        <v>0</v>
      </c>
      <c r="Q127" s="511">
        <f t="shared" si="57"/>
        <v>0</v>
      </c>
      <c r="R127" s="511">
        <f t="shared" si="57"/>
        <v>0</v>
      </c>
      <c r="S127" s="511">
        <f t="shared" si="57"/>
        <v>0</v>
      </c>
      <c r="T127" s="511">
        <f t="shared" si="57"/>
        <v>0</v>
      </c>
      <c r="U127" s="511">
        <f t="shared" si="57"/>
        <v>0</v>
      </c>
      <c r="V127" s="511">
        <f t="shared" si="57"/>
        <v>0</v>
      </c>
      <c r="W127" s="511">
        <f t="shared" si="57"/>
        <v>0</v>
      </c>
      <c r="X127" s="511">
        <f t="shared" si="57"/>
        <v>0</v>
      </c>
      <c r="Y127" s="511">
        <f t="shared" si="57"/>
        <v>0</v>
      </c>
      <c r="Z127" s="511">
        <f t="shared" si="57"/>
        <v>0</v>
      </c>
      <c r="AA127" s="511">
        <f t="shared" si="57"/>
        <v>0</v>
      </c>
      <c r="AB127" s="142"/>
      <c r="AC127" s="140"/>
      <c r="AD127" s="511">
        <f>AD103+AD111+AD119-AD126</f>
        <v>0</v>
      </c>
      <c r="AE127" s="142"/>
      <c r="AF127" s="138"/>
      <c r="AG127" s="511">
        <f>AG103+AG111+AG119-AG126</f>
        <v>0</v>
      </c>
      <c r="AH127" s="142"/>
      <c r="AI127" s="138"/>
    </row>
    <row r="128" spans="1:35" x14ac:dyDescent="0.25">
      <c r="A128" s="11"/>
      <c r="B128" s="11"/>
      <c r="C128" s="208"/>
      <c r="D128" s="11"/>
      <c r="E128" s="11"/>
      <c r="F128" s="11"/>
      <c r="G128" s="11"/>
      <c r="H128" s="185"/>
      <c r="I128" s="122"/>
      <c r="J128" s="122"/>
      <c r="K128" s="11"/>
      <c r="L128" s="11"/>
      <c r="M128" s="11"/>
      <c r="N128" s="11"/>
      <c r="O128" s="170"/>
      <c r="P128" s="171"/>
      <c r="Q128" s="171"/>
      <c r="R128" s="171"/>
      <c r="S128" s="171"/>
      <c r="T128" s="171"/>
      <c r="U128" s="171"/>
      <c r="V128" s="171"/>
      <c r="W128" s="171"/>
      <c r="X128" s="171"/>
      <c r="Y128" s="171"/>
      <c r="Z128" s="171"/>
      <c r="AA128" s="171"/>
      <c r="AB128" s="172"/>
      <c r="AC128" s="140"/>
      <c r="AD128" s="170"/>
      <c r="AE128" s="171"/>
      <c r="AF128" s="172"/>
      <c r="AG128" s="170"/>
      <c r="AH128" s="171"/>
      <c r="AI128" s="172"/>
    </row>
    <row r="129" spans="1:35" ht="15.75" x14ac:dyDescent="0.25">
      <c r="A129" s="11"/>
      <c r="B129" s="11"/>
      <c r="C129" s="208"/>
      <c r="D129" s="11"/>
      <c r="E129" s="11"/>
      <c r="F129" s="11"/>
      <c r="G129" s="11"/>
      <c r="H129" s="185" t="s">
        <v>281</v>
      </c>
      <c r="I129" s="122"/>
      <c r="J129" s="122"/>
      <c r="K129" s="11"/>
      <c r="L129" s="11"/>
      <c r="M129" s="11"/>
      <c r="N129" s="489" t="str">
        <f>IF(_epmOfflineCondition_,"Cost of Sales",IF(_xll.EVDES(H129,$B$1)="#NODATA","",_xll.EVDES(H129,$B$1)))</f>
        <v>Cost of Sales</v>
      </c>
      <c r="O129" s="518"/>
      <c r="P129" s="519"/>
      <c r="Q129" s="519"/>
      <c r="R129" s="519"/>
      <c r="S129" s="519"/>
      <c r="T129" s="519"/>
      <c r="U129" s="519"/>
      <c r="V129" s="519"/>
      <c r="W129" s="519"/>
      <c r="X129" s="519"/>
      <c r="Y129" s="519"/>
      <c r="Z129" s="519"/>
      <c r="AA129" s="519"/>
      <c r="AB129" s="520"/>
      <c r="AC129" s="140"/>
      <c r="AD129" s="518"/>
      <c r="AE129" s="519"/>
      <c r="AF129" s="519"/>
      <c r="AG129" s="519"/>
      <c r="AH129" s="519"/>
      <c r="AI129" s="520"/>
    </row>
    <row r="130" spans="1:35" x14ac:dyDescent="0.25">
      <c r="A130" s="11"/>
      <c r="B130" s="11"/>
      <c r="C130" s="208"/>
      <c r="D130" s="11"/>
      <c r="E130" s="11"/>
      <c r="F130" s="11"/>
      <c r="G130" s="11"/>
      <c r="H130" s="185">
        <v>561100</v>
      </c>
      <c r="I130" s="122"/>
      <c r="J130" s="122"/>
      <c r="K130" s="11"/>
      <c r="L130" s="90" t="str">
        <f>IF(_epmOfflineCondition_,"561100",_xll.EVPRO($B$1,H130,"JDEID"))</f>
        <v>561100</v>
      </c>
      <c r="M130" s="90" t="str">
        <f>IF(_epmOfflineCondition_,"",IF(AND(I130="N",J130="N"),_xll.EVPRO($B$1,H130,"PSFTID"),""))</f>
        <v/>
      </c>
      <c r="N130" s="90" t="str">
        <f>IF(_epmOfflineCondition_,"Cost of Food Sales",IF(_xll.EVDES(H130,$B$1)="#NODATA","",_xll.EVDES(H130,$B$1)))</f>
        <v>Cost of Food Sales</v>
      </c>
      <c r="O130" s="138"/>
      <c r="P130" s="138"/>
      <c r="Q130" s="138"/>
      <c r="R130" s="138">
        <v>7839.57</v>
      </c>
      <c r="S130" s="138">
        <v>-7839.57</v>
      </c>
      <c r="T130" s="138"/>
      <c r="U130" s="138"/>
      <c r="V130" s="138"/>
      <c r="W130" s="138"/>
      <c r="X130" s="138"/>
      <c r="Y130" s="138"/>
      <c r="Z130" s="138"/>
      <c r="AA130" s="138">
        <f>SUM(O130:Z130)</f>
        <v>0</v>
      </c>
      <c r="AB130" s="458" t="str">
        <f>IF(_epmOfflineCondition_,"",IF(AA130=0,"",IFERROR(AA130/_xll.EVGTS($B$1,1,_xll.EVPRO($B$1,$H130,"COSBASIS"),$B$3,$B$5,$B$6,$B$7,$B$9,AA$16,AA$17,AA$11),"")))</f>
        <v/>
      </c>
      <c r="AC130" s="140"/>
      <c r="AD130" s="138"/>
      <c r="AE130" s="458" t="str">
        <f>IF(_epmOfflineCondition_,"",IF(AD130=0,"",IFERROR(AD130/_xll.EVGTS($B$1,1,_xll.EVPRO($B$1,$H130,"COSBASIS"),$B$3,$B$5,$B$6,$B$7,$B$9,AD$16,AD$17,AD$18),"")))</f>
        <v/>
      </c>
      <c r="AF130" s="141">
        <f t="shared" ref="AF130:AF141" si="58">IF(AND($AA130="",AD130=""),"",$AA130-AD130)</f>
        <v>0</v>
      </c>
      <c r="AG130" s="138"/>
      <c r="AH130" s="458" t="str">
        <f>IF(_epmOfflineCondition_,"",IF(AG130=0,"",IFERROR(AG130/_xll.EVGTS($B$1,1,_xll.EVPRO($B$1,$H130,"COSBASIS"),$B$3,$B$5,$B$6,$B$7,$B$9,AG$16,AG$17,AG$18),"")))</f>
        <v/>
      </c>
      <c r="AI130" s="141">
        <f t="shared" ref="AI130:AI141" si="59">IF(AND($AA130="",AG130=""),"",$AA130-AG130)</f>
        <v>0</v>
      </c>
    </row>
    <row r="131" spans="1:35" x14ac:dyDescent="0.25">
      <c r="A131" s="11"/>
      <c r="B131" s="11"/>
      <c r="C131" s="208"/>
      <c r="D131" s="11"/>
      <c r="E131" s="11"/>
      <c r="F131" s="11"/>
      <c r="G131" s="11"/>
      <c r="H131" s="185" t="s">
        <v>756</v>
      </c>
      <c r="I131" s="122"/>
      <c r="J131" s="122"/>
      <c r="K131" s="11"/>
      <c r="L131" s="90" t="str">
        <f>IF(_epmOfflineCondition_,"",_xll.EVPRO($B$1,H131,"JDEID"))</f>
        <v/>
      </c>
      <c r="M131" s="90" t="str">
        <f>IF(_epmOfflineCondition_,"",IF(AND(I131="N",J131="N"),_xll.EVPRO($B$1,H131,"PSFTID"),""))</f>
        <v/>
      </c>
      <c r="N131" s="493" t="str">
        <f>IF(_epmOfflineCondition_,"Food Cost %",IF(_xll.EVDES(H131,$B$1)="#NODATA","",_xll.EVDES(H131,$B$1)))</f>
        <v>Food Cost %</v>
      </c>
      <c r="O131" s="508"/>
      <c r="P131" s="508"/>
      <c r="Q131" s="508"/>
      <c r="R131" s="508"/>
      <c r="S131" s="508"/>
      <c r="T131" s="508"/>
      <c r="U131" s="508"/>
      <c r="V131" s="508"/>
      <c r="W131" s="508"/>
      <c r="X131" s="508"/>
      <c r="Y131" s="508"/>
      <c r="Z131" s="508"/>
      <c r="AA131" s="508"/>
      <c r="AB131" s="458"/>
      <c r="AC131" s="140"/>
      <c r="AD131" s="508"/>
      <c r="AE131" s="458"/>
      <c r="AF131" s="521" t="str">
        <f t="shared" si="58"/>
        <v/>
      </c>
      <c r="AG131" s="508"/>
      <c r="AH131" s="458"/>
      <c r="AI131" s="521" t="str">
        <f t="shared" si="59"/>
        <v/>
      </c>
    </row>
    <row r="132" spans="1:35" x14ac:dyDescent="0.25">
      <c r="A132" s="11"/>
      <c r="B132" s="11"/>
      <c r="C132" s="208"/>
      <c r="D132" s="11"/>
      <c r="E132" s="11"/>
      <c r="F132" s="11"/>
      <c r="G132" s="11"/>
      <c r="H132" s="185" t="s">
        <v>636</v>
      </c>
      <c r="I132" s="122"/>
      <c r="J132" s="122"/>
      <c r="K132" s="11"/>
      <c r="L132" s="90" t="str">
        <f>IF(_epmOfflineCondition_,"",_xll.EVPRO($B$1,H132,"JDEID"))</f>
        <v/>
      </c>
      <c r="M132" s="90" t="str">
        <f>IF(_epmOfflineCondition_,"",IF(AND(I132="N",J132="N"),_xll.EVPRO($B$1,H132,"PSFTID"),""))</f>
        <v/>
      </c>
      <c r="N132" s="90" t="str">
        <f>IF(_epmOfflineCondition_,"Cost of Beverage Sales",IF(_xll.EVDES(H132,$B$1)="#NODATA","",_xll.EVDES(H132,$B$1)))</f>
        <v>Cost of Beverage Sales</v>
      </c>
      <c r="O132" s="138"/>
      <c r="P132" s="138"/>
      <c r="Q132" s="138"/>
      <c r="R132" s="138"/>
      <c r="S132" s="138"/>
      <c r="T132" s="138"/>
      <c r="U132" s="138"/>
      <c r="V132" s="138"/>
      <c r="W132" s="138"/>
      <c r="X132" s="138"/>
      <c r="Y132" s="138"/>
      <c r="Z132" s="138"/>
      <c r="AA132" s="138">
        <f>SUM(O132:Z132)</f>
        <v>0</v>
      </c>
      <c r="AB132" s="458" t="str">
        <f>IF(_epmOfflineCondition_,"",IF(AA132=0,"",IFERROR(AA132/_xll.EVGTS($B$1,1,_xll.EVPRO($B$1,$H132,"COSBASIS"),$B$3,$B$5,$B$6,$B$7,$B$9,AA$16,AA$17,AA$11),"")))</f>
        <v/>
      </c>
      <c r="AC132" s="140"/>
      <c r="AD132" s="138"/>
      <c r="AE132" s="458" t="str">
        <f>IF(_epmOfflineCondition_,"",IF(AD132=0,"",IFERROR(AD132/_xll.EVGTS($B$1,1,_xll.EVPRO($B$1,$H132,"COSBASIS"),$B$3,$B$5,$B$6,$B$7,$B$9,AD$16,AD$17,AD$18),"")))</f>
        <v/>
      </c>
      <c r="AF132" s="141">
        <f t="shared" si="58"/>
        <v>0</v>
      </c>
      <c r="AG132" s="138"/>
      <c r="AH132" s="458" t="str">
        <f>IF(_epmOfflineCondition_,"",IF(AG132=0,"",IFERROR(AG132/_xll.EVGTS($B$1,1,_xll.EVPRO($B$1,$H132,"COSBASIS"),$B$3,$B$5,$B$6,$B$7,$B$9,AG$16,AG$17,AG$18),"")))</f>
        <v/>
      </c>
      <c r="AI132" s="141">
        <f t="shared" si="59"/>
        <v>0</v>
      </c>
    </row>
    <row r="133" spans="1:35" x14ac:dyDescent="0.25">
      <c r="A133" s="11"/>
      <c r="B133" s="11"/>
      <c r="C133" s="208"/>
      <c r="D133" s="11"/>
      <c r="E133" s="11"/>
      <c r="F133" s="11"/>
      <c r="G133" s="11"/>
      <c r="H133" s="185" t="s">
        <v>757</v>
      </c>
      <c r="I133" s="122"/>
      <c r="J133" s="122"/>
      <c r="K133" s="11"/>
      <c r="L133" s="90" t="str">
        <f>IF(_epmOfflineCondition_,"",_xll.EVPRO($B$1,H133,"JDEID"))</f>
        <v/>
      </c>
      <c r="M133" s="90" t="str">
        <f>IF(_epmOfflineCondition_,"",IF(AND(I133="N",J133="N"),_xll.EVPRO($B$1,H133,"PSFTID"),""))</f>
        <v/>
      </c>
      <c r="N133" s="493" t="str">
        <f>IF(_epmOfflineCondition_,"Beverage Cost %",IF(_xll.EVDES(H133,$B$1)="#NODATA","",_xll.EVDES(H133,$B$1)))</f>
        <v>Beverage Cost %</v>
      </c>
      <c r="O133" s="508"/>
      <c r="P133" s="508"/>
      <c r="Q133" s="508"/>
      <c r="R133" s="508"/>
      <c r="S133" s="508"/>
      <c r="T133" s="508"/>
      <c r="U133" s="508"/>
      <c r="V133" s="508"/>
      <c r="W133" s="508"/>
      <c r="X133" s="508"/>
      <c r="Y133" s="508"/>
      <c r="Z133" s="508"/>
      <c r="AA133" s="508"/>
      <c r="AB133" s="458"/>
      <c r="AC133" s="140"/>
      <c r="AD133" s="508"/>
      <c r="AE133" s="458"/>
      <c r="AF133" s="521" t="str">
        <f t="shared" si="58"/>
        <v/>
      </c>
      <c r="AG133" s="508"/>
      <c r="AH133" s="458"/>
      <c r="AI133" s="521" t="str">
        <f t="shared" si="59"/>
        <v/>
      </c>
    </row>
    <row r="134" spans="1:35" x14ac:dyDescent="0.25">
      <c r="A134" s="11"/>
      <c r="B134" s="11"/>
      <c r="C134" s="208"/>
      <c r="D134" s="11"/>
      <c r="E134" s="11"/>
      <c r="F134" s="11"/>
      <c r="G134" s="11"/>
      <c r="H134" s="185" t="s">
        <v>755</v>
      </c>
      <c r="I134" s="122"/>
      <c r="J134" s="122"/>
      <c r="K134" s="11"/>
      <c r="L134" s="90" t="str">
        <f>IF(_epmOfflineCondition_,"561300",_xll.EVPRO($B$1,H134,"JDEID"))</f>
        <v>561300</v>
      </c>
      <c r="M134" s="90" t="str">
        <f>IF(_epmOfflineCondition_,"",IF(AND(I134="N",J134="N"),_xll.EVPRO($B$1,H134,"PSFTID"),""))</f>
        <v/>
      </c>
      <c r="N134" s="90" t="str">
        <f>IF(_epmOfflineCondition_,"Liquor Cost of Sales",IF(_xll.EVDES(H134,$B$1)="#NODATA","",_xll.EVDES(H134,$B$1)))</f>
        <v>Liquor Cost of Sales</v>
      </c>
      <c r="O134" s="138"/>
      <c r="P134" s="138"/>
      <c r="Q134" s="138"/>
      <c r="R134" s="138"/>
      <c r="S134" s="138"/>
      <c r="T134" s="138"/>
      <c r="U134" s="138"/>
      <c r="V134" s="138"/>
      <c r="W134" s="138"/>
      <c r="X134" s="138"/>
      <c r="Y134" s="138"/>
      <c r="Z134" s="138"/>
      <c r="AA134" s="138">
        <f>SUM(O134:Z134)</f>
        <v>0</v>
      </c>
      <c r="AB134" s="458" t="str">
        <f>IF(_epmOfflineCondition_,"",IF(AA134=0,"",IFERROR(AA134/_xll.EVGTS($B$1,1,_xll.EVPRO($B$1,$H134,"COSBASIS"),$B$3,$B$5,$B$6,$B$7,$B$9,AA$16,AA$17,AA$11),"")))</f>
        <v/>
      </c>
      <c r="AC134" s="140"/>
      <c r="AD134" s="138"/>
      <c r="AE134" s="458" t="str">
        <f>IF(_epmOfflineCondition_,"",IF(AD134=0,"",IFERROR(AD134/_xll.EVGTS($B$1,1,_xll.EVPRO($B$1,$H134,"COSBASIS"),$B$3,$B$5,$B$6,$B$7,$B$9,AD$16,AD$17,AD$18),"")))</f>
        <v/>
      </c>
      <c r="AF134" s="141">
        <f t="shared" si="58"/>
        <v>0</v>
      </c>
      <c r="AG134" s="138"/>
      <c r="AH134" s="458" t="str">
        <f>IF(_epmOfflineCondition_,"",IF(AG134=0,"",IFERROR(AG134/_xll.EVGTS($B$1,1,_xll.EVPRO($B$1,$H134,"COSBASIS"),$B$3,$B$5,$B$6,$B$7,$B$9,AG$16,AG$17,AG$18),"")))</f>
        <v/>
      </c>
      <c r="AI134" s="141">
        <f t="shared" si="59"/>
        <v>0</v>
      </c>
    </row>
    <row r="135" spans="1:35" x14ac:dyDescent="0.25">
      <c r="A135" s="11"/>
      <c r="B135" s="11"/>
      <c r="C135" s="208"/>
      <c r="D135" s="11"/>
      <c r="E135" s="11"/>
      <c r="F135" s="11"/>
      <c r="G135" s="11"/>
      <c r="H135" s="185" t="s">
        <v>758</v>
      </c>
      <c r="I135" s="122"/>
      <c r="J135" s="122"/>
      <c r="K135" s="11"/>
      <c r="L135" s="90" t="str">
        <f>IF(_epmOfflineCondition_,"",_xll.EVPRO($B$1,H135,"JDEID"))</f>
        <v/>
      </c>
      <c r="M135" s="90" t="str">
        <f>IF(_epmOfflineCondition_,"",IF(AND(I135="N",J135="N"),_xll.EVPRO($B$1,H135,"PSFTID"),""))</f>
        <v/>
      </c>
      <c r="N135" s="493" t="str">
        <f>IF(_epmOfflineCondition_,"Liquor Cost %",IF(_xll.EVDES(H135,$B$1)="#NODATA","",_xll.EVDES(H135,$B$1)))</f>
        <v>Liquor Cost %</v>
      </c>
      <c r="O135" s="508"/>
      <c r="P135" s="508"/>
      <c r="Q135" s="508"/>
      <c r="R135" s="508"/>
      <c r="S135" s="508"/>
      <c r="T135" s="508"/>
      <c r="U135" s="508"/>
      <c r="V135" s="508"/>
      <c r="W135" s="508"/>
      <c r="X135" s="508"/>
      <c r="Y135" s="508"/>
      <c r="Z135" s="508"/>
      <c r="AA135" s="508"/>
      <c r="AB135" s="458"/>
      <c r="AC135" s="140"/>
      <c r="AD135" s="508"/>
      <c r="AE135" s="458"/>
      <c r="AF135" s="521" t="str">
        <f t="shared" si="58"/>
        <v/>
      </c>
      <c r="AG135" s="508"/>
      <c r="AH135" s="458"/>
      <c r="AI135" s="521" t="str">
        <f t="shared" si="59"/>
        <v/>
      </c>
    </row>
    <row r="136" spans="1:35" x14ac:dyDescent="0.25">
      <c r="A136" s="11"/>
      <c r="B136" s="11"/>
      <c r="C136" s="208"/>
      <c r="D136" s="11"/>
      <c r="E136" s="11"/>
      <c r="F136" s="11"/>
      <c r="G136" s="11"/>
      <c r="H136" s="185">
        <v>561400</v>
      </c>
      <c r="I136" s="122"/>
      <c r="J136" s="122"/>
      <c r="K136" s="11"/>
      <c r="L136" s="90" t="str">
        <f>IF(_epmOfflineCondition_,"561400",_xll.EVPRO($B$1,H136,"JDEID"))</f>
        <v>561400</v>
      </c>
      <c r="M136" s="90" t="str">
        <f>IF(_epmOfflineCondition_,"",IF(AND(I136="N",J136="N"),_xll.EVPRO($B$1,H136,"PSFTID"),""))</f>
        <v/>
      </c>
      <c r="N136" s="90" t="str">
        <f>IF(_epmOfflineCondition_,"Beer Cost of Sales",IF(_xll.EVDES(H136,$B$1)="#NODATA","",_xll.EVDES(H136,$B$1)))</f>
        <v>Beer Cost of Sales</v>
      </c>
      <c r="O136" s="138"/>
      <c r="P136" s="138"/>
      <c r="Q136" s="138"/>
      <c r="R136" s="138"/>
      <c r="S136" s="138"/>
      <c r="T136" s="138"/>
      <c r="U136" s="138"/>
      <c r="V136" s="138"/>
      <c r="W136" s="138"/>
      <c r="X136" s="138"/>
      <c r="Y136" s="138"/>
      <c r="Z136" s="138"/>
      <c r="AA136" s="138">
        <f>SUM(O136:Z136)</f>
        <v>0</v>
      </c>
      <c r="AB136" s="458" t="str">
        <f>IF(_epmOfflineCondition_,"",IF(AA136=0,"",IFERROR(AA136/_xll.EVGTS($B$1,1,_xll.EVPRO($B$1,$H136,"COSBASIS"),$B$3,$B$5,$B$6,$B$7,$B$9,AA$16,AA$17,AA$11),"")))</f>
        <v/>
      </c>
      <c r="AC136" s="140"/>
      <c r="AD136" s="138"/>
      <c r="AE136" s="458" t="str">
        <f>IF(_epmOfflineCondition_,"",IF(AD136=0,"",IFERROR(AD136/_xll.EVGTS($B$1,1,_xll.EVPRO($B$1,$H136,"COSBASIS"),$B$3,$B$5,$B$6,$B$7,$B$9,AD$16,AD$17,AD$18),"")))</f>
        <v/>
      </c>
      <c r="AF136" s="141">
        <f t="shared" si="58"/>
        <v>0</v>
      </c>
      <c r="AG136" s="138"/>
      <c r="AH136" s="458" t="str">
        <f>IF(_epmOfflineCondition_,"",IF(AG136=0,"",IFERROR(AG136/_xll.EVGTS($B$1,1,_xll.EVPRO($B$1,$H136,"COSBASIS"),$B$3,$B$5,$B$6,$B$7,$B$9,AG$16,AG$17,AG$18),"")))</f>
        <v/>
      </c>
      <c r="AI136" s="141">
        <f t="shared" si="59"/>
        <v>0</v>
      </c>
    </row>
    <row r="137" spans="1:35" x14ac:dyDescent="0.25">
      <c r="A137" s="11"/>
      <c r="B137" s="11"/>
      <c r="C137" s="208"/>
      <c r="D137" s="11"/>
      <c r="E137" s="11"/>
      <c r="F137" s="11"/>
      <c r="G137" s="11"/>
      <c r="H137" s="185" t="s">
        <v>759</v>
      </c>
      <c r="I137" s="122"/>
      <c r="J137" s="122"/>
      <c r="K137" s="11"/>
      <c r="L137" s="90" t="str">
        <f>IF(_epmOfflineCondition_,"",_xll.EVPRO($B$1,H137,"JDEID"))</f>
        <v/>
      </c>
      <c r="M137" s="90" t="str">
        <f>IF(_epmOfflineCondition_,"",IF(AND(I137="N",J137="N"),_xll.EVPRO($B$1,H137,"PSFTID"),""))</f>
        <v/>
      </c>
      <c r="N137" s="493" t="str">
        <f>IF(_epmOfflineCondition_,"Beer Cost %",IF(_xll.EVDES(H137,$B$1)="#NODATA","",_xll.EVDES(H137,$B$1)))</f>
        <v>Beer Cost %</v>
      </c>
      <c r="O137" s="508"/>
      <c r="P137" s="508"/>
      <c r="Q137" s="508"/>
      <c r="R137" s="508"/>
      <c r="S137" s="508"/>
      <c r="T137" s="508"/>
      <c r="U137" s="508"/>
      <c r="V137" s="508"/>
      <c r="W137" s="508"/>
      <c r="X137" s="508"/>
      <c r="Y137" s="508"/>
      <c r="Z137" s="508"/>
      <c r="AA137" s="508"/>
      <c r="AB137" s="458"/>
      <c r="AC137" s="140"/>
      <c r="AD137" s="508"/>
      <c r="AE137" s="458"/>
      <c r="AF137" s="521" t="str">
        <f t="shared" si="58"/>
        <v/>
      </c>
      <c r="AG137" s="508"/>
      <c r="AH137" s="458"/>
      <c r="AI137" s="521" t="str">
        <f t="shared" si="59"/>
        <v/>
      </c>
    </row>
    <row r="138" spans="1:35" x14ac:dyDescent="0.25">
      <c r="A138" s="11"/>
      <c r="B138" s="11"/>
      <c r="C138" s="11"/>
      <c r="D138" s="11"/>
      <c r="E138" s="11"/>
      <c r="F138" s="11"/>
      <c r="G138" s="11"/>
      <c r="H138" s="185">
        <v>561500</v>
      </c>
      <c r="I138" s="122"/>
      <c r="J138" s="122"/>
      <c r="K138" s="11"/>
      <c r="L138" s="90" t="str">
        <f>IF(_epmOfflineCondition_,"561500",_xll.EVPRO($B$1,H138,"JDEID"))</f>
        <v>561500</v>
      </c>
      <c r="M138" s="90" t="str">
        <f>IF(_epmOfflineCondition_,"",IF(AND(I138="N",J138="N"),_xll.EVPRO($B$1,H138,"PSFTID"),""))</f>
        <v/>
      </c>
      <c r="N138" s="90" t="str">
        <f>IF(_epmOfflineCondition_,"Wine Cost of Sales",IF(_xll.EVDES(H138,$B$1)="#NODATA","",_xll.EVDES(H138,$B$1)))</f>
        <v>Wine Cost of Sales</v>
      </c>
      <c r="O138" s="138"/>
      <c r="P138" s="138"/>
      <c r="Q138" s="138"/>
      <c r="R138" s="138"/>
      <c r="S138" s="138"/>
      <c r="T138" s="138"/>
      <c r="U138" s="138"/>
      <c r="V138" s="138"/>
      <c r="W138" s="138"/>
      <c r="X138" s="138"/>
      <c r="Y138" s="138"/>
      <c r="Z138" s="138"/>
      <c r="AA138" s="138">
        <f>SUM(O138:Z138)</f>
        <v>0</v>
      </c>
      <c r="AB138" s="458" t="str">
        <f>IF(_epmOfflineCondition_,"",IF(AA138=0,"",IFERROR(AA138/_xll.EVGTS($B$1,1,_xll.EVPRO($B$1,$H138,"COSBASIS"),$B$3,$B$5,$B$6,$B$7,$B$9,AA$16,AA$17,AA$11),"")))</f>
        <v/>
      </c>
      <c r="AC138" s="140"/>
      <c r="AD138" s="138"/>
      <c r="AE138" s="458" t="str">
        <f>IF(_epmOfflineCondition_,"",IF(AD138=0,"",IFERROR(AD138/_xll.EVGTS($B$1,1,_xll.EVPRO($B$1,$H138,"COSBASIS"),$B$3,$B$5,$B$6,$B$7,$B$9,AD$16,AD$17,AD$18),"")))</f>
        <v/>
      </c>
      <c r="AF138" s="141">
        <f t="shared" si="58"/>
        <v>0</v>
      </c>
      <c r="AG138" s="138"/>
      <c r="AH138" s="458" t="str">
        <f>IF(_epmOfflineCondition_,"",IF(AG138=0,"",IFERROR(AG138/_xll.EVGTS($B$1,1,_xll.EVPRO($B$1,$H138,"COSBASIS"),$B$3,$B$5,$B$6,$B$7,$B$9,AG$16,AG$17,AG$18),"")))</f>
        <v/>
      </c>
      <c r="AI138" s="141">
        <f t="shared" si="59"/>
        <v>0</v>
      </c>
    </row>
    <row r="139" spans="1:35" x14ac:dyDescent="0.25">
      <c r="A139" s="11"/>
      <c r="B139" s="11"/>
      <c r="C139" s="208"/>
      <c r="D139" s="11"/>
      <c r="E139" s="11"/>
      <c r="F139" s="11"/>
      <c r="G139" s="11"/>
      <c r="H139" s="185" t="s">
        <v>760</v>
      </c>
      <c r="I139" s="122"/>
      <c r="J139" s="122"/>
      <c r="K139" s="11"/>
      <c r="L139" s="90" t="str">
        <f>IF(_epmOfflineCondition_,"",_xll.EVPRO($B$1,H139,"JDEID"))</f>
        <v/>
      </c>
      <c r="M139" s="90" t="str">
        <f>IF(_epmOfflineCondition_,"",IF(AND(I139="N",J139="N"),_xll.EVPRO($B$1,H139,"PSFTID"),""))</f>
        <v/>
      </c>
      <c r="N139" s="493" t="str">
        <f>IF(_epmOfflineCondition_,"Wine Cost %",IF(_xll.EVDES(H139,$B$1)="#NODATA","",_xll.EVDES(H139,$B$1)))</f>
        <v>Wine Cost %</v>
      </c>
      <c r="O139" s="508"/>
      <c r="P139" s="508"/>
      <c r="Q139" s="508"/>
      <c r="R139" s="508"/>
      <c r="S139" s="508"/>
      <c r="T139" s="508"/>
      <c r="U139" s="508"/>
      <c r="V139" s="508"/>
      <c r="W139" s="508"/>
      <c r="X139" s="508"/>
      <c r="Y139" s="508"/>
      <c r="Z139" s="508"/>
      <c r="AA139" s="508"/>
      <c r="AB139" s="458"/>
      <c r="AC139" s="140"/>
      <c r="AD139" s="508"/>
      <c r="AE139" s="458"/>
      <c r="AF139" s="521" t="str">
        <f t="shared" si="58"/>
        <v/>
      </c>
      <c r="AG139" s="508"/>
      <c r="AH139" s="458"/>
      <c r="AI139" s="521" t="str">
        <f t="shared" si="59"/>
        <v/>
      </c>
    </row>
    <row r="140" spans="1:35" x14ac:dyDescent="0.25">
      <c r="A140" s="11"/>
      <c r="B140" s="11"/>
      <c r="C140" s="208"/>
      <c r="D140" s="11"/>
      <c r="E140" s="11"/>
      <c r="F140" s="11"/>
      <c r="G140" s="11"/>
      <c r="H140" s="185" t="s">
        <v>286</v>
      </c>
      <c r="I140" s="122"/>
      <c r="J140" s="122"/>
      <c r="K140" s="11"/>
      <c r="L140" s="90" t="str">
        <f>IF(_epmOfflineCondition_,"",_xll.EVPRO($B$1,H140,"JDEID"))</f>
        <v/>
      </c>
      <c r="M140" s="90" t="str">
        <f>IF(_epmOfflineCondition_,"",IF(AND(I140="N",J140="N"),_xll.EVPRO($B$1,H140,"PSFTID"),""))</f>
        <v/>
      </c>
      <c r="N140" s="90" t="str">
        <f>IF(_epmOfflineCondition_,"Total Cost of Food &amp; Beverage Sales",IF(_xll.EVDES(H140,$B$1)="#NODATA","",_xll.EVDES(H140,$B$1)))</f>
        <v>Total Cost of Food &amp; Beverage Sales</v>
      </c>
      <c r="O140" s="138"/>
      <c r="P140" s="138"/>
      <c r="Q140" s="138"/>
      <c r="R140" s="138">
        <v>7839.57</v>
      </c>
      <c r="S140" s="138">
        <v>-7839.57</v>
      </c>
      <c r="T140" s="138"/>
      <c r="U140" s="138"/>
      <c r="V140" s="138"/>
      <c r="W140" s="138"/>
      <c r="X140" s="138"/>
      <c r="Y140" s="138"/>
      <c r="Z140" s="138"/>
      <c r="AA140" s="138">
        <f>SUM(O140:Z140)</f>
        <v>0</v>
      </c>
      <c r="AB140" s="458" t="str">
        <f>IF(_epmOfflineCondition_,"",IF(AA140=0,"",IFERROR(AA140/_xll.EVGTS($B$1,1,_xll.EVPRO($B$1,$H140,"COSBASIS"),$B$3,$B$5,$B$6,$B$7,$B$9,AA$16,AA$17,AA$11),"")))</f>
        <v/>
      </c>
      <c r="AC140" s="140"/>
      <c r="AD140" s="138"/>
      <c r="AE140" s="458" t="str">
        <f>IF(_epmOfflineCondition_,"",IF(AD140=0,"",IFERROR(AD140/_xll.EVGTS($B$1,1,_xll.EVPRO($B$1,$H140,"COSBASIS"),$B$3,$B$5,$B$6,$B$7,$B$9,AD$16,AD$17,AD$18),"")))</f>
        <v/>
      </c>
      <c r="AF140" s="141">
        <f t="shared" si="58"/>
        <v>0</v>
      </c>
      <c r="AG140" s="138"/>
      <c r="AH140" s="458" t="str">
        <f>IF(_epmOfflineCondition_,"",IF(AG140=0,"",IFERROR(AG140/_xll.EVGTS($B$1,1,_xll.EVPRO($B$1,$H140,"COSBASIS"),$B$3,$B$5,$B$6,$B$7,$B$9,AG$16,AG$17,AG$18),"")))</f>
        <v/>
      </c>
      <c r="AI140" s="141">
        <f t="shared" si="59"/>
        <v>0</v>
      </c>
    </row>
    <row r="141" spans="1:35" x14ac:dyDescent="0.25">
      <c r="A141" s="11"/>
      <c r="B141" s="11"/>
      <c r="C141" s="208"/>
      <c r="D141" s="11"/>
      <c r="E141" s="11"/>
      <c r="F141" s="11"/>
      <c r="G141" s="11"/>
      <c r="H141" s="185"/>
      <c r="I141" s="122"/>
      <c r="J141" s="122"/>
      <c r="K141" s="11"/>
      <c r="L141" s="90"/>
      <c r="M141" s="90"/>
      <c r="N141" s="493" t="s">
        <v>762</v>
      </c>
      <c r="O141" s="508" t="str">
        <f t="shared" ref="O141:AA141" si="60">IFERROR(O140/O85,"")</f>
        <v/>
      </c>
      <c r="P141" s="508" t="str">
        <f t="shared" si="60"/>
        <v/>
      </c>
      <c r="Q141" s="508" t="str">
        <f t="shared" si="60"/>
        <v/>
      </c>
      <c r="R141" s="508" t="str">
        <f t="shared" si="60"/>
        <v/>
      </c>
      <c r="S141" s="508" t="str">
        <f t="shared" si="60"/>
        <v/>
      </c>
      <c r="T141" s="508" t="str">
        <f t="shared" si="60"/>
        <v/>
      </c>
      <c r="U141" s="508" t="str">
        <f t="shared" si="60"/>
        <v/>
      </c>
      <c r="V141" s="508" t="str">
        <f t="shared" si="60"/>
        <v/>
      </c>
      <c r="W141" s="508" t="str">
        <f t="shared" si="60"/>
        <v/>
      </c>
      <c r="X141" s="508" t="str">
        <f t="shared" si="60"/>
        <v/>
      </c>
      <c r="Y141" s="508" t="str">
        <f t="shared" si="60"/>
        <v/>
      </c>
      <c r="Z141" s="508" t="str">
        <f t="shared" si="60"/>
        <v/>
      </c>
      <c r="AA141" s="508" t="str">
        <f t="shared" si="60"/>
        <v/>
      </c>
      <c r="AB141" s="458"/>
      <c r="AC141" s="140"/>
      <c r="AD141" s="508" t="str">
        <f>IFERROR(AD140/AD85,"")</f>
        <v/>
      </c>
      <c r="AE141" s="458"/>
      <c r="AF141" s="521" t="str">
        <f t="shared" si="58"/>
        <v/>
      </c>
      <c r="AG141" s="508" t="str">
        <f>IFERROR(AG140/AG85,"")</f>
        <v/>
      </c>
      <c r="AH141" s="458"/>
      <c r="AI141" s="521" t="str">
        <f t="shared" si="59"/>
        <v/>
      </c>
    </row>
    <row r="142" spans="1:35" x14ac:dyDescent="0.25">
      <c r="A142" s="11"/>
      <c r="B142" s="11"/>
      <c r="C142" s="208"/>
      <c r="D142" s="11"/>
      <c r="E142" s="11"/>
      <c r="F142" s="11"/>
      <c r="G142" s="11"/>
      <c r="H142" s="11"/>
      <c r="I142" s="59"/>
      <c r="J142" s="59"/>
      <c r="K142" s="11"/>
      <c r="L142" s="11"/>
      <c r="M142" s="11"/>
      <c r="N142" s="11"/>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row>
    <row r="143" spans="1:35" x14ac:dyDescent="0.25">
      <c r="A143" s="11"/>
      <c r="B143" s="11"/>
      <c r="C143" s="208"/>
      <c r="D143" s="11"/>
      <c r="E143" s="11"/>
      <c r="F143" s="11"/>
      <c r="G143" s="11"/>
      <c r="H143" s="185"/>
      <c r="I143" s="122"/>
      <c r="J143" s="122"/>
      <c r="K143" s="11"/>
      <c r="L143" s="11"/>
      <c r="M143" s="11"/>
      <c r="N143" s="104" t="str">
        <f>N85&amp;" - Check"</f>
        <v>Total Food &amp; Beverage Revenue - Check</v>
      </c>
      <c r="O143" s="511">
        <f t="shared" ref="O143:AA143" si="61">O39+O49+O59+O69+O79+O83-O85</f>
        <v>0</v>
      </c>
      <c r="P143" s="511">
        <f t="shared" si="61"/>
        <v>0</v>
      </c>
      <c r="Q143" s="511">
        <f t="shared" si="61"/>
        <v>0</v>
      </c>
      <c r="R143" s="511">
        <f t="shared" si="61"/>
        <v>0</v>
      </c>
      <c r="S143" s="511">
        <f t="shared" si="61"/>
        <v>0</v>
      </c>
      <c r="T143" s="511">
        <f t="shared" si="61"/>
        <v>0</v>
      </c>
      <c r="U143" s="511">
        <f t="shared" si="61"/>
        <v>0</v>
      </c>
      <c r="V143" s="511">
        <f t="shared" si="61"/>
        <v>0</v>
      </c>
      <c r="W143" s="511">
        <f t="shared" si="61"/>
        <v>0</v>
      </c>
      <c r="X143" s="511">
        <f t="shared" si="61"/>
        <v>0</v>
      </c>
      <c r="Y143" s="511">
        <f t="shared" si="61"/>
        <v>0</v>
      </c>
      <c r="Z143" s="511">
        <f t="shared" si="61"/>
        <v>0</v>
      </c>
      <c r="AA143" s="511">
        <f t="shared" si="61"/>
        <v>0</v>
      </c>
      <c r="AB143" s="142"/>
      <c r="AC143" s="140"/>
      <c r="AD143" s="511">
        <f>AD39+AD49+AD59+AD69+AD79+AD83-AD85</f>
        <v>0</v>
      </c>
      <c r="AE143" s="142"/>
      <c r="AF143" s="138"/>
      <c r="AG143" s="511">
        <f>AG39+AG49+AG59+AG69+AG79+AG83-AG85</f>
        <v>0</v>
      </c>
      <c r="AH143" s="142"/>
      <c r="AI143" s="138"/>
    </row>
    <row r="144" spans="1:35" x14ac:dyDescent="0.25">
      <c r="A144" s="11"/>
      <c r="B144" s="11"/>
      <c r="C144" s="208"/>
      <c r="D144" s="11"/>
      <c r="E144" s="11"/>
      <c r="F144" s="11"/>
      <c r="G144" s="11"/>
      <c r="H144" s="185"/>
      <c r="I144" s="122"/>
      <c r="J144" s="122"/>
      <c r="K144" s="11"/>
      <c r="L144" s="11"/>
      <c r="M144" s="11"/>
      <c r="N144" s="104" t="str">
        <f>N87&amp;" - Check"</f>
        <v>Total Customers - Check</v>
      </c>
      <c r="O144" s="511">
        <f t="shared" ref="O144:AA144" si="62">O41+O51+O61+O71+O80-O87</f>
        <v>0</v>
      </c>
      <c r="P144" s="511">
        <f t="shared" si="62"/>
        <v>0</v>
      </c>
      <c r="Q144" s="511">
        <f t="shared" si="62"/>
        <v>0</v>
      </c>
      <c r="R144" s="511">
        <f t="shared" si="62"/>
        <v>0</v>
      </c>
      <c r="S144" s="511">
        <f t="shared" si="62"/>
        <v>0</v>
      </c>
      <c r="T144" s="511">
        <f t="shared" si="62"/>
        <v>0</v>
      </c>
      <c r="U144" s="511">
        <f t="shared" si="62"/>
        <v>0</v>
      </c>
      <c r="V144" s="511">
        <f t="shared" si="62"/>
        <v>0</v>
      </c>
      <c r="W144" s="511">
        <f t="shared" si="62"/>
        <v>0</v>
      </c>
      <c r="X144" s="511">
        <f t="shared" si="62"/>
        <v>0</v>
      </c>
      <c r="Y144" s="511">
        <f t="shared" si="62"/>
        <v>0</v>
      </c>
      <c r="Z144" s="511">
        <f t="shared" si="62"/>
        <v>0</v>
      </c>
      <c r="AA144" s="511">
        <f t="shared" si="62"/>
        <v>0</v>
      </c>
      <c r="AB144" s="142"/>
      <c r="AC144" s="140"/>
      <c r="AD144" s="511">
        <f>AD41+AD51+AD61+AD71+AD80-AD87</f>
        <v>0</v>
      </c>
      <c r="AE144" s="142"/>
      <c r="AF144" s="138"/>
      <c r="AG144" s="511">
        <f>AG41+AG51+AG61+AG71+AG80-AG87</f>
        <v>0</v>
      </c>
      <c r="AH144" s="142"/>
      <c r="AI144" s="138"/>
    </row>
    <row r="145" spans="1:35" x14ac:dyDescent="0.25">
      <c r="A145" s="11"/>
      <c r="B145" s="11"/>
      <c r="C145" s="208"/>
      <c r="D145" s="11"/>
      <c r="E145" s="11"/>
      <c r="F145" s="11"/>
      <c r="G145" s="11"/>
      <c r="H145" s="185"/>
      <c r="I145" s="122"/>
      <c r="J145" s="122"/>
      <c r="K145" s="11"/>
      <c r="L145" s="11"/>
      <c r="M145" s="11"/>
      <c r="N145" s="104" t="str">
        <f>N88&amp;" - Check"</f>
        <v>Total Average Check - Check</v>
      </c>
      <c r="O145" s="510" t="e">
        <f t="shared" ref="O145:AA145" si="63">IFERROR(O$85/O87,"")-O88</f>
        <v>#VALUE!</v>
      </c>
      <c r="P145" s="510" t="e">
        <f t="shared" si="63"/>
        <v>#VALUE!</v>
      </c>
      <c r="Q145" s="510" t="e">
        <f t="shared" si="63"/>
        <v>#VALUE!</v>
      </c>
      <c r="R145" s="510" t="e">
        <f t="shared" si="63"/>
        <v>#VALUE!</v>
      </c>
      <c r="S145" s="510" t="e">
        <f t="shared" si="63"/>
        <v>#VALUE!</v>
      </c>
      <c r="T145" s="510" t="e">
        <f t="shared" si="63"/>
        <v>#VALUE!</v>
      </c>
      <c r="U145" s="510" t="e">
        <f t="shared" si="63"/>
        <v>#VALUE!</v>
      </c>
      <c r="V145" s="510" t="e">
        <f t="shared" si="63"/>
        <v>#VALUE!</v>
      </c>
      <c r="W145" s="510" t="e">
        <f t="shared" si="63"/>
        <v>#VALUE!</v>
      </c>
      <c r="X145" s="510" t="e">
        <f t="shared" si="63"/>
        <v>#VALUE!</v>
      </c>
      <c r="Y145" s="510" t="e">
        <f t="shared" si="63"/>
        <v>#VALUE!</v>
      </c>
      <c r="Z145" s="510" t="e">
        <f t="shared" si="63"/>
        <v>#VALUE!</v>
      </c>
      <c r="AA145" s="510" t="e">
        <f t="shared" si="63"/>
        <v>#VALUE!</v>
      </c>
      <c r="AB145" s="142"/>
      <c r="AC145" s="140"/>
      <c r="AD145" s="510" t="e">
        <f>IFERROR(AD$85/AD87,"")-AD88</f>
        <v>#VALUE!</v>
      </c>
      <c r="AE145" s="142"/>
      <c r="AF145" s="138"/>
      <c r="AG145" s="510" t="e">
        <f>IFERROR(AG$85/AG87,"")-AG88</f>
        <v>#VALUE!</v>
      </c>
      <c r="AH145" s="142"/>
      <c r="AI145" s="138"/>
    </row>
    <row r="146" spans="1:35" x14ac:dyDescent="0.25">
      <c r="A146" s="11"/>
      <c r="B146" s="11"/>
      <c r="C146" s="208"/>
      <c r="D146" s="11"/>
      <c r="E146" s="11"/>
      <c r="F146" s="11"/>
      <c r="G146" s="11"/>
      <c r="H146" s="185"/>
      <c r="I146" s="122"/>
      <c r="J146" s="122"/>
      <c r="K146" s="11"/>
      <c r="L146" s="11"/>
      <c r="M146" s="11"/>
      <c r="N146" s="104" t="s">
        <v>768</v>
      </c>
      <c r="O146" s="511">
        <f t="shared" ref="O146:AA146" si="64">(O130+O132)-O140</f>
        <v>0</v>
      </c>
      <c r="P146" s="511">
        <f t="shared" si="64"/>
        <v>0</v>
      </c>
      <c r="Q146" s="511">
        <f t="shared" si="64"/>
        <v>0</v>
      </c>
      <c r="R146" s="511">
        <f t="shared" si="64"/>
        <v>0</v>
      </c>
      <c r="S146" s="511">
        <f t="shared" si="64"/>
        <v>0</v>
      </c>
      <c r="T146" s="511">
        <f t="shared" si="64"/>
        <v>0</v>
      </c>
      <c r="U146" s="511">
        <f t="shared" si="64"/>
        <v>0</v>
      </c>
      <c r="V146" s="511">
        <f t="shared" si="64"/>
        <v>0</v>
      </c>
      <c r="W146" s="511">
        <f t="shared" si="64"/>
        <v>0</v>
      </c>
      <c r="X146" s="511">
        <f t="shared" si="64"/>
        <v>0</v>
      </c>
      <c r="Y146" s="511">
        <f t="shared" si="64"/>
        <v>0</v>
      </c>
      <c r="Z146" s="511">
        <f t="shared" si="64"/>
        <v>0</v>
      </c>
      <c r="AA146" s="511">
        <f t="shared" si="64"/>
        <v>0</v>
      </c>
      <c r="AB146" s="142"/>
      <c r="AC146" s="140"/>
      <c r="AD146" s="511">
        <f>(AD130+AD132)-AD140</f>
        <v>0</v>
      </c>
      <c r="AE146" s="142"/>
      <c r="AF146" s="138"/>
      <c r="AG146" s="511">
        <f>(AG130+AG132)-AG140</f>
        <v>0</v>
      </c>
      <c r="AH146" s="142"/>
      <c r="AI146" s="138"/>
    </row>
    <row r="147" spans="1:35" x14ac:dyDescent="0.2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208"/>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208"/>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208"/>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208"/>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267"/>
      <c r="J173" s="11"/>
      <c r="K173" s="267"/>
      <c r="L173" s="267"/>
      <c r="M173" s="267"/>
      <c r="N173" s="11"/>
      <c r="O173" s="267"/>
      <c r="P173" s="267"/>
      <c r="Q173" s="267"/>
      <c r="R173" s="267"/>
      <c r="S173" s="267"/>
      <c r="T173" s="267"/>
      <c r="U173" s="267"/>
      <c r="V173" s="267"/>
      <c r="W173" s="267"/>
      <c r="X173" s="267"/>
      <c r="Y173" s="267"/>
      <c r="Z173" s="267"/>
      <c r="AA173" s="267"/>
      <c r="AB173" s="11"/>
      <c r="AC173" s="11"/>
      <c r="AD173" s="267"/>
      <c r="AE173" s="11"/>
      <c r="AF173" s="267"/>
      <c r="AG173" s="11"/>
      <c r="AH173" s="267"/>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row r="208" spans="1:35" x14ac:dyDescent="0.25">
      <c r="A208" s="11"/>
      <c r="B208" s="11"/>
      <c r="C208" s="11"/>
      <c r="D208" s="11"/>
      <c r="E208" s="11"/>
      <c r="F208" s="11"/>
      <c r="G208" s="11"/>
      <c r="H208" s="11"/>
      <c r="I208" s="59"/>
      <c r="J208" s="59"/>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row>
    <row r="209" spans="1:35" x14ac:dyDescent="0.25">
      <c r="A209" s="11"/>
      <c r="B209" s="11"/>
      <c r="C209" s="11"/>
      <c r="D209" s="11"/>
      <c r="E209" s="11"/>
      <c r="F209" s="11"/>
      <c r="G209" s="11"/>
      <c r="H209" s="11"/>
      <c r="I209" s="59"/>
      <c r="J209" s="59"/>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row>
    <row r="210" spans="1:35" x14ac:dyDescent="0.25">
      <c r="A210" s="11"/>
      <c r="B210" s="11"/>
      <c r="C210" s="11"/>
      <c r="D210" s="11"/>
      <c r="E210" s="11"/>
      <c r="F210" s="11"/>
      <c r="G210" s="11"/>
      <c r="H210" s="11"/>
      <c r="I210" s="59"/>
      <c r="J210" s="59"/>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row>
    <row r="211" spans="1:35" x14ac:dyDescent="0.25">
      <c r="A211" s="11"/>
      <c r="B211" s="11"/>
      <c r="C211" s="11"/>
      <c r="D211" s="11"/>
      <c r="E211" s="267"/>
      <c r="F211" s="11"/>
      <c r="G211" s="11"/>
      <c r="H211" s="11"/>
      <c r="I211" s="59"/>
      <c r="J211" s="59"/>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row>
  </sheetData>
  <sheetProtection algorithmName="SHA-512" hashValue="dgMSDkiG1Ychxyf0gLqaZ3Qt8R+Mm/nhX974Z9BtRXvAi0dLfajWY2ixq0F2fu22jdUKA0CwFfDc/TUEuVytYg==" saltValue="u/HG7UeLt6xDSrFuZGNvPw==" spinCount="100000" sheet="1" scenarios="1"/>
  <mergeCells count="2">
    <mergeCell ref="AD31:AE31"/>
    <mergeCell ref="AG31:AH31"/>
  </mergeCells>
  <conditionalFormatting sqref="AD43 AF43:AG43 O43:AA43">
    <cfRule type="expression" dxfId="50" priority="15">
      <formula>ROUND(O42,2)&lt;&gt;ROUND(O43,2)</formula>
    </cfRule>
  </conditionalFormatting>
  <conditionalFormatting sqref="N43">
    <cfRule type="expression" dxfId="49" priority="14">
      <formula>$G43&lt;&gt;0</formula>
    </cfRule>
  </conditionalFormatting>
  <conditionalFormatting sqref="O53:AA53 AD53 AF53:AG53">
    <cfRule type="expression" dxfId="48" priority="13">
      <formula>ROUND(O52,2)&lt;&gt;ROUND(O53,2)</formula>
    </cfRule>
  </conditionalFormatting>
  <conditionalFormatting sqref="N53">
    <cfRule type="expression" dxfId="47" priority="12">
      <formula>$G53&lt;&gt;0</formula>
    </cfRule>
  </conditionalFormatting>
  <conditionalFormatting sqref="O63:AA63 AD63 AF63:AG63">
    <cfRule type="expression" dxfId="46" priority="11">
      <formula>ROUND(O62,2)&lt;&gt;ROUND(O63,2)</formula>
    </cfRule>
  </conditionalFormatting>
  <conditionalFormatting sqref="N63">
    <cfRule type="expression" dxfId="45" priority="10">
      <formula>$G63&lt;&gt;0</formula>
    </cfRule>
  </conditionalFormatting>
  <conditionalFormatting sqref="O73:AA73 AD73 AF73:AG73">
    <cfRule type="expression" dxfId="44" priority="9">
      <formula>ROUND(O72,2)&lt;&gt;ROUND(O73,2)</formula>
    </cfRule>
  </conditionalFormatting>
  <conditionalFormatting sqref="N73">
    <cfRule type="expression" dxfId="43" priority="8">
      <formula>$G73&lt;&gt;0</formula>
    </cfRule>
  </conditionalFormatting>
  <conditionalFormatting sqref="N82">
    <cfRule type="expression" dxfId="42" priority="7">
      <formula>$G82&lt;&gt;0</formula>
    </cfRule>
  </conditionalFormatting>
  <conditionalFormatting sqref="AD82 AF82:AG82 O82:AA82">
    <cfRule type="expression" dxfId="41" priority="6">
      <formula>ROUND(O81,2)&lt;&gt;ROUND(O82,2)</formula>
    </cfRule>
  </conditionalFormatting>
  <conditionalFormatting sqref="AI43">
    <cfRule type="expression" dxfId="40" priority="5">
      <formula>ROUND(AI42,2)&lt;&gt;ROUND(AI43,2)</formula>
    </cfRule>
  </conditionalFormatting>
  <conditionalFormatting sqref="AI53">
    <cfRule type="expression" dxfId="39" priority="4">
      <formula>ROUND(AI52,2)&lt;&gt;ROUND(AI53,2)</formula>
    </cfRule>
  </conditionalFormatting>
  <conditionalFormatting sqref="AI63">
    <cfRule type="expression" dxfId="38" priority="3">
      <formula>ROUND(AI62,2)&lt;&gt;ROUND(AI63,2)</formula>
    </cfRule>
  </conditionalFormatting>
  <conditionalFormatting sqref="AI73">
    <cfRule type="expression" dxfId="37" priority="2">
      <formula>ROUND(AI72,2)&lt;&gt;ROUND(AI73,2)</formula>
    </cfRule>
  </conditionalFormatting>
  <conditionalFormatting sqref="AI82">
    <cfRule type="expression" dxfId="36" priority="1">
      <formula>ROUND(AI81,2)&lt;&gt;ROUND(AI82,2)</formula>
    </cfRule>
  </conditionalFormatting>
  <dataValidations disablePrompts="1" count="2">
    <dataValidation type="list" allowBlank="1" sqref="B28" xr:uid="{00000000-0002-0000-1600-000000000000}">
      <formula1>"ACCOUNT,BUSINESSUNIT,CATEGORY,DATASRC,DEPARTMENT,INTCO,MEASURES,RPTCURRENCY,TIME"</formula1>
    </dataValidation>
    <dataValidation type="list" allowBlank="1" sqref="B29" xr:uid="{00000000-0002-0000-1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02754"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02754" r:id="rId7" name="FPMExcelClientSheetOptionstb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
    <tabColor theme="6" tint="0.39997558519241921"/>
    <pageSetUpPr fitToPage="1"/>
  </sheetPr>
  <dimension ref="A1:AO133"/>
  <sheetViews>
    <sheetView topLeftCell="K25" zoomScale="85" zoomScaleNormal="85" workbookViewId="0">
      <pane xSplit="4" ySplit="8" topLeftCell="O33" activePane="bottomRight" state="frozen"/>
      <selection activeCell="O33" sqref="O33"/>
      <selection pane="topRight" activeCell="O33" sqref="O33"/>
      <selection pane="bottomLeft" activeCell="O33" sqref="O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347</v>
      </c>
      <c r="C6" s="11" t="str">
        <f>IF(_epmOfflineCondition_,"Banquet-Catering &amp; CS",_xll.EVDES(B6,$B$1))</f>
        <v>Banquet-Catering &amp; CS</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IF(_epmOfflineCondition_,"'BCC_CONS'!$B$2:$B$10",_xll.EVRNG($B$2:$B$10))</f>
        <v>'BCC_CONS'!$B$2:$B$10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IF(_epmOfflineCondition_,"'BCC_CONS'!$O$16:$AN$18",_xll.EVRNG($O$16:$AN$18))</f>
        <v>'BCC_CONS'!$O$16:$AN$18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IF(_epmOfflineCondition_,"'BCC_CONS'!$H$35:$H$56",_xll.EVRNG(H35:H56))</f>
        <v>'BCC_CONS'!$H$35:$H$56</v>
      </c>
      <c r="C19" s="11"/>
      <c r="D19" s="11"/>
      <c r="E19" s="11"/>
      <c r="F19" s="11"/>
      <c r="G19" s="67" t="str">
        <f>$B$6</f>
        <v>D_BCC_CON</v>
      </c>
      <c r="H19" s="67">
        <v>400000</v>
      </c>
      <c r="I19" s="68"/>
      <c r="J19" s="68"/>
      <c r="K19" s="67"/>
      <c r="L19" s="67"/>
      <c r="M19" s="67"/>
      <c r="N19" s="67" t="str">
        <f>IF(_epmOfflineCondition_,"Total Revenue",_xll.EVDES(H19))</f>
        <v>Total Revenue</v>
      </c>
      <c r="O19" s="69">
        <f>IF(_epmOfflineCondition_,25424.94,_xll.EVGTS($B$1,1,$B$3,$B$5,$B$7,$B$9,O$16,O$17,O$18,$G$19,$H$19))</f>
        <v>25424.94</v>
      </c>
      <c r="P19" s="69">
        <f>IF(_epmOfflineCondition_,54904.68,_xll.EVGTS($B$1,1,$B$3,$B$5,$B$7,$B$9,P$16,P$17,P$18,$G$19,$H$19))</f>
        <v>54904.68</v>
      </c>
      <c r="Q19" s="69">
        <f>IF(_epmOfflineCondition_,78127.48,_xll.EVGTS($B$1,1,$B$3,$B$5,$B$7,$B$9,Q$16,Q$17,Q$18,$G$19,$H$19))</f>
        <v>78127.48</v>
      </c>
      <c r="R19" s="69">
        <f>IF(_epmOfflineCondition_,52543.66,_xll.EVGTS($B$1,1,$B$3,$B$5,$B$7,$B$9,R$16,R$17,R$18,$G$19,$H$19))</f>
        <v>52543.66</v>
      </c>
      <c r="S19" s="69">
        <f>IF(_epmOfflineCondition_,36136.06,_xll.EVGTS($B$1,1,$B$3,$B$5,$B$7,$B$9,S$16,S$17,S$18,$G$19,$H$19))</f>
        <v>36136.06</v>
      </c>
      <c r="T19" s="69">
        <f>IF(_epmOfflineCondition_,30999.54,_xll.EVGTS($B$1,1,$B$3,$B$5,$B$7,$B$9,T$16,T$17,T$18,$G$19,$H$19))</f>
        <v>30999.54</v>
      </c>
      <c r="U19" s="69">
        <f>IF(_epmOfflineCondition_,28347.5,_xll.EVGTS($B$1,1,$B$3,$B$5,$B$7,$B$9,U$16,U$17,U$18,$G$19,$H$19))</f>
        <v>28347.5</v>
      </c>
      <c r="V19" s="69">
        <f>IF(_epmOfflineCondition_,13543.61,_xll.EVGTS($B$1,1,$B$3,$B$5,$B$7,$B$9,V$16,V$17,V$18,$G$19,$H$19))</f>
        <v>13543.61</v>
      </c>
      <c r="W19" s="69">
        <f>IF(_epmOfflineCondition_,3679.2,_xll.EVGTS($B$1,1,$B$3,$B$5,$B$7,$B$9,W$16,W$17,W$18,$G$19,$H$19))</f>
        <v>3679.2</v>
      </c>
      <c r="X19" s="69">
        <f>IF(_epmOfflineCondition_,24694.16,_xll.EVGTS($B$1,1,$B$3,$B$5,$B$7,$B$9,X$16,X$17,X$18,$G$19,$H$19))</f>
        <v>24694.16</v>
      </c>
      <c r="Y19" s="69">
        <f>IF(_epmOfflineCondition_,64640.14,_xll.EVGTS($B$1,1,$B$3,$B$5,$B$7,$B$9,Y$16,Y$17,Y$18,$G$19,$H$19))</f>
        <v>64640.14</v>
      </c>
      <c r="Z19" s="69">
        <f>IF(_epmOfflineCondition_,21749,_xll.EVGTS($B$1,1,$B$3,$B$5,$B$7,$B$9,Z$16,Z$17,Z$18,$G$19,$H$19))</f>
        <v>21749</v>
      </c>
      <c r="AA19" s="69">
        <f>SUM(O19:Z19)</f>
        <v>434789.97</v>
      </c>
      <c r="AB19" s="67"/>
      <c r="AC19" s="67"/>
      <c r="AD19" s="69">
        <f>IF(_epmOfflineCondition_,181587.974804902,_xll.EVGTS($B$1,1,$B$3,$B$5,$B$7,$B$9,AD$16,AD$17,AD$18,$G$19,$H$19))</f>
        <v>181587.97480490201</v>
      </c>
      <c r="AE19" s="67"/>
      <c r="AF19" s="67"/>
      <c r="AG19" s="69">
        <f>IF(_epmOfflineCondition_,83878.58,_xll.EVGTS($B$1,1,$B$3,$B$5,$B$7,$B$9,AG$16,AG$17,AG$18,$G$19,$H$19))</f>
        <v>83878.58</v>
      </c>
      <c r="AH19" s="67"/>
      <c r="AI19" s="67"/>
      <c r="AJ19" s="11"/>
      <c r="AK19" s="11"/>
      <c r="AL19" s="11"/>
      <c r="AM19" s="11"/>
      <c r="AN19" s="11"/>
      <c r="AO19" s="11"/>
    </row>
    <row r="20" spans="1:41" hidden="1" outlineLevel="1" x14ac:dyDescent="0.25">
      <c r="A20" s="65" t="s">
        <v>5</v>
      </c>
      <c r="B20" s="66"/>
      <c r="C20" s="11"/>
      <c r="D20" s="11"/>
      <c r="E20" s="11"/>
      <c r="F20" s="11"/>
      <c r="G20" s="67" t="str">
        <f>$B$6</f>
        <v>D_BCC_CON</v>
      </c>
      <c r="H20" s="67">
        <v>946000</v>
      </c>
      <c r="I20" s="68"/>
      <c r="J20" s="68"/>
      <c r="K20" s="67"/>
      <c r="L20" s="68"/>
      <c r="M20" s="68"/>
      <c r="N20" s="67" t="str">
        <f>IF(_epmOfflineCondition_,"Total Customers",_xll.EVDES(H20))</f>
        <v>Total Customers</v>
      </c>
      <c r="O20" s="69">
        <f>IF(_epmOfflineCondition_,227,_xll.EVGTS($B$1,1,$B$3,$B$5,$B$7,$B$9,O$16,O$17,O$18,$G$20,$H$20))</f>
        <v>227</v>
      </c>
      <c r="P20" s="69">
        <f>IF(_epmOfflineCondition_,419,_xll.EVGTS($B$1,1,$B$3,$B$5,$B$7,$B$9,P$16,P$17,P$18,$G$20,$H$20))</f>
        <v>419</v>
      </c>
      <c r="Q20" s="69">
        <f>IF(_epmOfflineCondition_,646,_xll.EVGTS($B$1,1,$B$3,$B$5,$B$7,$B$9,Q$16,Q$17,Q$18,$G$20,$H$20))</f>
        <v>646</v>
      </c>
      <c r="R20" s="69">
        <f>IF(_epmOfflineCondition_,388,_xll.EVGTS($B$1,1,$B$3,$B$5,$B$7,$B$9,R$16,R$17,R$18,$G$20,$H$20))</f>
        <v>388</v>
      </c>
      <c r="S20" s="69">
        <f>IF(_epmOfflineCondition_,201,_xll.EVGTS($B$1,1,$B$3,$B$5,$B$7,$B$9,S$16,S$17,S$18,$G$20,$H$20))</f>
        <v>201</v>
      </c>
      <c r="T20" s="69">
        <f>IF(_epmOfflineCondition_,347,_xll.EVGTS($B$1,1,$B$3,$B$5,$B$7,$B$9,T$16,T$17,T$18,$G$20,$H$20))</f>
        <v>347</v>
      </c>
      <c r="U20" s="69">
        <f>IF(_epmOfflineCondition_,222,_xll.EVGTS($B$1,1,$B$3,$B$5,$B$7,$B$9,U$16,U$17,U$18,$G$20,$H$20))</f>
        <v>222</v>
      </c>
      <c r="V20" s="69">
        <f>IF(_epmOfflineCondition_,177,_xll.EVGTS($B$1,1,$B$3,$B$5,$B$7,$B$9,V$16,V$17,V$18,$G$20,$H$20))</f>
        <v>177</v>
      </c>
      <c r="W20" s="69">
        <f>IF(_epmOfflineCondition_,50,_xll.EVGTS($B$1,1,$B$3,$B$5,$B$7,$B$9,W$16,W$17,W$18,$G$20,$H$20))</f>
        <v>50</v>
      </c>
      <c r="X20" s="69">
        <f>IF(_epmOfflineCondition_,236,_xll.EVGTS($B$1,1,$B$3,$B$5,$B$7,$B$9,X$16,X$17,X$18,$G$20,$H$20))</f>
        <v>236</v>
      </c>
      <c r="Y20" s="69">
        <f>IF(_epmOfflineCondition_,1008,_xll.EVGTS($B$1,1,$B$3,$B$5,$B$7,$B$9,Y$16,Y$17,Y$18,$G$20,$H$20))</f>
        <v>1008</v>
      </c>
      <c r="Z20" s="69">
        <f>IF(_epmOfflineCondition_,337,_xll.EVGTS($B$1,1,$B$3,$B$5,$B$7,$B$9,Z$16,Z$17,Z$18,$G$20,$H$20))</f>
        <v>337</v>
      </c>
      <c r="AA20" s="69">
        <f>SUM(O20:Z20)</f>
        <v>4258</v>
      </c>
      <c r="AB20" s="67"/>
      <c r="AC20" s="67"/>
      <c r="AD20" s="69">
        <f>IF(_epmOfflineCondition_,1908.54234854,_xll.EVGTS($B$1,1,$B$3,$B$5,$B$7,$B$9,AD$16,AD$17,AD$18,$G$20,$H$20))</f>
        <v>1908.5423485399999</v>
      </c>
      <c r="AE20" s="67"/>
      <c r="AF20" s="67"/>
      <c r="AG20" s="69">
        <f>IF(_epmOfflineCondition_,752,_xll.EVGTS($B$1,1,$B$3,$B$5,$B$7,$B$9,AG$16,AG$17,AG$18,$G$20,$H$20))</f>
        <v>752</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IF(_epmOfflineCondition_,"'BCC_CONS'!$A$36:$F$44",_xll.EVRNG(A36:F44))</f>
        <v>'BCC_CONS'!$A$36:$F$44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IF(_epmOfflineCondition_,"'BCC_CONS'!$A$125:$B$130",_xll.EVRNG($A$125:$B$130))</f>
        <v>'BCC_CONS'!$A$125:$B$130</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IF(_epmOfflineCondition_,"Banquet-Catering &amp; CS Department",IF(_xll.EVDES(B6,$B$1)="#NODATA","",_xll.EVDES(B6,$B$1)&amp;" Department"))</f>
        <v>Banquet-Catering &amp; CS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D2148=Y,REV_F,BEV,DEP(REV_BEV) AND D2148=Y,REV_BEV,ALLOW_FB,REV_FB,OTHR_REV,DEP(REV_OTHR) AND D2148=Y,REV_OTHR,400000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11"/>
      <c r="J31" s="11"/>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6"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v>6627</v>
      </c>
      <c r="P35" s="564">
        <v>818</v>
      </c>
      <c r="Q35" s="564">
        <v>12524</v>
      </c>
      <c r="R35" s="564">
        <v>2056</v>
      </c>
      <c r="S35" s="564"/>
      <c r="T35" s="564"/>
      <c r="U35" s="564"/>
      <c r="V35" s="564"/>
      <c r="W35" s="564"/>
      <c r="X35" s="564"/>
      <c r="Y35" s="564"/>
      <c r="Z35" s="564"/>
      <c r="AA35" s="210">
        <f t="shared" ref="AA35:AA56" si="1">IF($I35="B1","",SUM(O35:Z35))</f>
        <v>22025</v>
      </c>
      <c r="AB35" s="565">
        <f t="shared" ref="AB35:AB56" si="2">IF(AA35=0,"",IFERROR(AA35/AA$19,""))</f>
        <v>5.0656642332388674E-2</v>
      </c>
      <c r="AC35" s="459"/>
      <c r="AD35" s="564">
        <v>17900.400000000001</v>
      </c>
      <c r="AE35" s="565">
        <f t="shared" ref="AE35:AE56" si="3">IF(AD35=0,"",IFERROR(AD35/AD$19,""))</f>
        <v>9.8577012157507554E-2</v>
      </c>
      <c r="AF35" s="566">
        <f t="shared" ref="AF35:AF56" si="4">IF(AND($AA35="",AD35=""),"",$AA35-AD35)</f>
        <v>4124.5999999999985</v>
      </c>
      <c r="AG35" s="564">
        <v>7916</v>
      </c>
      <c r="AH35" s="565">
        <f t="shared" ref="AH35:AH56" si="5">IF(AG35=0,"",IFERROR(AG35/AG$19,""))</f>
        <v>9.4374511347235485E-2</v>
      </c>
      <c r="AI35" s="567">
        <f t="shared" ref="AI35:AI56" si="6">IF(AND($AA35="",AG35=""),"",$AA35-AG35)</f>
        <v>14109</v>
      </c>
      <c r="AJ35" s="462">
        <f t="shared" ref="AJ35:AJ56" si="7">IFERROR(AA35/AA$20,0)</f>
        <v>5.1726162517613901</v>
      </c>
      <c r="AK35" s="463">
        <f t="shared" ref="AK35:AK56" si="8">IFERROR(AD35/AD$20,0)</f>
        <v>9.379095000796541</v>
      </c>
      <c r="AL35" s="464">
        <f t="shared" ref="AL35:AL56" si="9">IFERROR(AG35/AG$20,0)</f>
        <v>10.526595744680851</v>
      </c>
      <c r="AM35" s="465" t="str">
        <f t="shared" ref="AM35:AM56" si="10">+IFERROR(ROUND(($AB35-AE35)*100,2)&amp;" pts.",0)</f>
        <v>-4.79 pts.</v>
      </c>
      <c r="AN35" s="466" t="str">
        <f t="shared" ref="AN35:AN56" si="11">+IFERROR(ROUND(($AB35-AH35)*100,2)&amp;" pts.",0)</f>
        <v>-4.37 pts.</v>
      </c>
      <c r="AO35" s="11"/>
    </row>
    <row r="36" spans="1:41" x14ac:dyDescent="0.2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v>4920</v>
      </c>
      <c r="P36" s="564">
        <v>12843</v>
      </c>
      <c r="Q36" s="564">
        <v>36333</v>
      </c>
      <c r="R36" s="564">
        <v>24977</v>
      </c>
      <c r="S36" s="564">
        <v>17029.16</v>
      </c>
      <c r="T36" s="564">
        <v>18301</v>
      </c>
      <c r="U36" s="564">
        <v>13125</v>
      </c>
      <c r="V36" s="564">
        <v>7803.77</v>
      </c>
      <c r="W36" s="564">
        <v>2340</v>
      </c>
      <c r="X36" s="564">
        <v>7178</v>
      </c>
      <c r="Y36" s="564">
        <v>15223</v>
      </c>
      <c r="Z36" s="564">
        <v>11200</v>
      </c>
      <c r="AA36" s="210">
        <f t="shared" si="1"/>
        <v>171272.93</v>
      </c>
      <c r="AB36" s="565">
        <f t="shared" si="2"/>
        <v>0.39392106952237194</v>
      </c>
      <c r="AC36" s="459"/>
      <c r="AD36" s="564">
        <v>28735.6500011588</v>
      </c>
      <c r="AE36" s="565">
        <f t="shared" si="3"/>
        <v>0.15824643692420912</v>
      </c>
      <c r="AF36" s="566">
        <f t="shared" si="4"/>
        <v>142537.2799988412</v>
      </c>
      <c r="AG36" s="564">
        <v>9588</v>
      </c>
      <c r="AH36" s="565">
        <f t="shared" si="5"/>
        <v>0.11430808676064855</v>
      </c>
      <c r="AI36" s="567">
        <f t="shared" si="6"/>
        <v>161684.93</v>
      </c>
      <c r="AJ36" s="462">
        <f t="shared" si="7"/>
        <v>40.223797557538752</v>
      </c>
      <c r="AK36" s="463">
        <f t="shared" si="8"/>
        <v>15.056333449001563</v>
      </c>
      <c r="AL36" s="464">
        <f t="shared" si="9"/>
        <v>12.75</v>
      </c>
      <c r="AM36" s="465" t="str">
        <f t="shared" si="10"/>
        <v>23.57 pts.</v>
      </c>
      <c r="AN36" s="466" t="str">
        <f t="shared" si="11"/>
        <v>27.96 pts.</v>
      </c>
      <c r="AO36" s="11"/>
    </row>
    <row r="37" spans="1:41" x14ac:dyDescent="0.2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563">
        <v>2250</v>
      </c>
      <c r="P37" s="564">
        <v>20933</v>
      </c>
      <c r="Q37" s="564">
        <v>621</v>
      </c>
      <c r="R37" s="564"/>
      <c r="S37" s="564"/>
      <c r="T37" s="564"/>
      <c r="U37" s="564"/>
      <c r="V37" s="564"/>
      <c r="W37" s="564"/>
      <c r="X37" s="564">
        <v>3500</v>
      </c>
      <c r="Y37" s="564">
        <v>10888</v>
      </c>
      <c r="Z37" s="564">
        <v>-500</v>
      </c>
      <c r="AA37" s="210">
        <f t="shared" si="1"/>
        <v>37692</v>
      </c>
      <c r="AB37" s="565">
        <f t="shared" si="2"/>
        <v>8.6690132249370888E-2</v>
      </c>
      <c r="AC37" s="459"/>
      <c r="AD37" s="564">
        <v>58361.690948079398</v>
      </c>
      <c r="AE37" s="565">
        <f t="shared" si="3"/>
        <v>0.32139623238148429</v>
      </c>
      <c r="AF37" s="566">
        <f t="shared" si="4"/>
        <v>-20669.690948079398</v>
      </c>
      <c r="AG37" s="564">
        <v>28975.7</v>
      </c>
      <c r="AH37" s="565">
        <f t="shared" si="5"/>
        <v>0.34544814659475637</v>
      </c>
      <c r="AI37" s="567">
        <f t="shared" si="6"/>
        <v>8716.2999999999993</v>
      </c>
      <c r="AJ37" s="462">
        <f t="shared" si="7"/>
        <v>8.8520432127759516</v>
      </c>
      <c r="AK37" s="463">
        <f t="shared" si="8"/>
        <v>30.579196208417919</v>
      </c>
      <c r="AL37" s="464">
        <f t="shared" si="9"/>
        <v>38.531515957446807</v>
      </c>
      <c r="AM37" s="465" t="str">
        <f t="shared" si="10"/>
        <v>-23.47 pts.</v>
      </c>
      <c r="AN37" s="466" t="str">
        <f t="shared" si="11"/>
        <v>-25.88 pts.</v>
      </c>
      <c r="AO37" s="11"/>
    </row>
    <row r="38" spans="1:41" x14ac:dyDescent="0.25">
      <c r="A38" s="11" t="s">
        <v>105</v>
      </c>
      <c r="B38" s="11"/>
      <c r="C38" s="104" t="s">
        <v>101</v>
      </c>
      <c r="D38" s="11" t="s">
        <v>106</v>
      </c>
      <c r="E38" s="11"/>
      <c r="F38" s="11" t="s">
        <v>98</v>
      </c>
      <c r="G38" s="11"/>
      <c r="H38" s="88" t="s">
        <v>789</v>
      </c>
      <c r="I38" s="122" t="str">
        <f>IF(_epmOfflineCondition_,"N",_xll.EVPRO($B$1,$H38,"STYLE"))</f>
        <v>N</v>
      </c>
      <c r="J38" s="122" t="str">
        <f>IF(_epmOfflineCondition_,"N",_xll.EVPRO($B$1,$H38,"CALC"))</f>
        <v>N</v>
      </c>
      <c r="K38" s="179" t="str">
        <f t="shared" si="0"/>
        <v/>
      </c>
      <c r="L38" s="90" t="str">
        <f>IF(_epmOfflineCondition_,"470110",_xll.EVPRO($B$1,H38,"JDEID"))</f>
        <v>470110</v>
      </c>
      <c r="M38" s="90" t="str">
        <f>IF(_epmOfflineCondition_,"201016",IF(AND(I38="N",J38="N"),_xll.EVPRO($B$1,H38,"PSFTID"),""))</f>
        <v>201016</v>
      </c>
      <c r="N38" s="90" t="str">
        <f>IF(_epmOfflineCondition_,"Break Food",IF(_xll.EVDES(H38,$B$1)="#NODATA","",_xll.EVDES(H38,$B$1)))</f>
        <v>Break Food</v>
      </c>
      <c r="O38" s="563"/>
      <c r="P38" s="564"/>
      <c r="Q38" s="564"/>
      <c r="R38" s="564"/>
      <c r="S38" s="564"/>
      <c r="T38" s="564"/>
      <c r="U38" s="564"/>
      <c r="V38" s="564"/>
      <c r="W38" s="564"/>
      <c r="X38" s="564"/>
      <c r="Y38" s="564"/>
      <c r="Z38" s="564"/>
      <c r="AA38" s="210">
        <f t="shared" si="1"/>
        <v>0</v>
      </c>
      <c r="AB38" s="565" t="str">
        <f t="shared" si="2"/>
        <v/>
      </c>
      <c r="AC38" s="459"/>
      <c r="AD38" s="564"/>
      <c r="AE38" s="565" t="str">
        <f t="shared" si="3"/>
        <v/>
      </c>
      <c r="AF38" s="566">
        <f t="shared" si="4"/>
        <v>0</v>
      </c>
      <c r="AG38" s="564"/>
      <c r="AH38" s="565" t="str">
        <f t="shared" si="5"/>
        <v/>
      </c>
      <c r="AI38" s="567">
        <f t="shared" si="6"/>
        <v>0</v>
      </c>
      <c r="AJ38" s="462">
        <f t="shared" si="7"/>
        <v>0</v>
      </c>
      <c r="AK38" s="463">
        <f t="shared" si="8"/>
        <v>0</v>
      </c>
      <c r="AL38" s="464">
        <f t="shared" si="9"/>
        <v>0</v>
      </c>
      <c r="AM38" s="465">
        <f t="shared" si="10"/>
        <v>0</v>
      </c>
      <c r="AN38" s="466">
        <f t="shared" si="11"/>
        <v>0</v>
      </c>
      <c r="AO38" s="11"/>
    </row>
    <row r="39" spans="1:41" x14ac:dyDescent="0.25">
      <c r="A39" s="11" t="s">
        <v>104</v>
      </c>
      <c r="B39" s="11"/>
      <c r="C39" s="104" t="s">
        <v>101</v>
      </c>
      <c r="D39" s="11" t="s">
        <v>106</v>
      </c>
      <c r="E39" s="11"/>
      <c r="F39" s="11" t="s">
        <v>98</v>
      </c>
      <c r="G39" s="11"/>
      <c r="H39" s="88" t="s">
        <v>790</v>
      </c>
      <c r="I39" s="122" t="str">
        <f>IF(_epmOfflineCondition_,"N",_xll.EVPRO($B$1,$H39,"STYLE"))</f>
        <v>N</v>
      </c>
      <c r="J39" s="122" t="str">
        <f>IF(_epmOfflineCondition_,"N",_xll.EVPRO($B$1,$H39,"CALC"))</f>
        <v>N</v>
      </c>
      <c r="K39" s="179" t="str">
        <f t="shared" si="0"/>
        <v/>
      </c>
      <c r="L39" s="90" t="str">
        <f>IF(_epmOfflineCondition_,"471110",_xll.EVPRO($B$1,H39,"JDEID"))</f>
        <v>471110</v>
      </c>
      <c r="M39" s="90" t="str">
        <f>IF(_epmOfflineCondition_,"201017",IF(AND(I39="N",J39="N"),_xll.EVPRO($B$1,H39,"PSFTID"),""))</f>
        <v>201017</v>
      </c>
      <c r="N39" s="90" t="str">
        <f>IF(_epmOfflineCondition_,"Reception Food",IF(_xll.EVDES(H39,$B$1)="#NODATA","",_xll.EVDES(H39,$B$1)))</f>
        <v>Reception Food</v>
      </c>
      <c r="O39" s="467"/>
      <c r="P39" s="216"/>
      <c r="Q39" s="216"/>
      <c r="R39" s="216"/>
      <c r="S39" s="216"/>
      <c r="T39" s="216"/>
      <c r="U39" s="216"/>
      <c r="V39" s="216"/>
      <c r="W39" s="216"/>
      <c r="X39" s="216"/>
      <c r="Y39" s="216">
        <v>1535</v>
      </c>
      <c r="Z39" s="216"/>
      <c r="AA39" s="216">
        <f t="shared" si="1"/>
        <v>1535</v>
      </c>
      <c r="AB39" s="468">
        <f t="shared" si="2"/>
        <v>3.5304402261165319E-3</v>
      </c>
      <c r="AC39" s="459"/>
      <c r="AD39" s="216"/>
      <c r="AE39" s="468" t="str">
        <f t="shared" si="3"/>
        <v/>
      </c>
      <c r="AF39" s="469">
        <f t="shared" si="4"/>
        <v>1535</v>
      </c>
      <c r="AG39" s="216"/>
      <c r="AH39" s="468" t="str">
        <f t="shared" si="5"/>
        <v/>
      </c>
      <c r="AI39" s="470">
        <f t="shared" si="6"/>
        <v>1535</v>
      </c>
      <c r="AJ39" s="471">
        <f t="shared" si="7"/>
        <v>0.36049788633161106</v>
      </c>
      <c r="AK39" s="472">
        <f t="shared" si="8"/>
        <v>0</v>
      </c>
      <c r="AL39" s="473">
        <f t="shared" si="9"/>
        <v>0</v>
      </c>
      <c r="AM39" s="474">
        <f t="shared" si="10"/>
        <v>0</v>
      </c>
      <c r="AN39" s="475">
        <f t="shared" si="11"/>
        <v>0</v>
      </c>
      <c r="AO39" s="11"/>
    </row>
    <row r="40" spans="1:41" x14ac:dyDescent="0.2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76">
        <v>13797</v>
      </c>
      <c r="P40" s="223">
        <v>34594</v>
      </c>
      <c r="Q40" s="223">
        <v>49478</v>
      </c>
      <c r="R40" s="223">
        <v>27033</v>
      </c>
      <c r="S40" s="223">
        <v>17029.16</v>
      </c>
      <c r="T40" s="223">
        <v>18301</v>
      </c>
      <c r="U40" s="223">
        <v>13125</v>
      </c>
      <c r="V40" s="223">
        <v>7803.77</v>
      </c>
      <c r="W40" s="223">
        <v>2340</v>
      </c>
      <c r="X40" s="223">
        <v>10678</v>
      </c>
      <c r="Y40" s="223">
        <v>27646</v>
      </c>
      <c r="Z40" s="223">
        <v>10700</v>
      </c>
      <c r="AA40" s="223">
        <f t="shared" si="1"/>
        <v>232524.93</v>
      </c>
      <c r="AB40" s="224">
        <f t="shared" si="2"/>
        <v>0.53479828433024801</v>
      </c>
      <c r="AC40" s="225"/>
      <c r="AD40" s="223">
        <v>104997.740949238</v>
      </c>
      <c r="AE40" s="224">
        <f t="shared" si="3"/>
        <v>0.5782196814631998</v>
      </c>
      <c r="AF40" s="226">
        <f t="shared" si="4"/>
        <v>127527.189050762</v>
      </c>
      <c r="AG40" s="223">
        <v>46479.7</v>
      </c>
      <c r="AH40" s="224">
        <f t="shared" si="5"/>
        <v>0.55413074470264034</v>
      </c>
      <c r="AI40" s="477">
        <f t="shared" si="6"/>
        <v>186045.22999999998</v>
      </c>
      <c r="AJ40" s="227">
        <f t="shared" si="7"/>
        <v>54.608954908407703</v>
      </c>
      <c r="AK40" s="228">
        <f t="shared" si="8"/>
        <v>55.014624658215915</v>
      </c>
      <c r="AL40" s="230">
        <f t="shared" si="9"/>
        <v>61.808111702127654</v>
      </c>
      <c r="AM40" s="427" t="str">
        <f t="shared" si="10"/>
        <v>-4.34 pts.</v>
      </c>
      <c r="AN40" s="478" t="str">
        <f t="shared" si="11"/>
        <v>-1.93 pts.</v>
      </c>
      <c r="AO40" s="11"/>
    </row>
    <row r="41" spans="1:41" x14ac:dyDescent="0.2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568"/>
      <c r="P41" s="231"/>
      <c r="Q41" s="231"/>
      <c r="R41" s="231"/>
      <c r="S41" s="231"/>
      <c r="T41" s="231"/>
      <c r="U41" s="231"/>
      <c r="V41" s="231"/>
      <c r="W41" s="231"/>
      <c r="X41" s="231"/>
      <c r="Y41" s="231"/>
      <c r="Z41" s="231"/>
      <c r="AA41" s="232" t="str">
        <f t="shared" si="1"/>
        <v/>
      </c>
      <c r="AB41" s="233" t="str">
        <f t="shared" si="2"/>
        <v/>
      </c>
      <c r="AC41" s="481"/>
      <c r="AD41" s="231"/>
      <c r="AE41" s="233" t="str">
        <f t="shared" si="3"/>
        <v/>
      </c>
      <c r="AF41" s="234" t="str">
        <f t="shared" si="4"/>
        <v/>
      </c>
      <c r="AG41" s="231"/>
      <c r="AH41" s="233" t="str">
        <f t="shared" si="5"/>
        <v/>
      </c>
      <c r="AI41" s="569" t="str">
        <f t="shared" si="6"/>
        <v/>
      </c>
      <c r="AJ41" s="235">
        <f t="shared" si="7"/>
        <v>0</v>
      </c>
      <c r="AK41" s="236">
        <f t="shared" si="8"/>
        <v>0</v>
      </c>
      <c r="AL41" s="238">
        <f t="shared" si="9"/>
        <v>0</v>
      </c>
      <c r="AM41" s="429">
        <f t="shared" si="10"/>
        <v>0</v>
      </c>
      <c r="AN41" s="484">
        <f t="shared" si="11"/>
        <v>0</v>
      </c>
      <c r="AO41" s="11"/>
    </row>
    <row r="42" spans="1:41" x14ac:dyDescent="0.2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563"/>
      <c r="P42" s="564"/>
      <c r="Q42" s="564"/>
      <c r="R42" s="564"/>
      <c r="S42" s="564"/>
      <c r="T42" s="564"/>
      <c r="U42" s="564"/>
      <c r="V42" s="564"/>
      <c r="W42" s="564"/>
      <c r="X42" s="564"/>
      <c r="Y42" s="564"/>
      <c r="Z42" s="564"/>
      <c r="AA42" s="210">
        <f t="shared" si="1"/>
        <v>0</v>
      </c>
      <c r="AB42" s="565" t="str">
        <f t="shared" si="2"/>
        <v/>
      </c>
      <c r="AC42" s="459"/>
      <c r="AD42" s="564"/>
      <c r="AE42" s="565" t="str">
        <f t="shared" si="3"/>
        <v/>
      </c>
      <c r="AF42" s="566">
        <f t="shared" si="4"/>
        <v>0</v>
      </c>
      <c r="AG42" s="564"/>
      <c r="AH42" s="565" t="str">
        <f t="shared" si="5"/>
        <v/>
      </c>
      <c r="AI42" s="567">
        <f t="shared" si="6"/>
        <v>0</v>
      </c>
      <c r="AJ42" s="462">
        <f t="shared" si="7"/>
        <v>0</v>
      </c>
      <c r="AK42" s="463">
        <f t="shared" si="8"/>
        <v>0</v>
      </c>
      <c r="AL42" s="464">
        <f t="shared" si="9"/>
        <v>0</v>
      </c>
      <c r="AM42" s="465">
        <f t="shared" si="10"/>
        <v>0</v>
      </c>
      <c r="AN42" s="466">
        <f t="shared" si="11"/>
        <v>0</v>
      </c>
      <c r="AO42" s="11"/>
    </row>
    <row r="43" spans="1:41" x14ac:dyDescent="0.25">
      <c r="A43" s="11" t="s">
        <v>108</v>
      </c>
      <c r="B43" s="11"/>
      <c r="C43" s="106"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563">
        <v>180</v>
      </c>
      <c r="P43" s="564"/>
      <c r="Q43" s="564">
        <v>1440</v>
      </c>
      <c r="R43" s="564"/>
      <c r="S43" s="564">
        <v>852</v>
      </c>
      <c r="T43" s="564">
        <v>256</v>
      </c>
      <c r="U43" s="564"/>
      <c r="V43" s="564">
        <v>875</v>
      </c>
      <c r="W43" s="564"/>
      <c r="X43" s="564"/>
      <c r="Y43" s="564">
        <v>1600</v>
      </c>
      <c r="Z43" s="564"/>
      <c r="AA43" s="210">
        <f t="shared" si="1"/>
        <v>5203</v>
      </c>
      <c r="AB43" s="565">
        <f t="shared" si="2"/>
        <v>1.196669739184646E-2</v>
      </c>
      <c r="AC43" s="459"/>
      <c r="AD43" s="564">
        <v>764.35000005619997</v>
      </c>
      <c r="AE43" s="565">
        <f t="shared" si="3"/>
        <v>4.2092544997950282E-3</v>
      </c>
      <c r="AF43" s="566">
        <f t="shared" si="4"/>
        <v>4438.6499999438001</v>
      </c>
      <c r="AG43" s="564">
        <v>772</v>
      </c>
      <c r="AH43" s="565">
        <f t="shared" si="5"/>
        <v>9.2037800353797113E-3</v>
      </c>
      <c r="AI43" s="567">
        <f t="shared" si="6"/>
        <v>4431</v>
      </c>
      <c r="AJ43" s="462">
        <f t="shared" si="7"/>
        <v>1.2219351808360732</v>
      </c>
      <c r="AK43" s="463">
        <f t="shared" si="8"/>
        <v>0.40048888652688991</v>
      </c>
      <c r="AL43" s="464">
        <f t="shared" si="9"/>
        <v>1.0265957446808511</v>
      </c>
      <c r="AM43" s="465" t="str">
        <f t="shared" si="10"/>
        <v>0.78 pts.</v>
      </c>
      <c r="AN43" s="466" t="str">
        <f t="shared" si="11"/>
        <v>0.28 pts.</v>
      </c>
      <c r="AO43" s="11"/>
    </row>
    <row r="44" spans="1:41" x14ac:dyDescent="0.25">
      <c r="A44" s="11" t="s">
        <v>108</v>
      </c>
      <c r="B44" s="11"/>
      <c r="C44" s="196"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563">
        <v>900</v>
      </c>
      <c r="P44" s="564"/>
      <c r="Q44" s="564">
        <v>630</v>
      </c>
      <c r="R44" s="564"/>
      <c r="S44" s="564"/>
      <c r="T44" s="564"/>
      <c r="U44" s="564"/>
      <c r="V44" s="564"/>
      <c r="W44" s="564"/>
      <c r="X44" s="564">
        <v>5100</v>
      </c>
      <c r="Y44" s="564">
        <v>9235</v>
      </c>
      <c r="Z44" s="564"/>
      <c r="AA44" s="210">
        <f t="shared" si="1"/>
        <v>15865</v>
      </c>
      <c r="AB44" s="565">
        <f t="shared" si="2"/>
        <v>3.6488882206735358E-2</v>
      </c>
      <c r="AC44" s="459"/>
      <c r="AD44" s="564">
        <v>8736.2490547014004</v>
      </c>
      <c r="AE44" s="565">
        <f t="shared" si="3"/>
        <v>4.8110284087300496E-2</v>
      </c>
      <c r="AF44" s="566">
        <f t="shared" si="4"/>
        <v>7128.7509452985996</v>
      </c>
      <c r="AG44" s="564">
        <v>3025</v>
      </c>
      <c r="AH44" s="565">
        <f t="shared" si="5"/>
        <v>3.6064034465056516E-2</v>
      </c>
      <c r="AI44" s="567">
        <f t="shared" si="6"/>
        <v>12840</v>
      </c>
      <c r="AJ44" s="462">
        <f t="shared" si="7"/>
        <v>3.7259276655706906</v>
      </c>
      <c r="AK44" s="463">
        <f t="shared" si="8"/>
        <v>4.5774457461656386</v>
      </c>
      <c r="AL44" s="464">
        <f t="shared" si="9"/>
        <v>4.0226063829787231</v>
      </c>
      <c r="AM44" s="465" t="str">
        <f t="shared" si="10"/>
        <v>-1.16 pts.</v>
      </c>
      <c r="AN44" s="466" t="str">
        <f t="shared" si="11"/>
        <v>0.04 pts.</v>
      </c>
      <c r="AO44" s="11"/>
    </row>
    <row r="45" spans="1:41" x14ac:dyDescent="0.25">
      <c r="A45" s="11"/>
      <c r="B45" s="11"/>
      <c r="C45" s="11"/>
      <c r="D45" s="11"/>
      <c r="E45" s="11"/>
      <c r="F45" s="11"/>
      <c r="G45" s="11"/>
      <c r="H45" s="88" t="s">
        <v>791</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IF(_epmOfflineCondition_,"Reception Beverage Revenue",IF(_xll.EVDES(H45,$B$1)="#NODATA","",_xll.EVDES(H45,$B$1)))</f>
        <v>Reception Beverage Revenue</v>
      </c>
      <c r="O45" s="467"/>
      <c r="P45" s="216"/>
      <c r="Q45" s="216"/>
      <c r="R45" s="216"/>
      <c r="S45" s="216"/>
      <c r="T45" s="216"/>
      <c r="U45" s="216"/>
      <c r="V45" s="216"/>
      <c r="W45" s="216"/>
      <c r="X45" s="216"/>
      <c r="Y45" s="216">
        <v>794</v>
      </c>
      <c r="Z45" s="216"/>
      <c r="AA45" s="216">
        <f t="shared" si="1"/>
        <v>794</v>
      </c>
      <c r="AB45" s="468">
        <f t="shared" si="2"/>
        <v>1.8261690811312876E-3</v>
      </c>
      <c r="AC45" s="459"/>
      <c r="AD45" s="216"/>
      <c r="AE45" s="468" t="str">
        <f t="shared" si="3"/>
        <v/>
      </c>
      <c r="AF45" s="469">
        <f t="shared" si="4"/>
        <v>794</v>
      </c>
      <c r="AG45" s="216"/>
      <c r="AH45" s="468" t="str">
        <f t="shared" si="5"/>
        <v/>
      </c>
      <c r="AI45" s="470">
        <f t="shared" si="6"/>
        <v>794</v>
      </c>
      <c r="AJ45" s="471">
        <f t="shared" si="7"/>
        <v>0.18647252231094411</v>
      </c>
      <c r="AK45" s="472">
        <f t="shared" si="8"/>
        <v>0</v>
      </c>
      <c r="AL45" s="473">
        <f t="shared" si="9"/>
        <v>0</v>
      </c>
      <c r="AM45" s="474">
        <f t="shared" si="10"/>
        <v>0</v>
      </c>
      <c r="AN45" s="475">
        <f t="shared" si="11"/>
        <v>0</v>
      </c>
      <c r="AO45" s="11"/>
    </row>
    <row r="46" spans="1:41" x14ac:dyDescent="0.25">
      <c r="A46" s="11"/>
      <c r="B46" s="11"/>
      <c r="C46" s="11"/>
      <c r="D46" s="11"/>
      <c r="E46" s="11"/>
      <c r="F46" s="11"/>
      <c r="G46" s="11"/>
      <c r="H46" s="88" t="s">
        <v>272</v>
      </c>
      <c r="I46" s="188" t="str">
        <f>IF(_epmOfflineCondition_,"T4",_xll.EVPRO($B$1,$H46,"STYLE"))</f>
        <v>T4</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Beverage Revenue",IF(_xll.EVDES(H46,$B$1)="#NODATA","",_xll.EVDES(H46,$B$1)))</f>
        <v>Total Beverage Revenue</v>
      </c>
      <c r="O46" s="476">
        <v>1080</v>
      </c>
      <c r="P46" s="223"/>
      <c r="Q46" s="223">
        <v>2070</v>
      </c>
      <c r="R46" s="223"/>
      <c r="S46" s="223">
        <v>852</v>
      </c>
      <c r="T46" s="223">
        <v>256</v>
      </c>
      <c r="U46" s="223"/>
      <c r="V46" s="223">
        <v>875</v>
      </c>
      <c r="W46" s="223"/>
      <c r="X46" s="223">
        <v>5100</v>
      </c>
      <c r="Y46" s="223">
        <v>11629</v>
      </c>
      <c r="Z46" s="223"/>
      <c r="AA46" s="223">
        <f t="shared" si="1"/>
        <v>21862</v>
      </c>
      <c r="AB46" s="224">
        <f t="shared" si="2"/>
        <v>5.0281748679713106E-2</v>
      </c>
      <c r="AC46" s="225"/>
      <c r="AD46" s="223">
        <v>9500.5990547576002</v>
      </c>
      <c r="AE46" s="224">
        <f t="shared" si="3"/>
        <v>5.2319538587095524E-2</v>
      </c>
      <c r="AF46" s="226">
        <f t="shared" si="4"/>
        <v>12361.4009452424</v>
      </c>
      <c r="AG46" s="223">
        <v>3797</v>
      </c>
      <c r="AH46" s="224">
        <f t="shared" si="5"/>
        <v>4.5267814500436224E-2</v>
      </c>
      <c r="AI46" s="477">
        <f t="shared" si="6"/>
        <v>18065</v>
      </c>
      <c r="AJ46" s="227">
        <f t="shared" si="7"/>
        <v>5.134335368717708</v>
      </c>
      <c r="AK46" s="228">
        <f t="shared" si="8"/>
        <v>4.9779346326925289</v>
      </c>
      <c r="AL46" s="230">
        <f t="shared" si="9"/>
        <v>5.0492021276595747</v>
      </c>
      <c r="AM46" s="427" t="str">
        <f t="shared" si="10"/>
        <v>-0.2 pts.</v>
      </c>
      <c r="AN46" s="478" t="str">
        <f t="shared" si="11"/>
        <v>0.5 pts.</v>
      </c>
      <c r="AO46" s="11"/>
    </row>
    <row r="47" spans="1:41" x14ac:dyDescent="0.25">
      <c r="A47" s="61" t="str">
        <f>IF(_epmOfflineCondition_,"Evdre:Ok",_xll.EVDRE($B$1,A50:B57,A60:B66))</f>
        <v>Evdre:Ok</v>
      </c>
      <c r="B47" s="11"/>
      <c r="C47" s="11"/>
      <c r="D47" s="11"/>
      <c r="E47" s="11"/>
      <c r="F47" s="11"/>
      <c r="G47" s="11"/>
      <c r="H47" s="88" t="s">
        <v>486</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IF(_epmOfflineCondition_,"Food &amp; Beverage: Allowances",IF(_xll.EVDES(H47,$B$1)="#NODATA","",_xll.EVDES(H47,$B$1)))</f>
        <v>Food &amp; Beverage: Allowances</v>
      </c>
      <c r="O47" s="530"/>
      <c r="P47" s="239"/>
      <c r="Q47" s="239"/>
      <c r="R47" s="239"/>
      <c r="S47" s="239"/>
      <c r="T47" s="239"/>
      <c r="U47" s="239"/>
      <c r="V47" s="239"/>
      <c r="W47" s="239"/>
      <c r="X47" s="239"/>
      <c r="Y47" s="239"/>
      <c r="Z47" s="239"/>
      <c r="AA47" s="239">
        <f t="shared" si="1"/>
        <v>0</v>
      </c>
      <c r="AB47" s="240" t="str">
        <f t="shared" si="2"/>
        <v/>
      </c>
      <c r="AC47" s="481"/>
      <c r="AD47" s="239"/>
      <c r="AE47" s="240" t="str">
        <f t="shared" si="3"/>
        <v/>
      </c>
      <c r="AF47" s="241">
        <f t="shared" si="4"/>
        <v>0</v>
      </c>
      <c r="AG47" s="239"/>
      <c r="AH47" s="240" t="str">
        <f t="shared" si="5"/>
        <v/>
      </c>
      <c r="AI47" s="531">
        <f t="shared" si="6"/>
        <v>0</v>
      </c>
      <c r="AJ47" s="532">
        <f t="shared" si="7"/>
        <v>0</v>
      </c>
      <c r="AK47" s="533">
        <f t="shared" si="8"/>
        <v>0</v>
      </c>
      <c r="AL47" s="534">
        <f t="shared" si="9"/>
        <v>0</v>
      </c>
      <c r="AM47" s="535">
        <f t="shared" si="10"/>
        <v>0</v>
      </c>
      <c r="AN47" s="536">
        <f t="shared" si="11"/>
        <v>0</v>
      </c>
      <c r="AO47" s="11"/>
    </row>
    <row r="48" spans="1:41" x14ac:dyDescent="0.25">
      <c r="A48" s="11"/>
      <c r="B48" s="11"/>
      <c r="C48" s="11"/>
      <c r="D48" s="11"/>
      <c r="E48" s="11"/>
      <c r="F48" s="11"/>
      <c r="G48" s="11"/>
      <c r="H48" s="88" t="s">
        <v>273</v>
      </c>
      <c r="I48" s="188" t="str">
        <f>IF(_epmOfflineCondition_,"T4",_xll.EVPRO($B$1,$H48,"STYLE"))</f>
        <v>T4</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Food &amp; Beverage Revenue",IF(_xll.EVDES(H48,$B$1)="#NODATA","",_xll.EVDES(H48,$B$1)))</f>
        <v>Total Food &amp; Beverage Revenue</v>
      </c>
      <c r="O48" s="476">
        <v>14877</v>
      </c>
      <c r="P48" s="223">
        <v>34594</v>
      </c>
      <c r="Q48" s="223">
        <v>51548</v>
      </c>
      <c r="R48" s="223">
        <v>27033</v>
      </c>
      <c r="S48" s="223">
        <v>17881.16</v>
      </c>
      <c r="T48" s="223">
        <v>18557</v>
      </c>
      <c r="U48" s="223">
        <v>13125</v>
      </c>
      <c r="V48" s="223">
        <v>8678.77</v>
      </c>
      <c r="W48" s="223">
        <v>2340</v>
      </c>
      <c r="X48" s="223">
        <v>15778</v>
      </c>
      <c r="Y48" s="223">
        <v>39275</v>
      </c>
      <c r="Z48" s="223">
        <v>10700</v>
      </c>
      <c r="AA48" s="223">
        <f t="shared" si="1"/>
        <v>254386.93</v>
      </c>
      <c r="AB48" s="224">
        <f t="shared" si="2"/>
        <v>0.58508003300996114</v>
      </c>
      <c r="AC48" s="225"/>
      <c r="AD48" s="223">
        <v>114498.340003996</v>
      </c>
      <c r="AE48" s="224">
        <f t="shared" si="3"/>
        <v>0.6305392200502975</v>
      </c>
      <c r="AF48" s="226">
        <f t="shared" si="4"/>
        <v>139888.58999600401</v>
      </c>
      <c r="AG48" s="223">
        <v>50276.7</v>
      </c>
      <c r="AH48" s="224">
        <f t="shared" si="5"/>
        <v>0.59939855920307661</v>
      </c>
      <c r="AI48" s="477">
        <f t="shared" si="6"/>
        <v>204110.22999999998</v>
      </c>
      <c r="AJ48" s="227">
        <f t="shared" si="7"/>
        <v>59.743290277125411</v>
      </c>
      <c r="AK48" s="228">
        <f t="shared" si="8"/>
        <v>59.992559290908652</v>
      </c>
      <c r="AL48" s="230">
        <f t="shared" si="9"/>
        <v>66.85731382978723</v>
      </c>
      <c r="AM48" s="427" t="str">
        <f t="shared" si="10"/>
        <v>-4.55 pts.</v>
      </c>
      <c r="AN48" s="478" t="str">
        <f t="shared" si="11"/>
        <v>-1.43 pts.</v>
      </c>
      <c r="AO48" s="11"/>
    </row>
    <row r="49" spans="1:41" x14ac:dyDescent="0.25">
      <c r="A49" s="62" t="s">
        <v>0</v>
      </c>
      <c r="B49" s="63" t="s">
        <v>1</v>
      </c>
      <c r="C49" s="11"/>
      <c r="D49" s="11"/>
      <c r="E49" s="11"/>
      <c r="F49" s="11"/>
      <c r="G49" s="11"/>
      <c r="H49" s="88" t="s">
        <v>279</v>
      </c>
      <c r="I49" s="188" t="str">
        <f>IF(_epmOfflineCondition_,"B1",_xll.EVPRO($B$1,$H49,"STYLE"))</f>
        <v>B1</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IF(_epmOfflineCondition_,"Other Revenue",IF(_xll.EVDES(H49,$B$1)="#NODATA","",_xll.EVDES(H49,$B$1)))</f>
        <v>Other Revenue</v>
      </c>
      <c r="O49" s="568"/>
      <c r="P49" s="231"/>
      <c r="Q49" s="231"/>
      <c r="R49" s="231"/>
      <c r="S49" s="231"/>
      <c r="T49" s="231"/>
      <c r="U49" s="231"/>
      <c r="V49" s="231"/>
      <c r="W49" s="231"/>
      <c r="X49" s="231"/>
      <c r="Y49" s="231"/>
      <c r="Z49" s="231"/>
      <c r="AA49" s="232" t="str">
        <f t="shared" si="1"/>
        <v/>
      </c>
      <c r="AB49" s="233" t="str">
        <f t="shared" si="2"/>
        <v/>
      </c>
      <c r="AC49" s="481"/>
      <c r="AD49" s="231"/>
      <c r="AE49" s="233" t="str">
        <f t="shared" si="3"/>
        <v/>
      </c>
      <c r="AF49" s="234" t="str">
        <f t="shared" si="4"/>
        <v/>
      </c>
      <c r="AG49" s="231"/>
      <c r="AH49" s="233" t="str">
        <f t="shared" si="5"/>
        <v/>
      </c>
      <c r="AI49" s="569" t="str">
        <f t="shared" si="6"/>
        <v/>
      </c>
      <c r="AJ49" s="235">
        <f t="shared" si="7"/>
        <v>0</v>
      </c>
      <c r="AK49" s="236">
        <f t="shared" si="8"/>
        <v>0</v>
      </c>
      <c r="AL49" s="238">
        <f t="shared" si="9"/>
        <v>0</v>
      </c>
      <c r="AM49" s="429">
        <f t="shared" si="10"/>
        <v>0</v>
      </c>
      <c r="AN49" s="484">
        <f t="shared" si="11"/>
        <v>0</v>
      </c>
      <c r="AO49" s="11"/>
    </row>
    <row r="50" spans="1:41" x14ac:dyDescent="0.25">
      <c r="A50" s="65" t="s">
        <v>2</v>
      </c>
      <c r="B50" s="66" t="str">
        <f>IF(_epmOfflineCondition_,"'BCC_CONS'!$B$2:$B$10",_xll.EVRNG($B$2:$B$10))</f>
        <v>'BCC_CONS'!$B$2:$B$10</v>
      </c>
      <c r="C50" s="11"/>
      <c r="D50" s="11"/>
      <c r="E50" s="11"/>
      <c r="F50" s="11"/>
      <c r="G50" s="11"/>
      <c r="H50" s="88" t="s">
        <v>274</v>
      </c>
      <c r="I50" s="122" t="str">
        <f>IF(_epmOfflineCondition_,"T5",_xll.EVPRO($B$1,$H50,"STYLE"))</f>
        <v>T5</v>
      </c>
      <c r="J50" s="122" t="str">
        <f>IF(_epmOfflineCondition_,"Y",_xll.EVPRO($B$1,$H50,"CALC"))</f>
        <v>Y</v>
      </c>
      <c r="K50" s="179" t="str">
        <f t="shared" si="0"/>
        <v>&gt;</v>
      </c>
      <c r="L50" s="90" t="str">
        <f>IF(_epmOfflineCondition_,"468300",_xll.EVPRO($B$1,H50,"JDEID"))</f>
        <v>468300</v>
      </c>
      <c r="M50" s="90" t="str">
        <f>IF(_epmOfflineCondition_,"",IF(AND(I50="N",J50="N"),_xll.EVPRO($B$1,H50,"PSFTID"),""))</f>
        <v/>
      </c>
      <c r="N50" s="90" t="str">
        <f>IF(_epmOfflineCondition_,"Audio/Visual Rentals",IF(_xll.EVDES(H50,$B$1)="#NODATA","",_xll.EVDES(H50,$B$1)))</f>
        <v>Audio/Visual Rentals</v>
      </c>
      <c r="O50" s="563">
        <v>575</v>
      </c>
      <c r="P50" s="564">
        <v>100</v>
      </c>
      <c r="Q50" s="564">
        <v>3950</v>
      </c>
      <c r="R50" s="564">
        <v>4050</v>
      </c>
      <c r="S50" s="564">
        <v>3100</v>
      </c>
      <c r="T50" s="564">
        <v>900</v>
      </c>
      <c r="U50" s="564">
        <v>2225</v>
      </c>
      <c r="V50" s="564">
        <v>700</v>
      </c>
      <c r="W50" s="564"/>
      <c r="X50" s="564">
        <v>1365</v>
      </c>
      <c r="Y50" s="564">
        <v>2150</v>
      </c>
      <c r="Z50" s="564">
        <v>2480</v>
      </c>
      <c r="AA50" s="210">
        <f t="shared" si="1"/>
        <v>21595</v>
      </c>
      <c r="AB50" s="565">
        <f t="shared" si="2"/>
        <v>4.9667659076864171E-2</v>
      </c>
      <c r="AC50" s="459"/>
      <c r="AD50" s="564">
        <v>10800</v>
      </c>
      <c r="AE50" s="565">
        <f t="shared" si="3"/>
        <v>5.9475303976507875E-2</v>
      </c>
      <c r="AF50" s="566">
        <f t="shared" si="4"/>
        <v>10795</v>
      </c>
      <c r="AG50" s="564">
        <v>75</v>
      </c>
      <c r="AH50" s="565">
        <f t="shared" si="5"/>
        <v>8.9414961483611193E-4</v>
      </c>
      <c r="AI50" s="567">
        <f t="shared" si="6"/>
        <v>21520</v>
      </c>
      <c r="AJ50" s="462">
        <f t="shared" si="7"/>
        <v>5.071629873179897</v>
      </c>
      <c r="AK50" s="463">
        <f t="shared" si="8"/>
        <v>5.6587688548078603</v>
      </c>
      <c r="AL50" s="464">
        <f t="shared" si="9"/>
        <v>9.9734042553191488E-2</v>
      </c>
      <c r="AM50" s="465" t="str">
        <f t="shared" si="10"/>
        <v>-0.98 pts.</v>
      </c>
      <c r="AN50" s="466" t="str">
        <f t="shared" si="11"/>
        <v>4.88 pts.</v>
      </c>
      <c r="AO50" s="11"/>
    </row>
    <row r="51" spans="1:41" x14ac:dyDescent="0.25">
      <c r="A51" s="65" t="s">
        <v>3</v>
      </c>
      <c r="B51" s="66" t="str">
        <f>IF(_epmOfflineCondition_,"'BCC_CONS'!$O$16:$AN$18",_xll.EVRNG($O$16:$AN$18))</f>
        <v>'BCC_CONS'!$O$16:$AN$18</v>
      </c>
      <c r="C51" s="11"/>
      <c r="D51" s="11"/>
      <c r="E51" s="11"/>
      <c r="F51" s="11"/>
      <c r="G51" s="11"/>
      <c r="H51" s="88" t="s">
        <v>275</v>
      </c>
      <c r="I51" s="122" t="str">
        <f>IF(_epmOfflineCondition_,"T5",_xll.EVPRO($B$1,$H51,"STYLE"))</f>
        <v>T5</v>
      </c>
      <c r="J51" s="122" t="str">
        <f>IF(_epmOfflineCondition_,"Y",_xll.EVPRO($B$1,$H51,"CALC"))</f>
        <v>Y</v>
      </c>
      <c r="K51" s="179" t="str">
        <f t="shared" si="0"/>
        <v>&gt;</v>
      </c>
      <c r="L51" s="90" t="str">
        <f>IF(_epmOfflineCondition_,"468350",_xll.EVPRO($B$1,H51,"JDEID"))</f>
        <v>468350</v>
      </c>
      <c r="M51" s="90" t="str">
        <f>IF(_epmOfflineCondition_,"",IF(AND(I51="N",J51="N"),_xll.EVPRO($B$1,H51,"PSFTID"),""))</f>
        <v/>
      </c>
      <c r="N51" s="90" t="str">
        <f>IF(_epmOfflineCondition_,"Public Room Rental",IF(_xll.EVDES(H51,$B$1)="#NODATA","",_xll.EVDES(H51,$B$1)))</f>
        <v>Public Room Rental</v>
      </c>
      <c r="O51" s="563">
        <v>6550</v>
      </c>
      <c r="P51" s="564">
        <v>11250</v>
      </c>
      <c r="Q51" s="564">
        <v>10800</v>
      </c>
      <c r="R51" s="564">
        <v>15125</v>
      </c>
      <c r="S51" s="564">
        <v>10350</v>
      </c>
      <c r="T51" s="564">
        <v>7000</v>
      </c>
      <c r="U51" s="564">
        <v>9950</v>
      </c>
      <c r="V51" s="564">
        <v>1350</v>
      </c>
      <c r="W51" s="564">
        <v>800</v>
      </c>
      <c r="X51" s="564">
        <v>3630</v>
      </c>
      <c r="Y51" s="564">
        <v>13800</v>
      </c>
      <c r="Z51" s="564">
        <v>6105</v>
      </c>
      <c r="AA51" s="210">
        <f t="shared" si="1"/>
        <v>96710</v>
      </c>
      <c r="AB51" s="565">
        <f t="shared" si="2"/>
        <v>0.2224292340506383</v>
      </c>
      <c r="AC51" s="459"/>
      <c r="AD51" s="564">
        <v>29000</v>
      </c>
      <c r="AE51" s="565">
        <f t="shared" si="3"/>
        <v>0.15970220512210448</v>
      </c>
      <c r="AF51" s="566">
        <f t="shared" si="4"/>
        <v>67710</v>
      </c>
      <c r="AG51" s="564">
        <v>20450</v>
      </c>
      <c r="AH51" s="565">
        <f t="shared" si="5"/>
        <v>0.24380479497864652</v>
      </c>
      <c r="AI51" s="567">
        <f t="shared" si="6"/>
        <v>76260</v>
      </c>
      <c r="AJ51" s="462">
        <f t="shared" si="7"/>
        <v>22.712541099107561</v>
      </c>
      <c r="AK51" s="463">
        <f t="shared" si="8"/>
        <v>15.194842295317404</v>
      </c>
      <c r="AL51" s="464">
        <f t="shared" si="9"/>
        <v>27.194148936170212</v>
      </c>
      <c r="AM51" s="465" t="str">
        <f t="shared" si="10"/>
        <v>6.27 pts.</v>
      </c>
      <c r="AN51" s="466" t="str">
        <f t="shared" si="11"/>
        <v>-2.14 pts.</v>
      </c>
      <c r="AO51" s="11"/>
    </row>
    <row r="52" spans="1:41" x14ac:dyDescent="0.25">
      <c r="A52" s="65" t="s">
        <v>4</v>
      </c>
      <c r="B52" s="66" t="str">
        <f>IF(_epmOfflineCondition_,"'BCC_CONS'!$H$60:$H$68",_xll.EVRNG(H60:H68))</f>
        <v>'BCC_CONS'!$H$60:$H$68</v>
      </c>
      <c r="C52" s="11"/>
      <c r="D52" s="11"/>
      <c r="E52" s="11"/>
      <c r="F52" s="11"/>
      <c r="G52" s="11"/>
      <c r="H52" s="88" t="s">
        <v>282</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IF(_epmOfflineCondition_,"Surcharges &amp; Services Charges",IF(_xll.EVDES(H52,$B$1)="#NODATA","",_xll.EVDES(H52,$B$1)))</f>
        <v>Surcharges &amp; Services Charges</v>
      </c>
      <c r="O52" s="563">
        <v>3272.94</v>
      </c>
      <c r="P52" s="564">
        <v>7610.68</v>
      </c>
      <c r="Q52" s="564">
        <v>11379.48</v>
      </c>
      <c r="R52" s="564">
        <v>5950.66</v>
      </c>
      <c r="S52" s="564">
        <v>4484.8999999999996</v>
      </c>
      <c r="T52" s="564">
        <v>4082.54</v>
      </c>
      <c r="U52" s="564">
        <v>2887.5</v>
      </c>
      <c r="V52" s="564">
        <v>2504.84</v>
      </c>
      <c r="W52" s="564">
        <v>539.20000000000005</v>
      </c>
      <c r="X52" s="564">
        <v>3471.16</v>
      </c>
      <c r="Y52" s="564">
        <v>8665.14</v>
      </c>
      <c r="Z52" s="564">
        <v>2464</v>
      </c>
      <c r="AA52" s="210">
        <f t="shared" si="1"/>
        <v>57313.039999999994</v>
      </c>
      <c r="AB52" s="565">
        <f t="shared" si="2"/>
        <v>0.13181776019350216</v>
      </c>
      <c r="AC52" s="459"/>
      <c r="AD52" s="564">
        <v>25189.634800906399</v>
      </c>
      <c r="AE52" s="565">
        <f t="shared" si="3"/>
        <v>0.13871862841121568</v>
      </c>
      <c r="AF52" s="566">
        <f t="shared" si="4"/>
        <v>32123.405199093595</v>
      </c>
      <c r="AG52" s="564">
        <v>11026.88</v>
      </c>
      <c r="AH52" s="565">
        <f t="shared" si="5"/>
        <v>0.13146240673125367</v>
      </c>
      <c r="AI52" s="567">
        <f t="shared" si="6"/>
        <v>46286.159999999996</v>
      </c>
      <c r="AJ52" s="462">
        <f t="shared" si="7"/>
        <v>13.460084546735555</v>
      </c>
      <c r="AK52" s="463">
        <f t="shared" si="8"/>
        <v>13.198363044014197</v>
      </c>
      <c r="AL52" s="464">
        <f t="shared" si="9"/>
        <v>14.663404255319147</v>
      </c>
      <c r="AM52" s="465" t="str">
        <f t="shared" si="10"/>
        <v>-0.69 pts.</v>
      </c>
      <c r="AN52" s="466" t="str">
        <f t="shared" si="11"/>
        <v>0.04 pts.</v>
      </c>
      <c r="AO52" s="11"/>
    </row>
    <row r="53" spans="1:41" x14ac:dyDescent="0.25">
      <c r="A53" s="65" t="s">
        <v>5</v>
      </c>
      <c r="B53" s="66"/>
      <c r="C53" s="11"/>
      <c r="D53" s="11"/>
      <c r="E53" s="11"/>
      <c r="F53" s="384"/>
      <c r="G53" s="11"/>
      <c r="H53" s="88" t="s">
        <v>283</v>
      </c>
      <c r="I53" s="122" t="str">
        <f>IF(_epmOfflineCondition_,"T5",_xll.EVPRO($B$1,$H53,"STYLE"))</f>
        <v>T5</v>
      </c>
      <c r="J53" s="122" t="str">
        <f>IF(_epmOfflineCondition_,"Y",_xll.EVPRO($B$1,$H53,"CALC"))</f>
        <v>Y</v>
      </c>
      <c r="K53" s="179" t="str">
        <f t="shared" si="0"/>
        <v>&gt;</v>
      </c>
      <c r="L53" s="90" t="str">
        <f>IF(_epmOfflineCondition_,"",_xll.EVPRO($B$1,H53,"JDEID"))</f>
        <v/>
      </c>
      <c r="M53" s="90" t="str">
        <f>IF(_epmOfflineCondition_,"",IF(AND(I53="N",J53="N"),_xll.EVPRO($B$1,H53,"PSFTID"),""))</f>
        <v/>
      </c>
      <c r="N53" s="90" t="str">
        <f>IF(_epmOfflineCondition_,"Miscellaneous Other Revenue",IF(_xll.EVDES(H53,$B$1)="#NODATA","",_xll.EVDES(H53,$B$1)))</f>
        <v>Miscellaneous Other Revenue</v>
      </c>
      <c r="O53" s="563">
        <v>150</v>
      </c>
      <c r="P53" s="564">
        <v>1350</v>
      </c>
      <c r="Q53" s="564">
        <v>450</v>
      </c>
      <c r="R53" s="564">
        <v>385</v>
      </c>
      <c r="S53" s="564">
        <v>320</v>
      </c>
      <c r="T53" s="564">
        <v>460</v>
      </c>
      <c r="U53" s="564">
        <v>160</v>
      </c>
      <c r="V53" s="564">
        <v>310</v>
      </c>
      <c r="W53" s="564"/>
      <c r="X53" s="564">
        <v>450</v>
      </c>
      <c r="Y53" s="564">
        <v>750</v>
      </c>
      <c r="Z53" s="564"/>
      <c r="AA53" s="210">
        <f t="shared" si="1"/>
        <v>4785</v>
      </c>
      <c r="AB53" s="565">
        <f t="shared" si="2"/>
        <v>1.100531366903427E-2</v>
      </c>
      <c r="AC53" s="459"/>
      <c r="AD53" s="564">
        <v>2100</v>
      </c>
      <c r="AE53" s="565">
        <f t="shared" si="3"/>
        <v>1.1564642439876531E-2</v>
      </c>
      <c r="AF53" s="566">
        <f t="shared" si="4"/>
        <v>2685</v>
      </c>
      <c r="AG53" s="564">
        <v>2050</v>
      </c>
      <c r="AH53" s="565">
        <f t="shared" si="5"/>
        <v>2.4440089472187058E-2</v>
      </c>
      <c r="AI53" s="567">
        <f t="shared" si="6"/>
        <v>2735</v>
      </c>
      <c r="AJ53" s="462">
        <f t="shared" si="7"/>
        <v>1.123767026773133</v>
      </c>
      <c r="AK53" s="463">
        <f t="shared" si="8"/>
        <v>1.1003161662126395</v>
      </c>
      <c r="AL53" s="464">
        <f t="shared" si="9"/>
        <v>2.7260638297872339</v>
      </c>
      <c r="AM53" s="465" t="str">
        <f t="shared" si="10"/>
        <v>-0.06 pts.</v>
      </c>
      <c r="AN53" s="466" t="str">
        <f t="shared" si="11"/>
        <v>-1.34 pts.</v>
      </c>
      <c r="AO53" s="11"/>
    </row>
    <row r="54" spans="1:41" x14ac:dyDescent="0.25">
      <c r="A54" s="65" t="s">
        <v>6</v>
      </c>
      <c r="B54" s="66"/>
      <c r="C54" s="11"/>
      <c r="D54" s="11"/>
      <c r="E54" s="11"/>
      <c r="F54" s="384"/>
      <c r="G54" s="11"/>
      <c r="H54" s="88" t="s">
        <v>473</v>
      </c>
      <c r="I54" s="122" t="str">
        <f>IF(_epmOfflineCondition_,"N",_xll.EVPRO($B$1,$H54,"STYLE"))</f>
        <v>N</v>
      </c>
      <c r="J54" s="122" t="str">
        <f>IF(_epmOfflineCondition_,"N",_xll.EVPRO($B$1,$H54,"CALC"))</f>
        <v>N</v>
      </c>
      <c r="K54" s="179" t="str">
        <f t="shared" si="0"/>
        <v/>
      </c>
      <c r="L54" s="90" t="str">
        <f>IF(_epmOfflineCondition_,"468990",_xll.EVPRO($B$1,H54,"JDEID"))</f>
        <v>468990</v>
      </c>
      <c r="M54" s="90" t="str">
        <f>IF(_epmOfflineCondition_,"206022",IF(AND(I54="N",J54="N"),_xll.EVPRO($B$1,H54,"PSFTID"),""))</f>
        <v>206022</v>
      </c>
      <c r="N54" s="90" t="str">
        <f>IF(_epmOfflineCondition_,"Other Revenue: Allowances",IF(_xll.EVDES(H54,$B$1)="#NODATA","",_xll.EVDES(H54,$B$1)))</f>
        <v>Other Revenue: Allowances</v>
      </c>
      <c r="O54" s="467"/>
      <c r="P54" s="216"/>
      <c r="Q54" s="216"/>
      <c r="R54" s="216"/>
      <c r="S54" s="216"/>
      <c r="T54" s="216"/>
      <c r="U54" s="216"/>
      <c r="V54" s="216"/>
      <c r="W54" s="216"/>
      <c r="X54" s="216"/>
      <c r="Y54" s="216"/>
      <c r="Z54" s="216"/>
      <c r="AA54" s="216">
        <f t="shared" si="1"/>
        <v>0</v>
      </c>
      <c r="AB54" s="468" t="str">
        <f t="shared" si="2"/>
        <v/>
      </c>
      <c r="AC54" s="459"/>
      <c r="AD54" s="216"/>
      <c r="AE54" s="468" t="str">
        <f t="shared" si="3"/>
        <v/>
      </c>
      <c r="AF54" s="469">
        <f t="shared" si="4"/>
        <v>0</v>
      </c>
      <c r="AG54" s="216"/>
      <c r="AH54" s="468" t="str">
        <f t="shared" si="5"/>
        <v/>
      </c>
      <c r="AI54" s="470">
        <f t="shared" si="6"/>
        <v>0</v>
      </c>
      <c r="AJ54" s="471">
        <f t="shared" si="7"/>
        <v>0</v>
      </c>
      <c r="AK54" s="472">
        <f t="shared" si="8"/>
        <v>0</v>
      </c>
      <c r="AL54" s="473">
        <f t="shared" si="9"/>
        <v>0</v>
      </c>
      <c r="AM54" s="474">
        <f t="shared" si="10"/>
        <v>0</v>
      </c>
      <c r="AN54" s="475">
        <f t="shared" si="11"/>
        <v>0</v>
      </c>
      <c r="AO54" s="11"/>
    </row>
    <row r="55" spans="1:41" x14ac:dyDescent="0.25">
      <c r="A55" s="65" t="s">
        <v>7</v>
      </c>
      <c r="B55" s="66" t="str">
        <f>IF(_epmOfflineCondition_,"'BCC_CONS'!$A$69:$F$77",_xll.EVRNG(A69:F77))</f>
        <v>'BCC_CONS'!$A$69:$F$77</v>
      </c>
      <c r="C55" s="11"/>
      <c r="D55" s="11"/>
      <c r="E55" s="11"/>
      <c r="F55" s="384"/>
      <c r="G55" s="11"/>
      <c r="H55" s="88" t="s">
        <v>277</v>
      </c>
      <c r="I55" s="188" t="str">
        <f>IF(_epmOfflineCondition_,"T4",_xll.EVPRO($B$1,$H55,"STYLE"))</f>
        <v>T4</v>
      </c>
      <c r="J55" s="188" t="str">
        <f>IF(_epmOfflineCondition_,"Y",_xll.EVPRO($B$1,$H55,"CALC"))</f>
        <v>Y</v>
      </c>
      <c r="K55" s="189" t="str">
        <f t="shared" si="0"/>
        <v/>
      </c>
      <c r="L55" s="190" t="str">
        <f>IF(_epmOfflineCondition_,"",_xll.EVPRO($B$1,H55,"JDEID"))</f>
        <v/>
      </c>
      <c r="M55" s="190" t="str">
        <f>IF(_epmOfflineCondition_,"",IF(AND(I55="N",J55="N"),_xll.EVPRO($B$1,H55,"PSFTID"),""))</f>
        <v/>
      </c>
      <c r="N55" s="190" t="str">
        <f>IF(_epmOfflineCondition_,"Total Other Revenue",IF(_xll.EVDES(H55,$B$1)="#NODATA","",_xll.EVDES(H55,$B$1)))</f>
        <v>Total Other Revenue</v>
      </c>
      <c r="O55" s="485">
        <v>10547.94</v>
      </c>
      <c r="P55" s="242">
        <v>20310.68</v>
      </c>
      <c r="Q55" s="242">
        <v>26579.48</v>
      </c>
      <c r="R55" s="242">
        <v>25510.66</v>
      </c>
      <c r="S55" s="242">
        <v>18254.900000000001</v>
      </c>
      <c r="T55" s="242">
        <v>12442.54</v>
      </c>
      <c r="U55" s="242">
        <v>15222.5</v>
      </c>
      <c r="V55" s="242">
        <v>4864.84</v>
      </c>
      <c r="W55" s="242">
        <v>1339.2</v>
      </c>
      <c r="X55" s="242">
        <v>8916.16</v>
      </c>
      <c r="Y55" s="242">
        <v>25365.14</v>
      </c>
      <c r="Z55" s="242">
        <v>11049</v>
      </c>
      <c r="AA55" s="242">
        <f t="shared" si="1"/>
        <v>180403.04000000004</v>
      </c>
      <c r="AB55" s="243">
        <f t="shared" si="2"/>
        <v>0.41491996699003902</v>
      </c>
      <c r="AC55" s="244"/>
      <c r="AD55" s="242">
        <v>67089.634800906395</v>
      </c>
      <c r="AE55" s="243">
        <f t="shared" si="3"/>
        <v>0.36946077994970455</v>
      </c>
      <c r="AF55" s="245">
        <f t="shared" si="4"/>
        <v>113313.40519909364</v>
      </c>
      <c r="AG55" s="242">
        <v>33601.879999999997</v>
      </c>
      <c r="AH55" s="243">
        <f t="shared" si="5"/>
        <v>0.40060144079692334</v>
      </c>
      <c r="AI55" s="486">
        <f t="shared" si="6"/>
        <v>146801.16000000003</v>
      </c>
      <c r="AJ55" s="246">
        <f t="shared" si="7"/>
        <v>42.368022545796158</v>
      </c>
      <c r="AK55" s="247">
        <f t="shared" si="8"/>
        <v>35.152290360352097</v>
      </c>
      <c r="AL55" s="249">
        <f t="shared" si="9"/>
        <v>44.683351063829782</v>
      </c>
      <c r="AM55" s="431" t="str">
        <f t="shared" si="10"/>
        <v>4.55 pts.</v>
      </c>
      <c r="AN55" s="487" t="str">
        <f t="shared" si="11"/>
        <v>1.43 pts.</v>
      </c>
      <c r="AO55" s="11"/>
    </row>
    <row r="56" spans="1:41" x14ac:dyDescent="0.25">
      <c r="A56" s="65" t="s">
        <v>47</v>
      </c>
      <c r="B56" s="66" t="str">
        <f>IF(_epmOfflineCondition_,"'BCC_CONS'!$A$125:$B$130",_xll.EVRNG($A$125:$B$130))</f>
        <v>'BCC_CONS'!$A$125:$B$130</v>
      </c>
      <c r="C56" s="11"/>
      <c r="D56" s="11"/>
      <c r="E56" s="11"/>
      <c r="F56" s="11"/>
      <c r="G56" s="11"/>
      <c r="H56" s="88" t="s">
        <v>280</v>
      </c>
      <c r="I56" s="188" t="str">
        <f>IF(_epmOfflineCondition_,"T3",_xll.EVPRO($B$1,$H56,"STYLE"))</f>
        <v>T3</v>
      </c>
      <c r="J56" s="188" t="str">
        <f>IF(_epmOfflineCondition_,"Y",_xll.EVPRO($B$1,$H56,"CALC"))</f>
        <v>Y</v>
      </c>
      <c r="K56" s="189" t="str">
        <f t="shared" si="0"/>
        <v/>
      </c>
      <c r="L56" s="190" t="str">
        <f>IF(_epmOfflineCondition_,"400000",_xll.EVPRO($B$1,H56,"JDEID"))</f>
        <v>400000</v>
      </c>
      <c r="M56" s="190" t="str">
        <f>IF(_epmOfflineCondition_,"",IF(AND(I56="N",J56="N"),_xll.EVPRO($B$1,H56,"PSFTID"),""))</f>
        <v/>
      </c>
      <c r="N56" s="190" t="str">
        <f>IF(_epmOfflineCondition_,"Total Revenue",IF(_xll.EVDES(H56,$B$1)="#NODATA","",_xll.EVDES(H56,$B$1)))</f>
        <v>Total Revenue</v>
      </c>
      <c r="O56" s="476">
        <v>25424.94</v>
      </c>
      <c r="P56" s="223">
        <v>54904.68</v>
      </c>
      <c r="Q56" s="223">
        <v>78127.48</v>
      </c>
      <c r="R56" s="223">
        <v>52543.66</v>
      </c>
      <c r="S56" s="223">
        <v>36136.06</v>
      </c>
      <c r="T56" s="223">
        <v>30999.54</v>
      </c>
      <c r="U56" s="223">
        <v>28347.5</v>
      </c>
      <c r="V56" s="223">
        <v>13543.61</v>
      </c>
      <c r="W56" s="223">
        <v>3679.2</v>
      </c>
      <c r="X56" s="223">
        <v>24694.16</v>
      </c>
      <c r="Y56" s="223">
        <v>64640.14</v>
      </c>
      <c r="Z56" s="223">
        <v>21749</v>
      </c>
      <c r="AA56" s="223">
        <f t="shared" si="1"/>
        <v>434789.97</v>
      </c>
      <c r="AB56" s="224">
        <f t="shared" si="2"/>
        <v>1</v>
      </c>
      <c r="AC56" s="225"/>
      <c r="AD56" s="223">
        <v>181587.97480490201</v>
      </c>
      <c r="AE56" s="224">
        <f t="shared" si="3"/>
        <v>1</v>
      </c>
      <c r="AF56" s="226">
        <f t="shared" si="4"/>
        <v>253201.99519509796</v>
      </c>
      <c r="AG56" s="223">
        <v>83878.58</v>
      </c>
      <c r="AH56" s="224">
        <f t="shared" si="5"/>
        <v>1</v>
      </c>
      <c r="AI56" s="477">
        <f t="shared" si="6"/>
        <v>350911.38999999996</v>
      </c>
      <c r="AJ56" s="227">
        <f t="shared" si="7"/>
        <v>102.11131282292155</v>
      </c>
      <c r="AK56" s="228">
        <f t="shared" si="8"/>
        <v>95.144849651260557</v>
      </c>
      <c r="AL56" s="230">
        <f t="shared" si="9"/>
        <v>111.54066489361702</v>
      </c>
      <c r="AM56" s="427" t="str">
        <f t="shared" si="10"/>
        <v>0 pts.</v>
      </c>
      <c r="AN56" s="478" t="str">
        <f t="shared" si="11"/>
        <v>0 pts.</v>
      </c>
      <c r="AO56" s="11"/>
    </row>
    <row r="57" spans="1:41" x14ac:dyDescent="0.25">
      <c r="A57" s="65" t="s">
        <v>8</v>
      </c>
      <c r="B57" s="66"/>
      <c r="C57" s="11"/>
      <c r="D57" s="11"/>
      <c r="E57" s="11"/>
      <c r="F57" s="11"/>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203"/>
      <c r="AE57" s="204"/>
      <c r="AF57" s="118"/>
      <c r="AG57" s="204"/>
      <c r="AH57" s="204"/>
      <c r="AI57" s="118"/>
      <c r="AJ57" s="11"/>
      <c r="AK57" s="11"/>
      <c r="AL57" s="11"/>
      <c r="AM57" s="11"/>
      <c r="AN57" s="11"/>
      <c r="AO57" s="11"/>
    </row>
    <row r="58" spans="1:41" x14ac:dyDescent="0.25">
      <c r="A58" s="11"/>
      <c r="B58" s="11"/>
      <c r="C58" s="11"/>
      <c r="D58" s="11"/>
      <c r="E58" s="11"/>
      <c r="F58" s="11"/>
      <c r="G58" s="76"/>
      <c r="H58" s="11" t="s">
        <v>281</v>
      </c>
      <c r="I58" s="59" t="str">
        <f>IF(_epmOfflineCondition_,"B1",_xll.EVPRO($B$1,$H58,"STYLE"))</f>
        <v>B1</v>
      </c>
      <c r="J58" s="59" t="str">
        <f>IF(_epmOfflineCondition_,"Y",_xll.EVPRO($B$1,$H58,"CALC"))</f>
        <v>Y</v>
      </c>
      <c r="K58" s="11"/>
      <c r="L58" s="11"/>
      <c r="M58" s="11"/>
      <c r="N58" s="105" t="str">
        <f>IF(_epmOfflineCondition_,"Cost of Sales",IF(_xll.EVDES(H58,$B$1)="#NODATA","",_xll.EVDES(H58,$B$1)))</f>
        <v>Cost of Sales</v>
      </c>
      <c r="O58" s="203"/>
      <c r="P58" s="204"/>
      <c r="Q58" s="204"/>
      <c r="R58" s="204"/>
      <c r="S58" s="204"/>
      <c r="T58" s="204"/>
      <c r="U58" s="204"/>
      <c r="V58" s="204"/>
      <c r="W58" s="204"/>
      <c r="X58" s="204"/>
      <c r="Y58" s="204"/>
      <c r="Z58" s="204"/>
      <c r="AA58" s="204"/>
      <c r="AB58" s="410"/>
      <c r="AC58" s="11"/>
      <c r="AD58" s="411"/>
      <c r="AE58" s="412"/>
      <c r="AF58" s="118"/>
      <c r="AG58" s="204"/>
      <c r="AH58" s="412"/>
      <c r="AI58" s="118"/>
      <c r="AJ58" s="11"/>
      <c r="AK58" s="11"/>
      <c r="AL58" s="11"/>
      <c r="AM58" s="11"/>
      <c r="AN58" s="11"/>
      <c r="AO58" s="11"/>
    </row>
    <row r="59" spans="1:41" x14ac:dyDescent="0.25">
      <c r="A59" s="62" t="s">
        <v>9</v>
      </c>
      <c r="B59" s="63" t="s">
        <v>10</v>
      </c>
      <c r="C59" s="11"/>
      <c r="D59" s="11"/>
      <c r="E59" s="11"/>
      <c r="F59" s="11"/>
      <c r="G59" s="11"/>
      <c r="H59" s="11" t="s">
        <v>284</v>
      </c>
      <c r="I59" s="59" t="str">
        <f>IF(_epmOfflineCondition_,"B1",_xll.EVPRO($B$1,$H59,"STYLE"))</f>
        <v>B1</v>
      </c>
      <c r="J59" s="59" t="str">
        <f>IF(_epmOfflineCondition_,"Y",_xll.EVPRO($B$1,$H59,"CALC"))</f>
        <v>Y</v>
      </c>
      <c r="K59" s="11"/>
      <c r="L59" s="11"/>
      <c r="M59" s="11"/>
      <c r="N59" s="53" t="str">
        <f>IF(_epmOfflineCondition_,"Cost of Food &amp; Beverage Sales",IF(_xll.EVDES(H59,$B$1)="#NODATA","",_xll.EVDES(H59,$B$1)))</f>
        <v>Cost of Food &amp; Beverage Sales</v>
      </c>
      <c r="O59" s="203"/>
      <c r="P59" s="204"/>
      <c r="Q59" s="204"/>
      <c r="R59" s="204"/>
      <c r="S59" s="204"/>
      <c r="T59" s="204"/>
      <c r="U59" s="204"/>
      <c r="V59" s="204"/>
      <c r="W59" s="204"/>
      <c r="X59" s="204"/>
      <c r="Y59" s="204"/>
      <c r="Z59" s="204"/>
      <c r="AA59" s="204"/>
      <c r="AB59" s="118"/>
      <c r="AC59" s="11"/>
      <c r="AD59" s="203"/>
      <c r="AE59" s="204"/>
      <c r="AF59" s="118"/>
      <c r="AG59" s="204"/>
      <c r="AH59" s="204"/>
      <c r="AI59" s="118"/>
      <c r="AJ59" s="11"/>
      <c r="AK59" s="11"/>
      <c r="AL59" s="11"/>
      <c r="AM59" s="11"/>
      <c r="AN59" s="11"/>
      <c r="AO59" s="11"/>
    </row>
    <row r="60" spans="1:41" x14ac:dyDescent="0.25">
      <c r="A60" s="65" t="s">
        <v>11</v>
      </c>
      <c r="B60" s="66" t="s">
        <v>21</v>
      </c>
      <c r="C60" s="11"/>
      <c r="D60" s="11"/>
      <c r="E60" s="11"/>
      <c r="F60" s="11"/>
      <c r="G60" s="11"/>
      <c r="H60" s="88" t="s">
        <v>285</v>
      </c>
      <c r="I60" s="122" t="str">
        <f>IF(_epmOfflineCondition_,"T5",_xll.EVPRO($B$1,$H60,"STYLE"))</f>
        <v>T5</v>
      </c>
      <c r="J60" s="122" t="str">
        <f>IF(_epmOfflineCondition_,"Y",_xll.EVPRO($B$1,$H60,"CALC"))</f>
        <v>Y</v>
      </c>
      <c r="K60" s="179" t="str">
        <f t="shared" ref="K60:K70" si="12">IF(AND(I60&gt;="T5"),"&gt;","")</f>
        <v>&gt;</v>
      </c>
      <c r="L60" s="90" t="str">
        <f>IF(_epmOfflineCondition_,"561100",_xll.EVPRO($B$1,H60,"JDEID"))</f>
        <v>561100</v>
      </c>
      <c r="M60" s="90" t="str">
        <f>IF(_epmOfflineCondition_,"",IF(AND(I60="N",J60="N"),_xll.EVPRO($B$1,H60,"PSFTID"),""))</f>
        <v/>
      </c>
      <c r="N60" s="90" t="str">
        <f>IF(_epmOfflineCondition_,"Cost of Food Sales",IF(_xll.EVDES(H60,$B$1)="#NODATA","",_xll.EVDES(H60,$B$1)))</f>
        <v>Cost of Food Sales</v>
      </c>
      <c r="O60" s="563">
        <v>2883.57</v>
      </c>
      <c r="P60" s="564">
        <v>7242.69</v>
      </c>
      <c r="Q60" s="564">
        <v>60.31</v>
      </c>
      <c r="R60" s="564">
        <v>10340.9</v>
      </c>
      <c r="S60" s="564">
        <v>11398.63</v>
      </c>
      <c r="T60" s="564">
        <v>3824.91</v>
      </c>
      <c r="U60" s="564">
        <v>2743.13</v>
      </c>
      <c r="V60" s="564">
        <v>1624.14</v>
      </c>
      <c r="W60" s="564">
        <v>477.36</v>
      </c>
      <c r="X60" s="564">
        <v>2178.31</v>
      </c>
      <c r="Y60" s="564">
        <v>5639.78</v>
      </c>
      <c r="Z60" s="564">
        <v>2182.8000000000002</v>
      </c>
      <c r="AA60" s="210">
        <f t="shared" ref="AA60:AA68" si="13">IF($I60="B1","",SUM(O60:Z60))</f>
        <v>50596.529999999992</v>
      </c>
      <c r="AB60" s="565">
        <f>IF(_epmOfflineCondition_,0.217596151948094,IF(AA60=0,"",IFERROR(AA60/_xll.EVGTS($B$1,1,_xll.EVPRO($B$1,$H60,"COSBASIS"),$B$3,$B$5,$B$6,$B$7,$B$9,AA$16,AA$17,AA$11),"")))</f>
        <v>0.21759615194809401</v>
      </c>
      <c r="AC60" s="459"/>
      <c r="AD60" s="564">
        <v>21419.54</v>
      </c>
      <c r="AE60" s="565">
        <f>IF(_epmOfflineCondition_,0.204000008060702,IF(AD60=0,"",IFERROR(AD60/_xll.EVGTS($B$1,1,_xll.EVPRO($B$1,$H60,"COSBASIS"),$B$3,$B$5,$B$6,$B$7,$B$9,AD$16,AD$17,AD$18),"")))</f>
        <v>0.20400000806070201</v>
      </c>
      <c r="AF60" s="566">
        <f t="shared" ref="AF60:AF70" si="14">IF(AND($AA60="",AD60=""),"",$AA60-AD60)</f>
        <v>29176.989999999991</v>
      </c>
      <c r="AG60" s="564">
        <v>9930.9699999999993</v>
      </c>
      <c r="AH60" s="565">
        <f>IF(_epmOfflineCondition_,0.213662523639352,IF(AG60=0,"",IFERROR(AG60/_xll.EVGTS($B$1,1,_xll.EVPRO($B$1,$H60,"COSBASIS"),$B$3,$B$5,$B$6,$B$7,$B$9,AG$16,AG$17,AG$18),"")))</f>
        <v>0.21366252363935201</v>
      </c>
      <c r="AI60" s="567">
        <f t="shared" ref="AI60:AI70" si="15">IF(AND($AA60="",AG60=""),"",$AA60-AG60)</f>
        <v>40665.55999999999</v>
      </c>
      <c r="AJ60" s="462">
        <f t="shared" ref="AJ60:AJ70" si="16">IFERROR(AA60/AA$20,0)</f>
        <v>11.882698449976512</v>
      </c>
      <c r="AK60" s="463">
        <f t="shared" ref="AK60:AK70" si="17">IFERROR(AD60/AD$20,0)</f>
        <v>11.222983873732515</v>
      </c>
      <c r="AL60" s="464">
        <f t="shared" ref="AL60:AL70" si="18">IFERROR(AG60/AG$20,0)</f>
        <v>13.206077127659574</v>
      </c>
      <c r="AM60" s="465" t="str">
        <f t="shared" ref="AM60:AM70" si="19">+IFERROR(ROUND(($AB60-AE60)*100,2)&amp;" pts.",0)</f>
        <v>1.36 pts.</v>
      </c>
      <c r="AN60" s="466" t="str">
        <f t="shared" ref="AN60:AN70" si="20">+IFERROR(ROUND(($AB60-AH60)*100,2)&amp;" pts.",0)</f>
        <v>0.39 pts.</v>
      </c>
      <c r="AO60" s="11"/>
    </row>
    <row r="61" spans="1:41" x14ac:dyDescent="0.25">
      <c r="A61" s="65" t="s">
        <v>12</v>
      </c>
      <c r="B61" s="66" t="s">
        <v>22</v>
      </c>
      <c r="C61" s="11"/>
      <c r="D61" s="11"/>
      <c r="E61" s="11"/>
      <c r="F61" s="11"/>
      <c r="G61" s="11"/>
      <c r="H61" s="88" t="s">
        <v>636</v>
      </c>
      <c r="I61" s="122" t="str">
        <f>IF(_epmOfflineCondition_,"T5",_xll.EVPRO($B$1,$H61,"STYLE"))</f>
        <v>T5</v>
      </c>
      <c r="J61" s="122" t="str">
        <f>IF(_epmOfflineCondition_,"Y",_xll.EVPRO($B$1,$H61,"CALC"))</f>
        <v>Y</v>
      </c>
      <c r="K61" s="179" t="str">
        <f t="shared" si="12"/>
        <v>&gt;</v>
      </c>
      <c r="L61" s="90" t="str">
        <f>IF(_epmOfflineCondition_,"",_xll.EVPRO($B$1,H61,"JDEID"))</f>
        <v/>
      </c>
      <c r="M61" s="90" t="str">
        <f>IF(_epmOfflineCondition_,"",IF(AND(I61="N",J61="N"),_xll.EVPRO($B$1,H61,"PSFTID"),""))</f>
        <v/>
      </c>
      <c r="N61" s="90" t="str">
        <f>IF(_epmOfflineCondition_,"Cost of Beverage Sales",IF(_xll.EVDES(H61,$B$1)="#NODATA","",_xll.EVDES(H61,$B$1)))</f>
        <v>Cost of Beverage Sales</v>
      </c>
      <c r="O61" s="467">
        <v>218.25</v>
      </c>
      <c r="P61" s="216"/>
      <c r="Q61" s="216"/>
      <c r="R61" s="216">
        <v>407.15</v>
      </c>
      <c r="S61" s="216">
        <v>167.1</v>
      </c>
      <c r="T61" s="216">
        <v>50.72</v>
      </c>
      <c r="U61" s="216"/>
      <c r="V61" s="216">
        <v>171.89</v>
      </c>
      <c r="W61" s="216"/>
      <c r="X61" s="216">
        <v>994.5</v>
      </c>
      <c r="Y61" s="216">
        <v>2272.64</v>
      </c>
      <c r="Z61" s="216"/>
      <c r="AA61" s="216">
        <f t="shared" si="13"/>
        <v>4282.25</v>
      </c>
      <c r="AB61" s="468">
        <f>IF(_epmOfflineCondition_,0.195876406550178,IF(AA61=0,"",IFERROR(AA61/_xll.EVGTS($B$1,1,_xll.EVPRO($B$1,$H61,"COSBASIS"),$B$3,$B$5,$B$6,$B$7,$B$9,AA$16,AA$17,AA$11),"")))</f>
        <v>0.19587640655017799</v>
      </c>
      <c r="AC61" s="459"/>
      <c r="AD61" s="216">
        <v>1781.76</v>
      </c>
      <c r="AE61" s="468">
        <f>IF(_epmOfflineCondition_,0.187541858121857,IF(AD61=0,"",IFERROR(AD61/_xll.EVGTS($B$1,1,_xll.EVPRO($B$1,$H61,"COSBASIS"),$B$3,$B$5,$B$6,$B$7,$B$9,AD$16,AD$17,AD$18),"")))</f>
        <v>0.187541858121857</v>
      </c>
      <c r="AF61" s="469">
        <f t="shared" si="14"/>
        <v>2500.4899999999998</v>
      </c>
      <c r="AG61" s="216">
        <v>740.42</v>
      </c>
      <c r="AH61" s="468">
        <f>IF(_epmOfflineCondition_,0.195001316829076,IF(AG61=0,"",IFERROR(AG61/_xll.EVGTS($B$1,1,_xll.EVPRO($B$1,$H61,"COSBASIS"),$B$3,$B$5,$B$6,$B$7,$B$9,AG$16,AG$17,AG$18),"")))</f>
        <v>0.19500131682907601</v>
      </c>
      <c r="AI61" s="470">
        <f t="shared" si="15"/>
        <v>3541.83</v>
      </c>
      <c r="AJ61" s="471">
        <f t="shared" si="16"/>
        <v>1.0056951620479098</v>
      </c>
      <c r="AK61" s="472">
        <f t="shared" si="17"/>
        <v>0.9335711106243012</v>
      </c>
      <c r="AL61" s="473">
        <f t="shared" si="18"/>
        <v>0.98460106382978718</v>
      </c>
      <c r="AM61" s="474" t="str">
        <f t="shared" si="19"/>
        <v>0.83 pts.</v>
      </c>
      <c r="AN61" s="475" t="str">
        <f t="shared" si="20"/>
        <v>0.09 pts.</v>
      </c>
      <c r="AO61" s="11"/>
    </row>
    <row r="62" spans="1:41" x14ac:dyDescent="0.25">
      <c r="A62" s="65" t="s">
        <v>13</v>
      </c>
      <c r="B62" s="66" t="str">
        <f>"DEP(COS_FB) AND "&amp;$E$6&amp;"=Y,COS_FB,COSOTH,DEP(COS_OTHR) AND "&amp;$E$6&amp;"=Y,COS_OTHR,500001"</f>
        <v>DEP(COS_FB) AND D2148=Y,COS_FB,COSOTH,DEP(COS_OTHR) AND D2148=Y,COS_OTHR,500001</v>
      </c>
      <c r="C62" s="11"/>
      <c r="D62" s="11"/>
      <c r="E62" s="11"/>
      <c r="F62" s="11"/>
      <c r="G62" s="11"/>
      <c r="H62" s="88" t="s">
        <v>286</v>
      </c>
      <c r="I62" s="188" t="str">
        <f>IF(_epmOfflineCondition_,"T4",_xll.EVPRO($B$1,$H62,"STYLE"))</f>
        <v>T4</v>
      </c>
      <c r="J62" s="188" t="str">
        <f>IF(_epmOfflineCondition_,"Y",_xll.EVPRO($B$1,$H62,"CALC"))</f>
        <v>Y</v>
      </c>
      <c r="K62" s="189" t="str">
        <f t="shared" si="12"/>
        <v/>
      </c>
      <c r="L62" s="190" t="str">
        <f>IF(_epmOfflineCondition_,"",_xll.EVPRO($B$1,H62,"JDEID"))</f>
        <v/>
      </c>
      <c r="M62" s="190" t="str">
        <f>IF(_epmOfflineCondition_,"",IF(AND(I62="N",J62="N"),_xll.EVPRO($B$1,H62,"PSFTID"),""))</f>
        <v/>
      </c>
      <c r="N62" s="190" t="str">
        <f>IF(_epmOfflineCondition_,"Total Cost of Food &amp; Beverage Sales",IF(_xll.EVDES(H62,$B$1)="#NODATA","",_xll.EVDES(H62,$B$1)))</f>
        <v>Total Cost of Food &amp; Beverage Sales</v>
      </c>
      <c r="O62" s="476">
        <v>3101.82</v>
      </c>
      <c r="P62" s="223">
        <v>7242.69</v>
      </c>
      <c r="Q62" s="223">
        <v>60.31</v>
      </c>
      <c r="R62" s="223">
        <v>10748.05</v>
      </c>
      <c r="S62" s="223">
        <v>11565.73</v>
      </c>
      <c r="T62" s="223">
        <v>3875.63</v>
      </c>
      <c r="U62" s="223">
        <v>2743.13</v>
      </c>
      <c r="V62" s="223">
        <v>1796.03</v>
      </c>
      <c r="W62" s="223">
        <v>477.36</v>
      </c>
      <c r="X62" s="223">
        <v>3172.81</v>
      </c>
      <c r="Y62" s="223">
        <v>7912.42</v>
      </c>
      <c r="Z62" s="223">
        <v>2182.8000000000002</v>
      </c>
      <c r="AA62" s="223">
        <f t="shared" si="13"/>
        <v>54878.779999999992</v>
      </c>
      <c r="AB62" s="224">
        <f>IF(_epmOfflineCondition_,0.215729558118414,IF(AA62=0,"",IFERROR(AA62/_xll.EVGTS($B$1,1,_xll.EVPRO($B$1,$H62,"COSBASIS"),$B$3,$B$5,$B$6,$B$7,$B$9,AA$16,AA$17,AA$11),"")))</f>
        <v>0.21572955811841399</v>
      </c>
      <c r="AC62" s="225"/>
      <c r="AD62" s="223">
        <v>23201.3</v>
      </c>
      <c r="AE62" s="224">
        <f>IF(_epmOfflineCondition_,0.202634378797023,IF(AD62=0,"",IFERROR(AD62/_xll.EVGTS($B$1,1,_xll.EVPRO($B$1,$H62,"COSBASIS"),$B$3,$B$5,$B$6,$B$7,$B$9,AD$16,AD$17,AD$18),"")))</f>
        <v>0.20263437879702301</v>
      </c>
      <c r="AF62" s="226">
        <f t="shared" si="14"/>
        <v>31677.479999999992</v>
      </c>
      <c r="AG62" s="223">
        <v>10671.39</v>
      </c>
      <c r="AH62" s="224">
        <f>IF(_epmOfflineCondition_,0.212253190841881,IF(AG62=0,"",IFERROR(AG62/_xll.EVGTS($B$1,1,_xll.EVPRO($B$1,$H62,"COSBASIS"),$B$3,$B$5,$B$6,$B$7,$B$9,AG$16,AG$17,AG$18),"")))</f>
        <v>0.21225319084188099</v>
      </c>
      <c r="AI62" s="477">
        <f t="shared" si="15"/>
        <v>44207.389999999992</v>
      </c>
      <c r="AJ62" s="227">
        <f t="shared" si="16"/>
        <v>12.888393612024423</v>
      </c>
      <c r="AK62" s="228">
        <f t="shared" si="17"/>
        <v>12.156554984356816</v>
      </c>
      <c r="AL62" s="230">
        <f t="shared" si="18"/>
        <v>14.190678191489361</v>
      </c>
      <c r="AM62" s="427" t="str">
        <f t="shared" si="19"/>
        <v>1.31 pts.</v>
      </c>
      <c r="AN62" s="478" t="str">
        <f t="shared" si="20"/>
        <v>0.35 pts.</v>
      </c>
      <c r="AO62" s="11"/>
    </row>
    <row r="63" spans="1:41" x14ac:dyDescent="0.25">
      <c r="A63" s="65" t="s">
        <v>14</v>
      </c>
      <c r="B63" s="66"/>
      <c r="C63" s="11"/>
      <c r="D63" s="11"/>
      <c r="E63" s="11"/>
      <c r="F63" s="11"/>
      <c r="G63" s="11"/>
      <c r="H63" s="88" t="s">
        <v>287</v>
      </c>
      <c r="I63" s="188" t="str">
        <f>IF(_epmOfflineCondition_,"B1",_xll.EVPRO($B$1,$H63,"STYLE"))</f>
        <v>B1</v>
      </c>
      <c r="J63" s="188" t="str">
        <f>IF(_epmOfflineCondition_,"Y",_xll.EVPRO($B$1,$H63,"CALC"))</f>
        <v>Y</v>
      </c>
      <c r="K63" s="189" t="str">
        <f t="shared" si="12"/>
        <v/>
      </c>
      <c r="L63" s="190" t="str">
        <f>IF(_epmOfflineCondition_,"",_xll.EVPRO($B$1,H63,"JDEID"))</f>
        <v/>
      </c>
      <c r="M63" s="190" t="str">
        <f>IF(_epmOfflineCondition_,"",IF(AND(I63="N",J63="N"),_xll.EVPRO($B$1,H63,"PSFTID"),""))</f>
        <v/>
      </c>
      <c r="N63" s="190" t="str">
        <f>IF(_epmOfflineCondition_,"Cost of Other Revenue",IF(_xll.EVDES(H63,$B$1)="#NODATA","",_xll.EVDES(H63,$B$1)))</f>
        <v>Cost of Other Revenue</v>
      </c>
      <c r="O63" s="568"/>
      <c r="P63" s="231"/>
      <c r="Q63" s="231"/>
      <c r="R63" s="231"/>
      <c r="S63" s="231"/>
      <c r="T63" s="231"/>
      <c r="U63" s="231"/>
      <c r="V63" s="231"/>
      <c r="W63" s="231"/>
      <c r="X63" s="231"/>
      <c r="Y63" s="231"/>
      <c r="Z63" s="231"/>
      <c r="AA63" s="232" t="str">
        <f t="shared" si="13"/>
        <v/>
      </c>
      <c r="AB63" s="233" t="str">
        <f>IF(_epmOfflineCondition_,"",IF(AA63=0,"",IFERROR(AA63/_xll.EVGTS($B$1,1,_xll.EVPRO($B$1,$H63,"COSBASIS"),$B$3,$B$5,$B$6,$B$7,$B$9,AA$16,AA$17,AA$11),"")))</f>
        <v/>
      </c>
      <c r="AC63" s="481"/>
      <c r="AD63" s="231"/>
      <c r="AE63" s="233" t="str">
        <f>IF(_epmOfflineCondition_,"",IF(AD63=0,"",IFERROR(AD63/_xll.EVGTS($B$1,1,_xll.EVPRO($B$1,$H63,"COSBASIS"),$B$3,$B$5,$B$6,$B$7,$B$9,AD$16,AD$17,AD$18),"")))</f>
        <v/>
      </c>
      <c r="AF63" s="234" t="str">
        <f t="shared" si="14"/>
        <v/>
      </c>
      <c r="AG63" s="231"/>
      <c r="AH63" s="233" t="str">
        <f>IF(_epmOfflineCondition_,"",IF(AG63=0,"",IFERROR(AG63/_xll.EVGTS($B$1,1,_xll.EVPRO($B$1,$H63,"COSBASIS"),$B$3,$B$5,$B$6,$B$7,$B$9,AG$16,AG$17,AG$18),"")))</f>
        <v/>
      </c>
      <c r="AI63" s="569" t="str">
        <f t="shared" si="15"/>
        <v/>
      </c>
      <c r="AJ63" s="235">
        <f t="shared" si="16"/>
        <v>0</v>
      </c>
      <c r="AK63" s="236">
        <f t="shared" si="17"/>
        <v>0</v>
      </c>
      <c r="AL63" s="238">
        <f t="shared" si="18"/>
        <v>0</v>
      </c>
      <c r="AM63" s="429">
        <f t="shared" si="19"/>
        <v>0</v>
      </c>
      <c r="AN63" s="484">
        <f t="shared" si="20"/>
        <v>0</v>
      </c>
      <c r="AO63" s="11"/>
    </row>
    <row r="64" spans="1:41" x14ac:dyDescent="0.25">
      <c r="A64" s="65" t="s">
        <v>15</v>
      </c>
      <c r="B64" s="66"/>
      <c r="C64" s="11"/>
      <c r="D64" s="11"/>
      <c r="E64" s="11"/>
      <c r="F64" s="11"/>
      <c r="G64" s="11"/>
      <c r="H64" s="88" t="s">
        <v>637</v>
      </c>
      <c r="I64" s="122" t="str">
        <f>IF(_epmOfflineCondition_,"N",_xll.EVPRO($B$1,$H64,"STYLE"))</f>
        <v>N</v>
      </c>
      <c r="J64" s="122" t="str">
        <f>IF(_epmOfflineCondition_,"N",_xll.EVPRO($B$1,$H64,"CALC"))</f>
        <v>N</v>
      </c>
      <c r="K64" s="179" t="str">
        <f t="shared" si="12"/>
        <v/>
      </c>
      <c r="L64" s="90" t="str">
        <f>IF(_epmOfflineCondition_,"568300",_xll.EVPRO($B$1,H64,"JDEID"))</f>
        <v>568300</v>
      </c>
      <c r="M64" s="90" t="str">
        <f>IF(_epmOfflineCondition_,"306005",IF(AND(I64="N",J64="N"),_xll.EVPRO($B$1,H64,"PSFTID"),""))</f>
        <v>306005</v>
      </c>
      <c r="N64" s="90" t="str">
        <f>IF(_epmOfflineCondition_,"A/V Cost of Sales",IF(_xll.EVDES(H64,$B$1)="#NODATA","",_xll.EVDES(H64,$B$1)))</f>
        <v>A/V Cost of Sales</v>
      </c>
      <c r="O64" s="563"/>
      <c r="P64" s="564"/>
      <c r="Q64" s="564"/>
      <c r="R64" s="564"/>
      <c r="S64" s="564"/>
      <c r="T64" s="564"/>
      <c r="U64" s="564"/>
      <c r="V64" s="564"/>
      <c r="W64" s="564"/>
      <c r="X64" s="564"/>
      <c r="Y64" s="564"/>
      <c r="Z64" s="564"/>
      <c r="AA64" s="210">
        <f t="shared" si="13"/>
        <v>0</v>
      </c>
      <c r="AB64" s="565" t="str">
        <f>IF(_epmOfflineCondition_,"",IF(AA64=0,"",IFERROR(AA64/_xll.EVGTS($B$1,1,_xll.EVPRO($B$1,$H64,"COSBASIS"),$B$3,$B$5,$B$6,$B$7,$B$9,AA$16,AA$17,AA$11),"")))</f>
        <v/>
      </c>
      <c r="AC64" s="459"/>
      <c r="AD64" s="564"/>
      <c r="AE64" s="565" t="str">
        <f>IF(_epmOfflineCondition_,"",IF(AD64=0,"",IFERROR(AD64/_xll.EVGTS($B$1,1,_xll.EVPRO($B$1,$H64,"COSBASIS"),$B$3,$B$5,$B$6,$B$7,$B$9,AD$16,AD$17,AD$18),"")))</f>
        <v/>
      </c>
      <c r="AF64" s="566">
        <f t="shared" si="14"/>
        <v>0</v>
      </c>
      <c r="AG64" s="564"/>
      <c r="AH64" s="565" t="str">
        <f>IF(_epmOfflineCondition_,"",IF(AG64=0,"",IFERROR(AG64/_xll.EVGTS($B$1,1,_xll.EVPRO($B$1,$H64,"COSBASIS"),$B$3,$B$5,$B$6,$B$7,$B$9,AG$16,AG$17,AG$18),"")))</f>
        <v/>
      </c>
      <c r="AI64" s="567">
        <f t="shared" si="15"/>
        <v>0</v>
      </c>
      <c r="AJ64" s="462">
        <f t="shared" si="16"/>
        <v>0</v>
      </c>
      <c r="AK64" s="463">
        <f t="shared" si="17"/>
        <v>0</v>
      </c>
      <c r="AL64" s="464">
        <f t="shared" si="18"/>
        <v>0</v>
      </c>
      <c r="AM64" s="465">
        <f t="shared" si="19"/>
        <v>0</v>
      </c>
      <c r="AN64" s="466">
        <f t="shared" si="20"/>
        <v>0</v>
      </c>
      <c r="AO64" s="11"/>
    </row>
    <row r="65" spans="1:41" x14ac:dyDescent="0.25">
      <c r="A65" s="65" t="s">
        <v>16</v>
      </c>
      <c r="B65" s="66"/>
      <c r="C65" s="11"/>
      <c r="D65" s="11"/>
      <c r="E65" s="11"/>
      <c r="F65" s="11"/>
      <c r="G65" s="11"/>
      <c r="H65" s="88" t="s">
        <v>638</v>
      </c>
      <c r="I65" s="122" t="str">
        <f>IF(_epmOfflineCondition_,"N",_xll.EVPRO($B$1,$H65,"STYLE"))</f>
        <v>N</v>
      </c>
      <c r="J65" s="122" t="str">
        <f>IF(_epmOfflineCondition_,"N",_xll.EVPRO($B$1,$H65,"CALC"))</f>
        <v>N</v>
      </c>
      <c r="K65" s="179" t="str">
        <f t="shared" si="12"/>
        <v/>
      </c>
      <c r="L65" s="90" t="str">
        <f>IF(_epmOfflineCondition_,"568350",_xll.EVPRO($B$1,H65,"JDEID"))</f>
        <v>568350</v>
      </c>
      <c r="M65" s="90" t="str">
        <f>IF(_epmOfflineCondition_,"306099",IF(AND(I65="N",J65="N"),_xll.EVPRO($B$1,H65,"PSFTID"),""))</f>
        <v>306099</v>
      </c>
      <c r="N65" s="90" t="str">
        <f>IF(_epmOfflineCondition_,"Public Room Rental",IF(_xll.EVDES(H65,$B$1)="#NODATA","",_xll.EVDES(H65,$B$1)))</f>
        <v>Public Room Rental</v>
      </c>
      <c r="O65" s="563"/>
      <c r="P65" s="564"/>
      <c r="Q65" s="564"/>
      <c r="R65" s="564"/>
      <c r="S65" s="564"/>
      <c r="T65" s="564"/>
      <c r="U65" s="564"/>
      <c r="V65" s="564"/>
      <c r="W65" s="564"/>
      <c r="X65" s="564"/>
      <c r="Y65" s="564"/>
      <c r="Z65" s="564"/>
      <c r="AA65" s="210">
        <f t="shared" si="13"/>
        <v>0</v>
      </c>
      <c r="AB65" s="565" t="str">
        <f>IF(_epmOfflineCondition_,"",IF(AA65=0,"",IFERROR(AA65/_xll.EVGTS($B$1,1,_xll.EVPRO($B$1,$H65,"COSBASIS"),$B$3,$B$5,$B$6,$B$7,$B$9,AA$16,AA$17,AA$11),"")))</f>
        <v/>
      </c>
      <c r="AC65" s="459"/>
      <c r="AD65" s="564"/>
      <c r="AE65" s="565" t="str">
        <f>IF(_epmOfflineCondition_,"",IF(AD65=0,"",IFERROR(AD65/_xll.EVGTS($B$1,1,_xll.EVPRO($B$1,$H65,"COSBASIS"),$B$3,$B$5,$B$6,$B$7,$B$9,AD$16,AD$17,AD$18),"")))</f>
        <v/>
      </c>
      <c r="AF65" s="566">
        <f t="shared" si="14"/>
        <v>0</v>
      </c>
      <c r="AG65" s="564"/>
      <c r="AH65" s="565" t="str">
        <f>IF(_epmOfflineCondition_,"",IF(AG65=0,"",IFERROR(AG65/_xll.EVGTS($B$1,1,_xll.EVPRO($B$1,$H65,"COSBASIS"),$B$3,$B$5,$B$6,$B$7,$B$9,AG$16,AG$17,AG$18),"")))</f>
        <v/>
      </c>
      <c r="AI65" s="567">
        <f t="shared" si="15"/>
        <v>0</v>
      </c>
      <c r="AJ65" s="462">
        <f t="shared" si="16"/>
        <v>0</v>
      </c>
      <c r="AK65" s="463">
        <f t="shared" si="17"/>
        <v>0</v>
      </c>
      <c r="AL65" s="464">
        <f t="shared" si="18"/>
        <v>0</v>
      </c>
      <c r="AM65" s="465">
        <f t="shared" si="19"/>
        <v>0</v>
      </c>
      <c r="AN65" s="466">
        <f t="shared" si="20"/>
        <v>0</v>
      </c>
      <c r="AO65" s="11"/>
    </row>
    <row r="66" spans="1:41" x14ac:dyDescent="0.25">
      <c r="A66" s="65" t="s">
        <v>17</v>
      </c>
      <c r="B66" s="66"/>
      <c r="C66" s="11"/>
      <c r="D66" s="11"/>
      <c r="E66" s="11"/>
      <c r="F66" s="11"/>
      <c r="G66" s="11"/>
      <c r="H66" s="88" t="s">
        <v>639</v>
      </c>
      <c r="I66" s="122" t="str">
        <f>IF(_epmOfflineCondition_,"T5",_xll.EVPRO($B$1,$H66,"STYLE"))</f>
        <v>T5</v>
      </c>
      <c r="J66" s="122" t="str">
        <f>IF(_epmOfflineCondition_,"Y",_xll.EVPRO($B$1,$H66,"CALC"))</f>
        <v>Y</v>
      </c>
      <c r="K66" s="179" t="str">
        <f t="shared" si="12"/>
        <v>&gt;</v>
      </c>
      <c r="L66" s="90" t="str">
        <f>IF(_epmOfflineCondition_,"",_xll.EVPRO($B$1,H66,"JDEID"))</f>
        <v/>
      </c>
      <c r="M66" s="90" t="str">
        <f>IF(_epmOfflineCondition_,"",IF(AND(I66="N",J66="N"),_xll.EVPRO($B$1,H66,"PSFTID"),""))</f>
        <v/>
      </c>
      <c r="N66" s="90" t="str">
        <f>IF(_epmOfflineCondition_,"Miscellaneous Cost",IF(_xll.EVDES(H66,$B$1)="#NODATA","",_xll.EVDES(H66,$B$1)))</f>
        <v>Miscellaneous Cost</v>
      </c>
      <c r="O66" s="467"/>
      <c r="P66" s="216"/>
      <c r="Q66" s="216"/>
      <c r="R66" s="216"/>
      <c r="S66" s="216"/>
      <c r="T66" s="216"/>
      <c r="U66" s="216"/>
      <c r="V66" s="216"/>
      <c r="W66" s="216"/>
      <c r="X66" s="216"/>
      <c r="Y66" s="216"/>
      <c r="Z66" s="216"/>
      <c r="AA66" s="216">
        <f t="shared" si="13"/>
        <v>0</v>
      </c>
      <c r="AB66" s="468" t="str">
        <f>IF(_epmOfflineCondition_,"",IF(AA66=0,"",IFERROR(AA66/_xll.EVGTS($B$1,1,_xll.EVPRO($B$1,$H66,"COSBASIS"),$B$3,$B$5,$B$6,$B$7,$B$9,AA$16,AA$17,AA$11),"")))</f>
        <v/>
      </c>
      <c r="AC66" s="459"/>
      <c r="AD66" s="216"/>
      <c r="AE66" s="468" t="str">
        <f>IF(_epmOfflineCondition_,"",IF(AD66=0,"",IFERROR(AD66/_xll.EVGTS($B$1,1,_xll.EVPRO($B$1,$H66,"COSBASIS"),$B$3,$B$5,$B$6,$B$7,$B$9,AD$16,AD$17,AD$18),"")))</f>
        <v/>
      </c>
      <c r="AF66" s="469">
        <f t="shared" si="14"/>
        <v>0</v>
      </c>
      <c r="AG66" s="216"/>
      <c r="AH66" s="468" t="str">
        <f>IF(_epmOfflineCondition_,"",IF(AG66=0,"",IFERROR(AG66/_xll.EVGTS($B$1,1,_xll.EVPRO($B$1,$H66,"COSBASIS"),$B$3,$B$5,$B$6,$B$7,$B$9,AG$16,AG$17,AG$18),"")))</f>
        <v/>
      </c>
      <c r="AI66" s="470">
        <f t="shared" si="15"/>
        <v>0</v>
      </c>
      <c r="AJ66" s="471">
        <f t="shared" si="16"/>
        <v>0</v>
      </c>
      <c r="AK66" s="472">
        <f t="shared" si="17"/>
        <v>0</v>
      </c>
      <c r="AL66" s="473">
        <f t="shared" si="18"/>
        <v>0</v>
      </c>
      <c r="AM66" s="474">
        <f t="shared" si="19"/>
        <v>0</v>
      </c>
      <c r="AN66" s="475">
        <f t="shared" si="20"/>
        <v>0</v>
      </c>
      <c r="AO66" s="11"/>
    </row>
    <row r="67" spans="1:41" x14ac:dyDescent="0.25">
      <c r="A67" s="11"/>
      <c r="B67" s="11"/>
      <c r="C67" s="11"/>
      <c r="D67" s="11"/>
      <c r="E67" s="11"/>
      <c r="F67" s="11"/>
      <c r="G67" s="11"/>
      <c r="H67" s="88" t="s">
        <v>288</v>
      </c>
      <c r="I67" s="188" t="str">
        <f>IF(_epmOfflineCondition_,"T4",_xll.EVPRO($B$1,$H67,"STYLE"))</f>
        <v>T4</v>
      </c>
      <c r="J67" s="188" t="str">
        <f>IF(_epmOfflineCondition_,"Y",_xll.EVPRO($B$1,$H67,"CALC"))</f>
        <v>Y</v>
      </c>
      <c r="K67" s="189" t="str">
        <f t="shared" si="12"/>
        <v/>
      </c>
      <c r="L67" s="190" t="str">
        <f>IF(_epmOfflineCondition_,"",_xll.EVPRO($B$1,H67,"JDEID"))</f>
        <v/>
      </c>
      <c r="M67" s="190" t="str">
        <f>IF(_epmOfflineCondition_,"",IF(AND(I67="N",J67="N"),_xll.EVPRO($B$1,H67,"PSFTID"),""))</f>
        <v/>
      </c>
      <c r="N67" s="190" t="str">
        <f>IF(_epmOfflineCondition_,"Total Cost of Other Revenue",IF(_xll.EVDES(H67,$B$1)="#NODATA","",_xll.EVDES(H67,$B$1)))</f>
        <v>Total Cost of Other Revenue</v>
      </c>
      <c r="O67" s="485"/>
      <c r="P67" s="242"/>
      <c r="Q67" s="242"/>
      <c r="R67" s="242"/>
      <c r="S67" s="242"/>
      <c r="T67" s="242"/>
      <c r="U67" s="242"/>
      <c r="V67" s="242"/>
      <c r="W67" s="242"/>
      <c r="X67" s="242"/>
      <c r="Y67" s="242"/>
      <c r="Z67" s="242"/>
      <c r="AA67" s="242">
        <f t="shared" si="13"/>
        <v>0</v>
      </c>
      <c r="AB67" s="243" t="str">
        <f>IF(_epmOfflineCondition_,"",IF(AA67=0,"",IFERROR(AA67/_xll.EVGTS($B$1,1,_xll.EVPRO($B$1,$H67,"COSBASIS"),$B$3,$B$5,$B$6,$B$7,$B$9,AA$16,AA$17,AA$11),"")))</f>
        <v/>
      </c>
      <c r="AC67" s="244"/>
      <c r="AD67" s="242"/>
      <c r="AE67" s="243" t="str">
        <f>IF(_epmOfflineCondition_,"",IF(AD67=0,"",IFERROR(AD67/_xll.EVGTS($B$1,1,_xll.EVPRO($B$1,$H67,"COSBASIS"),$B$3,$B$5,$B$6,$B$7,$B$9,AD$16,AD$17,AD$18),"")))</f>
        <v/>
      </c>
      <c r="AF67" s="245">
        <f t="shared" si="14"/>
        <v>0</v>
      </c>
      <c r="AG67" s="242"/>
      <c r="AH67" s="243" t="str">
        <f>IF(_epmOfflineCondition_,"",IF(AG67=0,"",IFERROR(AG67/_xll.EVGTS($B$1,1,_xll.EVPRO($B$1,$H67,"COSBASIS"),$B$3,$B$5,$B$6,$B$7,$B$9,AG$16,AG$17,AG$18),"")))</f>
        <v/>
      </c>
      <c r="AI67" s="486">
        <f t="shared" si="15"/>
        <v>0</v>
      </c>
      <c r="AJ67" s="246">
        <f t="shared" si="16"/>
        <v>0</v>
      </c>
      <c r="AK67" s="247">
        <f t="shared" si="17"/>
        <v>0</v>
      </c>
      <c r="AL67" s="249">
        <f t="shared" si="18"/>
        <v>0</v>
      </c>
      <c r="AM67" s="431">
        <f t="shared" si="19"/>
        <v>0</v>
      </c>
      <c r="AN67" s="487">
        <f t="shared" si="20"/>
        <v>0</v>
      </c>
      <c r="AO67" s="11"/>
    </row>
    <row r="68" spans="1:41" x14ac:dyDescent="0.25">
      <c r="A68" s="97" t="s">
        <v>92</v>
      </c>
      <c r="B68" s="98" t="s">
        <v>93</v>
      </c>
      <c r="C68" s="98" t="s">
        <v>94</v>
      </c>
      <c r="D68" s="98" t="s">
        <v>95</v>
      </c>
      <c r="E68" s="98" t="s">
        <v>96</v>
      </c>
      <c r="F68" s="99" t="s">
        <v>97</v>
      </c>
      <c r="G68" s="11"/>
      <c r="H68" s="88" t="s">
        <v>289</v>
      </c>
      <c r="I68" s="188" t="str">
        <f>IF(_epmOfflineCondition_,"T3",_xll.EVPRO($B$1,$H68,"STYLE"))</f>
        <v>T3</v>
      </c>
      <c r="J68" s="188" t="str">
        <f>IF(_epmOfflineCondition_,"Y",_xll.EVPRO($B$1,$H68,"CALC"))</f>
        <v>Y</v>
      </c>
      <c r="K68" s="189" t="str">
        <f t="shared" si="12"/>
        <v/>
      </c>
      <c r="L68" s="190" t="str">
        <f>IF(_epmOfflineCondition_,"500001",_xll.EVPRO($B$1,H68,"JDEID"))</f>
        <v>500001</v>
      </c>
      <c r="M68" s="190" t="str">
        <f>IF(_epmOfflineCondition_,"",IF(AND(I68="N",J68="N"),_xll.EVPRO($B$1,H68,"PSFTID"),""))</f>
        <v/>
      </c>
      <c r="N68" s="190" t="str">
        <f>IF(_epmOfflineCondition_,"Total Cost of Sales",IF(_xll.EVDES(H68,$B$1)="#NODATA","",_xll.EVDES(H68,$B$1)))</f>
        <v>Total Cost of Sales</v>
      </c>
      <c r="O68" s="476">
        <v>3101.82</v>
      </c>
      <c r="P68" s="223">
        <v>7242.69</v>
      </c>
      <c r="Q68" s="223">
        <v>60.31</v>
      </c>
      <c r="R68" s="223">
        <v>10748.05</v>
      </c>
      <c r="S68" s="223">
        <v>11565.73</v>
      </c>
      <c r="T68" s="223">
        <v>3875.63</v>
      </c>
      <c r="U68" s="223">
        <v>2743.13</v>
      </c>
      <c r="V68" s="223">
        <v>1796.03</v>
      </c>
      <c r="W68" s="223">
        <v>477.36</v>
      </c>
      <c r="X68" s="223">
        <v>3172.81</v>
      </c>
      <c r="Y68" s="223">
        <v>7912.42</v>
      </c>
      <c r="Z68" s="223">
        <v>2182.8000000000002</v>
      </c>
      <c r="AA68" s="223">
        <f t="shared" si="13"/>
        <v>54878.779999999992</v>
      </c>
      <c r="AB68" s="224">
        <f>IF(_epmOfflineCondition_,0.126219056985146,IF(AA68=0,"",IFERROR(AA68/_xll.EVGTS($B$1,1,_xll.EVPRO($B$1,$H68,"COSBASIS"),$B$3,$B$5,$B$6,$B$7,$B$9,AA$16,AA$17,AA$11),"")))</f>
        <v>0.12621905698514599</v>
      </c>
      <c r="AC68" s="225"/>
      <c r="AD68" s="223">
        <v>23201.3</v>
      </c>
      <c r="AE68" s="224">
        <f>IF(_epmOfflineCondition_,0.127768923162051,IF(AD68=0,"",IFERROR(AD68/_xll.EVGTS($B$1,1,_xll.EVPRO($B$1,$H68,"COSBASIS"),$B$3,$B$5,$B$6,$B$7,$B$9,AD$16,AD$17,AD$18),"")))</f>
        <v>0.12776892316205099</v>
      </c>
      <c r="AF68" s="226">
        <f t="shared" si="14"/>
        <v>31677.479999999992</v>
      </c>
      <c r="AG68" s="223">
        <v>10671.39</v>
      </c>
      <c r="AH68" s="224">
        <f>IF(_epmOfflineCondition_,0.127224256776879,IF(AG68=0,"",IFERROR(AG68/_xll.EVGTS($B$1,1,_xll.EVPRO($B$1,$H68,"COSBASIS"),$B$3,$B$5,$B$6,$B$7,$B$9,AG$16,AG$17,AG$18),"")))</f>
        <v>0.12722425677687901</v>
      </c>
      <c r="AI68" s="477">
        <f t="shared" si="15"/>
        <v>44207.389999999992</v>
      </c>
      <c r="AJ68" s="227">
        <f t="shared" si="16"/>
        <v>12.888393612024423</v>
      </c>
      <c r="AK68" s="228">
        <f t="shared" si="17"/>
        <v>12.156554984356816</v>
      </c>
      <c r="AL68" s="230">
        <f t="shared" si="18"/>
        <v>14.190678191489361</v>
      </c>
      <c r="AM68" s="427" t="str">
        <f t="shared" si="19"/>
        <v>-0.15 pts.</v>
      </c>
      <c r="AN68" s="478" t="str">
        <f t="shared" si="20"/>
        <v>-0.1 pts.</v>
      </c>
      <c r="AO68" s="11"/>
    </row>
    <row r="69" spans="1:41" x14ac:dyDescent="0.25">
      <c r="A69" s="11"/>
      <c r="B69" s="11"/>
      <c r="C69" s="11"/>
      <c r="D69" s="11"/>
      <c r="E69" s="11"/>
      <c r="F69" s="11"/>
      <c r="G69" s="11"/>
      <c r="H69" s="185" t="s">
        <v>175</v>
      </c>
      <c r="I69" s="89" t="str">
        <f>IF(_epmOfflineCondition_,"B1",_xll.EVPRO($B$1,$H69,"STYLE"))</f>
        <v>B1</v>
      </c>
      <c r="J69" s="89" t="str">
        <f>IF(_epmOfflineCondition_,"Y",_xll.EVPRO($B$1,$H69,"CALC"))</f>
        <v>Y</v>
      </c>
      <c r="K69" s="265" t="str">
        <f t="shared" si="12"/>
        <v/>
      </c>
      <c r="L69" s="265"/>
      <c r="M69" s="265"/>
      <c r="N69" s="106" t="str">
        <f>IF(_epmOfflineCondition_,"BLANKROW",IF(_xll.EVDES(H69,$B$1)="#NODATA","",_xll.EVDES(H69,$B$1)))</f>
        <v>BLANKROW</v>
      </c>
      <c r="O69" s="205"/>
      <c r="P69" s="205"/>
      <c r="Q69" s="205"/>
      <c r="R69" s="205"/>
      <c r="S69" s="205"/>
      <c r="T69" s="205"/>
      <c r="U69" s="205"/>
      <c r="V69" s="205"/>
      <c r="W69" s="205"/>
      <c r="X69" s="205"/>
      <c r="Y69" s="205"/>
      <c r="Z69" s="205"/>
      <c r="AA69" s="205"/>
      <c r="AB69" s="206" t="str">
        <f>IF(_epmOfflineCondition_,"",IF(O69=0,"",IFERROR(O69/_xll.EVGTS($B$1,1,INDEX(#REF!,MATCH($H69,#REF!,0)),$B$3,$B$5,$B$6,$B$7,$B$9,O$16,O$17,O$18),"")))</f>
        <v/>
      </c>
      <c r="AC69" s="11"/>
      <c r="AD69" s="205"/>
      <c r="AE69" s="206" t="str">
        <f>IF(_epmOfflineCondition_,"",IF(AD69=0,"",IFERROR(AD69/_xll.EVGTS($B$1,1,INDEX(#REF!,MATCH($H69,#REF!,0)),$B$3,$B$5,$B$6,$B$7,$B$9,AD$16,AD$17,AD$18),"")))</f>
        <v/>
      </c>
      <c r="AF69" s="207" t="str">
        <f t="shared" si="14"/>
        <v/>
      </c>
      <c r="AG69" s="205"/>
      <c r="AH69" s="206" t="str">
        <f>IF(_epmOfflineCondition_,"",IF(AG69=0,"",IFERROR(AG69/_xll.EVGTS($B$1,1,INDEX(#REF!,MATCH($H69,#REF!,0)),$B$3,$B$5,$B$6,$B$7,$B$9,AG$16,AG$17,AG$18),"")))</f>
        <v/>
      </c>
      <c r="AI69" s="207" t="str">
        <f t="shared" si="15"/>
        <v/>
      </c>
      <c r="AJ69" s="523">
        <f t="shared" si="16"/>
        <v>0</v>
      </c>
      <c r="AK69" s="524">
        <f t="shared" si="17"/>
        <v>0</v>
      </c>
      <c r="AL69" s="525">
        <f t="shared" si="18"/>
        <v>0</v>
      </c>
      <c r="AM69" s="526">
        <f t="shared" si="19"/>
        <v>0</v>
      </c>
      <c r="AN69" s="527">
        <f t="shared" si="20"/>
        <v>0</v>
      </c>
      <c r="AO69" s="11"/>
    </row>
    <row r="70" spans="1:41" x14ac:dyDescent="0.25">
      <c r="A70" s="11" t="s">
        <v>209</v>
      </c>
      <c r="B70" s="11" t="s">
        <v>21</v>
      </c>
      <c r="C70" s="395"/>
      <c r="D70" s="11" t="s">
        <v>590</v>
      </c>
      <c r="E70" s="11"/>
      <c r="F70" s="11" t="s">
        <v>99</v>
      </c>
      <c r="G70" s="11"/>
      <c r="H70" s="185" t="s">
        <v>292</v>
      </c>
      <c r="I70" s="89" t="str">
        <f>IF(_epmOfflineCondition_,"T3",_xll.EVPRO($B$1,$H70,"STYLE"))</f>
        <v>T3</v>
      </c>
      <c r="J70" s="89" t="str">
        <f>IF(_epmOfflineCondition_,"Y",_xll.EVPRO($B$1,$H70,"CALC"))</f>
        <v>Y</v>
      </c>
      <c r="K70" s="265" t="str">
        <f t="shared" si="12"/>
        <v/>
      </c>
      <c r="L70" s="265"/>
      <c r="M70" s="265"/>
      <c r="N70" s="106" t="str">
        <f>IF(_epmOfflineCondition_,"Gross Profit",IF(_xll.EVDES(H70,$B$1)="#NODATA","",_xll.EVDES(H70,$B$1)))</f>
        <v>Gross Profit</v>
      </c>
      <c r="O70" s="123">
        <f t="shared" ref="O70:Z70" si="21">SUMIF($H$35:$H$68,"400000",O35:O68)-SUMIF($H$35:$H$68,"500001",O35:O68)</f>
        <v>22323.119999999999</v>
      </c>
      <c r="P70" s="123">
        <f t="shared" si="21"/>
        <v>47661.99</v>
      </c>
      <c r="Q70" s="123">
        <f t="shared" si="21"/>
        <v>78067.17</v>
      </c>
      <c r="R70" s="123">
        <f t="shared" si="21"/>
        <v>41795.61</v>
      </c>
      <c r="S70" s="123">
        <f t="shared" si="21"/>
        <v>24570.329999999998</v>
      </c>
      <c r="T70" s="123">
        <f t="shared" si="21"/>
        <v>27123.91</v>
      </c>
      <c r="U70" s="123">
        <f t="shared" si="21"/>
        <v>25604.37</v>
      </c>
      <c r="V70" s="123">
        <f t="shared" si="21"/>
        <v>11747.58</v>
      </c>
      <c r="W70" s="123">
        <f t="shared" si="21"/>
        <v>3201.8399999999997</v>
      </c>
      <c r="X70" s="123">
        <f t="shared" si="21"/>
        <v>21521.35</v>
      </c>
      <c r="Y70" s="123">
        <f t="shared" si="21"/>
        <v>56727.72</v>
      </c>
      <c r="Z70" s="123">
        <f t="shared" si="21"/>
        <v>19566.2</v>
      </c>
      <c r="AA70" s="123">
        <f>IF($I70="B1","",SUM(O70:Z70))</f>
        <v>379911.19</v>
      </c>
      <c r="AB70" s="192">
        <f>IF(O70=0,"",IFERROR(O70/O$19,""))</f>
        <v>0.87800089203750331</v>
      </c>
      <c r="AC70" s="11"/>
      <c r="AD70" s="123">
        <f>SUMIF($H$35:$H$68,"400000",AD35:AD68)-SUMIF($H$35:$H$68,"500001",AD35:AD68)</f>
        <v>158386.67480490202</v>
      </c>
      <c r="AE70" s="192">
        <f>IF(AD70=0,"",IFERROR(AD70/AD$19,""))</f>
        <v>0.87223107683794898</v>
      </c>
      <c r="AF70" s="125">
        <f t="shared" si="14"/>
        <v>221524.51519509798</v>
      </c>
      <c r="AG70" s="123">
        <f>SUMIF($H$35:$H$68,"400000",AG35:AG68)-SUMIF($H$35:$H$68,"500001",AG35:AG68)</f>
        <v>73207.19</v>
      </c>
      <c r="AH70" s="192">
        <f>IF(AG70=0,"",IFERROR(AG70/AG$19,""))</f>
        <v>0.8727757432231209</v>
      </c>
      <c r="AI70" s="125">
        <f t="shared" si="15"/>
        <v>306704</v>
      </c>
      <c r="AJ70" s="388">
        <f t="shared" si="16"/>
        <v>89.222919210897132</v>
      </c>
      <c r="AK70" s="389">
        <f t="shared" si="17"/>
        <v>82.988294666903741</v>
      </c>
      <c r="AL70" s="390">
        <f t="shared" si="18"/>
        <v>97.349986702127666</v>
      </c>
      <c r="AM70" s="391" t="str">
        <f t="shared" si="19"/>
        <v>0.58 pts.</v>
      </c>
      <c r="AN70" s="544" t="str">
        <f t="shared" si="20"/>
        <v>0.52 pts.</v>
      </c>
      <c r="AO70" s="11"/>
    </row>
    <row r="71" spans="1:41" x14ac:dyDescent="0.25">
      <c r="A71" s="11" t="s">
        <v>105</v>
      </c>
      <c r="B71" s="11"/>
      <c r="C71" s="104" t="s">
        <v>101</v>
      </c>
      <c r="D71" s="11" t="s">
        <v>106</v>
      </c>
      <c r="E71" s="11"/>
      <c r="F71" s="11" t="s">
        <v>98</v>
      </c>
      <c r="G71" s="11"/>
      <c r="H71" s="11"/>
      <c r="I71" s="59"/>
      <c r="J71" s="59"/>
      <c r="K71" s="11"/>
      <c r="L71" s="11"/>
      <c r="M71" s="11"/>
      <c r="N71" s="11"/>
      <c r="O71" s="393"/>
      <c r="P71" s="394"/>
      <c r="Q71" s="394"/>
      <c r="R71" s="394"/>
      <c r="S71" s="394"/>
      <c r="T71" s="394"/>
      <c r="U71" s="394"/>
      <c r="V71" s="394"/>
      <c r="W71" s="394"/>
      <c r="X71" s="394"/>
      <c r="Y71" s="394"/>
      <c r="Z71" s="394"/>
      <c r="AA71" s="394"/>
      <c r="AB71" s="118"/>
      <c r="AC71" s="11"/>
      <c r="AD71" s="203"/>
      <c r="AE71" s="204"/>
      <c r="AF71" s="118"/>
      <c r="AG71" s="204"/>
      <c r="AH71" s="204"/>
      <c r="AI71" s="118"/>
      <c r="AJ71" s="11"/>
      <c r="AK71" s="11"/>
      <c r="AL71" s="11"/>
      <c r="AM71" s="11"/>
      <c r="AN71" s="11"/>
      <c r="AO71" s="11"/>
    </row>
    <row r="72" spans="1:41" x14ac:dyDescent="0.25">
      <c r="A72" s="11" t="s">
        <v>104</v>
      </c>
      <c r="B72" s="11"/>
      <c r="C72" s="104" t="s">
        <v>101</v>
      </c>
      <c r="D72" s="11" t="s">
        <v>106</v>
      </c>
      <c r="E72" s="11"/>
      <c r="F72" s="11" t="s">
        <v>98</v>
      </c>
      <c r="G72" s="11"/>
      <c r="H72" s="11" t="s">
        <v>73</v>
      </c>
      <c r="I72" s="59" t="str">
        <f>IF(_epmOfflineCondition_,"B1",_xll.EVPRO($B$1,$H72,"STYLE"))</f>
        <v>B1</v>
      </c>
      <c r="J72" s="59" t="str">
        <f>IF(_epmOfflineCondition_,"Y",_xll.EVPRO($B$1,$H72,"CALC"))</f>
        <v>Y</v>
      </c>
      <c r="K72" s="11"/>
      <c r="L72" s="11"/>
      <c r="M72" s="11"/>
      <c r="N72" s="105" t="str">
        <f>IF(_epmOfflineCondition_,"Labor &amp; Related Expenses",IF(_xll.EVDES(H72,$B$1)="#NODATA","",_xll.EVDES(H72,$B$1)))</f>
        <v>Labor &amp; Related Expenses</v>
      </c>
      <c r="O72" s="203"/>
      <c r="P72" s="204"/>
      <c r="Q72" s="204"/>
      <c r="R72" s="204"/>
      <c r="S72" s="204"/>
      <c r="T72" s="204"/>
      <c r="U72" s="204"/>
      <c r="V72" s="204"/>
      <c r="W72" s="204"/>
      <c r="X72" s="204"/>
      <c r="Y72" s="204"/>
      <c r="Z72" s="204"/>
      <c r="AA72" s="204"/>
      <c r="AB72" s="410"/>
      <c r="AC72" s="11"/>
      <c r="AD72" s="411"/>
      <c r="AE72" s="412"/>
      <c r="AF72" s="118"/>
      <c r="AG72" s="204"/>
      <c r="AH72" s="412"/>
      <c r="AI72" s="118"/>
      <c r="AJ72" s="11"/>
      <c r="AK72" s="11"/>
      <c r="AL72" s="11"/>
      <c r="AM72" s="11"/>
      <c r="AN72" s="11"/>
      <c r="AO72" s="11"/>
    </row>
    <row r="73" spans="1:41" x14ac:dyDescent="0.25">
      <c r="A73" s="11" t="s">
        <v>100</v>
      </c>
      <c r="B73" s="11"/>
      <c r="C73" s="53" t="s">
        <v>101</v>
      </c>
      <c r="D73" s="11" t="s">
        <v>106</v>
      </c>
      <c r="E73" s="11"/>
      <c r="F73" s="11" t="s">
        <v>98</v>
      </c>
      <c r="G73" s="11"/>
      <c r="H73" s="11" t="s">
        <v>74</v>
      </c>
      <c r="I73" s="59" t="str">
        <f>IF(_epmOfflineCondition_,"B1",_xll.EVPRO($B$1,$H73,"STYLE"))</f>
        <v>B1</v>
      </c>
      <c r="J73" s="59" t="str">
        <f>IF(_epmOfflineCondition_,"Y",_xll.EVPRO($B$1,$H73,"CALC"))</f>
        <v>Y</v>
      </c>
      <c r="K73" s="11"/>
      <c r="L73" s="11"/>
      <c r="M73" s="11"/>
      <c r="N73" s="53" t="str">
        <f>IF(_epmOfflineCondition_,"Salaries &amp; Wages",IF(_xll.EVDES(H73,$B$1)="#NODATA","",_xll.EVDES(H73,$B$1)))</f>
        <v>Salaries &amp; Wages</v>
      </c>
      <c r="O73" s="119"/>
      <c r="P73" s="120"/>
      <c r="Q73" s="120"/>
      <c r="R73" s="120"/>
      <c r="S73" s="120"/>
      <c r="T73" s="120"/>
      <c r="U73" s="120"/>
      <c r="V73" s="120"/>
      <c r="W73" s="120"/>
      <c r="X73" s="120"/>
      <c r="Y73" s="120"/>
      <c r="Z73" s="120"/>
      <c r="AA73" s="120"/>
      <c r="AB73" s="121"/>
      <c r="AC73" s="11"/>
      <c r="AD73" s="119"/>
      <c r="AE73" s="120"/>
      <c r="AF73" s="121"/>
      <c r="AG73" s="120"/>
      <c r="AH73" s="120"/>
      <c r="AI73" s="121"/>
      <c r="AJ73" s="11"/>
      <c r="AK73" s="11"/>
      <c r="AL73" s="11"/>
      <c r="AM73" s="11"/>
      <c r="AN73" s="11"/>
      <c r="AO73" s="11"/>
    </row>
    <row r="74" spans="1:41" hidden="1" x14ac:dyDescent="0.25">
      <c r="A74" s="11" t="s">
        <v>102</v>
      </c>
      <c r="B74" s="11"/>
      <c r="C74" s="106" t="s">
        <v>101</v>
      </c>
      <c r="D74" s="11" t="s">
        <v>106</v>
      </c>
      <c r="E74" s="11"/>
      <c r="F74" s="11" t="s">
        <v>98</v>
      </c>
      <c r="G74" s="11"/>
      <c r="H74" s="88" t="s">
        <v>667</v>
      </c>
      <c r="I74" s="122" t="str">
        <f>IF(_epmOfflineCondition_,"",_xll.EVPRO($B$1,$H74,"STYLE"))</f>
        <v/>
      </c>
      <c r="J74" s="122" t="str">
        <f>IF(_epmOfflineCondition_,"",_xll.EVPRO($B$1,$H74,"CALC"))</f>
        <v/>
      </c>
      <c r="K74" s="179" t="str">
        <f t="shared" ref="K74:K87" si="22">IF(AND(I74&gt;="T3"),"&gt;","")</f>
        <v/>
      </c>
      <c r="L74" s="90" t="str">
        <f>IF(_epmOfflineCondition_,"",_xll.EVPRO($B$1,H74,"JDEID"))</f>
        <v/>
      </c>
      <c r="M74" s="90" t="str">
        <f>IF(_epmOfflineCondition_,"",IF(AND(I74="N",J74="N"),_xll.EVPRO($B$1,H74,"PSFTID"),""))</f>
        <v/>
      </c>
      <c r="N74" s="90" t="str">
        <f>IF(_epmOfflineCondition_,"",IF(_xll.EVDES(H74,$B$1)="#NODATA","",_xll.EVDES(H74,$B$1)))</f>
        <v/>
      </c>
      <c r="O74" s="231"/>
      <c r="P74" s="231"/>
      <c r="Q74" s="231"/>
      <c r="R74" s="231"/>
      <c r="S74" s="231"/>
      <c r="T74" s="231"/>
      <c r="U74" s="231"/>
      <c r="V74" s="231"/>
      <c r="W74" s="231"/>
      <c r="X74" s="231"/>
      <c r="Y74" s="231"/>
      <c r="Z74" s="231"/>
      <c r="AA74" s="210">
        <f t="shared" ref="AA74:AA87" si="23">IF($I74="B1","",SUM(O74:Z74))</f>
        <v>0</v>
      </c>
      <c r="AB74" s="233" t="str">
        <f t="shared" ref="AB74:AB87" si="24">IF(AA74=0,"",IFERROR(AA74/AA$19,""))</f>
        <v/>
      </c>
      <c r="AC74" s="140"/>
      <c r="AD74" s="231"/>
      <c r="AE74" s="233" t="str">
        <f t="shared" ref="AE74:AE87" si="25">IF(AD74=0,"",IFERROR(AD74/AD$19,""))</f>
        <v/>
      </c>
      <c r="AF74" s="234">
        <f t="shared" ref="AF74:AF87" si="26">IF(AND($AA74="",AD74=""),"",$AA74-AD74)</f>
        <v>0</v>
      </c>
      <c r="AG74" s="231"/>
      <c r="AH74" s="233" t="str">
        <f t="shared" ref="AH74:AH87" si="27">IF(AG74=0,"",IFERROR(AG74/AG$19,""))</f>
        <v/>
      </c>
      <c r="AI74" s="234">
        <f t="shared" ref="AI74:AI87" si="28">IF(AND($AA74="",AG74=""),"",$AA74-AG74)</f>
        <v>0</v>
      </c>
      <c r="AJ74" s="462">
        <f t="shared" ref="AJ74:AJ87" si="29">IFERROR(AA74/AA$20,0)</f>
        <v>0</v>
      </c>
      <c r="AK74" s="463">
        <f t="shared" ref="AK74:AK87" si="30">IFERROR(AD74/AD$20,0)</f>
        <v>0</v>
      </c>
      <c r="AL74" s="464">
        <f t="shared" ref="AL74:AL87" si="31">IFERROR(AG74/AG$20,0)</f>
        <v>0</v>
      </c>
      <c r="AM74" s="465">
        <f t="shared" ref="AM74:AM87" si="32">+IFERROR(ROUND(($AB74-AE74)*100,2)&amp;" pts.",0)</f>
        <v>0</v>
      </c>
      <c r="AN74" s="466">
        <f t="shared" ref="AN74:AN87" si="33">+IFERROR(ROUND(($AB74-AH74)*100,2)&amp;" pts.",0)</f>
        <v>0</v>
      </c>
      <c r="AO74" s="11"/>
    </row>
    <row r="75" spans="1:41" hidden="1" x14ac:dyDescent="0.25">
      <c r="A75" s="11" t="s">
        <v>102</v>
      </c>
      <c r="B75" s="11"/>
      <c r="C75" s="196" t="s">
        <v>101</v>
      </c>
      <c r="D75" s="11" t="s">
        <v>107</v>
      </c>
      <c r="E75" s="11"/>
      <c r="F75" s="11" t="s">
        <v>99</v>
      </c>
      <c r="G75" s="11"/>
      <c r="H75" s="88"/>
      <c r="I75" s="122" t="str">
        <f>IF(_epmOfflineCondition_,"",_xll.EVPRO($B$1,$H75,"STYLE"))</f>
        <v/>
      </c>
      <c r="J75" s="122" t="str">
        <f>IF(_epmOfflineCondition_,"",_xll.EVPRO($B$1,$H75,"CALC"))</f>
        <v/>
      </c>
      <c r="K75" s="179" t="str">
        <f t="shared" si="22"/>
        <v/>
      </c>
      <c r="L75" s="90" t="str">
        <f>IF(_epmOfflineCondition_,"",_xll.EVPRO($B$1,H75,"JDEID"))</f>
        <v/>
      </c>
      <c r="M75" s="90" t="str">
        <f>IF(_epmOfflineCondition_,"",IF(AND(I75="N",J75="N"),_xll.EVPRO($B$1,H75,"PSFTID"),""))</f>
        <v/>
      </c>
      <c r="N75" s="90" t="str">
        <f>IF(_epmOfflineCondition_,"",IF(_xll.EVDES(H75,$B$1)="#NODATA","",_xll.EVDES(H75,$B$1)))</f>
        <v/>
      </c>
      <c r="O75" s="231"/>
      <c r="P75" s="231"/>
      <c r="Q75" s="231"/>
      <c r="R75" s="231"/>
      <c r="S75" s="231"/>
      <c r="T75" s="231"/>
      <c r="U75" s="231"/>
      <c r="V75" s="231"/>
      <c r="W75" s="231"/>
      <c r="X75" s="231"/>
      <c r="Y75" s="231"/>
      <c r="Z75" s="231"/>
      <c r="AA75" s="210">
        <f t="shared" si="23"/>
        <v>0</v>
      </c>
      <c r="AB75" s="233" t="str">
        <f t="shared" si="24"/>
        <v/>
      </c>
      <c r="AC75" s="140"/>
      <c r="AD75" s="231"/>
      <c r="AE75" s="233" t="str">
        <f t="shared" si="25"/>
        <v/>
      </c>
      <c r="AF75" s="234">
        <f t="shared" si="26"/>
        <v>0</v>
      </c>
      <c r="AG75" s="231"/>
      <c r="AH75" s="233" t="str">
        <f t="shared" si="27"/>
        <v/>
      </c>
      <c r="AI75" s="234">
        <f t="shared" si="28"/>
        <v>0</v>
      </c>
      <c r="AJ75" s="462">
        <f t="shared" si="29"/>
        <v>0</v>
      </c>
      <c r="AK75" s="463">
        <f t="shared" si="30"/>
        <v>0</v>
      </c>
      <c r="AL75" s="464">
        <f t="shared" si="31"/>
        <v>0</v>
      </c>
      <c r="AM75" s="465">
        <f t="shared" si="32"/>
        <v>0</v>
      </c>
      <c r="AN75" s="466">
        <f t="shared" si="33"/>
        <v>0</v>
      </c>
      <c r="AO75" s="11"/>
    </row>
    <row r="76" spans="1:41" x14ac:dyDescent="0.25">
      <c r="A76" s="11" t="s">
        <v>108</v>
      </c>
      <c r="B76" s="11"/>
      <c r="C76" s="106" t="s">
        <v>101</v>
      </c>
      <c r="D76" s="11" t="s">
        <v>106</v>
      </c>
      <c r="E76" s="11"/>
      <c r="F76" s="11" t="s">
        <v>98</v>
      </c>
      <c r="G76" s="11"/>
      <c r="H76" s="88" t="s">
        <v>75</v>
      </c>
      <c r="I76" s="89" t="str">
        <f>IF(_epmOfflineCondition_,"B1",_xll.EVPRO($B$1,$H76,"STYLE"))</f>
        <v>B1</v>
      </c>
      <c r="J76" s="89" t="str">
        <f>IF(_epmOfflineCondition_,"Y",_xll.EVPRO($B$1,$H76,"CALC"))</f>
        <v>Y</v>
      </c>
      <c r="K76" s="265" t="str">
        <f t="shared" si="22"/>
        <v/>
      </c>
      <c r="L76" s="106" t="str">
        <f>IF(_epmOfflineCondition_,"",_xll.EVPRO($B$1,H76,"JDEID"))</f>
        <v/>
      </c>
      <c r="M76" s="90" t="str">
        <f>IF(_epmOfflineCondition_,"",IF(AND(I76="N",J76="N"),_xll.EVPRO($B$1,H76,"PSFTID"),""))</f>
        <v/>
      </c>
      <c r="N76" s="106" t="str">
        <f>IF(_epmOfflineCondition_,"Non-Management",IF(_xll.EVDES(H76,$B$1)="#NODATA","",_xll.EVDES(H76,$B$1)))</f>
        <v>Non-Management</v>
      </c>
      <c r="O76" s="197"/>
      <c r="P76" s="197"/>
      <c r="Q76" s="197"/>
      <c r="R76" s="197"/>
      <c r="S76" s="197"/>
      <c r="T76" s="197"/>
      <c r="U76" s="197"/>
      <c r="V76" s="197"/>
      <c r="W76" s="197"/>
      <c r="X76" s="197"/>
      <c r="Y76" s="197"/>
      <c r="Z76" s="197"/>
      <c r="AA76" s="180" t="str">
        <f t="shared" si="23"/>
        <v/>
      </c>
      <c r="AB76" s="198" t="str">
        <f t="shared" si="24"/>
        <v/>
      </c>
      <c r="AC76" s="11"/>
      <c r="AD76" s="197"/>
      <c r="AE76" s="198" t="str">
        <f t="shared" si="25"/>
        <v/>
      </c>
      <c r="AF76" s="199" t="str">
        <f t="shared" si="26"/>
        <v/>
      </c>
      <c r="AG76" s="197"/>
      <c r="AH76" s="198" t="str">
        <f t="shared" si="27"/>
        <v/>
      </c>
      <c r="AI76" s="199" t="str">
        <f t="shared" si="28"/>
        <v/>
      </c>
      <c r="AJ76" s="397">
        <f t="shared" si="29"/>
        <v>0</v>
      </c>
      <c r="AK76" s="398">
        <f t="shared" si="30"/>
        <v>0</v>
      </c>
      <c r="AL76" s="399">
        <f t="shared" si="31"/>
        <v>0</v>
      </c>
      <c r="AM76" s="400">
        <f t="shared" si="32"/>
        <v>0</v>
      </c>
      <c r="AN76" s="401">
        <f t="shared" si="33"/>
        <v>0</v>
      </c>
      <c r="AO76" s="11"/>
    </row>
    <row r="77" spans="1:41" x14ac:dyDescent="0.25">
      <c r="A77" s="11" t="s">
        <v>108</v>
      </c>
      <c r="B77" s="11"/>
      <c r="C77" s="196" t="s">
        <v>101</v>
      </c>
      <c r="D77" s="11" t="s">
        <v>107</v>
      </c>
      <c r="E77" s="11"/>
      <c r="F77" s="11" t="s">
        <v>99</v>
      </c>
      <c r="G77" s="11"/>
      <c r="H77" s="88" t="s">
        <v>860</v>
      </c>
      <c r="I77" s="122" t="str">
        <f>IF(_epmOfflineCondition_,"T3",_xll.EVPRO($B$1,$H77,"STYLE"))</f>
        <v>T3</v>
      </c>
      <c r="J77" s="122" t="str">
        <f>IF(_epmOfflineCondition_,"Y",_xll.EVPRO($B$1,$H77,"CALC"))</f>
        <v>Y</v>
      </c>
      <c r="K77" s="179" t="str">
        <f t="shared" si="22"/>
        <v>&gt;</v>
      </c>
      <c r="L77" s="90" t="str">
        <f>IF(_epmOfflineCondition_,"",_xll.EVPRO($B$1,H77,"JDEID"))</f>
        <v/>
      </c>
      <c r="M77" s="90" t="str">
        <f>IF(_epmOfflineCondition_,"",IF(AND(I77="N",J77="N"),_xll.EVPRO($B$1,H77,"PSFTID"),""))</f>
        <v/>
      </c>
      <c r="N77" s="90" t="str">
        <f>IF(_epmOfflineCondition_,"Banquet &amp; Conf/Catering Service",IF(_xll.EVDES(H77,$B$1)="#NODATA","",_xll.EVDES(H77,$B$1)))</f>
        <v>Banquet &amp; Conf/Catering Service</v>
      </c>
      <c r="O77" s="239"/>
      <c r="P77" s="239">
        <v>45.23</v>
      </c>
      <c r="Q77" s="239"/>
      <c r="R77" s="239"/>
      <c r="S77" s="239"/>
      <c r="T77" s="239"/>
      <c r="U77" s="239"/>
      <c r="V77" s="239"/>
      <c r="W77" s="239"/>
      <c r="X77" s="239"/>
      <c r="Y77" s="239"/>
      <c r="Z77" s="239"/>
      <c r="AA77" s="216">
        <f t="shared" si="23"/>
        <v>45.23</v>
      </c>
      <c r="AB77" s="240">
        <f t="shared" si="24"/>
        <v>1.0402723871482132E-4</v>
      </c>
      <c r="AC77" s="140"/>
      <c r="AD77" s="239"/>
      <c r="AE77" s="240" t="str">
        <f t="shared" si="25"/>
        <v/>
      </c>
      <c r="AF77" s="241">
        <f t="shared" si="26"/>
        <v>45.23</v>
      </c>
      <c r="AG77" s="239">
        <v>966.74</v>
      </c>
      <c r="AH77" s="240">
        <f t="shared" si="27"/>
        <v>1.1525469315288838E-2</v>
      </c>
      <c r="AI77" s="241">
        <f t="shared" si="28"/>
        <v>-921.51</v>
      </c>
      <c r="AJ77" s="471">
        <f t="shared" si="29"/>
        <v>1.0622357914513856E-2</v>
      </c>
      <c r="AK77" s="472">
        <f t="shared" si="30"/>
        <v>0</v>
      </c>
      <c r="AL77" s="473">
        <f t="shared" si="31"/>
        <v>1.2855585106382978</v>
      </c>
      <c r="AM77" s="474">
        <f t="shared" si="32"/>
        <v>0</v>
      </c>
      <c r="AN77" s="475" t="str">
        <f t="shared" si="33"/>
        <v>-1.14 pts.</v>
      </c>
      <c r="AO77" s="11"/>
    </row>
    <row r="78" spans="1:41" x14ac:dyDescent="0.25">
      <c r="A78" s="11"/>
      <c r="B78" s="11"/>
      <c r="C78" s="11"/>
      <c r="D78" s="11"/>
      <c r="E78" s="11"/>
      <c r="F78" s="11"/>
      <c r="G78" s="11"/>
      <c r="H78" s="88" t="s">
        <v>861</v>
      </c>
      <c r="I78" s="122" t="str">
        <f>IF(_epmOfflineCondition_,"T3",_xll.EVPRO($B$1,$H78,"STYLE"))</f>
        <v>T3</v>
      </c>
      <c r="J78" s="122" t="str">
        <f>IF(_epmOfflineCondition_,"Y",_xll.EVPRO($B$1,$H78,"CALC"))</f>
        <v>Y</v>
      </c>
      <c r="K78" s="179" t="str">
        <f t="shared" si="22"/>
        <v>&gt;</v>
      </c>
      <c r="L78" s="90" t="str">
        <f>IF(_epmOfflineCondition_,"",_xll.EVPRO($B$1,H78,"JDEID"))</f>
        <v/>
      </c>
      <c r="M78" s="90" t="str">
        <f>IF(_epmOfflineCondition_,"",IF(AND(I78="N",J78="N"),_xll.EVPRO($B$1,H78,"PSFTID"),""))</f>
        <v/>
      </c>
      <c r="N78" s="90" t="str">
        <f>IF(_epmOfflineCondition_,"F&amp;B Venues",IF(_xll.EVDES(H78,$B$1)="#NODATA","",_xll.EVDES(H78,$B$1)))</f>
        <v>F&amp;B Venues</v>
      </c>
      <c r="O78" s="239"/>
      <c r="P78" s="239"/>
      <c r="Q78" s="239"/>
      <c r="R78" s="239">
        <v>2387</v>
      </c>
      <c r="S78" s="239">
        <v>1589.98</v>
      </c>
      <c r="T78" s="239">
        <v>816.51</v>
      </c>
      <c r="U78" s="239">
        <v>1247.31</v>
      </c>
      <c r="V78" s="239">
        <v>595.94000000000005</v>
      </c>
      <c r="W78" s="239">
        <v>161.88</v>
      </c>
      <c r="X78" s="239">
        <v>1086.54</v>
      </c>
      <c r="Y78" s="239"/>
      <c r="Z78" s="239"/>
      <c r="AA78" s="216">
        <f t="shared" si="23"/>
        <v>7885.16</v>
      </c>
      <c r="AB78" s="240">
        <f t="shared" si="24"/>
        <v>1.8135560946817609E-2</v>
      </c>
      <c r="AC78" s="140"/>
      <c r="AD78" s="239"/>
      <c r="AE78" s="240" t="str">
        <f t="shared" si="25"/>
        <v/>
      </c>
      <c r="AF78" s="241">
        <f t="shared" si="26"/>
        <v>7885.16</v>
      </c>
      <c r="AG78" s="239"/>
      <c r="AH78" s="240" t="str">
        <f t="shared" si="27"/>
        <v/>
      </c>
      <c r="AI78" s="241">
        <f t="shared" si="28"/>
        <v>7885.16</v>
      </c>
      <c r="AJ78" s="471">
        <f t="shared" si="29"/>
        <v>1.8518459370596523</v>
      </c>
      <c r="AK78" s="472">
        <f t="shared" si="30"/>
        <v>0</v>
      </c>
      <c r="AL78" s="473">
        <f t="shared" si="31"/>
        <v>0</v>
      </c>
      <c r="AM78" s="474">
        <f t="shared" si="32"/>
        <v>0</v>
      </c>
      <c r="AN78" s="475">
        <f t="shared" si="33"/>
        <v>0</v>
      </c>
      <c r="AO78" s="11"/>
    </row>
    <row r="79" spans="1:41" x14ac:dyDescent="0.25">
      <c r="A79" s="11"/>
      <c r="B79" s="11"/>
      <c r="C79" s="208"/>
      <c r="D79" s="11"/>
      <c r="E79" s="11"/>
      <c r="F79" s="11"/>
      <c r="G79" s="11"/>
      <c r="H79" s="88" t="s">
        <v>847</v>
      </c>
      <c r="I79" s="188" t="str">
        <f>IF(_epmOfflineCondition_,"T2",_xll.EVPRO($B$1,$H79,"STYLE"))</f>
        <v>T2</v>
      </c>
      <c r="J79" s="188" t="str">
        <f>IF(_epmOfflineCondition_,"Y",_xll.EVPRO($B$1,$H79,"CALC"))</f>
        <v>Y</v>
      </c>
      <c r="K79" s="189" t="str">
        <f t="shared" si="22"/>
        <v/>
      </c>
      <c r="L79" s="190" t="str">
        <f>IF(_epmOfflineCondition_,"",_xll.EVPRO($B$1,H79,"JDEID"))</f>
        <v/>
      </c>
      <c r="M79" s="190" t="str">
        <f>IF(_epmOfflineCondition_,"",IF(AND(I79="N",J79="N"),_xll.EVPRO($B$1,H79,"PSFTID"),""))</f>
        <v/>
      </c>
      <c r="N79" s="190" t="str">
        <f>IF(_epmOfflineCondition_,"Total Salaries and Wages",IF(_xll.EVDES(H79,$B$1)="#NODATA","",_xll.EVDES(H79,$B$1)))</f>
        <v>Total Salaries and Wages</v>
      </c>
      <c r="O79" s="223"/>
      <c r="P79" s="223">
        <v>45.23</v>
      </c>
      <c r="Q79" s="223"/>
      <c r="R79" s="223">
        <v>2387</v>
      </c>
      <c r="S79" s="223">
        <v>1589.98</v>
      </c>
      <c r="T79" s="223">
        <v>816.51</v>
      </c>
      <c r="U79" s="223">
        <v>1247.31</v>
      </c>
      <c r="V79" s="223">
        <v>595.94000000000005</v>
      </c>
      <c r="W79" s="223">
        <v>161.88</v>
      </c>
      <c r="X79" s="223">
        <v>1086.54</v>
      </c>
      <c r="Y79" s="223"/>
      <c r="Z79" s="223"/>
      <c r="AA79" s="223">
        <f t="shared" si="23"/>
        <v>7930.3900000000012</v>
      </c>
      <c r="AB79" s="224">
        <f t="shared" si="24"/>
        <v>1.8239588185532434E-2</v>
      </c>
      <c r="AC79" s="225"/>
      <c r="AD79" s="223"/>
      <c r="AE79" s="224" t="str">
        <f t="shared" si="25"/>
        <v/>
      </c>
      <c r="AF79" s="226">
        <f t="shared" si="26"/>
        <v>7930.3900000000012</v>
      </c>
      <c r="AG79" s="223">
        <v>966.74</v>
      </c>
      <c r="AH79" s="224">
        <f t="shared" si="27"/>
        <v>1.1525469315288838E-2</v>
      </c>
      <c r="AI79" s="226">
        <f t="shared" si="28"/>
        <v>6963.6500000000015</v>
      </c>
      <c r="AJ79" s="227">
        <f t="shared" si="29"/>
        <v>1.8624682949741667</v>
      </c>
      <c r="AK79" s="228">
        <f t="shared" si="30"/>
        <v>0</v>
      </c>
      <c r="AL79" s="230">
        <f t="shared" si="31"/>
        <v>1.2855585106382978</v>
      </c>
      <c r="AM79" s="427">
        <f t="shared" si="32"/>
        <v>0</v>
      </c>
      <c r="AN79" s="478" t="str">
        <f t="shared" si="33"/>
        <v>0.67 pts.</v>
      </c>
      <c r="AO79" s="11"/>
    </row>
    <row r="80" spans="1:41" x14ac:dyDescent="0.25">
      <c r="A80" s="61" t="str">
        <f>IF(_epmOfflineCondition_,"Evdre:Ok",_xll.EVDRE($B$1,A83:B90,A93:B99))</f>
        <v>Evdre:Ok</v>
      </c>
      <c r="B80" s="11"/>
      <c r="C80" s="11"/>
      <c r="D80" s="11"/>
      <c r="E80" s="11"/>
      <c r="F80" s="11"/>
      <c r="G80" s="11"/>
      <c r="H80" s="88" t="s">
        <v>862</v>
      </c>
      <c r="I80" s="122" t="str">
        <f>IF(_epmOfflineCondition_,"T3",_xll.EVPRO($B$1,$H80,"STYLE"))</f>
        <v>T3</v>
      </c>
      <c r="J80" s="122" t="str">
        <f>IF(_epmOfflineCondition_,"Y",_xll.EVPRO($B$1,$H80,"CALC"))</f>
        <v>Y</v>
      </c>
      <c r="K80" s="179" t="str">
        <f t="shared" si="22"/>
        <v>&gt;</v>
      </c>
      <c r="L80" s="90" t="str">
        <f>IF(_epmOfflineCondition_,"",_xll.EVPRO($B$1,H80,"JDEID"))</f>
        <v/>
      </c>
      <c r="M80" s="90" t="str">
        <f>IF(_epmOfflineCondition_,"",IF(AND(I80="N",J80="N"),_xll.EVPRO($B$1,H80,"PSFTID"),""))</f>
        <v/>
      </c>
      <c r="N80" s="90" t="str">
        <f>IF(_epmOfflineCondition_,"Service Charge Distribution",IF(_xll.EVDES(H80,$B$1)="#NODATA","",_xll.EVDES(H80,$B$1)))</f>
        <v>Service Charge Distribution</v>
      </c>
      <c r="O80" s="239">
        <v>955.42</v>
      </c>
      <c r="P80" s="239">
        <v>7794.6</v>
      </c>
      <c r="Q80" s="239">
        <v>9067.86</v>
      </c>
      <c r="R80" s="239">
        <v>4865.9399999999996</v>
      </c>
      <c r="S80" s="239">
        <v>3219.08</v>
      </c>
      <c r="T80" s="239">
        <v>3340.26</v>
      </c>
      <c r="U80" s="239">
        <v>2082.46</v>
      </c>
      <c r="V80" s="239">
        <v>1562.18</v>
      </c>
      <c r="W80" s="239">
        <v>421.2</v>
      </c>
      <c r="X80" s="239">
        <v>2936.51</v>
      </c>
      <c r="Y80" s="239">
        <v>7066.5</v>
      </c>
      <c r="Z80" s="239">
        <v>3715.6</v>
      </c>
      <c r="AA80" s="239">
        <f t="shared" si="23"/>
        <v>47027.61</v>
      </c>
      <c r="AB80" s="240">
        <f t="shared" si="24"/>
        <v>0.1081616717147362</v>
      </c>
      <c r="AC80" s="140"/>
      <c r="AD80" s="239">
        <v>20605.121266400001</v>
      </c>
      <c r="AE80" s="240">
        <f t="shared" si="25"/>
        <v>0.11347183803629138</v>
      </c>
      <c r="AF80" s="241">
        <f t="shared" si="26"/>
        <v>26422.488733599999</v>
      </c>
      <c r="AG80" s="239">
        <v>8956.57</v>
      </c>
      <c r="AH80" s="240">
        <f t="shared" si="27"/>
        <v>0.10678018154336899</v>
      </c>
      <c r="AI80" s="241">
        <f t="shared" si="28"/>
        <v>38071.040000000001</v>
      </c>
      <c r="AJ80" s="532">
        <f t="shared" si="29"/>
        <v>11.044530295913574</v>
      </c>
      <c r="AK80" s="533">
        <f t="shared" si="30"/>
        <v>10.796260969615131</v>
      </c>
      <c r="AL80" s="534">
        <f t="shared" si="31"/>
        <v>11.910332446808511</v>
      </c>
      <c r="AM80" s="535" t="str">
        <f t="shared" si="32"/>
        <v>-0.53 pts.</v>
      </c>
      <c r="AN80" s="536" t="str">
        <f t="shared" si="33"/>
        <v>0.14 pts.</v>
      </c>
      <c r="AO80" s="11"/>
    </row>
    <row r="81" spans="1:41" x14ac:dyDescent="0.25">
      <c r="A81" s="11"/>
      <c r="B81" s="11"/>
      <c r="C81" s="11"/>
      <c r="D81" s="11"/>
      <c r="E81" s="11"/>
      <c r="F81" s="11"/>
      <c r="G81" s="11"/>
      <c r="H81" s="88" t="s">
        <v>863</v>
      </c>
      <c r="I81" s="122" t="str">
        <f>IF(_epmOfflineCondition_,"T3",_xll.EVPRO($B$1,$H81,"STYLE"))</f>
        <v>T3</v>
      </c>
      <c r="J81" s="122" t="str">
        <f>IF(_epmOfflineCondition_,"Y",_xll.EVPRO($B$1,$H81,"CALC"))</f>
        <v>Y</v>
      </c>
      <c r="K81" s="179" t="str">
        <f t="shared" si="22"/>
        <v>&gt;</v>
      </c>
      <c r="L81" s="90" t="str">
        <f>IF(_epmOfflineCondition_,"",_xll.EVPRO($B$1,H81,"JDEID"))</f>
        <v/>
      </c>
      <c r="M81" s="90" t="str">
        <f>IF(_epmOfflineCondition_,"",IF(AND(I81="N",J81="N"),_xll.EVPRO($B$1,H81,"PSFTID"),""))</f>
        <v/>
      </c>
      <c r="N81" s="90" t="str">
        <f>IF(_epmOfflineCondition_,"Contracted &amp; Leased Labor",IF(_xll.EVDES(H81,$B$1)="#NODATA","",_xll.EVDES(H81,$B$1)))</f>
        <v>Contracted &amp; Leased Labor</v>
      </c>
      <c r="O81" s="239"/>
      <c r="P81" s="239">
        <v>647.66999999999996</v>
      </c>
      <c r="Q81" s="239">
        <v>-158.47</v>
      </c>
      <c r="R81" s="239"/>
      <c r="S81" s="239"/>
      <c r="T81" s="239"/>
      <c r="U81" s="239">
        <v>300</v>
      </c>
      <c r="V81" s="239"/>
      <c r="W81" s="239"/>
      <c r="X81" s="239">
        <v>80</v>
      </c>
      <c r="Y81" s="239"/>
      <c r="Z81" s="239"/>
      <c r="AA81" s="216">
        <f t="shared" si="23"/>
        <v>869.19999999999993</v>
      </c>
      <c r="AB81" s="240">
        <f t="shared" si="24"/>
        <v>1.9991261527951068E-3</v>
      </c>
      <c r="AC81" s="140"/>
      <c r="AD81" s="239"/>
      <c r="AE81" s="240" t="str">
        <f t="shared" si="25"/>
        <v/>
      </c>
      <c r="AF81" s="241">
        <f t="shared" si="26"/>
        <v>869.19999999999993</v>
      </c>
      <c r="AG81" s="239"/>
      <c r="AH81" s="240" t="str">
        <f t="shared" si="27"/>
        <v/>
      </c>
      <c r="AI81" s="241">
        <f t="shared" si="28"/>
        <v>869.19999999999993</v>
      </c>
      <c r="AJ81" s="471">
        <f t="shared" si="29"/>
        <v>0.20413339596054483</v>
      </c>
      <c r="AK81" s="472">
        <f t="shared" si="30"/>
        <v>0</v>
      </c>
      <c r="AL81" s="473">
        <f t="shared" si="31"/>
        <v>0</v>
      </c>
      <c r="AM81" s="474">
        <f t="shared" si="32"/>
        <v>0</v>
      </c>
      <c r="AN81" s="475">
        <f t="shared" si="33"/>
        <v>0</v>
      </c>
      <c r="AO81" s="11"/>
    </row>
    <row r="82" spans="1:41" x14ac:dyDescent="0.25">
      <c r="A82" s="62" t="s">
        <v>0</v>
      </c>
      <c r="B82" s="63" t="s">
        <v>1</v>
      </c>
      <c r="C82" s="11"/>
      <c r="D82" s="11"/>
      <c r="E82" s="11"/>
      <c r="F82" s="11"/>
      <c r="G82" s="11"/>
      <c r="H82" s="88" t="s">
        <v>849</v>
      </c>
      <c r="I82" s="188" t="str">
        <f>IF(_epmOfflineCondition_,"T2",_xll.EVPRO($B$1,$H82,"STYLE"))</f>
        <v>T2</v>
      </c>
      <c r="J82" s="188" t="str">
        <f>IF(_epmOfflineCondition_,"Y",_xll.EVPRO($B$1,$H82,"CALC"))</f>
        <v>Y</v>
      </c>
      <c r="K82" s="189" t="str">
        <f t="shared" si="22"/>
        <v/>
      </c>
      <c r="L82" s="190" t="str">
        <f>IF(_epmOfflineCondition_,"",_xll.EVPRO($B$1,H82,"JDEID"))</f>
        <v/>
      </c>
      <c r="M82" s="190" t="str">
        <f>IF(_epmOfflineCondition_,"",IF(AND(I82="N",J82="N"),_xll.EVPRO($B$1,H82,"PSFTID"),""))</f>
        <v/>
      </c>
      <c r="N82" s="190" t="str">
        <f>IF(_epmOfflineCondition_,"Total Labor Expense",IF(_xll.EVDES(H82,$B$1)="#NODATA","",_xll.EVDES(H82,$B$1)))</f>
        <v>Total Labor Expense</v>
      </c>
      <c r="O82" s="223">
        <v>955.42</v>
      </c>
      <c r="P82" s="223">
        <v>8487.5</v>
      </c>
      <c r="Q82" s="223">
        <v>8909.39</v>
      </c>
      <c r="R82" s="223">
        <v>7252.94</v>
      </c>
      <c r="S82" s="223">
        <v>4809.0600000000004</v>
      </c>
      <c r="T82" s="223">
        <v>4156.7700000000004</v>
      </c>
      <c r="U82" s="223">
        <v>3629.77</v>
      </c>
      <c r="V82" s="223">
        <v>2158.12</v>
      </c>
      <c r="W82" s="223">
        <v>583.08000000000004</v>
      </c>
      <c r="X82" s="223">
        <v>4103.05</v>
      </c>
      <c r="Y82" s="223">
        <v>7066.5</v>
      </c>
      <c r="Z82" s="223">
        <v>3715.6</v>
      </c>
      <c r="AA82" s="223">
        <f t="shared" si="23"/>
        <v>55827.200000000004</v>
      </c>
      <c r="AB82" s="224">
        <f t="shared" si="24"/>
        <v>0.12840038605306375</v>
      </c>
      <c r="AC82" s="225"/>
      <c r="AD82" s="223">
        <v>20605.121266400001</v>
      </c>
      <c r="AE82" s="224">
        <f t="shared" si="25"/>
        <v>0.11347183803629138</v>
      </c>
      <c r="AF82" s="226">
        <f t="shared" si="26"/>
        <v>35222.078733600007</v>
      </c>
      <c r="AG82" s="223">
        <v>9923.31</v>
      </c>
      <c r="AH82" s="224">
        <f t="shared" si="27"/>
        <v>0.11830565085865782</v>
      </c>
      <c r="AI82" s="226">
        <f t="shared" si="28"/>
        <v>45903.890000000007</v>
      </c>
      <c r="AJ82" s="227">
        <f t="shared" si="29"/>
        <v>13.111131986848287</v>
      </c>
      <c r="AK82" s="228">
        <f t="shared" si="30"/>
        <v>10.796260969615131</v>
      </c>
      <c r="AL82" s="230">
        <f t="shared" si="31"/>
        <v>13.195890957446808</v>
      </c>
      <c r="AM82" s="427" t="str">
        <f t="shared" si="32"/>
        <v>1.49 pts.</v>
      </c>
      <c r="AN82" s="478" t="str">
        <f t="shared" si="33"/>
        <v>1.01 pts.</v>
      </c>
      <c r="AO82" s="11"/>
    </row>
    <row r="83" spans="1:41" x14ac:dyDescent="0.25">
      <c r="A83" s="65" t="s">
        <v>2</v>
      </c>
      <c r="B83" s="66" t="str">
        <f>IF(_epmOfflineCondition_,"'BCC_CONS'!$B$2:$B$10",_xll.EVRNG($B$2:$B$10))</f>
        <v>'BCC_CONS'!$B$2:$B$10</v>
      </c>
      <c r="C83" s="11"/>
      <c r="D83" s="11"/>
      <c r="E83" s="11"/>
      <c r="F83" s="11"/>
      <c r="G83" s="11"/>
      <c r="H83" s="88" t="s">
        <v>850</v>
      </c>
      <c r="I83" s="122" t="str">
        <f>IF(_epmOfflineCondition_,"T3",_xll.EVPRO($B$1,$H83,"STYLE"))</f>
        <v>T3</v>
      </c>
      <c r="J83" s="122" t="str">
        <f>IF(_epmOfflineCondition_,"Y",_xll.EVPRO($B$1,$H83,"CALC"))</f>
        <v>Y</v>
      </c>
      <c r="K83" s="179" t="str">
        <f t="shared" si="22"/>
        <v>&gt;</v>
      </c>
      <c r="L83" s="90" t="str">
        <f>IF(_epmOfflineCondition_,"",_xll.EVPRO($B$1,H83,"JDEID"))</f>
        <v/>
      </c>
      <c r="M83" s="90" t="str">
        <f>IF(_epmOfflineCondition_,"",IF(AND(I83="N",J83="N"),_xll.EVPRO($B$1,H83,"PSFTID"),""))</f>
        <v/>
      </c>
      <c r="N83" s="90" t="str">
        <f>IF(_epmOfflineCondition_,"Payroll Taxes",IF(_xll.EVDES(H83,$B$1)="#NODATA","",_xll.EVDES(H83,$B$1)))</f>
        <v>Payroll Taxes</v>
      </c>
      <c r="O83" s="239"/>
      <c r="P83" s="239">
        <v>4.05</v>
      </c>
      <c r="Q83" s="239"/>
      <c r="R83" s="239"/>
      <c r="S83" s="239"/>
      <c r="T83" s="239"/>
      <c r="U83" s="239"/>
      <c r="V83" s="239"/>
      <c r="W83" s="239"/>
      <c r="X83" s="239"/>
      <c r="Y83" s="239"/>
      <c r="Z83" s="239"/>
      <c r="AA83" s="239">
        <f t="shared" si="23"/>
        <v>4.05</v>
      </c>
      <c r="AB83" s="240">
        <f t="shared" si="24"/>
        <v>9.3148422904051808E-6</v>
      </c>
      <c r="AC83" s="140"/>
      <c r="AD83" s="239"/>
      <c r="AE83" s="240" t="str">
        <f t="shared" si="25"/>
        <v/>
      </c>
      <c r="AF83" s="241">
        <f t="shared" si="26"/>
        <v>4.05</v>
      </c>
      <c r="AG83" s="239">
        <v>215.65</v>
      </c>
      <c r="AH83" s="240">
        <f t="shared" si="27"/>
        <v>2.5709781925254338E-3</v>
      </c>
      <c r="AI83" s="241">
        <f t="shared" si="28"/>
        <v>-211.6</v>
      </c>
      <c r="AJ83" s="532">
        <f t="shared" si="29"/>
        <v>9.5115077501174261E-4</v>
      </c>
      <c r="AK83" s="533">
        <f t="shared" si="30"/>
        <v>0</v>
      </c>
      <c r="AL83" s="534">
        <f t="shared" si="31"/>
        <v>0.2867686170212766</v>
      </c>
      <c r="AM83" s="535">
        <f t="shared" si="32"/>
        <v>0</v>
      </c>
      <c r="AN83" s="536" t="str">
        <f t="shared" si="33"/>
        <v>-0.26 pts.</v>
      </c>
      <c r="AO83" s="11"/>
    </row>
    <row r="84" spans="1:41" x14ac:dyDescent="0.25">
      <c r="A84" s="65" t="s">
        <v>3</v>
      </c>
      <c r="B84" s="66" t="str">
        <f>IF(_epmOfflineCondition_,"'BCC_CONS'!$O$16:$AN$18",_xll.EVRNG($O$16:$AN$18))</f>
        <v>'BCC_CONS'!$O$16:$AN$18</v>
      </c>
      <c r="C84" s="11"/>
      <c r="D84" s="11"/>
      <c r="E84" s="11"/>
      <c r="F84" s="11"/>
      <c r="G84" s="11"/>
      <c r="H84" s="88" t="s">
        <v>851</v>
      </c>
      <c r="I84" s="122" t="str">
        <f>IF(_epmOfflineCondition_,"T3",_xll.EVPRO($B$1,$H84,"STYLE"))</f>
        <v>T3</v>
      </c>
      <c r="J84" s="122" t="str">
        <f>IF(_epmOfflineCondition_,"Y",_xll.EVPRO($B$1,$H84,"CALC"))</f>
        <v>Y</v>
      </c>
      <c r="K84" s="179" t="str">
        <f t="shared" si="22"/>
        <v>&gt;</v>
      </c>
      <c r="L84" s="90" t="str">
        <f>IF(_epmOfflineCondition_,"",_xll.EVPRO($B$1,H84,"JDEID"))</f>
        <v/>
      </c>
      <c r="M84" s="90" t="str">
        <f>IF(_epmOfflineCondition_,"",IF(AND(I84="N",J84="N"),_xll.EVPRO($B$1,H84,"PSFTID"),""))</f>
        <v/>
      </c>
      <c r="N84" s="90" t="str">
        <f>IF(_epmOfflineCondition_,"Supplemental Pay",IF(_xll.EVDES(H84,$B$1)="#NODATA","",_xll.EVDES(H84,$B$1)))</f>
        <v>Supplemental Pay</v>
      </c>
      <c r="O84" s="239"/>
      <c r="P84" s="239"/>
      <c r="Q84" s="239">
        <v>-0.21</v>
      </c>
      <c r="R84" s="239"/>
      <c r="S84" s="239"/>
      <c r="T84" s="239"/>
      <c r="U84" s="239"/>
      <c r="V84" s="239"/>
      <c r="W84" s="239"/>
      <c r="X84" s="239"/>
      <c r="Y84" s="239"/>
      <c r="Z84" s="239"/>
      <c r="AA84" s="216">
        <f t="shared" si="23"/>
        <v>-0.21</v>
      </c>
      <c r="AB84" s="240">
        <f t="shared" si="24"/>
        <v>-4.8299182246545387E-7</v>
      </c>
      <c r="AC84" s="140"/>
      <c r="AD84" s="239"/>
      <c r="AE84" s="240" t="str">
        <f t="shared" si="25"/>
        <v/>
      </c>
      <c r="AF84" s="241">
        <f t="shared" si="26"/>
        <v>-0.21</v>
      </c>
      <c r="AG84" s="239">
        <v>0.42</v>
      </c>
      <c r="AH84" s="240">
        <f t="shared" si="27"/>
        <v>5.0072378430822268E-6</v>
      </c>
      <c r="AI84" s="241">
        <f t="shared" si="28"/>
        <v>-0.63</v>
      </c>
      <c r="AJ84" s="471">
        <f t="shared" si="29"/>
        <v>-4.9318929074682948E-5</v>
      </c>
      <c r="AK84" s="472">
        <f t="shared" si="30"/>
        <v>0</v>
      </c>
      <c r="AL84" s="473">
        <f t="shared" si="31"/>
        <v>5.5851063829787237E-4</v>
      </c>
      <c r="AM84" s="474">
        <f t="shared" si="32"/>
        <v>0</v>
      </c>
      <c r="AN84" s="475" t="str">
        <f t="shared" si="33"/>
        <v>0 pts.</v>
      </c>
      <c r="AO84" s="11"/>
    </row>
    <row r="85" spans="1:41" x14ac:dyDescent="0.25">
      <c r="A85" s="65" t="s">
        <v>4</v>
      </c>
      <c r="B85" s="66" t="str">
        <f>IF(_epmOfflineCondition_,"'BCC_CONS'!$H$74:$H$75,'BCC_CONS'!$H$77:$H$87,'BCC_CONS'!$H$90:$H$96",_xll.EVRNG(H74:H75,H77:H87,H90:H96))</f>
        <v>'BCC_CONS'!$H$74:$H$75,'BCC_CONS'!$H$77:$H$87,'BCC_CONS'!$H$90:$H$96</v>
      </c>
      <c r="C85" s="11"/>
      <c r="D85" s="11"/>
      <c r="E85" s="11"/>
      <c r="F85" s="11"/>
      <c r="G85" s="11"/>
      <c r="H85" s="88" t="s">
        <v>852</v>
      </c>
      <c r="I85" s="122" t="str">
        <f>IF(_epmOfflineCondition_,"T3",_xll.EVPRO($B$1,$H85,"STYLE"))</f>
        <v>T3</v>
      </c>
      <c r="J85" s="122" t="str">
        <f>IF(_epmOfflineCondition_,"Y",_xll.EVPRO($B$1,$H85,"CALC"))</f>
        <v>Y</v>
      </c>
      <c r="K85" s="179" t="str">
        <f t="shared" si="22"/>
        <v>&gt;</v>
      </c>
      <c r="L85" s="90" t="str">
        <f>IF(_epmOfflineCondition_,"",_xll.EVPRO($B$1,H85,"JDEID"))</f>
        <v/>
      </c>
      <c r="M85" s="90" t="str">
        <f>IF(_epmOfflineCondition_,"",IF(AND(I85="N",J85="N"),_xll.EVPRO($B$1,H85,"PSFTID"),""))</f>
        <v/>
      </c>
      <c r="N85" s="90" t="str">
        <f>IF(_epmOfflineCondition_,"Employee Benefits",IF(_xll.EVDES(H85,$B$1)="#NODATA","",_xll.EVDES(H85,$B$1)))</f>
        <v>Employee Benefits</v>
      </c>
      <c r="O85" s="239"/>
      <c r="P85" s="239"/>
      <c r="Q85" s="239"/>
      <c r="R85" s="239"/>
      <c r="S85" s="239"/>
      <c r="T85" s="239"/>
      <c r="U85" s="239"/>
      <c r="V85" s="239"/>
      <c r="W85" s="239"/>
      <c r="X85" s="239"/>
      <c r="Y85" s="239"/>
      <c r="Z85" s="239"/>
      <c r="AA85" s="216">
        <f t="shared" si="23"/>
        <v>0</v>
      </c>
      <c r="AB85" s="240" t="str">
        <f t="shared" si="24"/>
        <v/>
      </c>
      <c r="AC85" s="140"/>
      <c r="AD85" s="239"/>
      <c r="AE85" s="240" t="str">
        <f t="shared" si="25"/>
        <v/>
      </c>
      <c r="AF85" s="241">
        <f t="shared" si="26"/>
        <v>0</v>
      </c>
      <c r="AG85" s="239">
        <v>10.47</v>
      </c>
      <c r="AH85" s="240">
        <f t="shared" si="27"/>
        <v>1.2482328623112122E-4</v>
      </c>
      <c r="AI85" s="241">
        <f t="shared" si="28"/>
        <v>-10.47</v>
      </c>
      <c r="AJ85" s="471">
        <f t="shared" si="29"/>
        <v>0</v>
      </c>
      <c r="AK85" s="472">
        <f t="shared" si="30"/>
        <v>0</v>
      </c>
      <c r="AL85" s="473">
        <f t="shared" si="31"/>
        <v>1.3922872340425533E-2</v>
      </c>
      <c r="AM85" s="474">
        <f t="shared" si="32"/>
        <v>0</v>
      </c>
      <c r="AN85" s="475">
        <f t="shared" si="33"/>
        <v>0</v>
      </c>
      <c r="AO85" s="11"/>
    </row>
    <row r="86" spans="1:41" x14ac:dyDescent="0.25">
      <c r="A86" s="65" t="s">
        <v>5</v>
      </c>
      <c r="B86" s="66"/>
      <c r="C86" s="11"/>
      <c r="D86" s="11"/>
      <c r="E86" s="11"/>
      <c r="F86" s="11"/>
      <c r="G86" s="11"/>
      <c r="H86" s="88" t="s">
        <v>853</v>
      </c>
      <c r="I86" s="188" t="str">
        <f>IF(_epmOfflineCondition_,"T2",_xll.EVPRO($B$1,$H86,"STYLE"))</f>
        <v>T2</v>
      </c>
      <c r="J86" s="188" t="str">
        <f>IF(_epmOfflineCondition_,"Y",_xll.EVPRO($B$1,$H86,"CALC"))</f>
        <v>Y</v>
      </c>
      <c r="K86" s="189" t="str">
        <f t="shared" si="22"/>
        <v/>
      </c>
      <c r="L86" s="190" t="str">
        <f>IF(_epmOfflineCondition_,"",_xll.EVPRO($B$1,H86,"JDEID"))</f>
        <v/>
      </c>
      <c r="M86" s="190" t="str">
        <f>IF(_epmOfflineCondition_,"",IF(AND(I86="N",J86="N"),_xll.EVPRO($B$1,H86,"PSFTID"),""))</f>
        <v/>
      </c>
      <c r="N86" s="190" t="str">
        <f>IF(_epmOfflineCondition_,"Total Payroll Related",IF(_xll.EVDES(H86,$B$1)="#NODATA","",_xll.EVDES(H86,$B$1)))</f>
        <v>Total Payroll Related</v>
      </c>
      <c r="O86" s="242"/>
      <c r="P86" s="242">
        <v>4.05</v>
      </c>
      <c r="Q86" s="242">
        <v>-0.21</v>
      </c>
      <c r="R86" s="242"/>
      <c r="S86" s="242"/>
      <c r="T86" s="242"/>
      <c r="U86" s="242"/>
      <c r="V86" s="242"/>
      <c r="W86" s="242"/>
      <c r="X86" s="242"/>
      <c r="Y86" s="242"/>
      <c r="Z86" s="242"/>
      <c r="AA86" s="242">
        <f t="shared" si="23"/>
        <v>3.84</v>
      </c>
      <c r="AB86" s="243">
        <f t="shared" si="24"/>
        <v>8.8318504679397272E-6</v>
      </c>
      <c r="AC86" s="244"/>
      <c r="AD86" s="242"/>
      <c r="AE86" s="243" t="str">
        <f t="shared" si="25"/>
        <v/>
      </c>
      <c r="AF86" s="245">
        <f t="shared" si="26"/>
        <v>3.84</v>
      </c>
      <c r="AG86" s="242">
        <v>226.54</v>
      </c>
      <c r="AH86" s="243">
        <f t="shared" si="27"/>
        <v>2.7008087165996371E-3</v>
      </c>
      <c r="AI86" s="245">
        <f t="shared" si="28"/>
        <v>-222.7</v>
      </c>
      <c r="AJ86" s="246">
        <f t="shared" si="29"/>
        <v>9.0183184593705962E-4</v>
      </c>
      <c r="AK86" s="247">
        <f t="shared" si="30"/>
        <v>0</v>
      </c>
      <c r="AL86" s="249">
        <f t="shared" si="31"/>
        <v>0.30124999999999996</v>
      </c>
      <c r="AM86" s="431">
        <f t="shared" si="32"/>
        <v>0</v>
      </c>
      <c r="AN86" s="487" t="str">
        <f t="shared" si="33"/>
        <v>-0.27 pts.</v>
      </c>
      <c r="AO86" s="11"/>
    </row>
    <row r="87" spans="1:41" x14ac:dyDescent="0.25">
      <c r="A87" s="65" t="s">
        <v>6</v>
      </c>
      <c r="B87" s="66"/>
      <c r="C87" s="11"/>
      <c r="D87" s="11"/>
      <c r="E87" s="11"/>
      <c r="F87" s="11"/>
      <c r="G87" s="11"/>
      <c r="H87" s="88" t="s">
        <v>76</v>
      </c>
      <c r="I87" s="188" t="str">
        <f>IF(_epmOfflineCondition_,"T1",_xll.EVPRO($B$1,$H87,"STYLE"))</f>
        <v>T1</v>
      </c>
      <c r="J87" s="188" t="str">
        <f>IF(_epmOfflineCondition_,"Y",_xll.EVPRO($B$1,$H87,"CALC"))</f>
        <v>Y</v>
      </c>
      <c r="K87" s="189" t="str">
        <f t="shared" si="22"/>
        <v/>
      </c>
      <c r="L87" s="190" t="str">
        <f>IF(_epmOfflineCondition_,"600000",_xll.EVPRO($B$1,H87,"JDEID"))</f>
        <v>600000</v>
      </c>
      <c r="M87" s="190" t="str">
        <f>IF(_epmOfflineCondition_,"",IF(AND(I87="N",J87="N"),_xll.EVPRO($B$1,H87,"PSFTID"),""))</f>
        <v/>
      </c>
      <c r="N87" s="190" t="str">
        <f>IF(_epmOfflineCondition_,"Total Labor &amp; Related Exp",IF(_xll.EVDES(H87,$B$1)="#NODATA","",_xll.EVDES(H87,$B$1)))</f>
        <v>Total Labor &amp; Related Exp</v>
      </c>
      <c r="O87" s="242">
        <v>955.42</v>
      </c>
      <c r="P87" s="242">
        <v>8491.5499999999993</v>
      </c>
      <c r="Q87" s="242">
        <v>8909.18</v>
      </c>
      <c r="R87" s="242">
        <v>7252.94</v>
      </c>
      <c r="S87" s="242">
        <v>4809.0600000000004</v>
      </c>
      <c r="T87" s="242">
        <v>4156.7700000000004</v>
      </c>
      <c r="U87" s="242">
        <v>3629.77</v>
      </c>
      <c r="V87" s="242">
        <v>2158.12</v>
      </c>
      <c r="W87" s="242">
        <v>583.08000000000004</v>
      </c>
      <c r="X87" s="242">
        <v>4103.05</v>
      </c>
      <c r="Y87" s="242">
        <v>7066.5</v>
      </c>
      <c r="Z87" s="242">
        <v>3715.6</v>
      </c>
      <c r="AA87" s="242">
        <f t="shared" si="23"/>
        <v>55831.040000000001</v>
      </c>
      <c r="AB87" s="243">
        <f t="shared" si="24"/>
        <v>0.12840921790353169</v>
      </c>
      <c r="AC87" s="244"/>
      <c r="AD87" s="242">
        <v>20605.121266400001</v>
      </c>
      <c r="AE87" s="243">
        <f t="shared" si="25"/>
        <v>0.11347183803629138</v>
      </c>
      <c r="AF87" s="245">
        <f t="shared" si="26"/>
        <v>35225.918733600003</v>
      </c>
      <c r="AG87" s="242">
        <v>10149.85</v>
      </c>
      <c r="AH87" s="243">
        <f t="shared" si="27"/>
        <v>0.12100645957525748</v>
      </c>
      <c r="AI87" s="245">
        <f t="shared" si="28"/>
        <v>45681.19</v>
      </c>
      <c r="AJ87" s="246">
        <f t="shared" si="29"/>
        <v>13.112033818694222</v>
      </c>
      <c r="AK87" s="247">
        <f t="shared" si="30"/>
        <v>10.796260969615131</v>
      </c>
      <c r="AL87" s="249">
        <f t="shared" si="31"/>
        <v>13.49714095744681</v>
      </c>
      <c r="AM87" s="431" t="str">
        <f t="shared" si="32"/>
        <v>1.49 pts.</v>
      </c>
      <c r="AN87" s="487" t="str">
        <f t="shared" si="33"/>
        <v>0.74 pts.</v>
      </c>
      <c r="AO87" s="11"/>
    </row>
    <row r="88" spans="1:41" x14ac:dyDescent="0.25">
      <c r="A88" s="65" t="s">
        <v>7</v>
      </c>
      <c r="B88" s="66" t="str">
        <f>IF(_epmOfflineCondition_,"'BCC_CONS'!$A$102:$F$108",_xll.EVRNG(A102:F108))</f>
        <v>'BCC_CONS'!$A$102:$F$108</v>
      </c>
      <c r="C88" s="11"/>
      <c r="D88" s="11"/>
      <c r="E88" s="11"/>
      <c r="F88" s="11"/>
      <c r="G88" s="11"/>
      <c r="H88" s="11"/>
      <c r="I88" s="59"/>
      <c r="J88" s="59"/>
      <c r="K88" s="11"/>
      <c r="L88" s="11"/>
      <c r="M88" s="11"/>
      <c r="N88" s="11"/>
      <c r="O88" s="129"/>
      <c r="P88" s="130"/>
      <c r="Q88" s="130"/>
      <c r="R88" s="130"/>
      <c r="S88" s="130"/>
      <c r="T88" s="130"/>
      <c r="U88" s="130"/>
      <c r="V88" s="130"/>
      <c r="W88" s="130"/>
      <c r="X88" s="130"/>
      <c r="Y88" s="130"/>
      <c r="Z88" s="130"/>
      <c r="AA88" s="130"/>
      <c r="AB88" s="131"/>
      <c r="AC88" s="11"/>
      <c r="AD88" s="129"/>
      <c r="AE88" s="130"/>
      <c r="AF88" s="131"/>
      <c r="AG88" s="129"/>
      <c r="AH88" s="130"/>
      <c r="AI88" s="131"/>
      <c r="AJ88" s="11"/>
      <c r="AK88" s="11"/>
      <c r="AL88" s="11"/>
      <c r="AM88" s="11"/>
      <c r="AN88" s="11"/>
      <c r="AO88" s="11"/>
    </row>
    <row r="89" spans="1:41" x14ac:dyDescent="0.25">
      <c r="A89" s="65" t="s">
        <v>47</v>
      </c>
      <c r="B89" s="66" t="str">
        <f>IF(_epmOfflineCondition_,"'BCC_CONS'!$A$125:$B$130",_xll.EVRNG($A$125:$B$130))</f>
        <v>'BCC_CONS'!$A$125:$B$130</v>
      </c>
      <c r="C89" s="11"/>
      <c r="D89" s="11"/>
      <c r="E89" s="11"/>
      <c r="F89" s="11"/>
      <c r="G89" s="11"/>
      <c r="H89" s="11" t="s">
        <v>82</v>
      </c>
      <c r="I89" s="59" t="str">
        <f>IF(_epmOfflineCondition_,"B1",_xll.EVPRO($B$1,$H89,"STYLE"))</f>
        <v>B1</v>
      </c>
      <c r="J89" s="59" t="str">
        <f>IF(_epmOfflineCondition_,"Y",_xll.EVPRO($B$1,$H89,"CALC"))</f>
        <v>Y</v>
      </c>
      <c r="K89" s="11"/>
      <c r="L89" s="11"/>
      <c r="M89" s="11"/>
      <c r="N89" s="105" t="str">
        <f>IF(_epmOfflineCondition_,"Other Expenses",IF(_xll.EVDES(H89,$B$1)="#NODATA","",_xll.EVDES(H89,$B$1)))</f>
        <v>Other Expenses</v>
      </c>
      <c r="O89" s="119"/>
      <c r="P89" s="120"/>
      <c r="Q89" s="120"/>
      <c r="R89" s="120"/>
      <c r="S89" s="120"/>
      <c r="T89" s="120"/>
      <c r="U89" s="120"/>
      <c r="V89" s="120"/>
      <c r="W89" s="120"/>
      <c r="X89" s="120"/>
      <c r="Y89" s="120"/>
      <c r="Z89" s="120"/>
      <c r="AA89" s="120"/>
      <c r="AB89" s="121"/>
      <c r="AC89" s="11"/>
      <c r="AD89" s="119"/>
      <c r="AE89" s="120"/>
      <c r="AF89" s="121"/>
      <c r="AG89" s="119"/>
      <c r="AH89" s="120"/>
      <c r="AI89" s="121"/>
      <c r="AJ89" s="11"/>
      <c r="AK89" s="11"/>
      <c r="AL89" s="11"/>
      <c r="AM89" s="11"/>
      <c r="AN89" s="11"/>
      <c r="AO89" s="11"/>
    </row>
    <row r="90" spans="1:41" x14ac:dyDescent="0.25">
      <c r="A90" s="65" t="s">
        <v>8</v>
      </c>
      <c r="B90" s="66"/>
      <c r="C90" s="11"/>
      <c r="D90" s="11"/>
      <c r="E90" s="11"/>
      <c r="F90" s="11"/>
      <c r="G90" s="11"/>
      <c r="H90" s="88" t="s">
        <v>828</v>
      </c>
      <c r="I90" s="122" t="str">
        <f>IF(_epmOfflineCondition_,"N",_xll.EVPRO($B$1,$H90,"STYLE"))</f>
        <v>N</v>
      </c>
      <c r="J90" s="122" t="str">
        <f>IF(_epmOfflineCondition_,"N",_xll.EVPRO($B$1,$H90,"CALC"))</f>
        <v>N</v>
      </c>
      <c r="K90" s="179" t="str">
        <f t="shared" ref="K90:K96" si="34">IF(AND(I90&lt;&gt;"B1",J90="Y"),"&gt;","")</f>
        <v/>
      </c>
      <c r="L90" s="90" t="str">
        <f>IF(_epmOfflineCondition_,"701100",_xll.EVPRO($B$1,H90,"JDEID"))</f>
        <v>701100</v>
      </c>
      <c r="M90" s="90" t="str">
        <f>IF(_epmOfflineCondition_,"690015",IF(AND(I90="N",J90="N"),_xll.EVPRO($B$1,H90,"PSFTID"),""))</f>
        <v>690015</v>
      </c>
      <c r="N90" s="90" t="str">
        <f>IF(_epmOfflineCondition_,"Dues and Subscriptions",IF(_xll.EVDES(H90,$B$1)="#NODATA","",_xll.EVDES(H90,$B$1)))</f>
        <v>Dues and Subscriptions</v>
      </c>
      <c r="O90" s="138"/>
      <c r="P90" s="138"/>
      <c r="Q90" s="138"/>
      <c r="R90" s="138"/>
      <c r="S90" s="138"/>
      <c r="T90" s="138"/>
      <c r="U90" s="138"/>
      <c r="V90" s="138"/>
      <c r="W90" s="138"/>
      <c r="X90" s="138"/>
      <c r="Y90" s="138"/>
      <c r="Z90" s="138"/>
      <c r="AA90" s="210">
        <f t="shared" ref="AA90:AA97" si="35">IF($I90="B1","",SUM(O90:Z90))</f>
        <v>0</v>
      </c>
      <c r="AB90" s="142" t="str">
        <f t="shared" ref="AB90:AB97" si="36">IF(AA90=0,"",IFERROR(AA90/AA$19,""))</f>
        <v/>
      </c>
      <c r="AC90" s="140"/>
      <c r="AD90" s="138">
        <v>1100</v>
      </c>
      <c r="AE90" s="142">
        <f t="shared" ref="AE90:AE97" si="37">IF(AD90=0,"",IFERROR(AD90/AD$19,""))</f>
        <v>6.0576698494591349E-3</v>
      </c>
      <c r="AF90" s="141">
        <f t="shared" ref="AF90:AF97" si="38">IF(AND($AA90="",AD90=""),"",$AA90-AD90)</f>
        <v>-1100</v>
      </c>
      <c r="AG90" s="138">
        <v>1750</v>
      </c>
      <c r="AH90" s="142">
        <f t="shared" ref="AH90:AH97" si="39">IF(AG90=0,"",IFERROR(AG90/AG$19,""))</f>
        <v>2.086349101284261E-2</v>
      </c>
      <c r="AI90" s="141">
        <f t="shared" ref="AI90:AI97" si="40">IF(AND($AA90="",AG90=""),"",$AA90-AG90)</f>
        <v>-1750</v>
      </c>
      <c r="AJ90" s="462">
        <f t="shared" ref="AJ90:AJ97" si="41">IFERROR(AA90/AA$20,0)</f>
        <v>0</v>
      </c>
      <c r="AK90" s="463">
        <f t="shared" ref="AK90:AK97" si="42">IFERROR(AD90/AD$20,0)</f>
        <v>0.57635608706376362</v>
      </c>
      <c r="AL90" s="464">
        <f t="shared" ref="AL90:AL97" si="43">IFERROR(AG90/AG$20,0)</f>
        <v>2.3271276595744679</v>
      </c>
      <c r="AM90" s="465">
        <f t="shared" ref="AM90:AM97" si="44">+IFERROR(ROUND(($AB90-AE90)*100,2)&amp;" pts.",0)</f>
        <v>0</v>
      </c>
      <c r="AN90" s="466">
        <f t="shared" ref="AN90:AN97" si="45">+IFERROR(ROUND(($AB90-AH90)*100,2)&amp;" pts.",0)</f>
        <v>0</v>
      </c>
      <c r="AO90" s="11"/>
    </row>
    <row r="91" spans="1:41" x14ac:dyDescent="0.25">
      <c r="A91" s="11"/>
      <c r="B91" s="11"/>
      <c r="C91" s="11"/>
      <c r="D91" s="11"/>
      <c r="E91" s="11"/>
      <c r="F91" s="11"/>
      <c r="G91" s="76"/>
      <c r="H91" s="88" t="s">
        <v>855</v>
      </c>
      <c r="I91" s="122" t="str">
        <f>IF(_epmOfflineCondition_,"N",_xll.EVPRO($B$1,$H91,"STYLE"))</f>
        <v>N</v>
      </c>
      <c r="J91" s="122" t="str">
        <f>IF(_epmOfflineCondition_,"N",_xll.EVPRO($B$1,$H91,"CALC"))</f>
        <v>N</v>
      </c>
      <c r="K91" s="179" t="str">
        <f t="shared" si="34"/>
        <v/>
      </c>
      <c r="L91" s="90" t="str">
        <f>IF(_epmOfflineCondition_,"701300",_xll.EVPRO($B$1,H91,"JDEID"))</f>
        <v>701300</v>
      </c>
      <c r="M91" s="90" t="str">
        <f>IF(_epmOfflineCondition_,"690205",IF(AND(I91="N",J91="N"),_xll.EVPRO($B$1,H91,"PSFTID"),""))</f>
        <v>690205</v>
      </c>
      <c r="N91" s="90" t="str">
        <f>IF(_epmOfflineCondition_,"Printing &amp; Stationery",IF(_xll.EVDES(H91,$B$1)="#NODATA","",_xll.EVDES(H91,$B$1)))</f>
        <v>Printing &amp; Stationery</v>
      </c>
      <c r="O91" s="138"/>
      <c r="P91" s="138"/>
      <c r="Q91" s="138"/>
      <c r="R91" s="138"/>
      <c r="S91" s="138"/>
      <c r="T91" s="138"/>
      <c r="U91" s="138"/>
      <c r="V91" s="138"/>
      <c r="W91" s="138"/>
      <c r="X91" s="138"/>
      <c r="Y91" s="138"/>
      <c r="Z91" s="138"/>
      <c r="AA91" s="210">
        <f t="shared" si="35"/>
        <v>0</v>
      </c>
      <c r="AB91" s="142" t="str">
        <f t="shared" si="36"/>
        <v/>
      </c>
      <c r="AC91" s="140"/>
      <c r="AD91" s="138"/>
      <c r="AE91" s="142" t="str">
        <f t="shared" si="37"/>
        <v/>
      </c>
      <c r="AF91" s="141">
        <f t="shared" si="38"/>
        <v>0</v>
      </c>
      <c r="AG91" s="138">
        <v>538.03</v>
      </c>
      <c r="AH91" s="142">
        <f t="shared" si="39"/>
        <v>6.4143908969369768E-3</v>
      </c>
      <c r="AI91" s="141">
        <f t="shared" si="40"/>
        <v>-538.03</v>
      </c>
      <c r="AJ91" s="462">
        <f t="shared" si="41"/>
        <v>0</v>
      </c>
      <c r="AK91" s="463">
        <f t="shared" si="42"/>
        <v>0</v>
      </c>
      <c r="AL91" s="464">
        <f t="shared" si="43"/>
        <v>0.71546542553191483</v>
      </c>
      <c r="AM91" s="465">
        <f t="shared" si="44"/>
        <v>0</v>
      </c>
      <c r="AN91" s="466">
        <f t="shared" si="45"/>
        <v>0</v>
      </c>
      <c r="AO91" s="11"/>
    </row>
    <row r="92" spans="1:41" x14ac:dyDescent="0.25">
      <c r="A92" s="62" t="s">
        <v>9</v>
      </c>
      <c r="B92" s="63" t="s">
        <v>10</v>
      </c>
      <c r="C92" s="11"/>
      <c r="D92" s="11"/>
      <c r="E92" s="11"/>
      <c r="F92" s="11"/>
      <c r="G92" s="11"/>
      <c r="H92" s="88" t="s">
        <v>831</v>
      </c>
      <c r="I92" s="122" t="str">
        <f>IF(_epmOfflineCondition_,"T4",_xll.EVPRO($B$1,$H92,"STYLE"))</f>
        <v>T4</v>
      </c>
      <c r="J92" s="122" t="str">
        <f>IF(_epmOfflineCondition_,"Y",_xll.EVPRO($B$1,$H92,"CALC"))</f>
        <v>Y</v>
      </c>
      <c r="K92" s="179" t="str">
        <f t="shared" si="34"/>
        <v>&gt;</v>
      </c>
      <c r="L92" s="90" t="str">
        <f>IF(_epmOfflineCondition_,"701500",_xll.EVPRO($B$1,H92,"JDEID"))</f>
        <v>701500</v>
      </c>
      <c r="M92" s="90" t="str">
        <f>IF(_epmOfflineCondition_,"",IF(AND(I92="N",J92="N"),_xll.EVPRO($B$1,H92,"PSFTID"),""))</f>
        <v/>
      </c>
      <c r="N92" s="90" t="str">
        <f>IF(_epmOfflineCondition_,"Operating Supplies",IF(_xll.EVDES(H92,$B$1)="#NODATA","",_xll.EVDES(H92,$B$1)))</f>
        <v>Operating Supplies</v>
      </c>
      <c r="O92" s="138">
        <v>849.93</v>
      </c>
      <c r="P92" s="138">
        <v>38.32</v>
      </c>
      <c r="Q92" s="138">
        <v>-38.32</v>
      </c>
      <c r="R92" s="138">
        <v>396.7</v>
      </c>
      <c r="S92" s="138">
        <v>322.27</v>
      </c>
      <c r="T92" s="138"/>
      <c r="U92" s="138"/>
      <c r="V92" s="138">
        <v>29.95</v>
      </c>
      <c r="W92" s="138"/>
      <c r="X92" s="138"/>
      <c r="Y92" s="138"/>
      <c r="Z92" s="138"/>
      <c r="AA92" s="210">
        <f t="shared" si="35"/>
        <v>1598.85</v>
      </c>
      <c r="AB92" s="142">
        <f t="shared" si="36"/>
        <v>3.6772927397566231E-3</v>
      </c>
      <c r="AC92" s="140"/>
      <c r="AD92" s="138"/>
      <c r="AE92" s="142" t="str">
        <f t="shared" si="37"/>
        <v/>
      </c>
      <c r="AF92" s="141">
        <f t="shared" si="38"/>
        <v>1598.85</v>
      </c>
      <c r="AG92" s="138">
        <v>20.73</v>
      </c>
      <c r="AH92" s="142">
        <f t="shared" si="39"/>
        <v>2.4714295354070131E-4</v>
      </c>
      <c r="AI92" s="141">
        <f t="shared" si="40"/>
        <v>1578.12</v>
      </c>
      <c r="AJ92" s="462">
        <f t="shared" si="41"/>
        <v>0.37549318929074682</v>
      </c>
      <c r="AK92" s="463">
        <f t="shared" si="42"/>
        <v>0</v>
      </c>
      <c r="AL92" s="464">
        <f t="shared" si="43"/>
        <v>2.756648936170213E-2</v>
      </c>
      <c r="AM92" s="465">
        <f t="shared" si="44"/>
        <v>0</v>
      </c>
      <c r="AN92" s="466" t="str">
        <f t="shared" si="45"/>
        <v>0.34 pts.</v>
      </c>
      <c r="AO92" s="11"/>
    </row>
    <row r="93" spans="1:41" x14ac:dyDescent="0.25">
      <c r="A93" s="65" t="s">
        <v>11</v>
      </c>
      <c r="B93" s="66" t="s">
        <v>21</v>
      </c>
      <c r="C93" s="11"/>
      <c r="D93" s="11"/>
      <c r="E93" s="11"/>
      <c r="F93" s="11"/>
      <c r="G93" s="11"/>
      <c r="H93" s="88" t="s">
        <v>856</v>
      </c>
      <c r="I93" s="122" t="str">
        <f>IF(_epmOfflineCondition_,"N",_xll.EVPRO($B$1,$H93,"STYLE"))</f>
        <v>N</v>
      </c>
      <c r="J93" s="122" t="str">
        <f>IF(_epmOfflineCondition_,"N",_xll.EVPRO($B$1,$H93,"CALC"))</f>
        <v>N</v>
      </c>
      <c r="K93" s="179" t="str">
        <f t="shared" si="34"/>
        <v/>
      </c>
      <c r="L93" s="90" t="str">
        <f>IF(_epmOfflineCondition_,"703200",_xll.EVPRO($B$1,H93,"JDEID"))</f>
        <v>703200</v>
      </c>
      <c r="M93" s="90" t="str">
        <f>IF(_epmOfflineCondition_,"590035",IF(AND(I93="N",J93="N"),_xll.EVPRO($B$1,H93,"PSFTID"),""))</f>
        <v>590035</v>
      </c>
      <c r="N93" s="90" t="str">
        <f>IF(_epmOfflineCondition_,"Uniform Costs",IF(_xll.EVDES(H93,$B$1)="#NODATA","",_xll.EVDES(H93,$B$1)))</f>
        <v>Uniform Costs</v>
      </c>
      <c r="O93" s="138"/>
      <c r="P93" s="138"/>
      <c r="Q93" s="138"/>
      <c r="R93" s="138"/>
      <c r="S93" s="138"/>
      <c r="T93" s="138"/>
      <c r="U93" s="138"/>
      <c r="V93" s="138"/>
      <c r="W93" s="138"/>
      <c r="X93" s="138"/>
      <c r="Y93" s="138">
        <v>200.07</v>
      </c>
      <c r="Z93" s="138"/>
      <c r="AA93" s="210">
        <f t="shared" si="35"/>
        <v>200.07</v>
      </c>
      <c r="AB93" s="142">
        <f t="shared" si="36"/>
        <v>4.6015320914601597E-4</v>
      </c>
      <c r="AC93" s="140"/>
      <c r="AD93" s="138"/>
      <c r="AE93" s="142" t="str">
        <f t="shared" si="37"/>
        <v/>
      </c>
      <c r="AF93" s="141">
        <f t="shared" si="38"/>
        <v>200.07</v>
      </c>
      <c r="AG93" s="138"/>
      <c r="AH93" s="142" t="str">
        <f t="shared" si="39"/>
        <v/>
      </c>
      <c r="AI93" s="141">
        <f t="shared" si="40"/>
        <v>200.07</v>
      </c>
      <c r="AJ93" s="462">
        <f t="shared" si="41"/>
        <v>4.6986848285580085E-2</v>
      </c>
      <c r="AK93" s="463">
        <f t="shared" si="42"/>
        <v>0</v>
      </c>
      <c r="AL93" s="464">
        <f t="shared" si="43"/>
        <v>0</v>
      </c>
      <c r="AM93" s="465">
        <f t="shared" si="44"/>
        <v>0</v>
      </c>
      <c r="AN93" s="466">
        <f t="shared" si="45"/>
        <v>0</v>
      </c>
      <c r="AO93" s="11"/>
    </row>
    <row r="94" spans="1:41" x14ac:dyDescent="0.25">
      <c r="A94" s="65" t="s">
        <v>12</v>
      </c>
      <c r="B94" s="66" t="s">
        <v>22</v>
      </c>
      <c r="C94" s="11"/>
      <c r="D94" s="11"/>
      <c r="E94" s="11"/>
      <c r="F94" s="11"/>
      <c r="G94" s="11"/>
      <c r="H94" s="88" t="s">
        <v>857</v>
      </c>
      <c r="I94" s="122" t="str">
        <f>IF(_epmOfflineCondition_,"N",_xll.EVPRO($B$1,$H94,"STYLE"))</f>
        <v>N</v>
      </c>
      <c r="J94" s="122" t="str">
        <f>IF(_epmOfflineCondition_,"N",_xll.EVPRO($B$1,$H94,"CALC"))</f>
        <v>N</v>
      </c>
      <c r="K94" s="179" t="str">
        <f t="shared" si="34"/>
        <v/>
      </c>
      <c r="L94" s="90" t="str">
        <f>IF(_epmOfflineCondition_,"703400",_xll.EVPRO($B$1,H94,"JDEID"))</f>
        <v>703400</v>
      </c>
      <c r="M94" s="90" t="str">
        <f>IF(_epmOfflineCondition_,"590010",IF(AND(I94="N",J94="N"),_xll.EVPRO($B$1,H94,"PSFTID"),""))</f>
        <v>590010</v>
      </c>
      <c r="N94" s="90" t="str">
        <f>IF(_epmOfflineCondition_,"Linen",IF(_xll.EVDES(H94,$B$1)="#NODATA","",_xll.EVDES(H94,$B$1)))</f>
        <v>Linen</v>
      </c>
      <c r="O94" s="138"/>
      <c r="P94" s="138"/>
      <c r="Q94" s="138">
        <v>316.08999999999997</v>
      </c>
      <c r="R94" s="138">
        <v>264.16000000000003</v>
      </c>
      <c r="S94" s="138"/>
      <c r="T94" s="138"/>
      <c r="U94" s="138"/>
      <c r="V94" s="138"/>
      <c r="W94" s="138"/>
      <c r="X94" s="138"/>
      <c r="Y94" s="138"/>
      <c r="Z94" s="138"/>
      <c r="AA94" s="210">
        <f t="shared" si="35"/>
        <v>580.25</v>
      </c>
      <c r="AB94" s="142">
        <f t="shared" si="36"/>
        <v>1.3345524046932363E-3</v>
      </c>
      <c r="AC94" s="140"/>
      <c r="AD94" s="138"/>
      <c r="AE94" s="142" t="str">
        <f t="shared" si="37"/>
        <v/>
      </c>
      <c r="AF94" s="141">
        <f t="shared" si="38"/>
        <v>580.25</v>
      </c>
      <c r="AG94" s="138">
        <v>1949.3</v>
      </c>
      <c r="AH94" s="142">
        <f t="shared" si="39"/>
        <v>2.323954458933377E-2</v>
      </c>
      <c r="AI94" s="141">
        <f t="shared" si="40"/>
        <v>-1369.05</v>
      </c>
      <c r="AJ94" s="462">
        <f t="shared" si="41"/>
        <v>0.13627289807421325</v>
      </c>
      <c r="AK94" s="463">
        <f t="shared" si="42"/>
        <v>0</v>
      </c>
      <c r="AL94" s="464">
        <f t="shared" si="43"/>
        <v>2.5921542553191488</v>
      </c>
      <c r="AM94" s="465">
        <f t="shared" si="44"/>
        <v>0</v>
      </c>
      <c r="AN94" s="466" t="str">
        <f t="shared" si="45"/>
        <v>-2.19 pts.</v>
      </c>
      <c r="AO94" s="11"/>
    </row>
    <row r="95" spans="1:41" x14ac:dyDescent="0.25">
      <c r="A95" s="65" t="s">
        <v>13</v>
      </c>
      <c r="B95" s="66" t="s">
        <v>737</v>
      </c>
      <c r="C95" s="11"/>
      <c r="D95" s="11"/>
      <c r="E95" s="11"/>
      <c r="F95" s="11"/>
      <c r="G95" s="11"/>
      <c r="H95" s="88" t="s">
        <v>858</v>
      </c>
      <c r="I95" s="122" t="str">
        <f>IF(_epmOfflineCondition_,"N",_xll.EVPRO($B$1,$H95,"STYLE"))</f>
        <v>N</v>
      </c>
      <c r="J95" s="122" t="str">
        <f>IF(_epmOfflineCondition_,"N",_xll.EVPRO($B$1,$H95,"CALC"))</f>
        <v>N</v>
      </c>
      <c r="K95" s="179" t="str">
        <f t="shared" si="34"/>
        <v/>
      </c>
      <c r="L95" s="90" t="str">
        <f>IF(_epmOfflineCondition_,"703500",_xll.EVPRO($B$1,H95,"JDEID"))</f>
        <v>703500</v>
      </c>
      <c r="M95" s="90" t="str">
        <f>IF(_epmOfflineCondition_,"590004",IF(AND(I95="N",J95="N"),_xll.EVPRO($B$1,H95,"PSFTID"),""))</f>
        <v>590004</v>
      </c>
      <c r="N95" s="90" t="str">
        <f>IF(_epmOfflineCondition_,"China",IF(_xll.EVDES(H95,$B$1)="#NODATA","",_xll.EVDES(H95,$B$1)))</f>
        <v>China</v>
      </c>
      <c r="O95" s="138"/>
      <c r="P95" s="138"/>
      <c r="Q95" s="138"/>
      <c r="R95" s="138"/>
      <c r="S95" s="138"/>
      <c r="T95" s="138"/>
      <c r="U95" s="138"/>
      <c r="V95" s="138"/>
      <c r="W95" s="138"/>
      <c r="X95" s="138"/>
      <c r="Y95" s="138"/>
      <c r="Z95" s="138"/>
      <c r="AA95" s="210">
        <f t="shared" si="35"/>
        <v>0</v>
      </c>
      <c r="AB95" s="142" t="str">
        <f t="shared" si="36"/>
        <v/>
      </c>
      <c r="AC95" s="140"/>
      <c r="AD95" s="138"/>
      <c r="AE95" s="142" t="str">
        <f t="shared" si="37"/>
        <v/>
      </c>
      <c r="AF95" s="141">
        <f t="shared" si="38"/>
        <v>0</v>
      </c>
      <c r="AG95" s="138">
        <v>881.03</v>
      </c>
      <c r="AH95" s="142">
        <f t="shared" si="39"/>
        <v>1.0503635135454128E-2</v>
      </c>
      <c r="AI95" s="141">
        <f t="shared" si="40"/>
        <v>-881.03</v>
      </c>
      <c r="AJ95" s="462">
        <f t="shared" si="41"/>
        <v>0</v>
      </c>
      <c r="AK95" s="463">
        <f t="shared" si="42"/>
        <v>0</v>
      </c>
      <c r="AL95" s="464">
        <f t="shared" si="43"/>
        <v>1.1715824468085105</v>
      </c>
      <c r="AM95" s="465">
        <f t="shared" si="44"/>
        <v>0</v>
      </c>
      <c r="AN95" s="466">
        <f t="shared" si="45"/>
        <v>0</v>
      </c>
      <c r="AO95" s="11"/>
    </row>
    <row r="96" spans="1:41" x14ac:dyDescent="0.25">
      <c r="A96" s="65" t="s">
        <v>14</v>
      </c>
      <c r="B96" s="66"/>
      <c r="C96" s="11"/>
      <c r="D96" s="11"/>
      <c r="E96" s="11"/>
      <c r="F96" s="11"/>
      <c r="G96" s="11"/>
      <c r="H96" s="88" t="s">
        <v>859</v>
      </c>
      <c r="I96" s="122" t="str">
        <f>IF(_epmOfflineCondition_,"N",_xll.EVPRO($B$1,$H96,"STYLE"))</f>
        <v>N</v>
      </c>
      <c r="J96" s="122" t="str">
        <f>IF(_epmOfflineCondition_,"N",_xll.EVPRO($B$1,$H96,"CALC"))</f>
        <v>N</v>
      </c>
      <c r="K96" s="179" t="str">
        <f t="shared" si="34"/>
        <v/>
      </c>
      <c r="L96" s="90" t="str">
        <f>IF(_epmOfflineCondition_,"703800",_xll.EVPRO($B$1,H96,"JDEID"))</f>
        <v>703800</v>
      </c>
      <c r="M96" s="90" t="str">
        <f>IF(_epmOfflineCondition_,"690065",IF(AND(I96="N",J96="N"),_xll.EVPRO($B$1,H96,"PSFTID"),""))</f>
        <v>690065</v>
      </c>
      <c r="N96" s="90" t="str">
        <f>IF(_epmOfflineCondition_,"Equipment Rental",IF(_xll.EVDES(H96,$B$1)="#NODATA","",_xll.EVDES(H96,$B$1)))</f>
        <v>Equipment Rental</v>
      </c>
      <c r="O96" s="138"/>
      <c r="P96" s="138">
        <v>300</v>
      </c>
      <c r="Q96" s="138">
        <v>-300</v>
      </c>
      <c r="R96" s="138">
        <v>1469.75</v>
      </c>
      <c r="S96" s="138">
        <v>700</v>
      </c>
      <c r="T96" s="138">
        <v>-298.25</v>
      </c>
      <c r="U96" s="138"/>
      <c r="V96" s="138"/>
      <c r="W96" s="138">
        <v>817.5</v>
      </c>
      <c r="X96" s="138"/>
      <c r="Y96" s="138">
        <v>1603.83</v>
      </c>
      <c r="Z96" s="138">
        <v>3967.5</v>
      </c>
      <c r="AA96" s="210">
        <f t="shared" si="35"/>
        <v>8260.33</v>
      </c>
      <c r="AB96" s="142">
        <f t="shared" si="36"/>
        <v>1.899843733745744E-2</v>
      </c>
      <c r="AC96" s="140"/>
      <c r="AD96" s="138">
        <v>1708</v>
      </c>
      <c r="AE96" s="142">
        <f t="shared" si="37"/>
        <v>9.4059091844329121E-3</v>
      </c>
      <c r="AF96" s="141">
        <f t="shared" si="38"/>
        <v>6552.33</v>
      </c>
      <c r="AG96" s="138">
        <v>658.41</v>
      </c>
      <c r="AH96" s="142">
        <f t="shared" si="39"/>
        <v>7.8495606387232585E-3</v>
      </c>
      <c r="AI96" s="141">
        <f t="shared" si="40"/>
        <v>7601.92</v>
      </c>
      <c r="AJ96" s="462">
        <f t="shared" si="41"/>
        <v>1.9399553781117895</v>
      </c>
      <c r="AK96" s="463">
        <f t="shared" si="42"/>
        <v>0.89492381518628017</v>
      </c>
      <c r="AL96" s="464">
        <f t="shared" si="43"/>
        <v>0.87554521276595743</v>
      </c>
      <c r="AM96" s="465" t="str">
        <f t="shared" si="44"/>
        <v>0.96 pts.</v>
      </c>
      <c r="AN96" s="466" t="str">
        <f t="shared" si="45"/>
        <v>1.11 pts.</v>
      </c>
      <c r="AO96" s="11"/>
    </row>
    <row r="97" spans="1:41" x14ac:dyDescent="0.25">
      <c r="A97" s="65" t="s">
        <v>15</v>
      </c>
      <c r="B97" s="66"/>
      <c r="C97" s="11"/>
      <c r="D97" s="11"/>
      <c r="E97" s="11"/>
      <c r="F97" s="11"/>
      <c r="G97" s="11"/>
      <c r="H97" s="88" t="s">
        <v>79</v>
      </c>
      <c r="I97" s="136" t="str">
        <f>IF(_epmOfflineCondition_,"T3",_xll.EVPRO($B$1,$H97,"STYLE"))</f>
        <v>T3</v>
      </c>
      <c r="J97" s="136" t="str">
        <f>IF(_epmOfflineCondition_,"Y",_xll.EVPRO($B$1,$H97,"CALC"))</f>
        <v>Y</v>
      </c>
      <c r="K97" s="104"/>
      <c r="L97" s="104"/>
      <c r="M97" s="104"/>
      <c r="N97" s="106" t="str">
        <f>IF(_epmOfflineCondition_,"Total Operations Expense",IF(_xll.EVDES(H97,$B$1)="#NODATA","",_xll.EVDES(H97,$B$1)))</f>
        <v>Total Operations Expense</v>
      </c>
      <c r="O97" s="150">
        <v>849.93</v>
      </c>
      <c r="P97" s="150">
        <v>338.32</v>
      </c>
      <c r="Q97" s="150">
        <v>-22.23</v>
      </c>
      <c r="R97" s="150">
        <v>2130.61</v>
      </c>
      <c r="S97" s="150">
        <v>1022.27</v>
      </c>
      <c r="T97" s="150">
        <v>-298.25</v>
      </c>
      <c r="U97" s="150"/>
      <c r="V97" s="150">
        <v>29.95</v>
      </c>
      <c r="W97" s="150">
        <v>817.5</v>
      </c>
      <c r="X97" s="150"/>
      <c r="Y97" s="150">
        <v>1803.9</v>
      </c>
      <c r="Z97" s="150">
        <v>3967.5</v>
      </c>
      <c r="AA97" s="150">
        <f t="shared" si="35"/>
        <v>10639.5</v>
      </c>
      <c r="AB97" s="151">
        <f t="shared" si="36"/>
        <v>2.4470435691053317E-2</v>
      </c>
      <c r="AC97" s="140"/>
      <c r="AD97" s="150">
        <v>2808</v>
      </c>
      <c r="AE97" s="151">
        <f t="shared" si="37"/>
        <v>1.5463579033892047E-2</v>
      </c>
      <c r="AF97" s="152">
        <f t="shared" si="38"/>
        <v>7831.5</v>
      </c>
      <c r="AG97" s="150">
        <v>5797.5</v>
      </c>
      <c r="AH97" s="151">
        <f t="shared" si="39"/>
        <v>6.9117765226831454E-2</v>
      </c>
      <c r="AI97" s="152">
        <f t="shared" si="40"/>
        <v>4842</v>
      </c>
      <c r="AJ97" s="446">
        <f t="shared" si="41"/>
        <v>2.4987083137623296</v>
      </c>
      <c r="AK97" s="447">
        <f t="shared" si="42"/>
        <v>1.4712799022500438</v>
      </c>
      <c r="AL97" s="448">
        <f t="shared" si="43"/>
        <v>7.7094414893617023</v>
      </c>
      <c r="AM97" s="449" t="str">
        <f t="shared" si="44"/>
        <v>0.9 pts.</v>
      </c>
      <c r="AN97" s="546" t="str">
        <f t="shared" si="45"/>
        <v>-4.46 pts.</v>
      </c>
      <c r="AO97" s="11"/>
    </row>
    <row r="98" spans="1:41" x14ac:dyDescent="0.25">
      <c r="A98" s="65" t="s">
        <v>16</v>
      </c>
      <c r="B98" s="66" t="s">
        <v>78</v>
      </c>
      <c r="C98" s="11"/>
      <c r="D98" s="11"/>
      <c r="E98" s="11"/>
      <c r="F98" s="11"/>
      <c r="G98" s="11"/>
      <c r="H98" s="11"/>
      <c r="I98" s="59"/>
      <c r="J98" s="59"/>
      <c r="K98" s="11"/>
      <c r="L98" s="11"/>
      <c r="M98" s="11"/>
      <c r="N98" s="11"/>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1"/>
    </row>
    <row r="99" spans="1:41" x14ac:dyDescent="0.25">
      <c r="A99" s="65" t="s">
        <v>17</v>
      </c>
      <c r="B99" s="66"/>
      <c r="C99" s="11"/>
      <c r="D99" s="11"/>
      <c r="E99" s="11"/>
      <c r="F99" s="11"/>
      <c r="G99" s="11"/>
      <c r="H99" s="88" t="s">
        <v>80</v>
      </c>
      <c r="I99" s="136" t="str">
        <f>IF(_epmOfflineCondition_,"T3",_xll.EVPRO($B$1,$H99,"STYLE"))</f>
        <v>T3</v>
      </c>
      <c r="J99" s="136" t="str">
        <f>IF(_epmOfflineCondition_,"Y",_xll.EVPRO($B$1,$H99,"CALC"))</f>
        <v>Y</v>
      </c>
      <c r="K99" s="106"/>
      <c r="L99" s="106"/>
      <c r="M99" s="106"/>
      <c r="N99" s="106" t="str">
        <f>IF(_epmOfflineCondition_,"Total Expenses",IF(_xll.EVDES(H99,$B$1)="#NODATA","",_xll.EVDES(H99,$B$1)))</f>
        <v>Total Expenses</v>
      </c>
      <c r="O99" s="242">
        <v>1805.35</v>
      </c>
      <c r="P99" s="242">
        <v>8829.8700000000008</v>
      </c>
      <c r="Q99" s="242">
        <v>8886.9500000000007</v>
      </c>
      <c r="R99" s="242">
        <v>9383.5499999999993</v>
      </c>
      <c r="S99" s="242">
        <v>5831.33</v>
      </c>
      <c r="T99" s="242">
        <v>3858.52</v>
      </c>
      <c r="U99" s="242">
        <v>3629.77</v>
      </c>
      <c r="V99" s="242">
        <v>2188.0700000000002</v>
      </c>
      <c r="W99" s="242">
        <v>1400.58</v>
      </c>
      <c r="X99" s="242">
        <v>4103.05</v>
      </c>
      <c r="Y99" s="242">
        <v>8870.4</v>
      </c>
      <c r="Z99" s="242">
        <v>7683.1</v>
      </c>
      <c r="AA99" s="242">
        <f>IF($I99="B1","",SUM(O99:Z99))</f>
        <v>66470.540000000008</v>
      </c>
      <c r="AB99" s="243">
        <f>IF(AA99=0,"",IFERROR(AA99/AA$19,""))</f>
        <v>0.15287965359458502</v>
      </c>
      <c r="AC99" s="140"/>
      <c r="AD99" s="242">
        <v>23413.121266400001</v>
      </c>
      <c r="AE99" s="243">
        <f>IF(AD99=0,"",IFERROR(AD99/AD$19,""))</f>
        <v>0.12893541707018344</v>
      </c>
      <c r="AF99" s="254">
        <f>IF(AND($AA99="",AD99=""),"",$AA99-AD99)</f>
        <v>43057.418733600003</v>
      </c>
      <c r="AG99" s="255">
        <v>15947.35</v>
      </c>
      <c r="AH99" s="256">
        <f>IF(AG99=0,"",IFERROR(AG99/AG$19,""))</f>
        <v>0.19012422480208893</v>
      </c>
      <c r="AI99" s="254">
        <f>IF(AND($AA99="",AG99=""),"",$AA99-AG99)</f>
        <v>50523.19000000001</v>
      </c>
      <c r="AJ99" s="435">
        <f>IFERROR(AA99/AA$20,0)</f>
        <v>15.610742132456554</v>
      </c>
      <c r="AK99" s="436">
        <f>IFERROR(AD99/AD$20,0)</f>
        <v>12.267540871865176</v>
      </c>
      <c r="AL99" s="437">
        <f>IFERROR(AG99/AG$20,0)</f>
        <v>21.206582446808511</v>
      </c>
      <c r="AM99" s="438" t="str">
        <f>+IFERROR(ROUND(($AB99-AE99)*100,2)&amp;" pts.",0)</f>
        <v>2.39 pts.</v>
      </c>
      <c r="AN99" s="547" t="str">
        <f>+IFERROR(ROUND(($AB99-AH99)*100,2)&amp;" pts.",0)</f>
        <v>-3.72 pts.</v>
      </c>
      <c r="AO99" s="11"/>
    </row>
    <row r="100" spans="1:41" ht="15.75" thickBot="1" x14ac:dyDescent="0.3">
      <c r="A100" s="11"/>
      <c r="B100" s="11"/>
      <c r="C100" s="11"/>
      <c r="D100" s="11"/>
      <c r="E100" s="11"/>
      <c r="F100" s="11"/>
      <c r="G100" s="11"/>
      <c r="H100" s="88" t="s">
        <v>81</v>
      </c>
      <c r="I100" s="136" t="str">
        <f>IF(_epmOfflineCondition_,"T3",_xll.EVPRO($B$1,$H100,"STYLE"))</f>
        <v>T3</v>
      </c>
      <c r="J100" s="136" t="str">
        <f>IF(_epmOfflineCondition_,"Y",_xll.EVPRO($B$1,$H100,"CALC"))</f>
        <v>Y</v>
      </c>
      <c r="K100" s="106"/>
      <c r="L100" s="106"/>
      <c r="M100" s="106"/>
      <c r="N100" s="106" t="str">
        <f>IF(_epmOfflineCondition_,"Department Profit (Loss)",IF(_xll.EVDES(H100,$B$1)="#NODATA","",_xll.EVDES(H100,$B$1)))</f>
        <v>Department Profit (Loss)</v>
      </c>
      <c r="O100" s="165">
        <v>20517.77</v>
      </c>
      <c r="P100" s="165">
        <v>38832.120000000003</v>
      </c>
      <c r="Q100" s="165">
        <v>69180.22</v>
      </c>
      <c r="R100" s="165">
        <v>32412.06</v>
      </c>
      <c r="S100" s="165">
        <v>18739</v>
      </c>
      <c r="T100" s="165">
        <v>23265.39</v>
      </c>
      <c r="U100" s="165">
        <v>21974.6</v>
      </c>
      <c r="V100" s="165">
        <v>9559.51</v>
      </c>
      <c r="W100" s="165">
        <v>1801.26</v>
      </c>
      <c r="X100" s="165">
        <v>17418.3</v>
      </c>
      <c r="Y100" s="165">
        <v>47857.32</v>
      </c>
      <c r="Z100" s="165">
        <v>11883.1</v>
      </c>
      <c r="AA100" s="165">
        <f>IF($I100="B1","",SUM(O100:Z100))</f>
        <v>313440.64999999997</v>
      </c>
      <c r="AB100" s="166">
        <f>IF(AA100=0,"",IFERROR(AA100/AA$19,""))</f>
        <v>0.72090128942026876</v>
      </c>
      <c r="AC100" s="140"/>
      <c r="AD100" s="165">
        <v>134973.55353850199</v>
      </c>
      <c r="AE100" s="166">
        <f>IF(AD100=0,"",IFERROR(AD100/AD$19,""))</f>
        <v>0.74329565976776535</v>
      </c>
      <c r="AF100" s="167">
        <f>IF(AND($AA100="",AD100=""),"",$AA100-AD100)</f>
        <v>178467.09646149797</v>
      </c>
      <c r="AG100" s="165">
        <v>57259.839999999997</v>
      </c>
      <c r="AH100" s="166">
        <f>IF(AG100=0,"",IFERROR(AG100/AG$19,""))</f>
        <v>0.68265151842103189</v>
      </c>
      <c r="AI100" s="167">
        <f>IF(AND($AA100="",AG100=""),"",$AA100-AG100)</f>
        <v>256180.80999999997</v>
      </c>
      <c r="AJ100" s="452">
        <f>IFERROR(AA100/AA$20,0)</f>
        <v>73.612177078440581</v>
      </c>
      <c r="AK100" s="453">
        <f>IFERROR(AD100/AD$20,0)</f>
        <v>70.720753795038547</v>
      </c>
      <c r="AL100" s="454">
        <f>IFERROR(AG100/AG$20,0)</f>
        <v>76.14340425531914</v>
      </c>
      <c r="AM100" s="455" t="str">
        <f>+IFERROR(ROUND(($AB100-AE100)*100,2)&amp;" pts.",0)</f>
        <v>-2.24 pts.</v>
      </c>
      <c r="AN100" s="548" t="str">
        <f>+IFERROR(ROUND(($AB100-AH100)*100,2)&amp;" pts.",0)</f>
        <v>3.82 pts.</v>
      </c>
      <c r="AO100" s="11"/>
    </row>
    <row r="101" spans="1:41" ht="15.75" thickTop="1" x14ac:dyDescent="0.25">
      <c r="A101" s="97" t="s">
        <v>92</v>
      </c>
      <c r="B101" s="98" t="s">
        <v>93</v>
      </c>
      <c r="C101" s="98" t="s">
        <v>94</v>
      </c>
      <c r="D101" s="98" t="s">
        <v>95</v>
      </c>
      <c r="E101" s="98" t="s">
        <v>96</v>
      </c>
      <c r="F101" s="99" t="s">
        <v>97</v>
      </c>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11"/>
      <c r="I102" s="59"/>
      <c r="J102" s="59"/>
      <c r="K102" s="11"/>
      <c r="L102" s="11"/>
      <c r="M102" s="11"/>
      <c r="N102" s="104" t="str">
        <f>N99&amp;" - Check"</f>
        <v>Total Expenses - Check</v>
      </c>
      <c r="O102" s="209">
        <f t="shared" ref="O102:AA102" si="46">SUMIF($H$35:$H$100,"600000",O$35:O$100)+SUMIF($H$35:$H$100,"700000",O$35:O$100)-SUMIF($H$35:$H$100,"TOTDEPTEXP",O$35:O$100)</f>
        <v>0</v>
      </c>
      <c r="P102" s="209">
        <f t="shared" si="46"/>
        <v>0</v>
      </c>
      <c r="Q102" s="209">
        <f t="shared" si="46"/>
        <v>0</v>
      </c>
      <c r="R102" s="209">
        <f t="shared" si="46"/>
        <v>0</v>
      </c>
      <c r="S102" s="209">
        <f t="shared" si="46"/>
        <v>0</v>
      </c>
      <c r="T102" s="209">
        <f t="shared" si="46"/>
        <v>0</v>
      </c>
      <c r="U102" s="209">
        <f t="shared" si="46"/>
        <v>0</v>
      </c>
      <c r="V102" s="209">
        <f t="shared" si="46"/>
        <v>0</v>
      </c>
      <c r="W102" s="209">
        <f t="shared" si="46"/>
        <v>0</v>
      </c>
      <c r="X102" s="209">
        <f t="shared" si="46"/>
        <v>0</v>
      </c>
      <c r="Y102" s="209">
        <f t="shared" si="46"/>
        <v>0</v>
      </c>
      <c r="Z102" s="209">
        <f t="shared" si="46"/>
        <v>0</v>
      </c>
      <c r="AA102" s="209">
        <f t="shared" si="46"/>
        <v>0</v>
      </c>
      <c r="AB102" s="100"/>
      <c r="AC102" s="11"/>
      <c r="AD102" s="209">
        <f>SUMIF($H$35:$H$100,"600000",AD$35:AD$100)+SUMIF($H$35:$H$100,"700000",AD$35:AD$100)-SUMIF($H$35:$H$100,"TOTDEPTEXP",AD$35:AD$100)</f>
        <v>0</v>
      </c>
      <c r="AE102" s="100"/>
      <c r="AF102" s="91"/>
      <c r="AG102" s="209">
        <f>SUMIF($H$35:$H$100,"600000",AG$35:AG$100)+SUMIF($H$35:$H$100,"700000",AG$35:AG$100)-SUMIF($H$35:$H$100,"TOTDEPTEXP",AG$35:AG$100)</f>
        <v>0</v>
      </c>
      <c r="AH102" s="100"/>
      <c r="AI102" s="91"/>
      <c r="AJ102" s="11"/>
      <c r="AK102" s="11"/>
      <c r="AL102" s="11"/>
      <c r="AM102" s="11"/>
      <c r="AN102" s="11"/>
      <c r="AO102" s="11"/>
    </row>
    <row r="103" spans="1:41" x14ac:dyDescent="0.25">
      <c r="A103" s="11" t="s">
        <v>108</v>
      </c>
      <c r="B103" s="11"/>
      <c r="C103" s="104" t="s">
        <v>101</v>
      </c>
      <c r="D103" s="11" t="s">
        <v>106</v>
      </c>
      <c r="E103" s="11"/>
      <c r="F103" s="11" t="s">
        <v>98</v>
      </c>
      <c r="G103" s="11"/>
      <c r="H103" s="11"/>
      <c r="I103" s="59"/>
      <c r="J103" s="59"/>
      <c r="K103" s="11"/>
      <c r="L103" s="11"/>
      <c r="M103" s="11"/>
      <c r="N103" s="104" t="str">
        <f>N100&amp;" - Check"</f>
        <v>Department Profit (Loss) - Check</v>
      </c>
      <c r="O103" s="209">
        <f t="shared" ref="O103:AA103" si="47">SUMIF($H$35:$H$100,"KPI_GP",O$35:O$100)-SUMIF($H$35:$H$100,"TOTDEPTEXP",O$35:O$100)-SUMIF($H$35:$H$100,"TOTDEPTPL",O$35:O$100)</f>
        <v>0</v>
      </c>
      <c r="P103" s="209">
        <f t="shared" si="47"/>
        <v>0</v>
      </c>
      <c r="Q103" s="209">
        <f t="shared" si="47"/>
        <v>0</v>
      </c>
      <c r="R103" s="209">
        <f t="shared" si="47"/>
        <v>0</v>
      </c>
      <c r="S103" s="209">
        <f t="shared" si="47"/>
        <v>0</v>
      </c>
      <c r="T103" s="209">
        <f t="shared" si="47"/>
        <v>0</v>
      </c>
      <c r="U103" s="209">
        <f t="shared" si="47"/>
        <v>0</v>
      </c>
      <c r="V103" s="209">
        <f t="shared" si="47"/>
        <v>0</v>
      </c>
      <c r="W103" s="209">
        <f t="shared" si="47"/>
        <v>0</v>
      </c>
      <c r="X103" s="209">
        <f t="shared" si="47"/>
        <v>0</v>
      </c>
      <c r="Y103" s="209">
        <f t="shared" si="47"/>
        <v>0</v>
      </c>
      <c r="Z103" s="209">
        <f t="shared" si="47"/>
        <v>0</v>
      </c>
      <c r="AA103" s="209">
        <f t="shared" si="47"/>
        <v>0</v>
      </c>
      <c r="AB103" s="100"/>
      <c r="AC103" s="11"/>
      <c r="AD103" s="209">
        <f>SUMIF($H$35:$H$100,"KPI_GP",AD$35:AD$100)-SUMIF($H$35:$H$100,"TOTDEPTEXP",AD$35:AD$100)-SUMIF($H$35:$H$100,"TOTDEPTPL",AD$35:AD$100)</f>
        <v>0</v>
      </c>
      <c r="AE103" s="100"/>
      <c r="AF103" s="91"/>
      <c r="AG103" s="209">
        <f>SUMIF($H$35:$H$100,"KPI_GP",AG$35:AG$100)-SUMIF($H$35:$H$100,"TOTDEPTEXP",AG$35:AG$100)-SUMIF($H$35:$H$100,"TOTDEPTPL",AG$35:AG$100)</f>
        <v>0</v>
      </c>
      <c r="AH103" s="100"/>
      <c r="AI103" s="91"/>
      <c r="AJ103" s="11"/>
      <c r="AK103" s="11"/>
      <c r="AL103" s="11"/>
      <c r="AM103" s="11"/>
      <c r="AN103" s="11"/>
      <c r="AO103" s="11"/>
    </row>
    <row r="104" spans="1:41" x14ac:dyDescent="0.25">
      <c r="A104" s="11" t="s">
        <v>100</v>
      </c>
      <c r="B104" s="11"/>
      <c r="C104" s="53" t="s">
        <v>101</v>
      </c>
      <c r="D104" s="11" t="s">
        <v>106</v>
      </c>
      <c r="E104" s="11"/>
      <c r="F104" s="11" t="s">
        <v>98</v>
      </c>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t="s">
        <v>109</v>
      </c>
      <c r="B105" s="11"/>
      <c r="C105" s="106" t="s">
        <v>101</v>
      </c>
      <c r="D105" s="11" t="s">
        <v>106</v>
      </c>
      <c r="E105" s="11"/>
      <c r="F105" s="11" t="s">
        <v>98</v>
      </c>
      <c r="G105" s="76"/>
      <c r="H105" s="11"/>
      <c r="I105" s="59"/>
      <c r="J105" s="59"/>
      <c r="K105" s="11"/>
      <c r="L105" s="11"/>
      <c r="M105" s="11"/>
      <c r="N105" s="11"/>
      <c r="O105" s="137"/>
      <c r="P105" s="137"/>
      <c r="Q105" s="137"/>
      <c r="R105" s="137"/>
      <c r="S105" s="137"/>
      <c r="T105" s="137"/>
      <c r="U105" s="137"/>
      <c r="V105" s="137"/>
      <c r="W105" s="137"/>
      <c r="X105" s="137"/>
      <c r="Y105" s="137"/>
      <c r="Z105" s="137"/>
      <c r="AA105" s="137"/>
      <c r="AB105" s="11"/>
      <c r="AC105" s="11"/>
      <c r="AD105" s="137"/>
      <c r="AE105" s="11"/>
      <c r="AF105" s="11"/>
      <c r="AG105" s="137"/>
      <c r="AH105" s="11"/>
      <c r="AI105" s="11"/>
      <c r="AJ105" s="11"/>
      <c r="AK105" s="11"/>
      <c r="AL105" s="11"/>
      <c r="AM105" s="11"/>
      <c r="AN105" s="11"/>
      <c r="AO105" s="11"/>
    </row>
    <row r="106" spans="1:41" ht="15.75" x14ac:dyDescent="0.25">
      <c r="A106" s="11" t="s">
        <v>109</v>
      </c>
      <c r="B106" s="11"/>
      <c r="C106" s="196" t="s">
        <v>101</v>
      </c>
      <c r="D106" s="11" t="s">
        <v>107</v>
      </c>
      <c r="E106" s="11"/>
      <c r="F106" s="11" t="s">
        <v>99</v>
      </c>
      <c r="G106" s="11"/>
      <c r="H106" s="11"/>
      <c r="I106" s="59"/>
      <c r="J106" s="59"/>
      <c r="K106" s="11"/>
      <c r="L106" s="11"/>
      <c r="M106" s="11"/>
      <c r="N106" s="489" t="s">
        <v>802</v>
      </c>
      <c r="O106" s="137"/>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t="s">
        <v>110</v>
      </c>
      <c r="B107" s="11"/>
      <c r="C107" s="106" t="s">
        <v>101</v>
      </c>
      <c r="D107" s="11" t="s">
        <v>106</v>
      </c>
      <c r="E107" s="11"/>
      <c r="F107" s="11" t="s">
        <v>98</v>
      </c>
      <c r="G107" s="11"/>
      <c r="H107" s="59" t="s">
        <v>273</v>
      </c>
      <c r="I107" s="122" t="str">
        <f>IF(_epmOfflineCondition_,"T4",_xll.EVPRO($B$1,$H107,"STYLE"))</f>
        <v>T4</v>
      </c>
      <c r="J107" s="122" t="str">
        <f>IF(_epmOfflineCondition_,"Y",_xll.EVPRO($B$1,$H107,"CALC"))</f>
        <v>Y</v>
      </c>
      <c r="K107" s="11"/>
      <c r="L107" s="11"/>
      <c r="M107" s="11"/>
      <c r="N107" s="570" t="str">
        <f>IF(_epmOfflineCondition_,"Total Food &amp; Beverage Revenue",IF(_xll.EVDES(H107,$B$1)="#NODATA","",_xll.EVDES(H107,$B$1)))</f>
        <v>Total Food &amp; Beverage Revenue</v>
      </c>
      <c r="O107" s="571">
        <f>IF(_epmOfflineCondition_,14877,_xll.EVGET($B$1,$H107,$B$3,O$17,$B$5,$B$6,$B$7,O$18,$B$9,O$16))</f>
        <v>14877</v>
      </c>
      <c r="P107" s="571">
        <f>IF(_epmOfflineCondition_,34594,_xll.EVGET($B$1,$H107,$B$3,P$17,$B$5,$B$6,$B$7,P$18,$B$9,P$16))</f>
        <v>34594</v>
      </c>
      <c r="Q107" s="571">
        <f>IF(_epmOfflineCondition_,51548,_xll.EVGET($B$1,$H107,$B$3,Q$17,$B$5,$B$6,$B$7,Q$18,$B$9,Q$16))</f>
        <v>51548</v>
      </c>
      <c r="R107" s="571">
        <f>IF(_epmOfflineCondition_,27033,_xll.EVGET($B$1,$H107,$B$3,R$17,$B$5,$B$6,$B$7,R$18,$B$9,R$16))</f>
        <v>27033</v>
      </c>
      <c r="S107" s="571">
        <f>IF(_epmOfflineCondition_,17881.16,_xll.EVGET($B$1,$H107,$B$3,S$17,$B$5,$B$6,$B$7,S$18,$B$9,S$16))</f>
        <v>17881.16</v>
      </c>
      <c r="T107" s="571">
        <f>IF(_epmOfflineCondition_,18557,_xll.EVGET($B$1,$H107,$B$3,T$17,$B$5,$B$6,$B$7,T$18,$B$9,T$16))</f>
        <v>18557</v>
      </c>
      <c r="U107" s="571">
        <f>IF(_epmOfflineCondition_,13125,_xll.EVGET($B$1,$H107,$B$3,U$17,$B$5,$B$6,$B$7,U$18,$B$9,U$16))</f>
        <v>13125</v>
      </c>
      <c r="V107" s="571">
        <f>IF(_epmOfflineCondition_,8678.77,_xll.EVGET($B$1,$H107,$B$3,V$17,$B$5,$B$6,$B$7,V$18,$B$9,V$16))</f>
        <v>8678.77</v>
      </c>
      <c r="W107" s="571">
        <f>IF(_epmOfflineCondition_,2340,_xll.EVGET($B$1,$H107,$B$3,W$17,$B$5,$B$6,$B$7,W$18,$B$9,W$16))</f>
        <v>2340</v>
      </c>
      <c r="X107" s="571">
        <f>IF(_epmOfflineCondition_,15778,_xll.EVGET($B$1,$H107,$B$3,X$17,$B$5,$B$6,$B$7,X$18,$B$9,X$16))</f>
        <v>15778</v>
      </c>
      <c r="Y107" s="571">
        <f>IF(_epmOfflineCondition_,39275,_xll.EVGET($B$1,$H107,$B$3,Y$17,$B$5,$B$6,$B$7,Y$18,$B$9,Y$16))</f>
        <v>39275</v>
      </c>
      <c r="Z107" s="571">
        <f>IF(_epmOfflineCondition_,10700,_xll.EVGET($B$1,$H107,$B$3,Z$17,$B$5,$B$6,$B$7,Z$18,$B$9,Z$16))</f>
        <v>10700</v>
      </c>
      <c r="AA107" s="571">
        <f>IF(_epmOfflineCondition_,254386.93,_xll.EVGET($B$1,$H107,$B$3,AA$17,$B$5,$B$6,$B$7,AA$18,$B$9,AA$16))</f>
        <v>254386.93</v>
      </c>
      <c r="AB107" s="571"/>
      <c r="AC107" s="571"/>
      <c r="AD107" s="571">
        <f>IF(_epmOfflineCondition_,114498.340003996,_xll.EVGET($B$1,$H107,$B$3,AD$17,$B$5,$B$6,$B$7,AD$18,$B$9,AD$16))</f>
        <v>114498.340003996</v>
      </c>
      <c r="AE107" s="571"/>
      <c r="AF107" s="571"/>
      <c r="AG107" s="571">
        <f>IF(_epmOfflineCondition_,50276.7,_xll.EVGET($B$1,$H107,$B$3,AG$17,$B$5,$B$6,$B$7,AG$18,$B$9,AG$16))</f>
        <v>50276.7</v>
      </c>
      <c r="AH107" s="571"/>
      <c r="AI107" s="571"/>
      <c r="AJ107" s="11"/>
      <c r="AK107" s="11"/>
      <c r="AL107" s="11"/>
      <c r="AM107" s="11"/>
      <c r="AN107" s="11"/>
      <c r="AO107" s="11"/>
    </row>
    <row r="108" spans="1:41" x14ac:dyDescent="0.25">
      <c r="A108" s="11" t="s">
        <v>110</v>
      </c>
      <c r="B108" s="11"/>
      <c r="C108" s="109" t="s">
        <v>101</v>
      </c>
      <c r="D108" s="11" t="s">
        <v>107</v>
      </c>
      <c r="E108" s="11"/>
      <c r="F108" s="11" t="s">
        <v>99</v>
      </c>
      <c r="G108" s="11"/>
      <c r="H108" s="59" t="s">
        <v>273</v>
      </c>
      <c r="I108" s="122" t="str">
        <f>IF(_epmOfflineCondition_,"T4",_xll.EVPRO($B$1,$H108,"STYLE"))</f>
        <v>T4</v>
      </c>
      <c r="J108" s="122" t="str">
        <f>IF(_epmOfflineCondition_,"Y",_xll.EVPRO($B$1,$H108,"CALC"))</f>
        <v>Y</v>
      </c>
      <c r="K108" s="572"/>
      <c r="L108" s="572"/>
      <c r="M108" s="572"/>
      <c r="N108" s="573" t="s">
        <v>803</v>
      </c>
      <c r="O108" s="101">
        <f>IF(_epmOfflineCondition_,1,IFERROR(_xll.EVGET($B$1,$H108,$B$3,O$17,$B$5,$G126,$B$7,O$18,$B$9,O$16)/O107,0))</f>
        <v>1</v>
      </c>
      <c r="P108" s="101">
        <f>IF(_epmOfflineCondition_,0.24775972712031,IFERROR(_xll.EVGET($B$1,$H108,$B$3,P$17,$B$5,$G126,$B$7,P$18,$B$9,P$16)/P107,0))</f>
        <v>0.24775972712031</v>
      </c>
      <c r="Q108" s="101">
        <f>IF(_epmOfflineCondition_,0.975731357181656,IFERROR(_xll.EVGET($B$1,$H108,$B$3,Q$17,$B$5,$G126,$B$7,Q$18,$B$9,Q$16)/Q107,0))</f>
        <v>0.97573135718165604</v>
      </c>
      <c r="R108" s="101">
        <f>IF(_epmOfflineCondition_,1,IFERROR(_xll.EVGET($B$1,$H108,$B$3,R$17,$B$5,$G126,$B$7,R$18,$B$9,R$16)/R107,0))</f>
        <v>1</v>
      </c>
      <c r="S108" s="101">
        <f>IF(_epmOfflineCondition_,1,IFERROR(_xll.EVGET($B$1,$H108,$B$3,S$17,$B$5,$G126,$B$7,S$18,$B$9,S$16)/S107,0))</f>
        <v>1</v>
      </c>
      <c r="T108" s="101">
        <f>IF(_epmOfflineCondition_,1,IFERROR(_xll.EVGET($B$1,$H108,$B$3,T$17,$B$5,$G126,$B$7,T$18,$B$9,T$16)/T107,0))</f>
        <v>1</v>
      </c>
      <c r="U108" s="101">
        <f>IF(_epmOfflineCondition_,1,IFERROR(_xll.EVGET($B$1,$H108,$B$3,U$17,$B$5,$G126,$B$7,U$18,$B$9,U$16)/U107,0))</f>
        <v>1</v>
      </c>
      <c r="V108" s="101">
        <f>IF(_epmOfflineCondition_,1,IFERROR(_xll.EVGET($B$1,$H108,$B$3,V$17,$B$5,$G126,$B$7,V$18,$B$9,V$16)/V107,0))</f>
        <v>1</v>
      </c>
      <c r="W108" s="101">
        <f>IF(_epmOfflineCondition_,1,IFERROR(_xll.EVGET($B$1,$H108,$B$3,W$17,$B$5,$G126,$B$7,W$18,$B$9,W$16)/W107,0))</f>
        <v>1</v>
      </c>
      <c r="X108" s="101">
        <f>IF(_epmOfflineCondition_,1,IFERROR(_xll.EVGET($B$1,$H108,$B$3,X$17,$B$5,$G126,$B$7,X$18,$B$9,X$16)/X107,0))</f>
        <v>1</v>
      </c>
      <c r="Y108" s="101">
        <f>IF(_epmOfflineCondition_,1,IFERROR(_xll.EVGET($B$1,$H108,$B$3,Y$17,$B$5,$G126,$B$7,Y$18,$B$9,Y$16)/Y107,0))</f>
        <v>1</v>
      </c>
      <c r="Z108" s="101">
        <f>IF(_epmOfflineCondition_,1,IFERROR(_xll.EVGET($B$1,$H108,$B$3,Z$17,$B$5,$G126,$B$7,Z$18,$B$9,Z$16)/Z107,0))</f>
        <v>1</v>
      </c>
      <c r="AA108" s="101">
        <f>IF(_epmOfflineCondition_,0.892785372267357,IFERROR(_xll.EVGET($B$1,$H108,$B$3,AA$17,$B$5,$G126,$B$7,AA$18,$B$9,AA$16)/AA107,0))</f>
        <v>0.89278537226735699</v>
      </c>
      <c r="AB108" s="101"/>
      <c r="AC108" s="101"/>
      <c r="AD108" s="101">
        <f>IF(_epmOfflineCondition_,0.60000188650419,IFERROR(_xll.EVGET($B$1,$H108,$B$3,AD$17,$B$5,$G126,$B$7,AD$18,$B$9,AD$16)/AD107,0))</f>
        <v>0.60000188650418995</v>
      </c>
      <c r="AE108" s="101"/>
      <c r="AF108" s="101"/>
      <c r="AG108" s="101">
        <f>IF(_epmOfflineCondition_,0.890744619276922,IFERROR(_xll.EVGET($B$1,$H108,$B$3,AG$17,$B$5,$G126,$B$7,AG$18,$B$9,AG$16)/AG107,0))</f>
        <v>0.89074461927692195</v>
      </c>
      <c r="AH108" s="101"/>
      <c r="AI108" s="101"/>
      <c r="AJ108" s="11"/>
      <c r="AK108" s="11"/>
      <c r="AL108" s="11"/>
      <c r="AM108" s="11"/>
      <c r="AN108" s="11"/>
      <c r="AO108" s="11"/>
    </row>
    <row r="109" spans="1:41" x14ac:dyDescent="0.25">
      <c r="A109" s="11"/>
      <c r="B109" s="11"/>
      <c r="C109" s="208"/>
      <c r="D109" s="11"/>
      <c r="E109" s="11"/>
      <c r="F109" s="11"/>
      <c r="G109" s="11"/>
      <c r="H109" s="59" t="s">
        <v>273</v>
      </c>
      <c r="I109" s="122" t="str">
        <f>IF(_epmOfflineCondition_,"T4",_xll.EVPRO($B$1,$H109,"STYLE"))</f>
        <v>T4</v>
      </c>
      <c r="J109" s="122" t="str">
        <f>IF(_epmOfflineCondition_,"Y",_xll.EVPRO($B$1,$H109,"CALC"))</f>
        <v>Y</v>
      </c>
      <c r="K109" s="572"/>
      <c r="L109" s="572"/>
      <c r="M109" s="572"/>
      <c r="N109" s="573" t="s">
        <v>804</v>
      </c>
      <c r="O109" s="101">
        <f>IF(_epmOfflineCondition_,0,IFERROR(_xll.EVGET($B$1,$H109,$B$3,O$17,$B$5,$G127,$B$7,O$18,$B$9,O$16)/O107,0))</f>
        <v>0</v>
      </c>
      <c r="P109" s="101">
        <f>IF(_epmOfflineCondition_,0.75224027287969,IFERROR(_xll.EVGET($B$1,$H109,$B$3,P$17,$B$5,$G127,$B$7,P$18,$B$9,P$16)/P107,0))</f>
        <v>0.75224027287968998</v>
      </c>
      <c r="Q109" s="101">
        <f>IF(_epmOfflineCondition_,0.0242686428183441,IFERROR(_xll.EVGET($B$1,$H109,$B$3,Q$17,$B$5,$G127,$B$7,Q$18,$B$9,Q$16)/Q107,0))</f>
        <v>2.4268642818344101E-2</v>
      </c>
      <c r="R109" s="101">
        <f>IF(_epmOfflineCondition_,0,IFERROR(_xll.EVGET($B$1,$H109,$B$3,R$17,$B$5,$G127,$B$7,R$18,$B$9,R$16)/R107,0))</f>
        <v>0</v>
      </c>
      <c r="S109" s="101">
        <f>IF(_epmOfflineCondition_,0,IFERROR(_xll.EVGET($B$1,$H109,$B$3,S$17,$B$5,$G127,$B$7,S$18,$B$9,S$16)/S107,0))</f>
        <v>0</v>
      </c>
      <c r="T109" s="101">
        <f>IF(_epmOfflineCondition_,0,IFERROR(_xll.EVGET($B$1,$H109,$B$3,T$17,$B$5,$G127,$B$7,T$18,$B$9,T$16)/T107,0))</f>
        <v>0</v>
      </c>
      <c r="U109" s="101">
        <f>IF(_epmOfflineCondition_,0,IFERROR(_xll.EVGET($B$1,$H109,$B$3,U$17,$B$5,$G127,$B$7,U$18,$B$9,U$16)/U107,0))</f>
        <v>0</v>
      </c>
      <c r="V109" s="101">
        <f>IF(_epmOfflineCondition_,0,IFERROR(_xll.EVGET($B$1,$H109,$B$3,V$17,$B$5,$G127,$B$7,V$18,$B$9,V$16)/V107,0))</f>
        <v>0</v>
      </c>
      <c r="W109" s="101">
        <f>IF(_epmOfflineCondition_,0,IFERROR(_xll.EVGET($B$1,$H109,$B$3,W$17,$B$5,$G127,$B$7,W$18,$B$9,W$16)/W107,0))</f>
        <v>0</v>
      </c>
      <c r="X109" s="101">
        <f>IF(_epmOfflineCondition_,0,IFERROR(_xll.EVGET($B$1,$H109,$B$3,X$17,$B$5,$G127,$B$7,X$18,$B$9,X$16)/X107,0))</f>
        <v>0</v>
      </c>
      <c r="Y109" s="101">
        <f>IF(_epmOfflineCondition_,0,IFERROR(_xll.EVGET($B$1,$H109,$B$3,Y$17,$B$5,$G127,$B$7,Y$18,$B$9,Y$16)/Y107,0))</f>
        <v>0</v>
      </c>
      <c r="Z109" s="101">
        <f>IF(_epmOfflineCondition_,0,IFERROR(_xll.EVGET($B$1,$H109,$B$3,Z$17,$B$5,$G127,$B$7,Z$18,$B$9,Z$16)/Z107,0))</f>
        <v>0</v>
      </c>
      <c r="AA109" s="101">
        <f>IF(_epmOfflineCondition_,0.107214627732643,IFERROR(_xll.EVGET($B$1,$H109,$B$3,AA$17,$B$5,$G127,$B$7,AA$18,$B$9,AA$16)/AA107,0))</f>
        <v>0.10721462773264299</v>
      </c>
      <c r="AB109" s="101"/>
      <c r="AC109" s="101"/>
      <c r="AD109" s="101">
        <f>IF(_epmOfflineCondition_,0.399998113495808,IFERROR(_xll.EVGET($B$1,$H109,$B$3,AD$17,$B$5,$G127,$B$7,AD$18,$B$9,AD$16)/AD107,0))</f>
        <v>0.39999811349580799</v>
      </c>
      <c r="AE109" s="101"/>
      <c r="AF109" s="101"/>
      <c r="AG109" s="101">
        <f>IF(_epmOfflineCondition_,0.109255380723078,IFERROR(_xll.EVGET($B$1,$H109,$B$3,AG$17,$B$5,$G127,$B$7,AG$18,$B$9,AG$16)/AG107,0))</f>
        <v>0.109255380723078</v>
      </c>
      <c r="AH109" s="101"/>
      <c r="AI109" s="101"/>
      <c r="AJ109" s="11"/>
      <c r="AK109" s="11"/>
      <c r="AL109" s="11"/>
      <c r="AM109" s="11"/>
      <c r="AN109" s="11"/>
      <c r="AO109" s="11"/>
    </row>
    <row r="110" spans="1:41" x14ac:dyDescent="0.25">
      <c r="A110" s="11"/>
      <c r="B110" s="11"/>
      <c r="C110" s="11"/>
      <c r="D110" s="11"/>
      <c r="E110" s="11"/>
      <c r="F110" s="11"/>
      <c r="G110" s="11"/>
      <c r="H110" s="59" t="s">
        <v>265</v>
      </c>
      <c r="I110" s="122" t="str">
        <f>IF(_epmOfflineCondition_,"T4",_xll.EVPRO($B$1,$H110,"STYLE"))</f>
        <v>T4</v>
      </c>
      <c r="J110" s="122" t="str">
        <f>IF(_epmOfflineCondition_,"Y",_xll.EVPRO($B$1,$H110,"CALC"))</f>
        <v>Y</v>
      </c>
      <c r="K110" s="11"/>
      <c r="L110" s="11"/>
      <c r="M110" s="11"/>
      <c r="N110" s="570" t="str">
        <f>IF(_epmOfflineCondition_,"Total Food Revenue",IF(_xll.EVDES(H110,$B$1)="#NODATA","",_xll.EVDES(H110,$B$1)))</f>
        <v>Total Food Revenue</v>
      </c>
      <c r="O110" s="571">
        <f>IF(_epmOfflineCondition_,13797,_xll.EVGET($B$1,$H110,$B$3,O$17,$B$5,$B$6,$B$7,O$18,$B$9,O$16))</f>
        <v>13797</v>
      </c>
      <c r="P110" s="571">
        <f>IF(_epmOfflineCondition_,34594,_xll.EVGET($B$1,$H110,$B$3,P$17,$B$5,$B$6,$B$7,P$18,$B$9,P$16))</f>
        <v>34594</v>
      </c>
      <c r="Q110" s="571">
        <f>IF(_epmOfflineCondition_,49478,_xll.EVGET($B$1,$H110,$B$3,Q$17,$B$5,$B$6,$B$7,Q$18,$B$9,Q$16))</f>
        <v>49478</v>
      </c>
      <c r="R110" s="571">
        <f>IF(_epmOfflineCondition_,27033,_xll.EVGET($B$1,$H110,$B$3,R$17,$B$5,$B$6,$B$7,R$18,$B$9,R$16))</f>
        <v>27033</v>
      </c>
      <c r="S110" s="571">
        <f>IF(_epmOfflineCondition_,17029.16,_xll.EVGET($B$1,$H110,$B$3,S$17,$B$5,$B$6,$B$7,S$18,$B$9,S$16))</f>
        <v>17029.16</v>
      </c>
      <c r="T110" s="571">
        <f>IF(_epmOfflineCondition_,18301,_xll.EVGET($B$1,$H110,$B$3,T$17,$B$5,$B$6,$B$7,T$18,$B$9,T$16))</f>
        <v>18301</v>
      </c>
      <c r="U110" s="571">
        <f>IF(_epmOfflineCondition_,13125,_xll.EVGET($B$1,$H110,$B$3,U$17,$B$5,$B$6,$B$7,U$18,$B$9,U$16))</f>
        <v>13125</v>
      </c>
      <c r="V110" s="571">
        <f>IF(_epmOfflineCondition_,7803.77,_xll.EVGET($B$1,$H110,$B$3,V$17,$B$5,$B$6,$B$7,V$18,$B$9,V$16))</f>
        <v>7803.77</v>
      </c>
      <c r="W110" s="571">
        <f>IF(_epmOfflineCondition_,2340,_xll.EVGET($B$1,$H110,$B$3,W$17,$B$5,$B$6,$B$7,W$18,$B$9,W$16))</f>
        <v>2340</v>
      </c>
      <c r="X110" s="571">
        <f>IF(_epmOfflineCondition_,10678,_xll.EVGET($B$1,$H110,$B$3,X$17,$B$5,$B$6,$B$7,X$18,$B$9,X$16))</f>
        <v>10678</v>
      </c>
      <c r="Y110" s="571">
        <f>IF(_epmOfflineCondition_,27646,_xll.EVGET($B$1,$H110,$B$3,Y$17,$B$5,$B$6,$B$7,Y$18,$B$9,Y$16))</f>
        <v>27646</v>
      </c>
      <c r="Z110" s="571">
        <f>IF(_epmOfflineCondition_,10700,_xll.EVGET($B$1,$H110,$B$3,Z$17,$B$5,$B$6,$B$7,Z$18,$B$9,Z$16))</f>
        <v>10700</v>
      </c>
      <c r="AA110" s="571">
        <f>IF(_epmOfflineCondition_,232524.93,_xll.EVGET($B$1,$H110,$B$3,AA$17,$B$5,$B$6,$B$7,AA$18,$B$9,AA$16))</f>
        <v>232524.93</v>
      </c>
      <c r="AB110" s="571"/>
      <c r="AC110" s="571"/>
      <c r="AD110" s="571">
        <f>IF(_epmOfflineCondition_,104997.740949238,_xll.EVGET($B$1,$H110,$B$3,AD$17,$B$5,$B$6,$B$7,AD$18,$B$9,AD$16))</f>
        <v>104997.740949238</v>
      </c>
      <c r="AE110" s="571"/>
      <c r="AF110" s="571"/>
      <c r="AG110" s="571">
        <f>IF(_epmOfflineCondition_,46479.7,_xll.EVGET($B$1,$H110,$B$3,AG$17,$B$5,$B$6,$B$7,AG$18,$B$9,AG$16))</f>
        <v>46479.7</v>
      </c>
      <c r="AH110" s="571"/>
      <c r="AI110" s="571"/>
      <c r="AJ110" s="11"/>
      <c r="AK110" s="11"/>
      <c r="AL110" s="11"/>
      <c r="AM110" s="11"/>
      <c r="AN110" s="11"/>
      <c r="AO110" s="11"/>
    </row>
    <row r="111" spans="1:41" x14ac:dyDescent="0.25">
      <c r="A111" s="61" t="str">
        <f>IF(_epmOfflineCondition_,"Evdre:Ok",_xll.EVDRE($B$1,A114:B121))</f>
        <v>Evdre:Ok</v>
      </c>
      <c r="B111" s="11" t="s">
        <v>736</v>
      </c>
      <c r="C111" s="11"/>
      <c r="D111" s="11"/>
      <c r="E111" s="11"/>
      <c r="F111" s="11"/>
      <c r="G111" s="11"/>
      <c r="H111" s="59" t="s">
        <v>265</v>
      </c>
      <c r="I111" s="136" t="str">
        <f>IF(_epmOfflineCondition_,"T4",_xll.EVPRO($B$1,$H111,"STYLE"))</f>
        <v>T4</v>
      </c>
      <c r="J111" s="136" t="str">
        <f>IF(_epmOfflineCondition_,"Y",_xll.EVPRO($B$1,$H111,"CALC"))</f>
        <v>Y</v>
      </c>
      <c r="K111" s="11"/>
      <c r="L111" s="11"/>
      <c r="M111" s="11"/>
      <c r="N111" s="573" t="s">
        <v>803</v>
      </c>
      <c r="O111" s="101">
        <f>IF(_epmOfflineCondition_,1,IFERROR(_xll.EVGET($B$1,$H111,$B$3,O$17,$B$5,$G129,$B$7,O$18,$B$9,O$16)/O110,0))</f>
        <v>1</v>
      </c>
      <c r="P111" s="101">
        <f>IF(_epmOfflineCondition_,0.24775972712031,IFERROR(_xll.EVGET($B$1,$H111,$B$3,P$17,$B$5,$G129,$B$7,P$18,$B$9,P$16)/P110,0))</f>
        <v>0.24775972712031</v>
      </c>
      <c r="Q111" s="101">
        <f>IF(_epmOfflineCondition_,0.987448967217753,IFERROR(_xll.EVGET($B$1,$H111,$B$3,Q$17,$B$5,$G129,$B$7,Q$18,$B$9,Q$16)/Q110,0))</f>
        <v>0.98744896721775299</v>
      </c>
      <c r="R111" s="101">
        <f>IF(_epmOfflineCondition_,1,IFERROR(_xll.EVGET($B$1,$H111,$B$3,R$17,$B$5,$G129,$B$7,R$18,$B$9,R$16)/R110,0))</f>
        <v>1</v>
      </c>
      <c r="S111" s="101">
        <f>IF(_epmOfflineCondition_,1,IFERROR(_xll.EVGET($B$1,$H111,$B$3,S$17,$B$5,$G129,$B$7,S$18,$B$9,S$16)/S110,0))</f>
        <v>1</v>
      </c>
      <c r="T111" s="101">
        <f>IF(_epmOfflineCondition_,1,IFERROR(_xll.EVGET($B$1,$H111,$B$3,T$17,$B$5,$G129,$B$7,T$18,$B$9,T$16)/T110,0))</f>
        <v>1</v>
      </c>
      <c r="U111" s="101">
        <f>IF(_epmOfflineCondition_,1,IFERROR(_xll.EVGET($B$1,$H111,$B$3,U$17,$B$5,$G129,$B$7,U$18,$B$9,U$16)/U110,0))</f>
        <v>1</v>
      </c>
      <c r="V111" s="101">
        <f>IF(_epmOfflineCondition_,1,IFERROR(_xll.EVGET($B$1,$H111,$B$3,V$17,$B$5,$G129,$B$7,V$18,$B$9,V$16)/V110,0))</f>
        <v>1</v>
      </c>
      <c r="W111" s="101">
        <f>IF(_epmOfflineCondition_,1,IFERROR(_xll.EVGET($B$1,$H111,$B$3,W$17,$B$5,$G129,$B$7,W$18,$B$9,W$16)/W110,0))</f>
        <v>1</v>
      </c>
      <c r="X111" s="101">
        <f>IF(_epmOfflineCondition_,1,IFERROR(_xll.EVGET($B$1,$H111,$B$3,X$17,$B$5,$G129,$B$7,X$18,$B$9,X$16)/X110,0))</f>
        <v>1</v>
      </c>
      <c r="Y111" s="101">
        <f>IF(_epmOfflineCondition_,1,IFERROR(_xll.EVGET($B$1,$H111,$B$3,Y$17,$B$5,$G129,$B$7,Y$18,$B$9,Y$16)/Y110,0))</f>
        <v>1</v>
      </c>
      <c r="Z111" s="101">
        <f>IF(_epmOfflineCondition_,1,IFERROR(_xll.EVGET($B$1,$H111,$B$3,Z$17,$B$5,$G129,$B$7,Z$18,$B$9,Z$16)/Z110,0))</f>
        <v>1</v>
      </c>
      <c r="AA111" s="101">
        <f>IF(_epmOfflineCondition_,0.885414437067028,IFERROR(_xll.EVGET($B$1,$H111,$B$3,AA$17,$B$5,$G129,$B$7,AA$18,$B$9,AA$16)/AA110,0))</f>
        <v>0.88541443706702805</v>
      </c>
      <c r="AB111" s="101"/>
      <c r="AC111" s="101"/>
      <c r="AD111" s="101">
        <f>IF(_epmOfflineCondition_,0.591236584597097,IFERROR(_xll.EVGET($B$1,$H111,$B$3,AD$17,$B$5,$G129,$B$7,AD$18,$B$9,AD$16)/AD110,0))</f>
        <v>0.59123658459709705</v>
      </c>
      <c r="AE111" s="101"/>
      <c r="AF111" s="101"/>
      <c r="AG111" s="101">
        <f>IF(_epmOfflineCondition_,0.881819374909907,IFERROR(_xll.EVGET($B$1,$H111,$B$3,AG$17,$B$5,$G129,$B$7,AG$18,$B$9,AG$16)/AG110,0))</f>
        <v>0.88181937490990703</v>
      </c>
      <c r="AH111" s="101"/>
      <c r="AI111" s="101"/>
      <c r="AJ111" s="11"/>
      <c r="AK111" s="11"/>
      <c r="AL111" s="11"/>
      <c r="AM111" s="11"/>
      <c r="AN111" s="11"/>
      <c r="AO111" s="11"/>
    </row>
    <row r="112" spans="1:41" x14ac:dyDescent="0.25">
      <c r="A112" s="11"/>
      <c r="B112" s="11"/>
      <c r="C112" s="11"/>
      <c r="D112" s="11"/>
      <c r="E112" s="11"/>
      <c r="F112" s="11"/>
      <c r="G112" s="11"/>
      <c r="H112" s="59" t="s">
        <v>265</v>
      </c>
      <c r="I112" s="136" t="str">
        <f>IF(_epmOfflineCondition_,"T4",_xll.EVPRO($B$1,$H112,"STYLE"))</f>
        <v>T4</v>
      </c>
      <c r="J112" s="136" t="str">
        <f>IF(_epmOfflineCondition_,"Y",_xll.EVPRO($B$1,$H112,"CALC"))</f>
        <v>Y</v>
      </c>
      <c r="K112" s="11"/>
      <c r="L112" s="11"/>
      <c r="M112" s="11"/>
      <c r="N112" s="573" t="s">
        <v>804</v>
      </c>
      <c r="O112" s="101">
        <f>IF(_epmOfflineCondition_,0,IFERROR(_xll.EVGET($B$1,$H112,$B$3,O$17,$B$5,$G130,$B$7,O$18,$B$9,O$16)/O110,0))</f>
        <v>0</v>
      </c>
      <c r="P112" s="101">
        <f>IF(_epmOfflineCondition_,0.75224027287969,IFERROR(_xll.EVGET($B$1,$H112,$B$3,P$17,$B$5,$G130,$B$7,P$18,$B$9,P$16)/P110,0))</f>
        <v>0.75224027287968998</v>
      </c>
      <c r="Q112" s="101">
        <f>IF(_epmOfflineCondition_,0.0125510327822467,IFERROR(_xll.EVGET($B$1,$H112,$B$3,Q$17,$B$5,$G130,$B$7,Q$18,$B$9,Q$16)/Q110,0))</f>
        <v>1.25510327822467E-2</v>
      </c>
      <c r="R112" s="101">
        <f>IF(_epmOfflineCondition_,0,IFERROR(_xll.EVGET($B$1,$H112,$B$3,R$17,$B$5,$G130,$B$7,R$18,$B$9,R$16)/R110,0))</f>
        <v>0</v>
      </c>
      <c r="S112" s="101">
        <f>IF(_epmOfflineCondition_,0,IFERROR(_xll.EVGET($B$1,$H112,$B$3,S$17,$B$5,$G130,$B$7,S$18,$B$9,S$16)/S110,0))</f>
        <v>0</v>
      </c>
      <c r="T112" s="101">
        <f>IF(_epmOfflineCondition_,0,IFERROR(_xll.EVGET($B$1,$H112,$B$3,T$17,$B$5,$G130,$B$7,T$18,$B$9,T$16)/T110,0))</f>
        <v>0</v>
      </c>
      <c r="U112" s="101">
        <f>IF(_epmOfflineCondition_,0,IFERROR(_xll.EVGET($B$1,$H112,$B$3,U$17,$B$5,$G130,$B$7,U$18,$B$9,U$16)/U110,0))</f>
        <v>0</v>
      </c>
      <c r="V112" s="101">
        <f>IF(_epmOfflineCondition_,0,IFERROR(_xll.EVGET($B$1,$H112,$B$3,V$17,$B$5,$G130,$B$7,V$18,$B$9,V$16)/V110,0))</f>
        <v>0</v>
      </c>
      <c r="W112" s="101">
        <f>IF(_epmOfflineCondition_,0,IFERROR(_xll.EVGET($B$1,$H112,$B$3,W$17,$B$5,$G130,$B$7,W$18,$B$9,W$16)/W110,0))</f>
        <v>0</v>
      </c>
      <c r="X112" s="101">
        <f>IF(_epmOfflineCondition_,0,IFERROR(_xll.EVGET($B$1,$H112,$B$3,X$17,$B$5,$G130,$B$7,X$18,$B$9,X$16)/X110,0))</f>
        <v>0</v>
      </c>
      <c r="Y112" s="101">
        <f>IF(_epmOfflineCondition_,0,IFERROR(_xll.EVGET($B$1,$H112,$B$3,Y$17,$B$5,$G130,$B$7,Y$18,$B$9,Y$16)/Y110,0))</f>
        <v>0</v>
      </c>
      <c r="Z112" s="101">
        <f>IF(_epmOfflineCondition_,0,IFERROR(_xll.EVGET($B$1,$H112,$B$3,Z$17,$B$5,$G130,$B$7,Z$18,$B$9,Z$16)/Z110,0))</f>
        <v>0</v>
      </c>
      <c r="AA112" s="101">
        <f>IF(_epmOfflineCondition_,0.114585562932972,IFERROR(_xll.EVGET($B$1,$H112,$B$3,AA$17,$B$5,$G130,$B$7,AA$18,$B$9,AA$16)/AA110,0))</f>
        <v>0.11458556293297199</v>
      </c>
      <c r="AB112" s="101"/>
      <c r="AC112" s="101"/>
      <c r="AD112" s="101">
        <f>IF(_epmOfflineCondition_,0.408763415402905,IFERROR(_xll.EVGET($B$1,$H112,$B$3,AD$17,$B$5,$G130,$B$7,AD$18,$B$9,AD$16)/AD110,0))</f>
        <v>0.40876341540290501</v>
      </c>
      <c r="AE112" s="101"/>
      <c r="AF112" s="101"/>
      <c r="AG112" s="101">
        <f>IF(_epmOfflineCondition_,0.118180625090093,IFERROR(_xll.EVGET($B$1,$H112,$B$3,AG$17,$B$5,$G130,$B$7,AG$18,$B$9,AG$16)/AG110,0))</f>
        <v>0.118180625090093</v>
      </c>
      <c r="AH112" s="101"/>
      <c r="AI112" s="101"/>
      <c r="AJ112" s="11"/>
      <c r="AK112" s="11"/>
      <c r="AL112" s="11"/>
      <c r="AM112" s="11"/>
      <c r="AN112" s="11"/>
      <c r="AO112" s="11"/>
    </row>
    <row r="113" spans="1:41" x14ac:dyDescent="0.25">
      <c r="A113" s="62" t="s">
        <v>0</v>
      </c>
      <c r="B113" s="63" t="s">
        <v>1</v>
      </c>
      <c r="C113" s="11"/>
      <c r="D113" s="11"/>
      <c r="E113" s="11"/>
      <c r="F113" s="11"/>
      <c r="G113" s="11"/>
      <c r="H113" s="59" t="s">
        <v>272</v>
      </c>
      <c r="I113" s="136" t="str">
        <f>IF(_epmOfflineCondition_,"T4",_xll.EVPRO($B$1,$H113,"STYLE"))</f>
        <v>T4</v>
      </c>
      <c r="J113" s="136" t="str">
        <f>IF(_epmOfflineCondition_,"Y",_xll.EVPRO($B$1,$H113,"CALC"))</f>
        <v>Y</v>
      </c>
      <c r="K113" s="11"/>
      <c r="L113" s="11"/>
      <c r="M113" s="11"/>
      <c r="N113" s="570" t="str">
        <f>IF(_epmOfflineCondition_,"Total Beverage Revenue",IF(_xll.EVDES(H113,$B$1)="#NODATA","",_xll.EVDES(H113,$B$1)))</f>
        <v>Total Beverage Revenue</v>
      </c>
      <c r="O113" s="571">
        <f>IF(_epmOfflineCondition_,1080,_xll.EVGET($B$1,$H113,$B$3,O$17,$B$5,$B$6,$B$7,O$18,$B$9,O$16))</f>
        <v>1080</v>
      </c>
      <c r="P113" s="571">
        <f>IF(_epmOfflineCondition_,0,_xll.EVGET($B$1,$H113,$B$3,P$17,$B$5,$B$6,$B$7,P$18,$B$9,P$16))</f>
        <v>0</v>
      </c>
      <c r="Q113" s="571">
        <f>IF(_epmOfflineCondition_,2070,_xll.EVGET($B$1,$H113,$B$3,Q$17,$B$5,$B$6,$B$7,Q$18,$B$9,Q$16))</f>
        <v>2070</v>
      </c>
      <c r="R113" s="571">
        <f>IF(_epmOfflineCondition_,0,_xll.EVGET($B$1,$H113,$B$3,R$17,$B$5,$B$6,$B$7,R$18,$B$9,R$16))</f>
        <v>0</v>
      </c>
      <c r="S113" s="571">
        <f>IF(_epmOfflineCondition_,852,_xll.EVGET($B$1,$H113,$B$3,S$17,$B$5,$B$6,$B$7,S$18,$B$9,S$16))</f>
        <v>852</v>
      </c>
      <c r="T113" s="571">
        <f>IF(_epmOfflineCondition_,256,_xll.EVGET($B$1,$H113,$B$3,T$17,$B$5,$B$6,$B$7,T$18,$B$9,T$16))</f>
        <v>256</v>
      </c>
      <c r="U113" s="571">
        <f>IF(_epmOfflineCondition_,0,_xll.EVGET($B$1,$H113,$B$3,U$17,$B$5,$B$6,$B$7,U$18,$B$9,U$16))</f>
        <v>0</v>
      </c>
      <c r="V113" s="571">
        <f>IF(_epmOfflineCondition_,875,_xll.EVGET($B$1,$H113,$B$3,V$17,$B$5,$B$6,$B$7,V$18,$B$9,V$16))</f>
        <v>875</v>
      </c>
      <c r="W113" s="571">
        <f>IF(_epmOfflineCondition_,0,_xll.EVGET($B$1,$H113,$B$3,W$17,$B$5,$B$6,$B$7,W$18,$B$9,W$16))</f>
        <v>0</v>
      </c>
      <c r="X113" s="571">
        <f>IF(_epmOfflineCondition_,5100,_xll.EVGET($B$1,$H113,$B$3,X$17,$B$5,$B$6,$B$7,X$18,$B$9,X$16))</f>
        <v>5100</v>
      </c>
      <c r="Y113" s="571">
        <f>IF(_epmOfflineCondition_,11629,_xll.EVGET($B$1,$H113,$B$3,Y$17,$B$5,$B$6,$B$7,Y$18,$B$9,Y$16))</f>
        <v>11629</v>
      </c>
      <c r="Z113" s="571">
        <f>IF(_epmOfflineCondition_,0,_xll.EVGET($B$1,$H113,$B$3,Z$17,$B$5,$B$6,$B$7,Z$18,$B$9,Z$16))</f>
        <v>0</v>
      </c>
      <c r="AA113" s="571">
        <f>IF(_epmOfflineCondition_,21862,_xll.EVGET($B$1,$H113,$B$3,AA$17,$B$5,$B$6,$B$7,AA$18,$B$9,AA$16))</f>
        <v>21862</v>
      </c>
      <c r="AB113" s="571"/>
      <c r="AC113" s="571"/>
      <c r="AD113" s="571">
        <f>IF(_epmOfflineCondition_,9500.5990547576,_xll.EVGET($B$1,$H113,$B$3,AD$17,$B$5,$B$6,$B$7,AD$18,$B$9,AD$16))</f>
        <v>9500.5990547576002</v>
      </c>
      <c r="AE113" s="571"/>
      <c r="AF113" s="571"/>
      <c r="AG113" s="571">
        <f>IF(_epmOfflineCondition_,3797,_xll.EVGET($B$1,$H113,$B$3,AG$17,$B$5,$B$6,$B$7,AG$18,$B$9,AG$16))</f>
        <v>3797</v>
      </c>
      <c r="AH113" s="571"/>
      <c r="AI113" s="571"/>
      <c r="AJ113" s="11"/>
      <c r="AK113" s="11"/>
      <c r="AL113" s="11"/>
      <c r="AM113" s="11"/>
      <c r="AN113" s="11"/>
      <c r="AO113" s="11"/>
    </row>
    <row r="114" spans="1:41" x14ac:dyDescent="0.25">
      <c r="A114" s="65" t="s">
        <v>2</v>
      </c>
      <c r="B114" s="66" t="str">
        <f>IF(_epmOfflineCondition_,"'BCC_CONS'!$B$2:$B$10",_xll.EVRNG($B$2:$B$10))</f>
        <v>'BCC_CONS'!$B$2:$B$10</v>
      </c>
      <c r="C114" s="11"/>
      <c r="D114" s="11"/>
      <c r="E114" s="11"/>
      <c r="F114" s="11"/>
      <c r="G114" s="11"/>
      <c r="H114" s="59" t="s">
        <v>272</v>
      </c>
      <c r="I114" s="136" t="str">
        <f>IF(_epmOfflineCondition_,"T4",_xll.EVPRO($B$1,$H114,"STYLE"))</f>
        <v>T4</v>
      </c>
      <c r="J114" s="136" t="str">
        <f>IF(_epmOfflineCondition_,"Y",_xll.EVPRO($B$1,$H114,"CALC"))</f>
        <v>Y</v>
      </c>
      <c r="K114" s="11"/>
      <c r="L114" s="11"/>
      <c r="M114" s="11"/>
      <c r="N114" s="573" t="s">
        <v>803</v>
      </c>
      <c r="O114" s="101">
        <f>IF(_epmOfflineCondition_,1,IFERROR(_xll.EVGET($B$1,$H114,$B$3,O$17,$B$5,$G132,$B$7,O$18,$B$9,O$16)/O113,0))</f>
        <v>1</v>
      </c>
      <c r="P114" s="101">
        <f>IF(_epmOfflineCondition_,0,IFERROR(_xll.EVGET($B$1,$H114,$B$3,P$17,$B$5,$G132,$B$7,P$18,$B$9,P$16)/P113,0))</f>
        <v>0</v>
      </c>
      <c r="Q114" s="101">
        <f>IF(_epmOfflineCondition_,0.695652173913043,IFERROR(_xll.EVGET($B$1,$H114,$B$3,Q$17,$B$5,$G132,$B$7,Q$18,$B$9,Q$16)/Q113,0))</f>
        <v>0.69565217391304301</v>
      </c>
      <c r="R114" s="101">
        <f>IF(_epmOfflineCondition_,0,IFERROR(_xll.EVGET($B$1,$H114,$B$3,R$17,$B$5,$G132,$B$7,R$18,$B$9,R$16)/R113,0))</f>
        <v>0</v>
      </c>
      <c r="S114" s="101">
        <f>IF(_epmOfflineCondition_,1,IFERROR(_xll.EVGET($B$1,$H114,$B$3,S$17,$B$5,$G132,$B$7,S$18,$B$9,S$16)/S113,0))</f>
        <v>1</v>
      </c>
      <c r="T114" s="101">
        <f>IF(_epmOfflineCondition_,1,IFERROR(_xll.EVGET($B$1,$H114,$B$3,T$17,$B$5,$G132,$B$7,T$18,$B$9,T$16)/T113,0))</f>
        <v>1</v>
      </c>
      <c r="U114" s="101">
        <f>IF(_epmOfflineCondition_,0,IFERROR(_xll.EVGET($B$1,$H114,$B$3,U$17,$B$5,$G132,$B$7,U$18,$B$9,U$16)/U113,0))</f>
        <v>0</v>
      </c>
      <c r="V114" s="101">
        <f>IF(_epmOfflineCondition_,1,IFERROR(_xll.EVGET($B$1,$H114,$B$3,V$17,$B$5,$G132,$B$7,V$18,$B$9,V$16)/V113,0))</f>
        <v>1</v>
      </c>
      <c r="W114" s="101">
        <f>IF(_epmOfflineCondition_,0,IFERROR(_xll.EVGET($B$1,$H114,$B$3,W$17,$B$5,$G132,$B$7,W$18,$B$9,W$16)/W113,0))</f>
        <v>0</v>
      </c>
      <c r="X114" s="101">
        <f>IF(_epmOfflineCondition_,1,IFERROR(_xll.EVGET($B$1,$H114,$B$3,X$17,$B$5,$G132,$B$7,X$18,$B$9,X$16)/X113,0))</f>
        <v>1</v>
      </c>
      <c r="Y114" s="101">
        <f>IF(_epmOfflineCondition_,1,IFERROR(_xll.EVGET($B$1,$H114,$B$3,Y$17,$B$5,$G132,$B$7,Y$18,$B$9,Y$16)/Y113,0))</f>
        <v>1</v>
      </c>
      <c r="Z114" s="101">
        <f>IF(_epmOfflineCondition_,0,IFERROR(_xll.EVGET($B$1,$H114,$B$3,Z$17,$B$5,$G132,$B$7,Z$18,$B$9,Z$16)/Z113,0))</f>
        <v>0</v>
      </c>
      <c r="AA114" s="101">
        <f>IF(_epmOfflineCondition_,0.971182874393926,IFERROR(_xll.EVGET($B$1,$H114,$B$3,AA$17,$B$5,$G132,$B$7,AA$18,$B$9,AA$16)/AA113,0))</f>
        <v>0.97118287439392603</v>
      </c>
      <c r="AB114" s="101"/>
      <c r="AC114" s="101"/>
      <c r="AD114" s="101">
        <f>IF(_epmOfflineCondition_,0.696873346259377,IFERROR(_xll.EVGET($B$1,$H114,$B$3,AD$17,$B$5,$G132,$B$7,AD$18,$B$9,AD$16)/AD113,0))</f>
        <v>0.69687334625937702</v>
      </c>
      <c r="AE114" s="101"/>
      <c r="AF114" s="101"/>
      <c r="AG114" s="101">
        <f>IF(_epmOfflineCondition_,1,IFERROR(_xll.EVGET($B$1,$H114,$B$3,AG$17,$B$5,$G132,$B$7,AG$18,$B$9,AG$16)/AG113,0))</f>
        <v>1</v>
      </c>
      <c r="AH114" s="101"/>
      <c r="AI114" s="101"/>
      <c r="AJ114" s="11"/>
      <c r="AK114" s="11"/>
      <c r="AL114" s="11"/>
      <c r="AM114" s="11"/>
      <c r="AN114" s="11"/>
      <c r="AO114" s="11"/>
    </row>
    <row r="115" spans="1:41" x14ac:dyDescent="0.25">
      <c r="A115" s="65" t="s">
        <v>3</v>
      </c>
      <c r="B115" s="66" t="str">
        <f>IF(_epmOfflineCondition_,"'BCC_CONS'!$O$16:$AN$18",_xll.EVRNG($O$16:$AN$18))</f>
        <v>'BCC_CONS'!$O$16:$AN$18</v>
      </c>
      <c r="C115" s="11"/>
      <c r="D115" s="11"/>
      <c r="E115" s="11"/>
      <c r="F115" s="11"/>
      <c r="G115" s="11"/>
      <c r="H115" s="59" t="s">
        <v>272</v>
      </c>
      <c r="I115" s="136" t="str">
        <f>IF(_epmOfflineCondition_,"T4",_xll.EVPRO($B$1,$H115,"STYLE"))</f>
        <v>T4</v>
      </c>
      <c r="J115" s="136" t="str">
        <f>IF(_epmOfflineCondition_,"Y",_xll.EVPRO($B$1,$H115,"CALC"))</f>
        <v>Y</v>
      </c>
      <c r="K115" s="11"/>
      <c r="L115" s="11"/>
      <c r="M115" s="11"/>
      <c r="N115" s="573" t="s">
        <v>804</v>
      </c>
      <c r="O115" s="101">
        <f>IF(_epmOfflineCondition_,0,IFERROR(_xll.EVGET($B$1,$H115,$B$3,O$17,$B$5,$G133,$B$7,O$18,$B$9,O$16)/O113,0))</f>
        <v>0</v>
      </c>
      <c r="P115" s="101">
        <f>IF(_epmOfflineCondition_,0,IFERROR(_xll.EVGET($B$1,$H115,$B$3,P$17,$B$5,$G133,$B$7,P$18,$B$9,P$16)/P113,0))</f>
        <v>0</v>
      </c>
      <c r="Q115" s="101">
        <f>IF(_epmOfflineCondition_,0.304347826086957,IFERROR(_xll.EVGET($B$1,$H115,$B$3,Q$17,$B$5,$G133,$B$7,Q$18,$B$9,Q$16)/Q113,0))</f>
        <v>0.30434782608695699</v>
      </c>
      <c r="R115" s="101">
        <f>IF(_epmOfflineCondition_,0,IFERROR(_xll.EVGET($B$1,$H115,$B$3,R$17,$B$5,$G133,$B$7,R$18,$B$9,R$16)/R113,0))</f>
        <v>0</v>
      </c>
      <c r="S115" s="101">
        <f>IF(_epmOfflineCondition_,0,IFERROR(_xll.EVGET($B$1,$H115,$B$3,S$17,$B$5,$G133,$B$7,S$18,$B$9,S$16)/S113,0))</f>
        <v>0</v>
      </c>
      <c r="T115" s="101">
        <f>IF(_epmOfflineCondition_,0,IFERROR(_xll.EVGET($B$1,$H115,$B$3,T$17,$B$5,$G133,$B$7,T$18,$B$9,T$16)/T113,0))</f>
        <v>0</v>
      </c>
      <c r="U115" s="101">
        <f>IF(_epmOfflineCondition_,0,IFERROR(_xll.EVGET($B$1,$H115,$B$3,U$17,$B$5,$G133,$B$7,U$18,$B$9,U$16)/U113,0))</f>
        <v>0</v>
      </c>
      <c r="V115" s="101">
        <f>IF(_epmOfflineCondition_,0,IFERROR(_xll.EVGET($B$1,$H115,$B$3,V$17,$B$5,$G133,$B$7,V$18,$B$9,V$16)/V113,0))</f>
        <v>0</v>
      </c>
      <c r="W115" s="101">
        <f>IF(_epmOfflineCondition_,0,IFERROR(_xll.EVGET($B$1,$H115,$B$3,W$17,$B$5,$G133,$B$7,W$18,$B$9,W$16)/W113,0))</f>
        <v>0</v>
      </c>
      <c r="X115" s="101">
        <f>IF(_epmOfflineCondition_,0,IFERROR(_xll.EVGET($B$1,$H115,$B$3,X$17,$B$5,$G133,$B$7,X$18,$B$9,X$16)/X113,0))</f>
        <v>0</v>
      </c>
      <c r="Y115" s="101">
        <f>IF(_epmOfflineCondition_,0,IFERROR(_xll.EVGET($B$1,$H115,$B$3,Y$17,$B$5,$G133,$B$7,Y$18,$B$9,Y$16)/Y113,0))</f>
        <v>0</v>
      </c>
      <c r="Z115" s="101">
        <f>IF(_epmOfflineCondition_,0,IFERROR(_xll.EVGET($B$1,$H115,$B$3,Z$17,$B$5,$G133,$B$7,Z$18,$B$9,Z$16)/Z113,0))</f>
        <v>0</v>
      </c>
      <c r="AA115" s="101">
        <f>IF(_epmOfflineCondition_,0.0288171256060745,IFERROR(_xll.EVGET($B$1,$H115,$B$3,AA$17,$B$5,$G133,$B$7,AA$18,$B$9,AA$16)/AA113,0))</f>
        <v>2.8817125606074499E-2</v>
      </c>
      <c r="AB115" s="101"/>
      <c r="AC115" s="101"/>
      <c r="AD115" s="101">
        <f>IF(_epmOfflineCondition_,0.303126653740623,IFERROR(_xll.EVGET($B$1,$H115,$B$3,AD$17,$B$5,$G133,$B$7,AD$18,$B$9,AD$16)/AD113,0))</f>
        <v>0.30312665374062298</v>
      </c>
      <c r="AE115" s="101"/>
      <c r="AF115" s="101"/>
      <c r="AG115" s="101">
        <f>IF(_epmOfflineCondition_,0,IFERROR(_xll.EVGET($B$1,$H115,$B$3,AG$17,$B$5,$G133,$B$7,AG$18,$B$9,AG$16)/AG113,0))</f>
        <v>0</v>
      </c>
      <c r="AH115" s="101"/>
      <c r="AI115" s="101"/>
      <c r="AJ115" s="11"/>
      <c r="AK115" s="11"/>
      <c r="AL115" s="11"/>
      <c r="AM115" s="11"/>
      <c r="AN115" s="11"/>
      <c r="AO115" s="11"/>
    </row>
    <row r="116" spans="1:41" x14ac:dyDescent="0.25">
      <c r="A116" s="65" t="s">
        <v>4</v>
      </c>
      <c r="B116" s="66" t="str">
        <f>IF(_epmOfflineCondition_,"'BCC_CONS'!$H$97:$H$100",_xll.EVRNG(H97:H100))</f>
        <v>'BCC_CONS'!$H$97:$H$100</v>
      </c>
      <c r="C116" s="11"/>
      <c r="D116" s="11"/>
      <c r="E116" s="11"/>
      <c r="F116" s="11"/>
      <c r="G116" s="11"/>
      <c r="H116" s="11"/>
      <c r="I116" s="267"/>
      <c r="J116" s="11"/>
      <c r="K116" s="267"/>
      <c r="L116" s="267"/>
      <c r="M116" s="267"/>
      <c r="N116" s="11"/>
      <c r="O116" s="267"/>
      <c r="P116" s="267"/>
      <c r="Q116" s="267"/>
      <c r="R116" s="267"/>
      <c r="S116" s="267"/>
      <c r="T116" s="267"/>
      <c r="U116" s="267"/>
      <c r="V116" s="267"/>
      <c r="W116" s="267"/>
      <c r="X116" s="267"/>
      <c r="Y116" s="267"/>
      <c r="Z116" s="267"/>
      <c r="AA116" s="267"/>
      <c r="AB116" s="11"/>
      <c r="AC116" s="11"/>
      <c r="AD116" s="267"/>
      <c r="AE116" s="11"/>
      <c r="AF116" s="267"/>
      <c r="AG116" s="11"/>
      <c r="AH116" s="267"/>
      <c r="AI116" s="11"/>
      <c r="AJ116" s="11"/>
      <c r="AK116" s="11"/>
      <c r="AL116" s="11"/>
      <c r="AM116" s="11"/>
      <c r="AN116" s="11"/>
      <c r="AO116" s="11"/>
    </row>
    <row r="117" spans="1:41" x14ac:dyDescent="0.25">
      <c r="A117" s="65" t="s">
        <v>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47</v>
      </c>
      <c r="B120" s="66" t="str">
        <f>IF(_epmOfflineCondition_,"'BCC_CONS'!$A$125:$B$130",_xll.EVRNG($A$125:$B$130))</f>
        <v>'BCC_CONS'!$A$125:$B$130</v>
      </c>
      <c r="C120" s="11"/>
      <c r="D120" s="11"/>
      <c r="E120" s="11"/>
      <c r="F120" s="11"/>
      <c r="G120" s="11"/>
      <c r="H120" s="11"/>
      <c r="I120" s="267"/>
      <c r="J120" s="11"/>
      <c r="K120" s="267"/>
      <c r="L120" s="267"/>
      <c r="M120" s="267"/>
      <c r="N120" s="11"/>
      <c r="O120" s="267"/>
      <c r="P120" s="267"/>
      <c r="Q120" s="267"/>
      <c r="R120" s="267"/>
      <c r="S120" s="267"/>
      <c r="T120" s="267"/>
      <c r="U120" s="267"/>
      <c r="V120" s="267"/>
      <c r="W120" s="267"/>
      <c r="X120" s="267"/>
      <c r="Y120" s="267"/>
      <c r="Z120" s="267"/>
      <c r="AA120" s="267"/>
      <c r="AB120" s="11"/>
      <c r="AC120" s="11"/>
      <c r="AD120" s="267"/>
      <c r="AE120" s="11"/>
      <c r="AF120" s="267"/>
      <c r="AG120" s="11"/>
      <c r="AH120" s="267"/>
      <c r="AI120" s="11"/>
      <c r="AJ120" s="11"/>
      <c r="AK120" s="11"/>
      <c r="AL120" s="11"/>
      <c r="AM120" s="11"/>
      <c r="AN120" s="11"/>
      <c r="AO120" s="11"/>
    </row>
    <row r="121" spans="1:41" x14ac:dyDescent="0.2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28</v>
      </c>
      <c r="B125" s="66"/>
      <c r="C125" s="11"/>
      <c r="D125" s="11"/>
      <c r="E125" s="11"/>
      <c r="F125" s="11"/>
      <c r="G125" s="59"/>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29</v>
      </c>
      <c r="B126" s="66"/>
      <c r="C126" s="11"/>
      <c r="D126" s="11"/>
      <c r="E126" s="11"/>
      <c r="F126" s="11"/>
      <c r="G126" s="59" t="s">
        <v>805</v>
      </c>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30</v>
      </c>
      <c r="B127" s="66" t="s">
        <v>78</v>
      </c>
      <c r="C127" s="11"/>
      <c r="D127" s="11"/>
      <c r="E127" s="11"/>
      <c r="F127" s="11"/>
      <c r="G127" s="59" t="s">
        <v>806</v>
      </c>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31</v>
      </c>
      <c r="B128" s="66" t="s">
        <v>78</v>
      </c>
      <c r="C128" s="11"/>
      <c r="D128" s="11"/>
      <c r="E128" s="11"/>
      <c r="F128" s="11"/>
      <c r="G128" s="59"/>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32</v>
      </c>
      <c r="B129" s="66"/>
      <c r="C129" s="11"/>
      <c r="D129" s="11"/>
      <c r="E129" s="11"/>
      <c r="F129" s="11"/>
      <c r="G129" s="59" t="s">
        <v>805</v>
      </c>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hidden="1" outlineLevel="1" x14ac:dyDescent="0.25">
      <c r="A130" s="65" t="s">
        <v>33</v>
      </c>
      <c r="B130" s="66"/>
      <c r="C130" s="11"/>
      <c r="D130" s="11"/>
      <c r="E130" s="11"/>
      <c r="F130" s="11"/>
      <c r="G130" s="59" t="s">
        <v>806</v>
      </c>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hidden="1" outlineLevel="1" x14ac:dyDescent="0.25">
      <c r="A131" s="11"/>
      <c r="B131" s="11"/>
      <c r="C131" s="11"/>
      <c r="D131" s="11"/>
      <c r="E131" s="11"/>
      <c r="F131" s="11"/>
      <c r="G131" s="59"/>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collapsed="1" x14ac:dyDescent="0.25">
      <c r="A132" s="11"/>
      <c r="B132" s="11"/>
      <c r="C132" s="11"/>
      <c r="D132" s="11"/>
      <c r="E132" s="11"/>
      <c r="F132" s="11"/>
      <c r="G132" s="59" t="s">
        <v>805</v>
      </c>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11"/>
      <c r="B133" s="11"/>
      <c r="C133" s="11"/>
      <c r="D133" s="11"/>
      <c r="E133" s="11"/>
      <c r="F133" s="11"/>
      <c r="G133" s="59" t="s">
        <v>806</v>
      </c>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sheetData>
  <sheetProtection algorithmName="SHA-512" hashValue="pb5pmZDAA36H5Fbr5uCEMGCIlWy0vHUrw7RaOmeT3NxH7l4M84jLqjYLI1i5zX7xUVqF+zQDq760pxde+ZPZew==" saltValue="Vdq/d68pNc64nBSNL5t+vg==" spinCount="100000" sheet="1" scenarios="1"/>
  <mergeCells count="2">
    <mergeCell ref="AD31:AE31"/>
    <mergeCell ref="AG31:AH31"/>
  </mergeCells>
  <dataValidations count="2">
    <dataValidation type="list" allowBlank="1" sqref="B94 B28 B61" xr:uid="{00000000-0002-0000-1700-000000000000}">
      <formula1>"ACCOUNT,BUSINESSUNIT,CATEGORY,DATASRC,DEPARTMENT,INTCO,MEASURES,RPTCURRENCY,TIME"</formula1>
    </dataValidation>
    <dataValidation type="list" allowBlank="1" sqref="B95 B29 B62" xr:uid="{00000000-0002-0000-1700-000001000000}">
      <formula1>"SELF,ALL,BAS,DEP,BASMEMBERS,MEMBERS,NOEXPAND,GDEP"</formula1>
    </dataValidation>
  </dataValidations>
  <pageMargins left="0.25" right="0.25" top="0.5" bottom="0.5" header="0.3" footer="0.3"/>
  <pageSetup scale="49"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4133" r:id="rId7" name="FPMExcelClientSheetOptionstb1">
          <controlPr defaultSize="0" autoLine="0" autoPict="0" r:id="rId8">
            <anchor moveWithCells="1" sizeWithCells="1">
              <from>
                <xdr:col>0</xdr:col>
                <xdr:colOff>0</xdr:colOff>
                <xdr:row>0</xdr:row>
                <xdr:rowOff>0</xdr:rowOff>
              </from>
              <to>
                <xdr:col>1</xdr:col>
                <xdr:colOff>19050</xdr:colOff>
                <xdr:row>0</xdr:row>
                <xdr:rowOff>9525</xdr:rowOff>
              </to>
            </anchor>
          </controlPr>
        </control>
      </mc:Choice>
      <mc:Fallback>
        <control shapeId="304133" r:id="rId7" name="FPMExcelClientSheetOptionstb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1">
    <tabColor theme="6" tint="0.39997558519241921"/>
    <pageSetUpPr fitToPage="1"/>
  </sheetPr>
  <dimension ref="A1:AI207"/>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347</v>
      </c>
      <c r="C6" s="11" t="str">
        <f>IF(_epmOfflineCondition_,"Banquet-Catering &amp; CS",_xll.EVDES(B6,$B$1))</f>
        <v>Banquet-Catering &amp; CS</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IF(_epmOfflineCondition_,"'BCC_CONS_KPI'!$B$2:$B$10",_xll.EVRNG($B$2:$B$10))</f>
        <v>'BCC_CONS_KPI'!$B$2:$B$10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IF(_epmOfflineCondition_,"'BCC_CONS_KPI'!$O$16:$AI$18",_xll.EVRNG(O16:AI18))</f>
        <v>'BCC_CONS_KPI'!$O$16:$AI$18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IF(_epmOfflineCondition_,"'BCC_CONS_KPI'!$H$35:$H$142",_xll.EVRNG(H35:H142))</f>
        <v>'BCC_CONS_KPI'!$H$35:$H$142</v>
      </c>
      <c r="C19" s="11"/>
      <c r="D19" s="11"/>
      <c r="E19" s="11"/>
      <c r="F19" s="11"/>
      <c r="G19" s="67" t="str">
        <f>$B$6</f>
        <v>D_BCC_CON</v>
      </c>
      <c r="H19" s="67" t="s">
        <v>273</v>
      </c>
      <c r="I19" s="68"/>
      <c r="J19" s="68"/>
      <c r="K19" s="67"/>
      <c r="L19" s="67"/>
      <c r="M19" s="67"/>
      <c r="N19" s="67" t="str">
        <f>IF(_epmOfflineCondition_,"Total Food &amp; Beverage Revenue",_xll.EVDES(H19))</f>
        <v>Total Food &amp; Beverage Revenue</v>
      </c>
      <c r="O19" s="69">
        <f>IF(_epmOfflineCondition_,14877,_xll.EVGTS($B$1,1,$B$3,$B$5,$B$7,$B$9,O$16,O$17,O$18,$G$19,$H$19))</f>
        <v>14877</v>
      </c>
      <c r="P19" s="69">
        <f>IF(_epmOfflineCondition_,34594,_xll.EVGTS($B$1,1,$B$3,$B$5,$B$7,$B$9,P$16,P$17,P$18,$G$19,$H$19))</f>
        <v>34594</v>
      </c>
      <c r="Q19" s="69">
        <f>IF(_epmOfflineCondition_,51548,_xll.EVGTS($B$1,1,$B$3,$B$5,$B$7,$B$9,Q$16,Q$17,Q$18,$G$19,$H$19))</f>
        <v>51548</v>
      </c>
      <c r="R19" s="69">
        <f>IF(_epmOfflineCondition_,27033,_xll.EVGTS($B$1,1,$B$3,$B$5,$B$7,$B$9,R$16,R$17,R$18,$G$19,$H$19))</f>
        <v>27033</v>
      </c>
      <c r="S19" s="69">
        <f>IF(_epmOfflineCondition_,17881.16,_xll.EVGTS($B$1,1,$B$3,$B$5,$B$7,$B$9,S$16,S$17,S$18,$G$19,$H$19))</f>
        <v>17881.16</v>
      </c>
      <c r="T19" s="69">
        <f>IF(_epmOfflineCondition_,18557,_xll.EVGTS($B$1,1,$B$3,$B$5,$B$7,$B$9,T$16,T$17,T$18,$G$19,$H$19))</f>
        <v>18557</v>
      </c>
      <c r="U19" s="69">
        <f>IF(_epmOfflineCondition_,13125,_xll.EVGTS($B$1,1,$B$3,$B$5,$B$7,$B$9,U$16,U$17,U$18,$G$19,$H$19))</f>
        <v>13125</v>
      </c>
      <c r="V19" s="69">
        <f>IF(_epmOfflineCondition_,8678.77,_xll.EVGTS($B$1,1,$B$3,$B$5,$B$7,$B$9,V$16,V$17,V$18,$G$19,$H$19))</f>
        <v>8678.77</v>
      </c>
      <c r="W19" s="69">
        <f>IF(_epmOfflineCondition_,2340,_xll.EVGTS($B$1,1,$B$3,$B$5,$B$7,$B$9,W$16,W$17,W$18,$G$19,$H$19))</f>
        <v>2340</v>
      </c>
      <c r="X19" s="69">
        <f>IF(_epmOfflineCondition_,15778,_xll.EVGTS($B$1,1,$B$3,$B$5,$B$7,$B$9,X$16,X$17,X$18,$G$19,$H$19))</f>
        <v>15778</v>
      </c>
      <c r="Y19" s="69">
        <f>IF(_epmOfflineCondition_,39275,_xll.EVGTS($B$1,1,$B$3,$B$5,$B$7,$B$9,Y$16,Y$17,Y$18,$G$19,$H$19))</f>
        <v>39275</v>
      </c>
      <c r="Z19" s="69">
        <f>IF(_epmOfflineCondition_,10700,_xll.EVGTS($B$1,1,$B$3,$B$5,$B$7,$B$9,Z$16,Z$17,Z$18,$G$19,$H$19))</f>
        <v>10700</v>
      </c>
      <c r="AA19" s="69">
        <f>SUM(O19:Z19)</f>
        <v>254386.93</v>
      </c>
      <c r="AB19" s="67"/>
      <c r="AC19" s="67"/>
      <c r="AD19" s="69">
        <f>IF(_epmOfflineCondition_,114498.340003996,_xll.EVGTS($B$1,1,$B$3,$B$5,$B$7,$B$9,AD$16,AD$17,AD$18,$G$19,$H$19))</f>
        <v>114498.340003996</v>
      </c>
      <c r="AE19" s="67"/>
      <c r="AF19" s="67"/>
      <c r="AG19" s="69">
        <f>IF(_epmOfflineCondition_,50276.7,_xll.EVGTS($B$1,1,$B$3,$B$5,$B$7,$B$9,AG$16,AG$17,AG$18,$G$19,$H$19))</f>
        <v>50276.7</v>
      </c>
      <c r="AH19" s="67"/>
      <c r="AI19" s="67"/>
    </row>
    <row r="20" spans="1:35" hidden="1" outlineLevel="1" x14ac:dyDescent="0.25">
      <c r="A20" s="65" t="s">
        <v>5</v>
      </c>
      <c r="B20" s="66"/>
      <c r="C20" s="11"/>
      <c r="D20" s="11"/>
      <c r="E20" s="11"/>
      <c r="F20" s="11"/>
      <c r="G20" s="67" t="str">
        <f>$B$6</f>
        <v>D_BCC_CON</v>
      </c>
      <c r="H20" s="67">
        <v>946000</v>
      </c>
      <c r="I20" s="68"/>
      <c r="J20" s="68"/>
      <c r="K20" s="67"/>
      <c r="L20" s="67"/>
      <c r="M20" s="67"/>
      <c r="N20" s="67" t="str">
        <f>IF(_epmOfflineCondition_,"Total Customers",_xll.EVDES(H20))</f>
        <v>Total Customers</v>
      </c>
      <c r="O20" s="69">
        <f>IF(_epmOfflineCondition_,227,_xll.EVGTS($B$1,1,$B$3,$B$5,$B$7,$B$9,O$16,O$17,O$18,$G$20,$H$20))</f>
        <v>227</v>
      </c>
      <c r="P20" s="69">
        <f>IF(_epmOfflineCondition_,419,_xll.EVGTS($B$1,1,$B$3,$B$5,$B$7,$B$9,P$16,P$17,P$18,$G$20,$H$20))</f>
        <v>419</v>
      </c>
      <c r="Q20" s="69">
        <f>IF(_epmOfflineCondition_,646,_xll.EVGTS($B$1,1,$B$3,$B$5,$B$7,$B$9,Q$16,Q$17,Q$18,$G$20,$H$20))</f>
        <v>646</v>
      </c>
      <c r="R20" s="69">
        <f>IF(_epmOfflineCondition_,388,_xll.EVGTS($B$1,1,$B$3,$B$5,$B$7,$B$9,R$16,R$17,R$18,$G$20,$H$20))</f>
        <v>388</v>
      </c>
      <c r="S20" s="69">
        <f>IF(_epmOfflineCondition_,201,_xll.EVGTS($B$1,1,$B$3,$B$5,$B$7,$B$9,S$16,S$17,S$18,$G$20,$H$20))</f>
        <v>201</v>
      </c>
      <c r="T20" s="69">
        <f>IF(_epmOfflineCondition_,347,_xll.EVGTS($B$1,1,$B$3,$B$5,$B$7,$B$9,T$16,T$17,T$18,$G$20,$H$20))</f>
        <v>347</v>
      </c>
      <c r="U20" s="69">
        <f>IF(_epmOfflineCondition_,222,_xll.EVGTS($B$1,1,$B$3,$B$5,$B$7,$B$9,U$16,U$17,U$18,$G$20,$H$20))</f>
        <v>222</v>
      </c>
      <c r="V20" s="69">
        <f>IF(_epmOfflineCondition_,177,_xll.EVGTS($B$1,1,$B$3,$B$5,$B$7,$B$9,V$16,V$17,V$18,$G$20,$H$20))</f>
        <v>177</v>
      </c>
      <c r="W20" s="69">
        <f>IF(_epmOfflineCondition_,50,_xll.EVGTS($B$1,1,$B$3,$B$5,$B$7,$B$9,W$16,W$17,W$18,$G$20,$H$20))</f>
        <v>50</v>
      </c>
      <c r="X20" s="69">
        <f>IF(_epmOfflineCondition_,236,_xll.EVGTS($B$1,1,$B$3,$B$5,$B$7,$B$9,X$16,X$17,X$18,$G$20,$H$20))</f>
        <v>236</v>
      </c>
      <c r="Y20" s="69">
        <f>IF(_epmOfflineCondition_,1008,_xll.EVGTS($B$1,1,$B$3,$B$5,$B$7,$B$9,Y$16,Y$17,Y$18,$G$20,$H$20))</f>
        <v>1008</v>
      </c>
      <c r="Z20" s="69">
        <f>IF(_epmOfflineCondition_,337,_xll.EVGTS($B$1,1,$B$3,$B$5,$B$7,$B$9,Z$16,Z$17,Z$18,$G$20,$H$20))</f>
        <v>337</v>
      </c>
      <c r="AA20" s="69">
        <f>SUM(O20:Z20)</f>
        <v>4258</v>
      </c>
      <c r="AB20" s="67"/>
      <c r="AC20" s="67"/>
      <c r="AD20" s="69">
        <f>IF(_epmOfflineCondition_,1908.54234854,_xll.EVGTS($B$1,1,$B$3,$B$5,$B$7,$B$9,AD$16,AD$17,AD$18,$G$20,$H$20))</f>
        <v>1908.5423485399999</v>
      </c>
      <c r="AE20" s="67"/>
      <c r="AF20" s="67"/>
      <c r="AG20" s="69">
        <f>IF(_epmOfflineCondition_,752,_xll.EVGTS($B$1,1,$B$3,$B$5,$B$7,$B$9,AG$16,AG$17,AG$18,$G$20,$H$20))</f>
        <v>752</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IF(_epmOfflineCondition_,"'BCC_CONS_KPI'!$A$37:$B$58",_xll.EVRNG($A$37:$B$58))</f>
        <v>'BCC_CONS_KPI'!$A$37:$B$58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IF(_epmOfflineCondition_,"Banquet-Catering &amp; CS Department",IF($N$1="",IF(_xll.EVDES(B6,$B$1)="#NODATA","",_xll.EVDES(B6,$B$1)&amp;" Department"),$N$1))</f>
        <v>Banquet-Catering &amp; CS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v>6627</v>
      </c>
      <c r="P35" s="138">
        <v>818</v>
      </c>
      <c r="Q35" s="138">
        <v>12524</v>
      </c>
      <c r="R35" s="138">
        <v>2056</v>
      </c>
      <c r="S35" s="138"/>
      <c r="T35" s="138"/>
      <c r="U35" s="138"/>
      <c r="V35" s="138"/>
      <c r="W35" s="138"/>
      <c r="X35" s="138"/>
      <c r="Y35" s="138"/>
      <c r="Z35" s="138"/>
      <c r="AA35" s="138">
        <f t="shared" ref="AA35:AA41" si="0">SUM(O35:Z35)</f>
        <v>22025</v>
      </c>
      <c r="AB35" s="142">
        <f>IF(AA35=0,"",IFERROR(AA35/AA$19,""))</f>
        <v>8.6580706013473258E-2</v>
      </c>
      <c r="AC35" s="140"/>
      <c r="AD35" s="138">
        <v>17900.400000000001</v>
      </c>
      <c r="AE35" s="142">
        <f>IF(AD35=0,"",IFERROR(AD35/AD$19,""))</f>
        <v>0.1563376377279817</v>
      </c>
      <c r="AF35" s="141">
        <f t="shared" ref="AF35:AF42" si="1">IF(AND($AA35="",AD35=""),"",$AA35-AD35)</f>
        <v>4124.5999999999985</v>
      </c>
      <c r="AG35" s="138">
        <v>7916</v>
      </c>
      <c r="AH35" s="142">
        <f>IF(AG35=0,"",IFERROR(AG35/AG$19,""))</f>
        <v>0.1574486790103567</v>
      </c>
      <c r="AI35" s="141">
        <f t="shared" ref="AI35:AI42" si="2">IF(AND($AA35="",AG35=""),"",$AA35-AG35)</f>
        <v>14109</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c r="P36" s="138"/>
      <c r="Q36" s="138"/>
      <c r="R36" s="138"/>
      <c r="S36" s="138"/>
      <c r="T36" s="138"/>
      <c r="U36" s="138"/>
      <c r="V36" s="138"/>
      <c r="W36" s="138"/>
      <c r="X36" s="138"/>
      <c r="Y36" s="138"/>
      <c r="Z36" s="138"/>
      <c r="AA36" s="138">
        <f t="shared" si="0"/>
        <v>0</v>
      </c>
      <c r="AB36" s="142" t="str">
        <f>IF(AA36=0,"",IFERROR(AA36/AA$19,""))</f>
        <v/>
      </c>
      <c r="AC36" s="140"/>
      <c r="AD36" s="138"/>
      <c r="AE36" s="142" t="str">
        <f>IF(AD36=0,"",IFERROR(AD36/AD$19,""))</f>
        <v/>
      </c>
      <c r="AF36" s="141">
        <f t="shared" si="1"/>
        <v>0</v>
      </c>
      <c r="AG36" s="138"/>
      <c r="AH36" s="142" t="str">
        <f>IF(AG36=0,"",IFERROR(AG36/AG$19,""))</f>
        <v/>
      </c>
      <c r="AI36" s="141">
        <f t="shared" si="2"/>
        <v>0</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c r="P37" s="138"/>
      <c r="Q37" s="138"/>
      <c r="R37" s="138"/>
      <c r="S37" s="138"/>
      <c r="T37" s="138"/>
      <c r="U37" s="138"/>
      <c r="V37" s="138"/>
      <c r="W37" s="138"/>
      <c r="X37" s="138"/>
      <c r="Y37" s="138"/>
      <c r="Z37" s="138"/>
      <c r="AA37" s="138">
        <f t="shared" si="0"/>
        <v>0</v>
      </c>
      <c r="AB37" s="142" t="str">
        <f>IF(AA37=0,"",IFERROR(AA37/AA$19,""))</f>
        <v/>
      </c>
      <c r="AC37" s="140"/>
      <c r="AD37" s="138"/>
      <c r="AE37" s="142" t="str">
        <f>IF(AD37=0,"",IFERROR(AD37/AD$19,""))</f>
        <v/>
      </c>
      <c r="AF37" s="141">
        <f t="shared" si="1"/>
        <v>0</v>
      </c>
      <c r="AG37" s="138"/>
      <c r="AH37" s="142" t="str">
        <f>IF(AG37=0,"",IFERROR(AG37/AG$19,""))</f>
        <v/>
      </c>
      <c r="AI37" s="141">
        <f t="shared" si="2"/>
        <v>0</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c r="P38" s="215"/>
      <c r="Q38" s="215"/>
      <c r="R38" s="215"/>
      <c r="S38" s="215"/>
      <c r="T38" s="215"/>
      <c r="U38" s="215"/>
      <c r="V38" s="215"/>
      <c r="W38" s="215"/>
      <c r="X38" s="215"/>
      <c r="Y38" s="215"/>
      <c r="Z38" s="215"/>
      <c r="AA38" s="215">
        <f t="shared" si="0"/>
        <v>0</v>
      </c>
      <c r="AB38" s="217" t="str">
        <f>IF(AA38=0,"",IFERROR(AA38/AA$19,""))</f>
        <v/>
      </c>
      <c r="AC38" s="140"/>
      <c r="AD38" s="215"/>
      <c r="AE38" s="217" t="str">
        <f>IF(AD38=0,"",IFERROR(AD38/AD$19,""))</f>
        <v/>
      </c>
      <c r="AF38" s="218">
        <f t="shared" si="1"/>
        <v>0</v>
      </c>
      <c r="AG38" s="215"/>
      <c r="AH38" s="217" t="str">
        <f>IF(AG38=0,"",IFERROR(AG38/AG$19,""))</f>
        <v/>
      </c>
      <c r="AI38" s="218">
        <f t="shared" si="2"/>
        <v>0</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v>6627</v>
      </c>
      <c r="P39" s="162">
        <v>818</v>
      </c>
      <c r="Q39" s="162">
        <v>12524</v>
      </c>
      <c r="R39" s="162">
        <v>2056</v>
      </c>
      <c r="S39" s="162"/>
      <c r="T39" s="162"/>
      <c r="U39" s="162"/>
      <c r="V39" s="162"/>
      <c r="W39" s="162"/>
      <c r="X39" s="162"/>
      <c r="Y39" s="162"/>
      <c r="Z39" s="162"/>
      <c r="AA39" s="162">
        <f t="shared" si="0"/>
        <v>22025</v>
      </c>
      <c r="AB39" s="163">
        <f>IF(AA39=0,"",IFERROR(AA39/AA$19,""))</f>
        <v>8.6580706013473258E-2</v>
      </c>
      <c r="AC39" s="140"/>
      <c r="AD39" s="162">
        <v>17900.400000000001</v>
      </c>
      <c r="AE39" s="163">
        <f>IF(AD39=0,"",IFERROR(AD39/AD$19,""))</f>
        <v>0.1563376377279817</v>
      </c>
      <c r="AF39" s="164">
        <f t="shared" si="1"/>
        <v>4124.5999999999985</v>
      </c>
      <c r="AG39" s="162">
        <v>7916</v>
      </c>
      <c r="AH39" s="163">
        <f>IF(AG39=0,"",IFERROR(AG39/AG$19,""))</f>
        <v>0.1574486790103567</v>
      </c>
      <c r="AI39" s="164">
        <f t="shared" si="2"/>
        <v>14109</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v>8</v>
      </c>
      <c r="P40" s="231">
        <v>4</v>
      </c>
      <c r="Q40" s="231">
        <v>7</v>
      </c>
      <c r="R40" s="231">
        <v>2</v>
      </c>
      <c r="S40" s="231"/>
      <c r="T40" s="231"/>
      <c r="U40" s="231"/>
      <c r="V40" s="231"/>
      <c r="W40" s="231"/>
      <c r="X40" s="231"/>
      <c r="Y40" s="231"/>
      <c r="Z40" s="231"/>
      <c r="AA40" s="231">
        <f t="shared" si="0"/>
        <v>21</v>
      </c>
      <c r="AB40" s="233"/>
      <c r="AC40" s="140"/>
      <c r="AD40" s="231"/>
      <c r="AE40" s="233"/>
      <c r="AF40" s="234">
        <f t="shared" si="1"/>
        <v>21</v>
      </c>
      <c r="AG40" s="231">
        <v>9</v>
      </c>
      <c r="AH40" s="233"/>
      <c r="AI40" s="234">
        <f t="shared" si="2"/>
        <v>12</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v>114</v>
      </c>
      <c r="P41" s="231"/>
      <c r="Q41" s="231">
        <v>93</v>
      </c>
      <c r="R41" s="231">
        <v>7</v>
      </c>
      <c r="S41" s="231"/>
      <c r="T41" s="231"/>
      <c r="U41" s="231"/>
      <c r="V41" s="231"/>
      <c r="W41" s="231"/>
      <c r="X41" s="231"/>
      <c r="Y41" s="231"/>
      <c r="Z41" s="231"/>
      <c r="AA41" s="231">
        <f t="shared" si="0"/>
        <v>214</v>
      </c>
      <c r="AB41" s="233">
        <f>IF(AA41=0,"",IFERROR(AA41/AA$84,""))</f>
        <v>5.0258337247534056E-2</v>
      </c>
      <c r="AC41" s="140"/>
      <c r="AD41" s="231">
        <v>511.44</v>
      </c>
      <c r="AE41" s="233">
        <f>IF(AD41=0,"",IFERROR(AD41/AD$84,""))</f>
        <v>0.26797414287990112</v>
      </c>
      <c r="AF41" s="234">
        <f t="shared" si="1"/>
        <v>-297.44</v>
      </c>
      <c r="AG41" s="231">
        <v>141</v>
      </c>
      <c r="AH41" s="233">
        <f>IF(AG41=0,"",IFERROR(AG41/AG$84,""))</f>
        <v>0.1875</v>
      </c>
      <c r="AI41" s="234">
        <f t="shared" si="2"/>
        <v>73</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v>58.131578947368403</v>
      </c>
      <c r="P42" s="495"/>
      <c r="Q42" s="495">
        <v>134.666666666667</v>
      </c>
      <c r="R42" s="495">
        <v>293.71428571428601</v>
      </c>
      <c r="S42" s="495"/>
      <c r="T42" s="495"/>
      <c r="U42" s="495"/>
      <c r="V42" s="495"/>
      <c r="W42" s="495"/>
      <c r="X42" s="495"/>
      <c r="Y42" s="495"/>
      <c r="Z42" s="495"/>
      <c r="AA42" s="495">
        <f>IFERROR(AA39/AA41,"")</f>
        <v>102.92056074766356</v>
      </c>
      <c r="AB42" s="495"/>
      <c r="AC42" s="140"/>
      <c r="AD42" s="495">
        <v>35</v>
      </c>
      <c r="AE42" s="495"/>
      <c r="AF42" s="496">
        <f t="shared" si="1"/>
        <v>67.920560747663558</v>
      </c>
      <c r="AG42" s="495">
        <v>56.141843971631197</v>
      </c>
      <c r="AH42" s="495"/>
      <c r="AI42" s="496">
        <f t="shared" si="2"/>
        <v>46.778716776032361</v>
      </c>
    </row>
    <row r="43" spans="1:35" x14ac:dyDescent="0.25">
      <c r="A43" s="65" t="s">
        <v>31</v>
      </c>
      <c r="B43" s="66" t="s">
        <v>78</v>
      </c>
      <c r="C43" s="11"/>
      <c r="D43" s="11"/>
      <c r="E43" s="11"/>
      <c r="F43" s="11"/>
      <c r="G43" s="11"/>
      <c r="H43" s="88"/>
      <c r="I43" s="122"/>
      <c r="J43" s="122"/>
      <c r="K43" s="90"/>
      <c r="L43" s="90"/>
      <c r="M43" s="90"/>
      <c r="N43" s="491" t="s">
        <v>345</v>
      </c>
      <c r="O43" s="497">
        <f t="shared" ref="O43:AA43" si="3">ROUND(IFERROR(O39/O41,0),2)</f>
        <v>58.13</v>
      </c>
      <c r="P43" s="498">
        <f t="shared" si="3"/>
        <v>0</v>
      </c>
      <c r="Q43" s="498">
        <f t="shared" si="3"/>
        <v>134.66999999999999</v>
      </c>
      <c r="R43" s="498">
        <f t="shared" si="3"/>
        <v>293.70999999999998</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102.92</v>
      </c>
      <c r="AB43" s="499"/>
      <c r="AC43" s="140"/>
      <c r="AD43" s="497">
        <f>ROUND(IFERROR(AD39/AD41,0),2)</f>
        <v>35</v>
      </c>
      <c r="AE43" s="498"/>
      <c r="AF43" s="155"/>
      <c r="AG43" s="497">
        <f>ROUND(IFERROR(AG39/AG41,0),2)</f>
        <v>56.14</v>
      </c>
      <c r="AH43" s="498"/>
      <c r="AI43" s="155"/>
    </row>
    <row r="44" spans="1:35" x14ac:dyDescent="0.25">
      <c r="A44" s="65" t="s">
        <v>32</v>
      </c>
      <c r="B44" s="66"/>
      <c r="C44" s="11"/>
      <c r="D44" s="11"/>
      <c r="E44" s="11"/>
      <c r="F44" s="11"/>
      <c r="G44" s="490">
        <f>COUNTIF(O44:AI44,FALSE)</f>
        <v>0</v>
      </c>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v>4920</v>
      </c>
      <c r="P45" s="138">
        <v>12843</v>
      </c>
      <c r="Q45" s="138">
        <v>36333</v>
      </c>
      <c r="R45" s="138">
        <v>24977</v>
      </c>
      <c r="S45" s="138">
        <v>17029.16</v>
      </c>
      <c r="T45" s="138">
        <v>18301</v>
      </c>
      <c r="U45" s="138">
        <v>13125</v>
      </c>
      <c r="V45" s="138">
        <v>7803.77</v>
      </c>
      <c r="W45" s="138">
        <v>2340</v>
      </c>
      <c r="X45" s="138">
        <v>7178</v>
      </c>
      <c r="Y45" s="138">
        <v>15223</v>
      </c>
      <c r="Z45" s="138">
        <v>11200</v>
      </c>
      <c r="AA45" s="138">
        <f t="shared" ref="AA45:AA51" si="5">SUM(O45:Z45)</f>
        <v>171272.93</v>
      </c>
      <c r="AB45" s="142">
        <f>IF(AA45=0,"",IFERROR(AA45/AA$19,""))</f>
        <v>0.67327723951855545</v>
      </c>
      <c r="AC45" s="140"/>
      <c r="AD45" s="138">
        <v>28735.6500011588</v>
      </c>
      <c r="AE45" s="142">
        <f>IF(AD45=0,"",IFERROR(AD45/AD$19,""))</f>
        <v>0.2509700140644478</v>
      </c>
      <c r="AF45" s="141">
        <f t="shared" ref="AF45:AF52" si="6">IF(AND($AA45="",AD45=""),"",$AA45-AD45)</f>
        <v>142537.2799988412</v>
      </c>
      <c r="AG45" s="138">
        <v>9588</v>
      </c>
      <c r="AH45" s="142">
        <f>IF(AG45=0,"",IFERROR(AG45/AG$19,""))</f>
        <v>0.19070464051936584</v>
      </c>
      <c r="AI45" s="141">
        <f t="shared" ref="AI45:AI52" si="7">IF(AND($AA45="",AG45=""),"",$AA45-AG45)</f>
        <v>161684.93</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c r="P46" s="138"/>
      <c r="Q46" s="138">
        <v>1003</v>
      </c>
      <c r="R46" s="138"/>
      <c r="S46" s="138">
        <v>660</v>
      </c>
      <c r="T46" s="138">
        <v>96</v>
      </c>
      <c r="U46" s="138"/>
      <c r="V46" s="138">
        <v>782</v>
      </c>
      <c r="W46" s="138"/>
      <c r="X46" s="138"/>
      <c r="Y46" s="138">
        <v>1600</v>
      </c>
      <c r="Z46" s="138"/>
      <c r="AA46" s="138">
        <f t="shared" si="5"/>
        <v>4141</v>
      </c>
      <c r="AB46" s="142">
        <f>IF(AA46=0,"",IFERROR(AA46/AA$19,""))</f>
        <v>1.6278352036403758E-2</v>
      </c>
      <c r="AC46" s="140"/>
      <c r="AD46" s="138">
        <v>764.35000005619997</v>
      </c>
      <c r="AE46" s="142">
        <f>IF(AD46=0,"",IFERROR(AD46/AD$19,""))</f>
        <v>6.6756426340287911E-3</v>
      </c>
      <c r="AF46" s="141">
        <f t="shared" si="6"/>
        <v>3376.6499999438001</v>
      </c>
      <c r="AG46" s="138">
        <v>772</v>
      </c>
      <c r="AH46" s="142">
        <f>IF(AG46=0,"",IFERROR(AG46/AG$19,""))</f>
        <v>1.5355025290044892E-2</v>
      </c>
      <c r="AI46" s="141">
        <f t="shared" si="7"/>
        <v>3369</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c r="P47" s="138"/>
      <c r="Q47" s="138">
        <v>131</v>
      </c>
      <c r="R47" s="138"/>
      <c r="S47" s="138"/>
      <c r="T47" s="138"/>
      <c r="U47" s="138"/>
      <c r="V47" s="138">
        <v>80</v>
      </c>
      <c r="W47" s="138"/>
      <c r="X47" s="138"/>
      <c r="Y47" s="138"/>
      <c r="Z47" s="138"/>
      <c r="AA47" s="138">
        <f t="shared" si="5"/>
        <v>211</v>
      </c>
      <c r="AB47" s="142">
        <f>IF(AA47=0,"",IFERROR(AA47/AA$19,""))</f>
        <v>8.2944512911885845E-4</v>
      </c>
      <c r="AC47" s="140"/>
      <c r="AD47" s="138"/>
      <c r="AE47" s="142" t="str">
        <f>IF(AD47=0,"",IFERROR(AD47/AD$19,""))</f>
        <v/>
      </c>
      <c r="AF47" s="141">
        <f t="shared" si="6"/>
        <v>211</v>
      </c>
      <c r="AG47" s="138"/>
      <c r="AH47" s="142" t="str">
        <f>IF(AG47=0,"",IFERROR(AG47/AG$19,""))</f>
        <v/>
      </c>
      <c r="AI47" s="141">
        <f t="shared" si="7"/>
        <v>211</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v>180</v>
      </c>
      <c r="P48" s="215"/>
      <c r="Q48" s="215">
        <v>306</v>
      </c>
      <c r="R48" s="215"/>
      <c r="S48" s="215">
        <v>192</v>
      </c>
      <c r="T48" s="215">
        <v>160</v>
      </c>
      <c r="U48" s="215"/>
      <c r="V48" s="215">
        <v>13</v>
      </c>
      <c r="W48" s="215"/>
      <c r="X48" s="215"/>
      <c r="Y48" s="215"/>
      <c r="Z48" s="215"/>
      <c r="AA48" s="215">
        <f t="shared" si="5"/>
        <v>851</v>
      </c>
      <c r="AB48" s="217">
        <f>IF(AA48=0,"",IFERROR(AA48/AA$19,""))</f>
        <v>3.3452976534604196E-3</v>
      </c>
      <c r="AC48" s="140"/>
      <c r="AD48" s="215"/>
      <c r="AE48" s="217" t="str">
        <f>IF(AD48=0,"",IFERROR(AD48/AD$19,""))</f>
        <v/>
      </c>
      <c r="AF48" s="218">
        <f t="shared" si="6"/>
        <v>851</v>
      </c>
      <c r="AG48" s="215"/>
      <c r="AH48" s="217" t="str">
        <f>IF(AG48=0,"",IFERROR(AG48/AG$19,""))</f>
        <v/>
      </c>
      <c r="AI48" s="218">
        <f t="shared" si="7"/>
        <v>851</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v>5100</v>
      </c>
      <c r="P49" s="162">
        <v>12843</v>
      </c>
      <c r="Q49" s="162">
        <v>37773</v>
      </c>
      <c r="R49" s="162">
        <v>24977</v>
      </c>
      <c r="S49" s="162">
        <v>17881.16</v>
      </c>
      <c r="T49" s="162">
        <v>18557</v>
      </c>
      <c r="U49" s="162">
        <v>13125</v>
      </c>
      <c r="V49" s="162">
        <v>8678.77</v>
      </c>
      <c r="W49" s="162">
        <v>2340</v>
      </c>
      <c r="X49" s="162">
        <v>7178</v>
      </c>
      <c r="Y49" s="162">
        <v>16823</v>
      </c>
      <c r="Z49" s="162">
        <v>11200</v>
      </c>
      <c r="AA49" s="162">
        <f t="shared" si="5"/>
        <v>176475.93</v>
      </c>
      <c r="AB49" s="163">
        <f>IF(AA49=0,"",IFERROR(AA49/AA$19,""))</f>
        <v>0.6937303343375385</v>
      </c>
      <c r="AC49" s="140"/>
      <c r="AD49" s="162">
        <v>29500.000001215001</v>
      </c>
      <c r="AE49" s="163">
        <f>IF(AD49=0,"",IFERROR(AD49/AD$19,""))</f>
        <v>0.25764565669847661</v>
      </c>
      <c r="AF49" s="164">
        <f t="shared" si="6"/>
        <v>146975.929998785</v>
      </c>
      <c r="AG49" s="162">
        <v>10360</v>
      </c>
      <c r="AH49" s="163">
        <f>IF(AG49=0,"",IFERROR(AG49/AG$19,""))</f>
        <v>0.20605966580941074</v>
      </c>
      <c r="AI49" s="164">
        <f t="shared" si="7"/>
        <v>166115.93</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v>9</v>
      </c>
      <c r="P50" s="231">
        <v>10</v>
      </c>
      <c r="Q50" s="231">
        <v>15</v>
      </c>
      <c r="R50" s="231">
        <v>18</v>
      </c>
      <c r="S50" s="231">
        <v>16</v>
      </c>
      <c r="T50" s="231">
        <v>9</v>
      </c>
      <c r="U50" s="231">
        <v>12</v>
      </c>
      <c r="V50" s="231">
        <v>6</v>
      </c>
      <c r="W50" s="231"/>
      <c r="X50" s="231">
        <v>4</v>
      </c>
      <c r="Y50" s="231"/>
      <c r="Z50" s="231"/>
      <c r="AA50" s="231">
        <f t="shared" si="5"/>
        <v>99</v>
      </c>
      <c r="AB50" s="233"/>
      <c r="AC50" s="140"/>
      <c r="AD50" s="231"/>
      <c r="AE50" s="233"/>
      <c r="AF50" s="234">
        <f t="shared" si="6"/>
        <v>99</v>
      </c>
      <c r="AG50" s="231">
        <v>16</v>
      </c>
      <c r="AH50" s="233"/>
      <c r="AI50" s="234">
        <f t="shared" si="7"/>
        <v>83</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v>84</v>
      </c>
      <c r="P51" s="231">
        <v>151</v>
      </c>
      <c r="Q51" s="231">
        <v>468</v>
      </c>
      <c r="R51" s="231">
        <v>381</v>
      </c>
      <c r="S51" s="231">
        <v>201</v>
      </c>
      <c r="T51" s="231">
        <v>347</v>
      </c>
      <c r="U51" s="231">
        <v>222</v>
      </c>
      <c r="V51" s="231">
        <v>177</v>
      </c>
      <c r="W51" s="231">
        <v>50</v>
      </c>
      <c r="X51" s="231">
        <v>136</v>
      </c>
      <c r="Y51" s="231">
        <v>356</v>
      </c>
      <c r="Z51" s="231">
        <v>305</v>
      </c>
      <c r="AA51" s="231">
        <f t="shared" si="5"/>
        <v>2878</v>
      </c>
      <c r="AB51" s="233">
        <f>IF(AA51=0,"",IFERROR(AA51/AA$84,""))</f>
        <v>0.67590418036636923</v>
      </c>
      <c r="AC51" s="140"/>
      <c r="AD51" s="231">
        <v>574.16666669000006</v>
      </c>
      <c r="AE51" s="233">
        <f>IF(AD51=0,"",IFERROR(AD51/AD$84,""))</f>
        <v>0.30084041212353874</v>
      </c>
      <c r="AF51" s="234">
        <f t="shared" si="6"/>
        <v>2303.8333333099999</v>
      </c>
      <c r="AG51" s="231">
        <v>312</v>
      </c>
      <c r="AH51" s="233">
        <f>IF(AG51=0,"",IFERROR(AG51/AG$84,""))</f>
        <v>0.41489361702127658</v>
      </c>
      <c r="AI51" s="234">
        <f t="shared" si="7"/>
        <v>2566</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v>60.714285714285701</v>
      </c>
      <c r="P52" s="495">
        <v>85.052980132450301</v>
      </c>
      <c r="Q52" s="495">
        <v>80.711538461538495</v>
      </c>
      <c r="R52" s="495">
        <v>65.556430446194199</v>
      </c>
      <c r="S52" s="495">
        <v>88.960995024875601</v>
      </c>
      <c r="T52" s="495">
        <v>53.478386167147001</v>
      </c>
      <c r="U52" s="495">
        <v>59.1216216216216</v>
      </c>
      <c r="V52" s="495">
        <v>49.032598870056503</v>
      </c>
      <c r="W52" s="495">
        <v>46.8</v>
      </c>
      <c r="X52" s="495">
        <v>52.779411764705898</v>
      </c>
      <c r="Y52" s="495">
        <v>47.255617977528097</v>
      </c>
      <c r="Z52" s="495">
        <v>36.721311475409799</v>
      </c>
      <c r="AA52" s="495">
        <f>IFERROR(AA49/AA51,"")</f>
        <v>61.318947185545518</v>
      </c>
      <c r="AB52" s="495"/>
      <c r="AC52" s="140"/>
      <c r="AD52" s="495">
        <v>51.378809869404101</v>
      </c>
      <c r="AE52" s="495"/>
      <c r="AF52" s="496">
        <f t="shared" si="6"/>
        <v>9.940137316141417</v>
      </c>
      <c r="AG52" s="495">
        <v>33.205128205128197</v>
      </c>
      <c r="AH52" s="495"/>
      <c r="AI52" s="496">
        <f t="shared" si="7"/>
        <v>28.113818980417321</v>
      </c>
    </row>
    <row r="53" spans="1:35" x14ac:dyDescent="0.25">
      <c r="A53" s="65" t="s">
        <v>41</v>
      </c>
      <c r="B53" s="66"/>
      <c r="C53" s="11"/>
      <c r="D53" s="11"/>
      <c r="E53" s="11"/>
      <c r="F53" s="11"/>
      <c r="G53" s="11"/>
      <c r="H53" s="88"/>
      <c r="I53" s="122"/>
      <c r="J53" s="122"/>
      <c r="K53" s="90"/>
      <c r="L53" s="90"/>
      <c r="M53" s="90"/>
      <c r="N53" s="491" t="s">
        <v>345</v>
      </c>
      <c r="O53" s="497">
        <f t="shared" ref="O53:AA53" si="8">ROUND(IFERROR(O49/O51,0),2)</f>
        <v>60.71</v>
      </c>
      <c r="P53" s="498">
        <f t="shared" si="8"/>
        <v>85.05</v>
      </c>
      <c r="Q53" s="498">
        <f t="shared" si="8"/>
        <v>80.709999999999994</v>
      </c>
      <c r="R53" s="498">
        <f t="shared" si="8"/>
        <v>65.56</v>
      </c>
      <c r="S53" s="498">
        <f t="shared" si="8"/>
        <v>88.96</v>
      </c>
      <c r="T53" s="498">
        <f t="shared" si="8"/>
        <v>53.48</v>
      </c>
      <c r="U53" s="498">
        <f t="shared" si="8"/>
        <v>59.12</v>
      </c>
      <c r="V53" s="498">
        <f t="shared" si="8"/>
        <v>49.03</v>
      </c>
      <c r="W53" s="498">
        <f t="shared" si="8"/>
        <v>46.8</v>
      </c>
      <c r="X53" s="498">
        <f t="shared" si="8"/>
        <v>52.78</v>
      </c>
      <c r="Y53" s="498">
        <f t="shared" si="8"/>
        <v>47.26</v>
      </c>
      <c r="Z53" s="498">
        <f t="shared" si="8"/>
        <v>36.72</v>
      </c>
      <c r="AA53" s="498">
        <f t="shared" si="8"/>
        <v>61.32</v>
      </c>
      <c r="AB53" s="499"/>
      <c r="AC53" s="140"/>
      <c r="AD53" s="497">
        <f>ROUND(IFERROR(AD49/AD51,0),2)</f>
        <v>51.38</v>
      </c>
      <c r="AE53" s="498"/>
      <c r="AF53" s="155"/>
      <c r="AG53" s="497">
        <f>ROUND(IFERROR(AG49/AG51,0),2)</f>
        <v>33.21</v>
      </c>
      <c r="AH53" s="498"/>
      <c r="AI53" s="155"/>
    </row>
    <row r="54" spans="1:35" x14ac:dyDescent="0.25">
      <c r="A54" s="65" t="s">
        <v>42</v>
      </c>
      <c r="B54" s="66"/>
      <c r="C54" s="11"/>
      <c r="D54" s="11"/>
      <c r="E54" s="11"/>
      <c r="F54" s="11"/>
      <c r="G54" s="490">
        <f>COUNTIF(O54:AI54,FALSE)</f>
        <v>0</v>
      </c>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v>2250</v>
      </c>
      <c r="P55" s="138">
        <v>20933</v>
      </c>
      <c r="Q55" s="138">
        <v>621</v>
      </c>
      <c r="R55" s="138"/>
      <c r="S55" s="138"/>
      <c r="T55" s="138"/>
      <c r="U55" s="138"/>
      <c r="V55" s="138"/>
      <c r="W55" s="138"/>
      <c r="X55" s="138">
        <v>3500</v>
      </c>
      <c r="Y55" s="138">
        <v>10888</v>
      </c>
      <c r="Z55" s="138">
        <v>-500</v>
      </c>
      <c r="AA55" s="138">
        <f t="shared" ref="AA55:AA61" si="10">SUM(O55:Z55)</f>
        <v>37692</v>
      </c>
      <c r="AB55" s="142">
        <f>IF(AA55=0,"",IFERROR(AA55/AA$19,""))</f>
        <v>0.14816798960544081</v>
      </c>
      <c r="AC55" s="140"/>
      <c r="AD55" s="138">
        <v>58361.690948079398</v>
      </c>
      <c r="AE55" s="142">
        <f>IF(AD55=0,"",IFERROR(AD55/AD$19,""))</f>
        <v>0.50971648100786937</v>
      </c>
      <c r="AF55" s="141">
        <f t="shared" ref="AF55:AF62" si="11">IF(AND($AA55="",AD55=""),"",$AA55-AD55)</f>
        <v>-20669.690948079398</v>
      </c>
      <c r="AG55" s="138">
        <v>28975.7</v>
      </c>
      <c r="AH55" s="142">
        <f>IF(AG55=0,"",IFERROR(AG55/AG$19,""))</f>
        <v>0.57632461955538061</v>
      </c>
      <c r="AI55" s="141">
        <f t="shared" ref="AI55:AI62" si="12">IF(AND($AA55="",AG55=""),"",$AA55-AG55)</f>
        <v>8716.2999999999993</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v>450</v>
      </c>
      <c r="P56" s="138"/>
      <c r="Q56" s="138">
        <v>630</v>
      </c>
      <c r="R56" s="138"/>
      <c r="S56" s="138"/>
      <c r="T56" s="138"/>
      <c r="U56" s="138"/>
      <c r="V56" s="138"/>
      <c r="W56" s="138"/>
      <c r="X56" s="138">
        <v>5100</v>
      </c>
      <c r="Y56" s="138">
        <v>8978</v>
      </c>
      <c r="Z56" s="138"/>
      <c r="AA56" s="138">
        <f t="shared" si="10"/>
        <v>15158</v>
      </c>
      <c r="AB56" s="142">
        <f>IF(AA56=0,"",IFERROR(AA56/AA$19,""))</f>
        <v>5.9586394631202161E-2</v>
      </c>
      <c r="AC56" s="140"/>
      <c r="AD56" s="138">
        <v>5720.4102545958003</v>
      </c>
      <c r="AE56" s="142">
        <f>IF(AD56=0,"",IFERROR(AD56/AD$19,""))</f>
        <v>4.9960639205740079E-2</v>
      </c>
      <c r="AF56" s="141">
        <f t="shared" si="11"/>
        <v>9437.5897454041988</v>
      </c>
      <c r="AG56" s="138">
        <v>3025</v>
      </c>
      <c r="AH56" s="142">
        <f>IF(AG56=0,"",IFERROR(AG56/AG$19,""))</f>
        <v>6.0167035624852074E-2</v>
      </c>
      <c r="AI56" s="141">
        <f t="shared" si="12"/>
        <v>12133</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v>450</v>
      </c>
      <c r="P57" s="138"/>
      <c r="Q57" s="138"/>
      <c r="R57" s="138"/>
      <c r="S57" s="138"/>
      <c r="T57" s="138"/>
      <c r="U57" s="138"/>
      <c r="V57" s="138"/>
      <c r="W57" s="138"/>
      <c r="X57" s="138"/>
      <c r="Y57" s="138">
        <v>153</v>
      </c>
      <c r="Z57" s="138"/>
      <c r="AA57" s="138">
        <f t="shared" si="10"/>
        <v>603</v>
      </c>
      <c r="AB57" s="142">
        <f>IF(AA57=0,"",IFERROR(AA57/AA$19,""))</f>
        <v>2.3704048002780647E-3</v>
      </c>
      <c r="AC57" s="140"/>
      <c r="AD57" s="138">
        <v>463.97519999999997</v>
      </c>
      <c r="AE57" s="142">
        <f>IF(AD57=0,"",IFERROR(AD57/AD$19,""))</f>
        <v>4.0522439013858822E-3</v>
      </c>
      <c r="AF57" s="141">
        <f t="shared" si="11"/>
        <v>139.02480000000003</v>
      </c>
      <c r="AG57" s="138"/>
      <c r="AH57" s="142" t="str">
        <f>IF(AG57=0,"",IFERROR(AG57/AG$19,""))</f>
        <v/>
      </c>
      <c r="AI57" s="141">
        <f t="shared" si="12"/>
        <v>603</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c r="P58" s="215"/>
      <c r="Q58" s="215"/>
      <c r="R58" s="215"/>
      <c r="S58" s="215"/>
      <c r="T58" s="215"/>
      <c r="U58" s="215"/>
      <c r="V58" s="215"/>
      <c r="W58" s="215"/>
      <c r="X58" s="215"/>
      <c r="Y58" s="215">
        <v>104</v>
      </c>
      <c r="Z58" s="215"/>
      <c r="AA58" s="215">
        <f t="shared" si="10"/>
        <v>104</v>
      </c>
      <c r="AB58" s="217">
        <f>IF(AA58=0,"",IFERROR(AA58/AA$19,""))</f>
        <v>4.0882603520550371E-4</v>
      </c>
      <c r="AC58" s="140"/>
      <c r="AD58" s="215">
        <v>2551.8636001056002</v>
      </c>
      <c r="AE58" s="217">
        <f>IF(AD58=0,"",IFERROR(AD58/AD$19,""))</f>
        <v>2.2287341458544638E-2</v>
      </c>
      <c r="AF58" s="218">
        <f t="shared" si="11"/>
        <v>-2447.8636001056002</v>
      </c>
      <c r="AG58" s="215"/>
      <c r="AH58" s="217" t="str">
        <f>IF(AG58=0,"",IFERROR(AG58/AG$19,""))</f>
        <v/>
      </c>
      <c r="AI58" s="218">
        <f t="shared" si="12"/>
        <v>104</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v>3150</v>
      </c>
      <c r="P59" s="162">
        <v>20933</v>
      </c>
      <c r="Q59" s="162">
        <v>1251</v>
      </c>
      <c r="R59" s="162"/>
      <c r="S59" s="162"/>
      <c r="T59" s="162"/>
      <c r="U59" s="162"/>
      <c r="V59" s="162"/>
      <c r="W59" s="162"/>
      <c r="X59" s="162">
        <v>8600</v>
      </c>
      <c r="Y59" s="162">
        <v>20123</v>
      </c>
      <c r="Z59" s="162">
        <v>-500</v>
      </c>
      <c r="AA59" s="162">
        <f t="shared" si="10"/>
        <v>53557</v>
      </c>
      <c r="AB59" s="163">
        <f>IF(AA59=0,"",IFERROR(AA59/AA$19,""))</f>
        <v>0.21053361507212656</v>
      </c>
      <c r="AC59" s="140"/>
      <c r="AD59" s="162">
        <v>67097.940002780801</v>
      </c>
      <c r="AE59" s="163">
        <f>IF(AD59=0,"",IFERROR(AD59/AD$19,""))</f>
        <v>0.58601670557354002</v>
      </c>
      <c r="AF59" s="164">
        <f t="shared" si="11"/>
        <v>-13540.940002780801</v>
      </c>
      <c r="AG59" s="162">
        <v>32000.7</v>
      </c>
      <c r="AH59" s="163">
        <f>IF(AG59=0,"",IFERROR(AG59/AG$19,""))</f>
        <v>0.63649165518023265</v>
      </c>
      <c r="AI59" s="164">
        <f t="shared" si="12"/>
        <v>21556.3</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v>1</v>
      </c>
      <c r="P60" s="231">
        <v>4</v>
      </c>
      <c r="Q60" s="231">
        <v>1</v>
      </c>
      <c r="R60" s="231"/>
      <c r="S60" s="231"/>
      <c r="T60" s="231"/>
      <c r="U60" s="231"/>
      <c r="V60" s="231"/>
      <c r="W60" s="231"/>
      <c r="X60" s="231"/>
      <c r="Y60" s="231"/>
      <c r="Z60" s="231"/>
      <c r="AA60" s="231">
        <f t="shared" si="10"/>
        <v>6</v>
      </c>
      <c r="AB60" s="233"/>
      <c r="AC60" s="140"/>
      <c r="AD60" s="231">
        <v>365</v>
      </c>
      <c r="AE60" s="233"/>
      <c r="AF60" s="234">
        <f t="shared" si="11"/>
        <v>-359</v>
      </c>
      <c r="AG60" s="231">
        <v>21</v>
      </c>
      <c r="AH60" s="233"/>
      <c r="AI60" s="234">
        <f t="shared" si="12"/>
        <v>-15</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v>29</v>
      </c>
      <c r="P61" s="231">
        <v>268</v>
      </c>
      <c r="Q61" s="231">
        <v>85</v>
      </c>
      <c r="R61" s="231"/>
      <c r="S61" s="231"/>
      <c r="T61" s="231"/>
      <c r="U61" s="231"/>
      <c r="V61" s="231"/>
      <c r="W61" s="231"/>
      <c r="X61" s="231">
        <v>100</v>
      </c>
      <c r="Y61" s="231">
        <v>476</v>
      </c>
      <c r="Z61" s="231">
        <v>22</v>
      </c>
      <c r="AA61" s="231">
        <f t="shared" si="10"/>
        <v>980</v>
      </c>
      <c r="AB61" s="233">
        <f>IF(AA61=0,"",IFERROR(AA61/AA$84,""))</f>
        <v>0.23015500234852043</v>
      </c>
      <c r="AC61" s="140"/>
      <c r="AD61" s="231">
        <v>822.93568185000004</v>
      </c>
      <c r="AE61" s="233">
        <f>IF(AD61=0,"",IFERROR(AD61/AD$84,""))</f>
        <v>0.43118544499656025</v>
      </c>
      <c r="AF61" s="234">
        <f t="shared" si="11"/>
        <v>157.06431814999996</v>
      </c>
      <c r="AG61" s="231">
        <v>228</v>
      </c>
      <c r="AH61" s="233">
        <f>IF(AG61=0,"",IFERROR(AG61/AG$84,""))</f>
        <v>0.30319148936170215</v>
      </c>
      <c r="AI61" s="234">
        <f t="shared" si="12"/>
        <v>752</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v>108.620689655172</v>
      </c>
      <c r="P62" s="495">
        <v>78.108208955223901</v>
      </c>
      <c r="Q62" s="495">
        <v>14.7176470588235</v>
      </c>
      <c r="R62" s="495"/>
      <c r="S62" s="495"/>
      <c r="T62" s="495"/>
      <c r="U62" s="495"/>
      <c r="V62" s="495"/>
      <c r="W62" s="495"/>
      <c r="X62" s="495">
        <v>86</v>
      </c>
      <c r="Y62" s="495">
        <v>42.275210084033603</v>
      </c>
      <c r="Z62" s="495">
        <v>-22.727272727272702</v>
      </c>
      <c r="AA62" s="495">
        <f>IFERROR(AA59/AA61,"")</f>
        <v>54.65</v>
      </c>
      <c r="AB62" s="495"/>
      <c r="AC62" s="140"/>
      <c r="AD62" s="495">
        <v>81.534853187968906</v>
      </c>
      <c r="AE62" s="495"/>
      <c r="AF62" s="496">
        <f t="shared" si="11"/>
        <v>-26.884853187968908</v>
      </c>
      <c r="AG62" s="495">
        <v>140.35394736842099</v>
      </c>
      <c r="AH62" s="495"/>
      <c r="AI62" s="496">
        <f t="shared" si="12"/>
        <v>-85.703947368420984</v>
      </c>
    </row>
    <row r="63" spans="1:35" x14ac:dyDescent="0.25">
      <c r="A63" s="11"/>
      <c r="B63" s="11"/>
      <c r="C63" s="11"/>
      <c r="D63" s="11"/>
      <c r="E63" s="11"/>
      <c r="F63" s="11"/>
      <c r="G63" s="11"/>
      <c r="H63" s="88"/>
      <c r="I63" s="122"/>
      <c r="J63" s="122"/>
      <c r="K63" s="90"/>
      <c r="L63" s="90"/>
      <c r="M63" s="90"/>
      <c r="N63" s="491" t="s">
        <v>345</v>
      </c>
      <c r="O63" s="497">
        <f t="shared" ref="O63:AA63" si="13">ROUND(IFERROR(O59/O61,0),2)</f>
        <v>108.62</v>
      </c>
      <c r="P63" s="498">
        <f t="shared" si="13"/>
        <v>78.11</v>
      </c>
      <c r="Q63" s="498">
        <f t="shared" si="13"/>
        <v>14.72</v>
      </c>
      <c r="R63" s="498">
        <f t="shared" si="13"/>
        <v>0</v>
      </c>
      <c r="S63" s="498">
        <f t="shared" si="13"/>
        <v>0</v>
      </c>
      <c r="T63" s="498">
        <f t="shared" si="13"/>
        <v>0</v>
      </c>
      <c r="U63" s="498">
        <f t="shared" si="13"/>
        <v>0</v>
      </c>
      <c r="V63" s="498">
        <f t="shared" si="13"/>
        <v>0</v>
      </c>
      <c r="W63" s="498">
        <f t="shared" si="13"/>
        <v>0</v>
      </c>
      <c r="X63" s="498">
        <f t="shared" si="13"/>
        <v>86</v>
      </c>
      <c r="Y63" s="498">
        <f t="shared" si="13"/>
        <v>42.28</v>
      </c>
      <c r="Z63" s="498">
        <f t="shared" si="13"/>
        <v>-22.73</v>
      </c>
      <c r="AA63" s="498">
        <f t="shared" si="13"/>
        <v>54.65</v>
      </c>
      <c r="AB63" s="499"/>
      <c r="AC63" s="140"/>
      <c r="AD63" s="497">
        <f>ROUND(IFERROR(AD59/AD61,0),2)</f>
        <v>81.53</v>
      </c>
      <c r="AE63" s="498"/>
      <c r="AF63" s="155"/>
      <c r="AG63" s="497">
        <f>ROUND(IFERROR(AG59/AG61,0),2)</f>
        <v>140.35</v>
      </c>
      <c r="AH63" s="498"/>
      <c r="AI63" s="155"/>
    </row>
    <row r="64" spans="1:35" x14ac:dyDescent="0.25">
      <c r="A64" s="11"/>
      <c r="B64" s="11"/>
      <c r="C64" s="11"/>
      <c r="D64" s="11"/>
      <c r="E64" s="11"/>
      <c r="F64" s="11"/>
      <c r="G64" s="490">
        <f>COUNTIF(O64:AI64,FALSE)</f>
        <v>0</v>
      </c>
      <c r="H64" s="185"/>
      <c r="I64" s="122"/>
      <c r="J64" s="122"/>
      <c r="K64" s="90"/>
      <c r="L64" s="90"/>
      <c r="M64" s="90"/>
      <c r="N64" s="53" t="s">
        <v>807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790</v>
      </c>
      <c r="I65" s="122" t="str">
        <f>IF(_epmOfflineCondition_,"N",_xll.EVPRO($B$1,$H65,"STYLE"))</f>
        <v>N</v>
      </c>
      <c r="J65" s="122" t="str">
        <f>IF(_epmOfflineCondition_,"N",_xll.EVPRO($B$1,$H65,"CALC"))</f>
        <v>N</v>
      </c>
      <c r="K65" s="90"/>
      <c r="L65" s="90" t="str">
        <f>IF(_epmOfflineCondition_,"471110",_xll.EVPRO($B$1,H65,"JDEID"))</f>
        <v>471110</v>
      </c>
      <c r="M65" s="90" t="str">
        <f>IF(_epmOfflineCondition_,"201017",IF(AND(I65="N",J65="N"),_xll.EVPRO($B$1,H65,"PSFTID"),""))</f>
        <v>201017</v>
      </c>
      <c r="N65" s="90" t="str">
        <f>IF(_epmOfflineCondition_,"Reception Food",IF(_xll.EVDES(H65,$B$1)="#NODATA","",_xll.EVDES(H65,$B$1)))</f>
        <v>Reception Food</v>
      </c>
      <c r="O65" s="138"/>
      <c r="P65" s="138"/>
      <c r="Q65" s="138"/>
      <c r="R65" s="138"/>
      <c r="S65" s="138"/>
      <c r="T65" s="138"/>
      <c r="U65" s="138"/>
      <c r="V65" s="138"/>
      <c r="W65" s="138"/>
      <c r="X65" s="138"/>
      <c r="Y65" s="138">
        <v>1535</v>
      </c>
      <c r="Z65" s="138"/>
      <c r="AA65" s="138">
        <f t="shared" ref="AA65:AA70" si="15">SUM(O65:Z65)</f>
        <v>1535</v>
      </c>
      <c r="AB65" s="142">
        <f>IF(AA65=0,"",IFERROR(AA65/AA$19,""))</f>
        <v>6.0341150388504633E-3</v>
      </c>
      <c r="AC65" s="140"/>
      <c r="AD65" s="138"/>
      <c r="AE65" s="142" t="str">
        <f>IF(AD65=0,"",IFERROR(AD65/AD$19,""))</f>
        <v/>
      </c>
      <c r="AF65" s="141">
        <f t="shared" ref="AF65:AF71" si="16">IF(AND($AA65="",AD65=""),"",$AA65-AD65)</f>
        <v>1535</v>
      </c>
      <c r="AG65" s="138"/>
      <c r="AH65" s="142" t="str">
        <f>IF(AG65=0,"",IFERROR(AG65/AG$19,""))</f>
        <v/>
      </c>
      <c r="AI65" s="141">
        <f t="shared" ref="AI65:AI71" si="17">IF(AND($AA65="",AG65=""),"",$AA65-AG65)</f>
        <v>1535</v>
      </c>
    </row>
    <row r="66" spans="1:35" x14ac:dyDescent="0.25">
      <c r="A66" s="11"/>
      <c r="B66" s="11"/>
      <c r="C66" s="11"/>
      <c r="D66" s="11"/>
      <c r="E66" s="11"/>
      <c r="F66" s="11"/>
      <c r="G66" s="11"/>
      <c r="H66" s="185" t="s">
        <v>808</v>
      </c>
      <c r="I66" s="122" t="str">
        <f>IF(_epmOfflineCondition_,"N",_xll.EVPRO($B$1,$H66,"STYLE"))</f>
        <v>N</v>
      </c>
      <c r="J66" s="122" t="str">
        <f>IF(_epmOfflineCondition_,"N",_xll.EVPRO($B$1,$H66,"CALC"))</f>
        <v>N</v>
      </c>
      <c r="K66" s="90"/>
      <c r="L66" s="90" t="str">
        <f>IF(_epmOfflineCondition_,"471210",_xll.EVPRO($B$1,H66,"JDEID"))</f>
        <v>471210</v>
      </c>
      <c r="M66" s="90" t="str">
        <f>IF(_epmOfflineCondition_,"NA",IF(AND(I66="N",J66="N"),_xll.EVPRO($B$1,H66,"PSFTID"),""))</f>
        <v>NA</v>
      </c>
      <c r="N66" s="90" t="str">
        <f>IF(_epmOfflineCondition_,"Reception Liquor",IF(_xll.EVDES(H66,$B$1)="#NODATA","",_xll.EVDES(H66,$B$1)))</f>
        <v>Reception Liquor</v>
      </c>
      <c r="O66" s="138"/>
      <c r="P66" s="138"/>
      <c r="Q66" s="138"/>
      <c r="R66" s="138"/>
      <c r="S66" s="138"/>
      <c r="T66" s="138"/>
      <c r="U66" s="138"/>
      <c r="V66" s="138"/>
      <c r="W66" s="138"/>
      <c r="X66" s="138"/>
      <c r="Y66" s="138">
        <v>615</v>
      </c>
      <c r="Z66" s="138"/>
      <c r="AA66" s="138">
        <f t="shared" si="15"/>
        <v>615</v>
      </c>
      <c r="AB66" s="142">
        <f>IF(AA66=0,"",IFERROR(AA66/AA$19,""))</f>
        <v>2.4175770351094689E-3</v>
      </c>
      <c r="AC66" s="140"/>
      <c r="AD66" s="138"/>
      <c r="AE66" s="142" t="str">
        <f>IF(AD66=0,"",IFERROR(AD66/AD$19,""))</f>
        <v/>
      </c>
      <c r="AF66" s="141">
        <f t="shared" si="16"/>
        <v>615</v>
      </c>
      <c r="AG66" s="138"/>
      <c r="AH66" s="142" t="str">
        <f>IF(AG66=0,"",IFERROR(AG66/AG$19,""))</f>
        <v/>
      </c>
      <c r="AI66" s="141">
        <f t="shared" si="17"/>
        <v>615</v>
      </c>
    </row>
    <row r="67" spans="1:35" x14ac:dyDescent="0.25">
      <c r="A67" s="11"/>
      <c r="B67" s="11"/>
      <c r="C67" s="11"/>
      <c r="D67" s="11"/>
      <c r="E67" s="11"/>
      <c r="F67" s="11"/>
      <c r="G67" s="11"/>
      <c r="H67" s="185" t="s">
        <v>809</v>
      </c>
      <c r="I67" s="122" t="str">
        <f>IF(_epmOfflineCondition_,"N",_xll.EVPRO($B$1,$H67,"STYLE"))</f>
        <v>N</v>
      </c>
      <c r="J67" s="122" t="str">
        <f>IF(_epmOfflineCondition_,"N",_xll.EVPRO($B$1,$H67,"CALC"))</f>
        <v>N</v>
      </c>
      <c r="K67" s="90"/>
      <c r="L67" s="90" t="str">
        <f>IF(_epmOfflineCondition_,"471310",_xll.EVPRO($B$1,H67,"JDEID"))</f>
        <v>471310</v>
      </c>
      <c r="M67" s="90" t="str">
        <f>IF(_epmOfflineCondition_,"NA",IF(AND(I67="N",J67="N"),_xll.EVPRO($B$1,H67,"PSFTID"),""))</f>
        <v>NA</v>
      </c>
      <c r="N67" s="90" t="str">
        <f>IF(_epmOfflineCondition_,"Reception Beer",IF(_xll.EVDES(H67,$B$1)="#NODATA","",_xll.EVDES(H67,$B$1)))</f>
        <v>Reception Beer</v>
      </c>
      <c r="O67" s="138"/>
      <c r="P67" s="138"/>
      <c r="Q67" s="138"/>
      <c r="R67" s="138"/>
      <c r="S67" s="138"/>
      <c r="T67" s="138"/>
      <c r="U67" s="138"/>
      <c r="V67" s="138"/>
      <c r="W67" s="138"/>
      <c r="X67" s="138"/>
      <c r="Y67" s="138">
        <v>127</v>
      </c>
      <c r="Z67" s="138"/>
      <c r="AA67" s="138">
        <f t="shared" si="15"/>
        <v>127</v>
      </c>
      <c r="AB67" s="142">
        <f>IF(AA67=0,"",IFERROR(AA67/AA$19,""))</f>
        <v>4.9923948529902857E-4</v>
      </c>
      <c r="AC67" s="140"/>
      <c r="AD67" s="138"/>
      <c r="AE67" s="142" t="str">
        <f>IF(AD67=0,"",IFERROR(AD67/AD$19,""))</f>
        <v/>
      </c>
      <c r="AF67" s="141">
        <f t="shared" si="16"/>
        <v>127</v>
      </c>
      <c r="AG67" s="138"/>
      <c r="AH67" s="142" t="str">
        <f>IF(AG67=0,"",IFERROR(AG67/AG$19,""))</f>
        <v/>
      </c>
      <c r="AI67" s="141">
        <f t="shared" si="17"/>
        <v>127</v>
      </c>
    </row>
    <row r="68" spans="1:35" x14ac:dyDescent="0.25">
      <c r="A68" s="11"/>
      <c r="B68" s="11"/>
      <c r="C68" s="11"/>
      <c r="D68" s="11"/>
      <c r="E68" s="11"/>
      <c r="F68" s="11"/>
      <c r="G68" s="11"/>
      <c r="H68" s="185" t="s">
        <v>810</v>
      </c>
      <c r="I68" s="122" t="str">
        <f>IF(_epmOfflineCondition_,"N",_xll.EVPRO($B$1,$H68,"STYLE"))</f>
        <v>N</v>
      </c>
      <c r="J68" s="122" t="str">
        <f>IF(_epmOfflineCondition_,"N",_xll.EVPRO($B$1,$H68,"CALC"))</f>
        <v>N</v>
      </c>
      <c r="K68" s="90"/>
      <c r="L68" s="90" t="str">
        <f>IF(_epmOfflineCondition_,"471410",_xll.EVPRO($B$1,H68,"JDEID"))</f>
        <v>471410</v>
      </c>
      <c r="M68" s="90" t="str">
        <f>IF(_epmOfflineCondition_,"NA",IF(AND(I68="N",J68="N"),_xll.EVPRO($B$1,H68,"PSFTID"),""))</f>
        <v>NA</v>
      </c>
      <c r="N68" s="90" t="str">
        <f>IF(_epmOfflineCondition_,"Reception Wine",IF(_xll.EVDES(H68,$B$1)="#NODATA","",_xll.EVDES(H68,$B$1)))</f>
        <v>Reception Wine</v>
      </c>
      <c r="O68" s="215"/>
      <c r="P68" s="215"/>
      <c r="Q68" s="215"/>
      <c r="R68" s="215"/>
      <c r="S68" s="215"/>
      <c r="T68" s="215"/>
      <c r="U68" s="215"/>
      <c r="V68" s="215"/>
      <c r="W68" s="215"/>
      <c r="X68" s="215"/>
      <c r="Y68" s="215">
        <v>52</v>
      </c>
      <c r="Z68" s="215"/>
      <c r="AA68" s="215">
        <f t="shared" si="15"/>
        <v>52</v>
      </c>
      <c r="AB68" s="217">
        <f>IF(AA68=0,"",IFERROR(AA68/AA$19,""))</f>
        <v>2.0441301760275185E-4</v>
      </c>
      <c r="AC68" s="140"/>
      <c r="AD68" s="215"/>
      <c r="AE68" s="217" t="str">
        <f>IF(AD68=0,"",IFERROR(AD68/AD$19,""))</f>
        <v/>
      </c>
      <c r="AF68" s="218">
        <f t="shared" si="16"/>
        <v>52</v>
      </c>
      <c r="AG68" s="215"/>
      <c r="AH68" s="217" t="str">
        <f>IF(AG68=0,"",IFERROR(AG68/AG$19,""))</f>
        <v/>
      </c>
      <c r="AI68" s="218">
        <f t="shared" si="17"/>
        <v>52</v>
      </c>
    </row>
    <row r="69" spans="1:35" x14ac:dyDescent="0.25">
      <c r="A69" s="11"/>
      <c r="B69" s="11"/>
      <c r="C69" s="11"/>
      <c r="D69" s="11"/>
      <c r="E69" s="11"/>
      <c r="F69" s="11"/>
      <c r="G69" s="11"/>
      <c r="H69" s="185" t="s">
        <v>811</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IF(_epmOfflineCondition_,"Reception Revenue",IF(_xll.EVDES(H69,$B$1)="#NODATA","",_xll.EVDES(H69,$B$1)))</f>
        <v>Reception Revenue</v>
      </c>
      <c r="O69" s="162"/>
      <c r="P69" s="162"/>
      <c r="Q69" s="162"/>
      <c r="R69" s="162"/>
      <c r="S69" s="162"/>
      <c r="T69" s="162"/>
      <c r="U69" s="162"/>
      <c r="V69" s="162"/>
      <c r="W69" s="162"/>
      <c r="X69" s="162"/>
      <c r="Y69" s="162">
        <v>2329</v>
      </c>
      <c r="Z69" s="162"/>
      <c r="AA69" s="162">
        <f t="shared" si="15"/>
        <v>2329</v>
      </c>
      <c r="AB69" s="163">
        <f>IF(AA69=0,"",IFERROR(AA69/AA$19,""))</f>
        <v>9.1553445768617122E-3</v>
      </c>
      <c r="AC69" s="140"/>
      <c r="AD69" s="162"/>
      <c r="AE69" s="163" t="str">
        <f>IF(AD69=0,"",IFERROR(AD69/AD$19,""))</f>
        <v/>
      </c>
      <c r="AF69" s="164">
        <f t="shared" si="16"/>
        <v>2329</v>
      </c>
      <c r="AG69" s="162"/>
      <c r="AH69" s="163" t="str">
        <f>IF(AG69=0,"",IFERROR(AG69/AG$19,""))</f>
        <v/>
      </c>
      <c r="AI69" s="164">
        <f t="shared" si="17"/>
        <v>2329</v>
      </c>
    </row>
    <row r="70" spans="1:35" x14ac:dyDescent="0.25">
      <c r="A70" s="11"/>
      <c r="B70" s="11"/>
      <c r="C70" s="11"/>
      <c r="D70" s="11"/>
      <c r="E70" s="11"/>
      <c r="F70" s="11"/>
      <c r="G70" s="11"/>
      <c r="H70" s="185" t="s">
        <v>812</v>
      </c>
      <c r="I70" s="122" t="str">
        <f>IF(_epmOfflineCondition_,"N",_xll.EVPRO($B$1,$H70,"STYLE"))</f>
        <v>N</v>
      </c>
      <c r="J70" s="122" t="str">
        <f>IF(_epmOfflineCondition_,"N",_xll.EVPRO($B$1,$H70,"CALC"))</f>
        <v>N</v>
      </c>
      <c r="K70" s="90"/>
      <c r="L70" s="90" t="str">
        <f>IF(_epmOfflineCondition_,"946700",_xll.EVPRO($B$1,H70,"JDEID"))</f>
        <v>946700</v>
      </c>
      <c r="M70" s="90" t="str">
        <f>IF(_epmOfflineCondition_,"991508",IF(AND(I70="N",J70="N"),_xll.EVPRO($B$1,H70,"PSFTID"),""))</f>
        <v>991508</v>
      </c>
      <c r="N70" s="90" t="str">
        <f>IF(_epmOfflineCondition_,"Reception Customers",IF(_xll.EVDES(H70,$B$1)="#NODATA","",_xll.EVDES(H70,$B$1)))</f>
        <v>Reception Customers</v>
      </c>
      <c r="O70" s="231"/>
      <c r="P70" s="231"/>
      <c r="Q70" s="231"/>
      <c r="R70" s="231"/>
      <c r="S70" s="231"/>
      <c r="T70" s="231"/>
      <c r="U70" s="231"/>
      <c r="V70" s="231"/>
      <c r="W70" s="231"/>
      <c r="X70" s="231"/>
      <c r="Y70" s="231">
        <v>176</v>
      </c>
      <c r="Z70" s="231">
        <v>10</v>
      </c>
      <c r="AA70" s="231">
        <f t="shared" si="15"/>
        <v>186</v>
      </c>
      <c r="AB70" s="233">
        <f>IF(AA70=0,"",IFERROR(AA70/AA$84,""))</f>
        <v>4.3682480037576327E-2</v>
      </c>
      <c r="AC70" s="140"/>
      <c r="AD70" s="231"/>
      <c r="AE70" s="233" t="str">
        <f>IF(AD70=0,"",IFERROR(AD70/AD$84,""))</f>
        <v/>
      </c>
      <c r="AF70" s="234">
        <f t="shared" si="16"/>
        <v>186</v>
      </c>
      <c r="AG70" s="231">
        <v>71</v>
      </c>
      <c r="AH70" s="233">
        <f>IF(AG70=0,"",IFERROR(AG70/AG$84,""))</f>
        <v>9.4414893617021281E-2</v>
      </c>
      <c r="AI70" s="234">
        <f t="shared" si="17"/>
        <v>115</v>
      </c>
    </row>
    <row r="71" spans="1:35" x14ac:dyDescent="0.25">
      <c r="A71" s="11"/>
      <c r="B71" s="11"/>
      <c r="C71" s="11"/>
      <c r="D71" s="11"/>
      <c r="E71" s="11"/>
      <c r="F71" s="11"/>
      <c r="G71" s="11"/>
      <c r="H71" s="185" t="s">
        <v>813</v>
      </c>
      <c r="I71" s="122" t="str">
        <f>IF(_epmOfflineCondition_,"N",_xll.EVPRO($B$1,$H71,"STYLE"))</f>
        <v>N</v>
      </c>
      <c r="J71" s="122" t="str">
        <f>IF(_epmOfflineCondition_,"Y",_xll.EVPRO($B$1,$H71,"CALC"))</f>
        <v>Y</v>
      </c>
      <c r="K71" s="90"/>
      <c r="L71" s="90" t="str">
        <f>IF(_epmOfflineCondition_,"",_xll.EVPRO($B$1,H71,"JDEID"))</f>
        <v/>
      </c>
      <c r="M71" s="90" t="str">
        <f>IF(_epmOfflineCondition_,"",IF(AND(I71="N",J71="N"),_xll.EVPRO($B$1,H71,"PSFTID"),""))</f>
        <v/>
      </c>
      <c r="N71" s="190" t="str">
        <f>IF(_epmOfflineCondition_,"Reception Average Check",IF(_xll.EVDES(H71,$B$1)="#NODATA","",_xll.EVDES(H71,$B$1)))</f>
        <v>Reception Average Check</v>
      </c>
      <c r="O71" s="495"/>
      <c r="P71" s="495"/>
      <c r="Q71" s="495"/>
      <c r="R71" s="495"/>
      <c r="S71" s="495"/>
      <c r="T71" s="495"/>
      <c r="U71" s="495"/>
      <c r="V71" s="495"/>
      <c r="W71" s="495"/>
      <c r="X71" s="495"/>
      <c r="Y71" s="495">
        <v>13.232954545454501</v>
      </c>
      <c r="Z71" s="495"/>
      <c r="AA71" s="495">
        <f>IFERROR(AA69/AA70,"")</f>
        <v>12.521505376344086</v>
      </c>
      <c r="AB71" s="495"/>
      <c r="AC71" s="140"/>
      <c r="AD71" s="495"/>
      <c r="AE71" s="495"/>
      <c r="AF71" s="496">
        <f t="shared" si="16"/>
        <v>12.521505376344086</v>
      </c>
      <c r="AG71" s="495"/>
      <c r="AH71" s="495"/>
      <c r="AI71" s="496">
        <f t="shared" si="17"/>
        <v>12.521505376344086</v>
      </c>
    </row>
    <row r="72" spans="1:35" x14ac:dyDescent="0.25">
      <c r="A72" s="11"/>
      <c r="B72" s="11"/>
      <c r="C72" s="11"/>
      <c r="D72" s="11"/>
      <c r="E72" s="11"/>
      <c r="F72" s="11"/>
      <c r="G72" s="11"/>
      <c r="H72" s="88"/>
      <c r="I72" s="122"/>
      <c r="J72" s="122"/>
      <c r="K72" s="90"/>
      <c r="L72" s="90"/>
      <c r="M72" s="90"/>
      <c r="N72" s="491" t="s">
        <v>345</v>
      </c>
      <c r="O72" s="497">
        <f t="shared" ref="O72:AA72" si="18">ROUND(IFERROR(O69/O70,0),2)</f>
        <v>0</v>
      </c>
      <c r="P72" s="498">
        <f t="shared" si="18"/>
        <v>0</v>
      </c>
      <c r="Q72" s="498">
        <f t="shared" si="18"/>
        <v>0</v>
      </c>
      <c r="R72" s="498">
        <f t="shared" si="18"/>
        <v>0</v>
      </c>
      <c r="S72" s="498">
        <f t="shared" si="18"/>
        <v>0</v>
      </c>
      <c r="T72" s="498">
        <f t="shared" si="18"/>
        <v>0</v>
      </c>
      <c r="U72" s="498">
        <f t="shared" si="18"/>
        <v>0</v>
      </c>
      <c r="V72" s="498">
        <f t="shared" si="18"/>
        <v>0</v>
      </c>
      <c r="W72" s="498">
        <f t="shared" si="18"/>
        <v>0</v>
      </c>
      <c r="X72" s="498">
        <f t="shared" si="18"/>
        <v>0</v>
      </c>
      <c r="Y72" s="498">
        <f t="shared" si="18"/>
        <v>13.23</v>
      </c>
      <c r="Z72" s="498">
        <f t="shared" si="18"/>
        <v>0</v>
      </c>
      <c r="AA72" s="498">
        <f t="shared" si="18"/>
        <v>12.52</v>
      </c>
      <c r="AB72" s="499"/>
      <c r="AC72" s="140"/>
      <c r="AD72" s="497">
        <f>ROUND(IFERROR(AD69/AD70,0),2)</f>
        <v>0</v>
      </c>
      <c r="AE72" s="498"/>
      <c r="AF72" s="155"/>
      <c r="AG72" s="497">
        <f>ROUND(IFERROR(AG69/AG70,0),2)</f>
        <v>0</v>
      </c>
      <c r="AH72" s="498"/>
      <c r="AI72" s="155"/>
    </row>
    <row r="73" spans="1:35" x14ac:dyDescent="0.25">
      <c r="A73" s="11"/>
      <c r="B73" s="11"/>
      <c r="C73" s="11"/>
      <c r="D73" s="11"/>
      <c r="E73" s="11"/>
      <c r="F73" s="11"/>
      <c r="G73" s="490">
        <f>COUNTIF(O73:AI73,FALSE)</f>
        <v>0</v>
      </c>
      <c r="H73" s="185"/>
      <c r="I73" s="122"/>
      <c r="J73" s="122"/>
      <c r="K73" s="90"/>
      <c r="L73" s="90"/>
      <c r="M73" s="90"/>
      <c r="N73" s="53" t="s">
        <v>814</v>
      </c>
      <c r="O73" s="500" t="b">
        <f t="shared" ref="O73:AA73" si="19">ROUND(O71,2)=ROUND(O72,2)</f>
        <v>1</v>
      </c>
      <c r="P73" s="501" t="b">
        <f t="shared" si="19"/>
        <v>1</v>
      </c>
      <c r="Q73" s="501" t="b">
        <f t="shared" si="19"/>
        <v>1</v>
      </c>
      <c r="R73" s="501" t="b">
        <f t="shared" si="19"/>
        <v>1</v>
      </c>
      <c r="S73" s="501" t="b">
        <f t="shared" si="19"/>
        <v>1</v>
      </c>
      <c r="T73" s="501" t="b">
        <f t="shared" si="19"/>
        <v>1</v>
      </c>
      <c r="U73" s="501" t="b">
        <f t="shared" si="19"/>
        <v>1</v>
      </c>
      <c r="V73" s="501" t="b">
        <f t="shared" si="19"/>
        <v>1</v>
      </c>
      <c r="W73" s="501" t="b">
        <f t="shared" si="19"/>
        <v>1</v>
      </c>
      <c r="X73" s="501" t="b">
        <f t="shared" si="19"/>
        <v>1</v>
      </c>
      <c r="Y73" s="501" t="b">
        <f t="shared" si="19"/>
        <v>1</v>
      </c>
      <c r="Z73" s="501" t="b">
        <f t="shared" si="19"/>
        <v>1</v>
      </c>
      <c r="AA73" s="501" t="b">
        <f t="shared" si="19"/>
        <v>1</v>
      </c>
      <c r="AB73" s="502"/>
      <c r="AC73" s="503"/>
      <c r="AD73" s="500"/>
      <c r="AE73" s="501" t="b">
        <f>ROUND(AD71,2)=ROUND(AD72,2)</f>
        <v>1</v>
      </c>
      <c r="AF73" s="502"/>
      <c r="AG73" s="500"/>
      <c r="AH73" s="501" t="b">
        <f>ROUND(AG71,2)=ROUND(AG72,2)</f>
        <v>1</v>
      </c>
      <c r="AI73" s="502"/>
    </row>
    <row r="74" spans="1:35" x14ac:dyDescent="0.25">
      <c r="A74" s="11"/>
      <c r="B74" s="11"/>
      <c r="C74" s="11"/>
      <c r="D74" s="11"/>
      <c r="E74" s="11"/>
      <c r="F74" s="11"/>
      <c r="G74" s="11"/>
      <c r="H74" s="185" t="s">
        <v>789</v>
      </c>
      <c r="I74" s="122" t="str">
        <f>IF(_epmOfflineCondition_,"N",_xll.EVPRO($B$1,$H74,"STYLE"))</f>
        <v>N</v>
      </c>
      <c r="J74" s="122" t="str">
        <f>IF(_epmOfflineCondition_,"N",_xll.EVPRO($B$1,$H74,"CALC"))</f>
        <v>N</v>
      </c>
      <c r="K74" s="90"/>
      <c r="L74" s="90" t="str">
        <f>IF(_epmOfflineCondition_,"470110",_xll.EVPRO($B$1,H74,"JDEID"))</f>
        <v>470110</v>
      </c>
      <c r="M74" s="90" t="str">
        <f>IF(_epmOfflineCondition_,"201016",IF(AND(I74="N",J74="N"),_xll.EVPRO($B$1,H74,"PSFTID"),""))</f>
        <v>201016</v>
      </c>
      <c r="N74" s="90" t="str">
        <f>IF(_epmOfflineCondition_,"Break Food",IF(_xll.EVDES(H74,$B$1)="#NODATA","",_xll.EVDES(H74,$B$1)))</f>
        <v>Break Food</v>
      </c>
      <c r="O74" s="138"/>
      <c r="P74" s="138"/>
      <c r="Q74" s="138"/>
      <c r="R74" s="138"/>
      <c r="S74" s="138"/>
      <c r="T74" s="138"/>
      <c r="U74" s="138"/>
      <c r="V74" s="138"/>
      <c r="W74" s="138"/>
      <c r="X74" s="138"/>
      <c r="Y74" s="138"/>
      <c r="Z74" s="138"/>
      <c r="AA74" s="138">
        <f>SUM(O74:Z74)</f>
        <v>0</v>
      </c>
      <c r="AB74" s="142" t="str">
        <f>IF(AA74=0,"",IFERROR(AA74/AA$19,""))</f>
        <v/>
      </c>
      <c r="AC74" s="140"/>
      <c r="AD74" s="138"/>
      <c r="AE74" s="142" t="str">
        <f>IF(AD74=0,"",IFERROR(AD74/AD$19,""))</f>
        <v/>
      </c>
      <c r="AF74" s="141">
        <f>IF(AND($AA74="",AD74=""),"",$AA74-AD74)</f>
        <v>0</v>
      </c>
      <c r="AG74" s="138"/>
      <c r="AH74" s="142" t="str">
        <f>IF(AG74=0,"",IFERROR(AG74/AG$19,""))</f>
        <v/>
      </c>
      <c r="AI74" s="141">
        <f>IF(AND($AA74="",AG74=""),"",$AA74-AG74)</f>
        <v>0</v>
      </c>
    </row>
    <row r="75" spans="1:35" x14ac:dyDescent="0.25">
      <c r="A75" s="11"/>
      <c r="B75" s="11"/>
      <c r="C75" s="208"/>
      <c r="D75" s="11"/>
      <c r="E75" s="11"/>
      <c r="F75" s="11"/>
      <c r="G75" s="11"/>
      <c r="H75" s="185" t="s">
        <v>815</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IF(_epmOfflineCondition_,"Break Revenue",IF(_xll.EVDES(H75,$B$1)="#NODATA","",_xll.EVDES(H75,$B$1)))</f>
        <v>Break Revenue</v>
      </c>
      <c r="O75" s="162"/>
      <c r="P75" s="162"/>
      <c r="Q75" s="162"/>
      <c r="R75" s="162"/>
      <c r="S75" s="162"/>
      <c r="T75" s="162"/>
      <c r="U75" s="162"/>
      <c r="V75" s="162"/>
      <c r="W75" s="162"/>
      <c r="X75" s="162"/>
      <c r="Y75" s="162"/>
      <c r="Z75" s="162"/>
      <c r="AA75" s="162">
        <f>SUM(O75:Z75)</f>
        <v>0</v>
      </c>
      <c r="AB75" s="163" t="str">
        <f>IF(AA75=0,"",IFERROR(AA75/AA$19,""))</f>
        <v/>
      </c>
      <c r="AC75" s="140"/>
      <c r="AD75" s="162"/>
      <c r="AE75" s="163" t="str">
        <f>IF(AD75=0,"",IFERROR(AD75/AD$19,""))</f>
        <v/>
      </c>
      <c r="AF75" s="164">
        <f>IF(AND($AA75="",AD75=""),"",$AA75-AD75)</f>
        <v>0</v>
      </c>
      <c r="AG75" s="162"/>
      <c r="AH75" s="163" t="str">
        <f>IF(AG75=0,"",IFERROR(AG75/AG$19,""))</f>
        <v/>
      </c>
      <c r="AI75" s="164">
        <f>IF(AND($AA75="",AG75=""),"",$AA75-AG75)</f>
        <v>0</v>
      </c>
    </row>
    <row r="76" spans="1:35" x14ac:dyDescent="0.25">
      <c r="A76" s="11"/>
      <c r="B76" s="11"/>
      <c r="C76" s="208"/>
      <c r="D76" s="11"/>
      <c r="E76" s="11"/>
      <c r="F76" s="11"/>
      <c r="G76" s="11"/>
      <c r="H76" s="185" t="s">
        <v>816</v>
      </c>
      <c r="I76" s="122" t="str">
        <f>IF(_epmOfflineCondition_,"N",_xll.EVPRO($B$1,$H76,"STYLE"))</f>
        <v>N</v>
      </c>
      <c r="J76" s="122" t="str">
        <f>IF(_epmOfflineCondition_,"N",_xll.EVPRO($B$1,$H76,"CALC"))</f>
        <v>N</v>
      </c>
      <c r="K76" s="90"/>
      <c r="L76" s="90" t="str">
        <f>IF(_epmOfflineCondition_,"946600",_xll.EVPRO($B$1,H76,"JDEID"))</f>
        <v>946600</v>
      </c>
      <c r="M76" s="90" t="str">
        <f>IF(_epmOfflineCondition_,"991507",IF(AND(I76="N",J76="N"),_xll.EVPRO($B$1,H76,"PSFTID"),""))</f>
        <v>991507</v>
      </c>
      <c r="N76" s="90" t="str">
        <f>IF(_epmOfflineCondition_,"Break Customers",IF(_xll.EVDES(H76,$B$1)="#NODATA","",_xll.EVDES(H76,$B$1)))</f>
        <v>Break Customers</v>
      </c>
      <c r="O76" s="231"/>
      <c r="P76" s="231"/>
      <c r="Q76" s="231"/>
      <c r="R76" s="231"/>
      <c r="S76" s="231"/>
      <c r="T76" s="231"/>
      <c r="U76" s="231"/>
      <c r="V76" s="231"/>
      <c r="W76" s="231"/>
      <c r="X76" s="231"/>
      <c r="Y76" s="231"/>
      <c r="Z76" s="231"/>
      <c r="AA76" s="231">
        <f>SUM(O76:Z76)</f>
        <v>0</v>
      </c>
      <c r="AB76" s="233" t="str">
        <f>IF(AA76=0,"",IFERROR(AA76/AA$84,""))</f>
        <v/>
      </c>
      <c r="AC76" s="140"/>
      <c r="AD76" s="231"/>
      <c r="AE76" s="233" t="str">
        <f>IF(AD76=0,"",IFERROR(AD76/AD$84,""))</f>
        <v/>
      </c>
      <c r="AF76" s="234">
        <f>IF(AND($AA76="",AD76=""),"",$AA76-AD76)</f>
        <v>0</v>
      </c>
      <c r="AG76" s="231"/>
      <c r="AH76" s="233" t="str">
        <f>IF(AG76=0,"",IFERROR(AG76/AG$84,""))</f>
        <v/>
      </c>
      <c r="AI76" s="234">
        <f>IF(AND($AA76="",AG76=""),"",$AA76-AG76)</f>
        <v>0</v>
      </c>
    </row>
    <row r="77" spans="1:35" x14ac:dyDescent="0.25">
      <c r="A77" s="11"/>
      <c r="B77" s="11"/>
      <c r="C77" s="208"/>
      <c r="D77" s="11"/>
      <c r="E77" s="11"/>
      <c r="F77" s="11"/>
      <c r="G77" s="11"/>
      <c r="H77" s="185" t="s">
        <v>817</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IF(_epmOfflineCondition_,"Break Average Check",IF(_xll.EVDES(H77,$B$1)="#NODATA","",_xll.EVDES(H77,$B$1)))</f>
        <v>Break Average Check</v>
      </c>
      <c r="O77" s="495"/>
      <c r="P77" s="495"/>
      <c r="Q77" s="495"/>
      <c r="R77" s="495"/>
      <c r="S77" s="495"/>
      <c r="T77" s="495"/>
      <c r="U77" s="495"/>
      <c r="V77" s="495"/>
      <c r="W77" s="495"/>
      <c r="X77" s="495"/>
      <c r="Y77" s="495"/>
      <c r="Z77" s="495"/>
      <c r="AA77" s="495" t="str">
        <f>IFERROR(AA75/AA76,"")</f>
        <v/>
      </c>
      <c r="AB77" s="495"/>
      <c r="AC77" s="140"/>
      <c r="AD77" s="495"/>
      <c r="AE77" s="495"/>
      <c r="AF77" s="496" t="str">
        <f>IF(AND($AA77="",AD77=""),"",$AA77-AD77)</f>
        <v/>
      </c>
      <c r="AG77" s="495"/>
      <c r="AH77" s="495"/>
      <c r="AI77" s="496" t="str">
        <f>IF(AND($AA77="",AG77=""),"",$AA77-AG77)</f>
        <v/>
      </c>
    </row>
    <row r="78" spans="1:35" x14ac:dyDescent="0.25">
      <c r="A78" s="11"/>
      <c r="B78" s="11"/>
      <c r="C78" s="208"/>
      <c r="D78" s="11"/>
      <c r="E78" s="11"/>
      <c r="F78" s="11"/>
      <c r="G78" s="11"/>
      <c r="H78" s="88"/>
      <c r="I78" s="122"/>
      <c r="J78" s="122"/>
      <c r="K78" s="90"/>
      <c r="L78" s="90"/>
      <c r="M78" s="90"/>
      <c r="N78" s="491" t="s">
        <v>345</v>
      </c>
      <c r="O78" s="497">
        <f t="shared" ref="O78:AA78" si="20">ROUND(IFERROR(O75/O76,0),2)</f>
        <v>0</v>
      </c>
      <c r="P78" s="498">
        <f t="shared" si="20"/>
        <v>0</v>
      </c>
      <c r="Q78" s="498">
        <f t="shared" si="20"/>
        <v>0</v>
      </c>
      <c r="R78" s="498">
        <f t="shared" si="20"/>
        <v>0</v>
      </c>
      <c r="S78" s="498">
        <f t="shared" si="20"/>
        <v>0</v>
      </c>
      <c r="T78" s="498">
        <f t="shared" si="20"/>
        <v>0</v>
      </c>
      <c r="U78" s="498">
        <f t="shared" si="20"/>
        <v>0</v>
      </c>
      <c r="V78" s="498">
        <f t="shared" si="20"/>
        <v>0</v>
      </c>
      <c r="W78" s="498">
        <f t="shared" si="20"/>
        <v>0</v>
      </c>
      <c r="X78" s="498">
        <f t="shared" si="20"/>
        <v>0</v>
      </c>
      <c r="Y78" s="498">
        <f t="shared" si="20"/>
        <v>0</v>
      </c>
      <c r="Z78" s="498">
        <f t="shared" si="20"/>
        <v>0</v>
      </c>
      <c r="AA78" s="498">
        <f t="shared" si="20"/>
        <v>0</v>
      </c>
      <c r="AB78" s="499"/>
      <c r="AC78" s="140"/>
      <c r="AD78" s="497">
        <f>ROUND(IFERROR(AD75/AD76,0),2)</f>
        <v>0</v>
      </c>
      <c r="AE78" s="498"/>
      <c r="AF78" s="155"/>
      <c r="AG78" s="497">
        <f>ROUND(IFERROR(AG75/AG76,0),2)</f>
        <v>0</v>
      </c>
      <c r="AH78" s="498"/>
      <c r="AI78" s="155"/>
    </row>
    <row r="79" spans="1:35" x14ac:dyDescent="0.25">
      <c r="A79" s="11"/>
      <c r="B79" s="11"/>
      <c r="C79" s="208"/>
      <c r="D79" s="11"/>
      <c r="E79" s="11"/>
      <c r="F79" s="11"/>
      <c r="G79" s="490">
        <f>COUNTIF(O79:AI79,FALSE)</f>
        <v>0</v>
      </c>
      <c r="H79" s="88"/>
      <c r="I79" s="122"/>
      <c r="J79" s="122"/>
      <c r="K79" s="90"/>
      <c r="L79" s="90"/>
      <c r="M79" s="90"/>
      <c r="N79" s="491"/>
      <c r="O79" s="500" t="b">
        <f t="shared" ref="O79:AA79" si="21">ROUND(O77,2)=ROUND(O78,2)</f>
        <v>1</v>
      </c>
      <c r="P79" s="501" t="b">
        <f t="shared" si="21"/>
        <v>1</v>
      </c>
      <c r="Q79" s="501" t="b">
        <f t="shared" si="21"/>
        <v>1</v>
      </c>
      <c r="R79" s="501" t="b">
        <f t="shared" si="21"/>
        <v>1</v>
      </c>
      <c r="S79" s="501" t="b">
        <f t="shared" si="21"/>
        <v>1</v>
      </c>
      <c r="T79" s="501" t="b">
        <f t="shared" si="21"/>
        <v>1</v>
      </c>
      <c r="U79" s="501" t="b">
        <f t="shared" si="21"/>
        <v>1</v>
      </c>
      <c r="V79" s="501" t="b">
        <f t="shared" si="21"/>
        <v>1</v>
      </c>
      <c r="W79" s="501" t="b">
        <f t="shared" si="21"/>
        <v>1</v>
      </c>
      <c r="X79" s="501" t="b">
        <f t="shared" si="21"/>
        <v>1</v>
      </c>
      <c r="Y79" s="501" t="b">
        <f t="shared" si="21"/>
        <v>1</v>
      </c>
      <c r="Z79" s="501" t="b">
        <f t="shared" si="21"/>
        <v>1</v>
      </c>
      <c r="AA79" s="501" t="e">
        <f t="shared" si="21"/>
        <v>#VALUE!</v>
      </c>
      <c r="AB79" s="502"/>
      <c r="AC79" s="503"/>
      <c r="AD79" s="500"/>
      <c r="AE79" s="501" t="b">
        <f>ROUND(AD77,2)=ROUND(AD78,2)</f>
        <v>1</v>
      </c>
      <c r="AF79" s="502"/>
      <c r="AG79" s="500"/>
      <c r="AH79" s="501" t="b">
        <f>ROUND(AG77,2)=ROUND(AG78,2)</f>
        <v>1</v>
      </c>
      <c r="AI79" s="502"/>
    </row>
    <row r="80" spans="1:35" x14ac:dyDescent="0.25">
      <c r="A80" s="11"/>
      <c r="B80" s="11"/>
      <c r="C80" s="208"/>
      <c r="D80" s="11"/>
      <c r="E80" s="11"/>
      <c r="F80" s="11"/>
      <c r="G80" s="11"/>
      <c r="H80" s="88" t="s">
        <v>486</v>
      </c>
      <c r="I80" s="122" t="str">
        <f>IF(_epmOfflineCondition_,"T5",_xll.EVPRO($B$1,$H80,"STYLE"))</f>
        <v>T5</v>
      </c>
      <c r="J80" s="122" t="str">
        <f>IF(_epmOfflineCondition_,"Y",_xll.EVPRO($B$1,$H80,"CALC"))</f>
        <v>Y</v>
      </c>
      <c r="K80" s="90"/>
      <c r="L80" s="90" t="str">
        <f>IF(_epmOfflineCondition_,"",_xll.EVPRO($B$1,H80,"JDEID"))</f>
        <v/>
      </c>
      <c r="M80" s="90" t="str">
        <f>IF(_epmOfflineCondition_,"",IF(AND(I80="N",J80="N"),_xll.EVPRO($B$1,H80,"PSFTID"),""))</f>
        <v/>
      </c>
      <c r="N80" s="90" t="str">
        <f>IF(_epmOfflineCondition_,"Food &amp; Beverage: Allowances",IF(_xll.EVDES(H80,$B$1)="#NODATA","",_xll.EVDES(H80,$B$1)))</f>
        <v>Food &amp; Beverage: Allowances</v>
      </c>
      <c r="O80" s="138"/>
      <c r="P80" s="138"/>
      <c r="Q80" s="138"/>
      <c r="R80" s="138"/>
      <c r="S80" s="138"/>
      <c r="T80" s="138"/>
      <c r="U80" s="138"/>
      <c r="V80" s="138"/>
      <c r="W80" s="138"/>
      <c r="X80" s="138"/>
      <c r="Y80" s="138"/>
      <c r="Z80" s="138"/>
      <c r="AA80" s="138">
        <f>SUM(O80:Z80)</f>
        <v>0</v>
      </c>
      <c r="AB80" s="142" t="str">
        <f>IF(AA80=0,"",IFERROR(AA80/AA$19,""))</f>
        <v/>
      </c>
      <c r="AC80" s="140"/>
      <c r="AD80" s="138"/>
      <c r="AE80" s="142" t="str">
        <f>IF(AD80=0,"",IFERROR(AD80/AD$19,""))</f>
        <v/>
      </c>
      <c r="AF80" s="141">
        <f>IF(AND($AA80="",AD80=""),"",$AA80-AD80)</f>
        <v>0</v>
      </c>
      <c r="AG80" s="138"/>
      <c r="AH80" s="142" t="str">
        <f>IF(AG80=0,"",IFERROR(AG80/AG$19,""))</f>
        <v/>
      </c>
      <c r="AI80" s="141">
        <f>IF(AND($AA80="",AG80=""),"",$AA80-AG80)</f>
        <v>0</v>
      </c>
    </row>
    <row r="81" spans="1:35" x14ac:dyDescent="0.25">
      <c r="A81" s="11"/>
      <c r="B81" s="11"/>
      <c r="C81" s="208"/>
      <c r="D81" s="11"/>
      <c r="E81" s="11"/>
      <c r="F81" s="11"/>
      <c r="G81" s="11"/>
      <c r="H81" s="88"/>
      <c r="I81" s="122"/>
      <c r="J81" s="122"/>
      <c r="K81" s="90"/>
      <c r="L81" s="90"/>
      <c r="M81" s="90"/>
      <c r="N81" s="53" t="s">
        <v>348</v>
      </c>
      <c r="O81" s="500"/>
      <c r="P81" s="501"/>
      <c r="Q81" s="501"/>
      <c r="R81" s="501"/>
      <c r="S81" s="501"/>
      <c r="T81" s="501"/>
      <c r="U81" s="501"/>
      <c r="V81" s="501"/>
      <c r="W81" s="501"/>
      <c r="X81" s="501"/>
      <c r="Y81" s="501"/>
      <c r="Z81" s="501"/>
      <c r="AA81" s="501"/>
      <c r="AB81" s="502"/>
      <c r="AC81" s="503"/>
      <c r="AD81" s="500"/>
      <c r="AE81" s="501"/>
      <c r="AF81" s="502"/>
      <c r="AG81" s="500"/>
      <c r="AH81" s="501"/>
      <c r="AI81" s="502"/>
    </row>
    <row r="82" spans="1:35" x14ac:dyDescent="0.25">
      <c r="A82" s="11"/>
      <c r="B82" s="11"/>
      <c r="C82" s="208"/>
      <c r="D82" s="11"/>
      <c r="E82" s="11"/>
      <c r="F82" s="11"/>
      <c r="G82" s="11"/>
      <c r="H82" s="185" t="s">
        <v>273</v>
      </c>
      <c r="I82" s="122" t="str">
        <f>IF(_epmOfflineCondition_,"T4",_xll.EVPRO($B$1,$H82,"STYLE"))</f>
        <v>T4</v>
      </c>
      <c r="J82" s="122" t="str">
        <f>IF(_epmOfflineCondition_,"Y",_xll.EVPRO($B$1,$H82,"CALC"))</f>
        <v>Y</v>
      </c>
      <c r="K82" s="11"/>
      <c r="L82" s="90" t="str">
        <f>IF(_epmOfflineCondition_,"",_xll.EVPRO($B$1,H82,"JDEID"))</f>
        <v/>
      </c>
      <c r="M82" s="90" t="str">
        <f>IF(_epmOfflineCondition_,"",IF(AND(I82="N",J82="N"),_xll.EVPRO($B$1,H82,"PSFTID"),""))</f>
        <v/>
      </c>
      <c r="N82" s="90" t="str">
        <f>IF(_epmOfflineCondition_,"Total Food &amp; Beverage Revenue",IF(_xll.EVDES(H82,$B$1)="#NODATA","",_xll.EVDES(H82,$B$1)))</f>
        <v>Total Food &amp; Beverage Revenue</v>
      </c>
      <c r="O82" s="507">
        <v>14877</v>
      </c>
      <c r="P82" s="507">
        <v>34594</v>
      </c>
      <c r="Q82" s="507">
        <v>51548</v>
      </c>
      <c r="R82" s="507">
        <v>27033</v>
      </c>
      <c r="S82" s="507">
        <v>17881.16</v>
      </c>
      <c r="T82" s="507">
        <v>18557</v>
      </c>
      <c r="U82" s="507">
        <v>13125</v>
      </c>
      <c r="V82" s="507">
        <v>8678.77</v>
      </c>
      <c r="W82" s="507">
        <v>2340</v>
      </c>
      <c r="X82" s="507">
        <v>15778</v>
      </c>
      <c r="Y82" s="507">
        <v>39275</v>
      </c>
      <c r="Z82" s="507">
        <v>10700</v>
      </c>
      <c r="AA82" s="507">
        <f>SUM(O82:Z82)</f>
        <v>254386.93</v>
      </c>
      <c r="AB82" s="508">
        <f>IF(AA82=0,"",IFERROR(AA82/AA$19,""))</f>
        <v>1</v>
      </c>
      <c r="AC82" s="140"/>
      <c r="AD82" s="507">
        <v>114498.340003996</v>
      </c>
      <c r="AE82" s="508">
        <f>IF(AD82=0,"",IFERROR(AD82/AD$19,""))</f>
        <v>1</v>
      </c>
      <c r="AF82" s="509">
        <f>IF(AND($AA82="",AD82=""),"",$AA82-AD82)</f>
        <v>139888.58999600401</v>
      </c>
      <c r="AG82" s="507">
        <v>50276.7</v>
      </c>
      <c r="AH82" s="508">
        <f>IF(AG82=0,"",IFERROR(AG82/AG$19,""))</f>
        <v>1</v>
      </c>
      <c r="AI82" s="509">
        <f>IF(AND($AA82="",AG82=""),"",$AA82-AG82)</f>
        <v>204110.22999999998</v>
      </c>
    </row>
    <row r="83" spans="1:35" x14ac:dyDescent="0.25">
      <c r="A83" s="11"/>
      <c r="B83" s="11"/>
      <c r="C83" s="208"/>
      <c r="D83" s="11"/>
      <c r="E83" s="11"/>
      <c r="F83" s="11"/>
      <c r="G83" s="11"/>
      <c r="H83" s="185" t="s">
        <v>818</v>
      </c>
      <c r="I83" s="122" t="str">
        <f>IF(_epmOfflineCondition_,"N",_xll.EVPRO($B$1,$H83,"STYLE"))</f>
        <v>N</v>
      </c>
      <c r="J83" s="122" t="str">
        <f>IF(_epmOfflineCondition_,"N",_xll.EVPRO($B$1,$H83,"CALC"))</f>
        <v>N</v>
      </c>
      <c r="K83" s="11"/>
      <c r="L83" s="90" t="str">
        <f>IF(_epmOfflineCondition_,"947600",_xll.EVPRO($B$1,H83,"JDEID"))</f>
        <v>947600</v>
      </c>
      <c r="M83" s="90" t="str">
        <f>IF(_epmOfflineCondition_,"991570",IF(AND(I83="N",J83="N"),_xll.EVPRO($B$1,H83,"PSFTID"),""))</f>
        <v>991570</v>
      </c>
      <c r="N83" s="90" t="str">
        <f>IF(_epmOfflineCondition_,"Banquet Space Square Footage",IF(_xll.EVDES(H83,$B$1)="#NODATA","",_xll.EVDES(H83,$B$1)))</f>
        <v>Banquet Space Square Footage</v>
      </c>
      <c r="O83" s="507">
        <v>1113</v>
      </c>
      <c r="P83" s="507">
        <v>1113</v>
      </c>
      <c r="Q83" s="507">
        <v>1113</v>
      </c>
      <c r="R83" s="507">
        <v>1113</v>
      </c>
      <c r="S83" s="507">
        <v>1113</v>
      </c>
      <c r="T83" s="507">
        <v>1113</v>
      </c>
      <c r="U83" s="507">
        <v>1113</v>
      </c>
      <c r="V83" s="507">
        <v>1113</v>
      </c>
      <c r="W83" s="507">
        <v>1113</v>
      </c>
      <c r="X83" s="507">
        <v>1113</v>
      </c>
      <c r="Y83" s="507">
        <v>1113</v>
      </c>
      <c r="Z83" s="507">
        <v>1113</v>
      </c>
      <c r="AA83" s="507">
        <f>SUM(O83:Z83)</f>
        <v>13356</v>
      </c>
      <c r="AB83" s="508"/>
      <c r="AC83" s="140"/>
      <c r="AD83" s="507"/>
      <c r="AE83" s="508"/>
      <c r="AF83" s="509">
        <f>IF(AND($AA83="",AD83=""),"",$AA83-AD83)</f>
        <v>13356</v>
      </c>
      <c r="AG83" s="507">
        <v>13356</v>
      </c>
      <c r="AH83" s="508"/>
      <c r="AI83" s="509">
        <f>IF(AND($AA83="",AG83=""),"",$AA83-AG83)</f>
        <v>0</v>
      </c>
    </row>
    <row r="84" spans="1:35" x14ac:dyDescent="0.25">
      <c r="A84" s="11"/>
      <c r="B84" s="11"/>
      <c r="C84" s="208"/>
      <c r="D84" s="11"/>
      <c r="E84" s="11"/>
      <c r="F84" s="11"/>
      <c r="G84" s="11"/>
      <c r="H84" s="185" t="s">
        <v>331</v>
      </c>
      <c r="I84" s="122" t="str">
        <f>IF(_epmOfflineCondition_,"T2",_xll.EVPRO($B$1,$H84,"STYLE"))</f>
        <v>T2</v>
      </c>
      <c r="J84" s="122" t="str">
        <f>IF(_epmOfflineCondition_,"Y",_xll.EVPRO($B$1,$H84,"CALC"))</f>
        <v>Y</v>
      </c>
      <c r="K84" s="11"/>
      <c r="L84" s="90" t="str">
        <f>IF(_epmOfflineCondition_,"946000",_xll.EVPRO($B$1,H84,"JDEID"))</f>
        <v>946000</v>
      </c>
      <c r="M84" s="90" t="str">
        <f>IF(_epmOfflineCondition_,"",IF(AND(I84="N",J84="N"),_xll.EVPRO($B$1,H84,"PSFTID"),""))</f>
        <v/>
      </c>
      <c r="N84" s="90" t="str">
        <f>IF(_epmOfflineCondition_,"Total Customers",IF(_xll.EVDES(H84,$B$1)="#NODATA","",_xll.EVDES(H84,$B$1)))</f>
        <v>Total Customers</v>
      </c>
      <c r="O84" s="507">
        <v>227</v>
      </c>
      <c r="P84" s="507">
        <v>419</v>
      </c>
      <c r="Q84" s="507">
        <v>646</v>
      </c>
      <c r="R84" s="507">
        <v>388</v>
      </c>
      <c r="S84" s="507">
        <v>201</v>
      </c>
      <c r="T84" s="507">
        <v>347</v>
      </c>
      <c r="U84" s="507">
        <v>222</v>
      </c>
      <c r="V84" s="507">
        <v>177</v>
      </c>
      <c r="W84" s="507">
        <v>50</v>
      </c>
      <c r="X84" s="507">
        <v>236</v>
      </c>
      <c r="Y84" s="507">
        <v>1008</v>
      </c>
      <c r="Z84" s="507">
        <v>337</v>
      </c>
      <c r="AA84" s="507">
        <f>SUM(O84:Z84)</f>
        <v>4258</v>
      </c>
      <c r="AB84" s="508">
        <f>IF(AA84=0,"",IFERROR(AA84/AA$20,""))</f>
        <v>1</v>
      </c>
      <c r="AC84" s="140"/>
      <c r="AD84" s="507">
        <v>1908.5423485399999</v>
      </c>
      <c r="AE84" s="508">
        <f>IF(AD84=0,"",IFERROR(AD84/AD$20,""))</f>
        <v>1</v>
      </c>
      <c r="AF84" s="509">
        <f>IF(AND($AA84="",AD84=""),"",$AA84-AD84)</f>
        <v>2349.4576514600003</v>
      </c>
      <c r="AG84" s="507">
        <v>752</v>
      </c>
      <c r="AH84" s="508">
        <f>IF(AG84=0,"",IFERROR(AG84/AG$20,""))</f>
        <v>1</v>
      </c>
      <c r="AI84" s="509">
        <f>IF(AND($AA84="",AG84=""),"",$AA84-AG84)</f>
        <v>3506</v>
      </c>
    </row>
    <row r="85" spans="1:35" x14ac:dyDescent="0.25">
      <c r="A85" s="11"/>
      <c r="B85" s="11"/>
      <c r="C85" s="208"/>
      <c r="D85" s="11"/>
      <c r="E85" s="11"/>
      <c r="F85" s="11"/>
      <c r="G85" s="11"/>
      <c r="H85" s="185" t="s">
        <v>311</v>
      </c>
      <c r="I85" s="122" t="str">
        <f>IF(_epmOfflineCondition_,"N",_xll.EVPRO($B$1,$H85,"STYLE"))</f>
        <v>N</v>
      </c>
      <c r="J85" s="122" t="str">
        <f>IF(_epmOfflineCondition_,"Y",_xll.EVPRO($B$1,$H85,"CALC"))</f>
        <v>Y</v>
      </c>
      <c r="K85" s="11"/>
      <c r="L85" s="90"/>
      <c r="M85" s="90"/>
      <c r="N85" s="90" t="str">
        <f>IF(_epmOfflineCondition_,"Total Average Check",IF(_xll.EVDES(H85,$B$1)="#NODATA","",_xll.EVDES(H85,$B$1)))</f>
        <v>Total Average Check</v>
      </c>
      <c r="O85" s="495">
        <v>65.537444933920696</v>
      </c>
      <c r="P85" s="495">
        <v>82.563245823388996</v>
      </c>
      <c r="Q85" s="495">
        <v>79.795665634674904</v>
      </c>
      <c r="R85" s="495">
        <v>69.672680412371093</v>
      </c>
      <c r="S85" s="495">
        <v>88.960995024875601</v>
      </c>
      <c r="T85" s="495">
        <v>53.478386167147001</v>
      </c>
      <c r="U85" s="495">
        <v>59.1216216216216</v>
      </c>
      <c r="V85" s="495">
        <v>49.032598870056503</v>
      </c>
      <c r="W85" s="495">
        <v>46.8</v>
      </c>
      <c r="X85" s="495">
        <v>66.855932203389798</v>
      </c>
      <c r="Y85" s="495">
        <v>38.963293650793702</v>
      </c>
      <c r="Z85" s="495">
        <v>31.7507418397626</v>
      </c>
      <c r="AA85" s="495">
        <f>IFERROR(AA82/AA84,"")</f>
        <v>59.743290277125411</v>
      </c>
      <c r="AB85" s="495"/>
      <c r="AC85" s="140"/>
      <c r="AD85" s="495">
        <v>59.992559290908503</v>
      </c>
      <c r="AE85" s="495"/>
      <c r="AF85" s="496">
        <f>IF(AND($AA85="",AD85=""),"",$AA85-AD85)</f>
        <v>-0.24926901378309196</v>
      </c>
      <c r="AG85" s="495">
        <v>66.857313829787202</v>
      </c>
      <c r="AH85" s="495"/>
      <c r="AI85" s="496">
        <f>IF(AND($AA85="",AG85=""),"",$AA85-AG85)</f>
        <v>-7.1140235526617914</v>
      </c>
    </row>
    <row r="86" spans="1:35" x14ac:dyDescent="0.25">
      <c r="A86" s="11"/>
      <c r="B86" s="11"/>
      <c r="C86" s="208"/>
      <c r="D86" s="11"/>
      <c r="E86" s="11"/>
      <c r="F86" s="11"/>
      <c r="G86" s="11"/>
      <c r="H86" s="185" t="s">
        <v>819</v>
      </c>
      <c r="I86" s="122" t="str">
        <f>IF(_epmOfflineCondition_,"N",_xll.EVPRO($B$1,$H86,"STYLE"))</f>
        <v>N</v>
      </c>
      <c r="J86" s="122" t="str">
        <f>IF(_epmOfflineCondition_,"Y",_xll.EVPRO($B$1,$H86,"CALC"))</f>
        <v>Y</v>
      </c>
      <c r="K86" s="11"/>
      <c r="L86" s="90"/>
      <c r="M86" s="90"/>
      <c r="N86" s="90" t="str">
        <f>IF(_epmOfflineCondition_,"Revenue per Square Foot",IF(_xll.EVDES(H86,$B$1)="#NODATA","",_xll.EVDES(H86,$B$1)))</f>
        <v>Revenue per Square Foot</v>
      </c>
      <c r="O86" s="495">
        <v>13.366576819406999</v>
      </c>
      <c r="P86" s="495">
        <v>31.081761006289302</v>
      </c>
      <c r="Q86" s="495">
        <v>46.314465408804999</v>
      </c>
      <c r="R86" s="495">
        <v>24.288409703504001</v>
      </c>
      <c r="S86" s="495">
        <v>16.0657322551662</v>
      </c>
      <c r="T86" s="495">
        <v>16.6729559748428</v>
      </c>
      <c r="U86" s="495">
        <v>11.792452830188701</v>
      </c>
      <c r="V86" s="495">
        <v>7.7976370170709801</v>
      </c>
      <c r="W86" s="495">
        <v>2.1024258760107801</v>
      </c>
      <c r="X86" s="495">
        <v>14.176100628930801</v>
      </c>
      <c r="Y86" s="495">
        <v>35.287511230907498</v>
      </c>
      <c r="Z86" s="495">
        <v>9.6136567834680999</v>
      </c>
      <c r="AA86" s="495">
        <f>IFERROR(AA82/AA83,"")</f>
        <v>19.046640461215933</v>
      </c>
      <c r="AB86" s="495"/>
      <c r="AC86" s="140"/>
      <c r="AD86" s="495"/>
      <c r="AE86" s="495"/>
      <c r="AF86" s="496">
        <f>IF(AND($AA86="",AD86=""),"",$AA86-AD86)</f>
        <v>19.046640461215933</v>
      </c>
      <c r="AG86" s="495">
        <v>3.7643530997304602</v>
      </c>
      <c r="AH86" s="495"/>
      <c r="AI86" s="496">
        <f>IF(AND($AA86="",AG86=""),"",$AA86-AG86)</f>
        <v>15.282287361485473</v>
      </c>
    </row>
    <row r="87" spans="1:35" x14ac:dyDescent="0.25">
      <c r="A87" s="11"/>
      <c r="B87" s="11"/>
      <c r="C87" s="208"/>
      <c r="D87" s="11"/>
      <c r="E87" s="11"/>
      <c r="F87" s="11"/>
      <c r="G87" s="11"/>
      <c r="H87" s="185"/>
      <c r="I87" s="122"/>
      <c r="J87" s="122"/>
      <c r="K87" s="11"/>
      <c r="L87" s="90"/>
      <c r="M87" s="90"/>
      <c r="N87" s="90"/>
      <c r="O87" s="170"/>
      <c r="P87" s="170"/>
      <c r="Q87" s="170"/>
      <c r="R87" s="170"/>
      <c r="S87" s="170"/>
      <c r="T87" s="170"/>
      <c r="U87" s="170"/>
      <c r="V87" s="171"/>
      <c r="W87" s="171"/>
      <c r="X87" s="171"/>
      <c r="Y87" s="171"/>
      <c r="Z87" s="171"/>
      <c r="AA87" s="171"/>
      <c r="AB87" s="172"/>
      <c r="AC87" s="140"/>
      <c r="AD87" s="170"/>
      <c r="AE87" s="171"/>
      <c r="AF87" s="172"/>
      <c r="AG87" s="170"/>
      <c r="AH87" s="171"/>
      <c r="AI87" s="172"/>
    </row>
    <row r="88" spans="1:35" x14ac:dyDescent="0.25">
      <c r="A88" s="11"/>
      <c r="B88" s="11"/>
      <c r="C88" s="208"/>
      <c r="D88" s="11"/>
      <c r="E88" s="11"/>
      <c r="F88" s="11"/>
      <c r="G88" s="11"/>
      <c r="H88" s="185"/>
      <c r="I88" s="122"/>
      <c r="J88" s="122"/>
      <c r="K88" s="11"/>
      <c r="L88" s="90"/>
      <c r="M88" s="90"/>
      <c r="N88" s="53" t="s">
        <v>334</v>
      </c>
      <c r="O88" s="158"/>
      <c r="P88" s="159"/>
      <c r="Q88" s="159"/>
      <c r="R88" s="159"/>
      <c r="S88" s="159"/>
      <c r="T88" s="159"/>
      <c r="U88" s="159"/>
      <c r="V88" s="159"/>
      <c r="W88" s="159"/>
      <c r="X88" s="159"/>
      <c r="Y88" s="159"/>
      <c r="Z88" s="159"/>
      <c r="AA88" s="159"/>
      <c r="AB88" s="160"/>
      <c r="AC88" s="140"/>
      <c r="AD88" s="158"/>
      <c r="AE88" s="159"/>
      <c r="AF88" s="160"/>
      <c r="AG88" s="158"/>
      <c r="AH88" s="159"/>
      <c r="AI88" s="160"/>
    </row>
    <row r="89" spans="1:35" hidden="1" outlineLevel="1" x14ac:dyDescent="0.25">
      <c r="A89" s="11"/>
      <c r="B89" s="11"/>
      <c r="C89" s="208"/>
      <c r="D89" s="11"/>
      <c r="E89" s="11"/>
      <c r="F89" s="11"/>
      <c r="G89" s="11"/>
      <c r="H89" s="185" t="s">
        <v>332</v>
      </c>
      <c r="I89" s="122" t="str">
        <f>IF(_epmOfflineCondition_,"T4",_xll.EVPRO($B$1,$H89,"STYLE"))</f>
        <v>T4</v>
      </c>
      <c r="J89" s="122" t="str">
        <f>IF(_epmOfflineCondition_,"Y",_xll.EVPRO($B$1,$H89,"CALC"))</f>
        <v>Y</v>
      </c>
      <c r="K89" s="11"/>
      <c r="L89" s="90"/>
      <c r="M89" s="90"/>
      <c r="N89" s="90" t="str">
        <f>IF(_epmOfflineCondition_,"F&amp;B Kitchen - THW",IF(_xll.EVDES(H89,$B$1)="#NODATA","",_xll.EVDES(H89,$B$1)))</f>
        <v>F&amp;B Kitchen - THW</v>
      </c>
      <c r="O89" s="138"/>
      <c r="P89" s="138"/>
      <c r="Q89" s="138"/>
      <c r="R89" s="138"/>
      <c r="S89" s="138"/>
      <c r="T89" s="138"/>
      <c r="U89" s="138"/>
      <c r="V89" s="138"/>
      <c r="W89" s="138"/>
      <c r="X89" s="138"/>
      <c r="Y89" s="138"/>
      <c r="Z89" s="138"/>
      <c r="AA89" s="138">
        <f>SUM(O89:Z89)</f>
        <v>0</v>
      </c>
      <c r="AB89" s="142"/>
      <c r="AC89" s="140"/>
      <c r="AD89" s="138"/>
      <c r="AE89" s="142"/>
      <c r="AF89" s="141">
        <f t="shared" ref="AF89:AF94" si="22">IF(AND($AA89="",AD89=""),"",$AA89-AD89)</f>
        <v>0</v>
      </c>
      <c r="AG89" s="138"/>
      <c r="AH89" s="142"/>
      <c r="AI89" s="141">
        <f t="shared" ref="AI89:AI94" si="23">IF(AND($AA89="",AG89=""),"",$AA89-AG89)</f>
        <v>0</v>
      </c>
    </row>
    <row r="90" spans="1:35" hidden="1" outlineLevel="1" x14ac:dyDescent="0.25">
      <c r="A90" s="11"/>
      <c r="B90" s="11"/>
      <c r="C90" s="208"/>
      <c r="D90" s="11"/>
      <c r="E90" s="11"/>
      <c r="F90" s="11"/>
      <c r="G90" s="11"/>
      <c r="H90" s="185" t="s">
        <v>333</v>
      </c>
      <c r="I90" s="122" t="str">
        <f>IF(_epmOfflineCondition_,"T4",_xll.EVPRO($B$1,$H90,"STYLE"))</f>
        <v>T4</v>
      </c>
      <c r="J90" s="122" t="str">
        <f>IF(_epmOfflineCondition_,"Y",_xll.EVPRO($B$1,$H90,"CALC"))</f>
        <v>Y</v>
      </c>
      <c r="K90" s="11"/>
      <c r="L90" s="90"/>
      <c r="M90" s="90"/>
      <c r="N90" s="90" t="str">
        <f>IF(_epmOfflineCondition_,"F&amp;B Venues - THW",IF(_xll.EVDES(H90,$B$1)="#NODATA","",_xll.EVDES(H90,$B$1)))</f>
        <v>F&amp;B Venues - THW</v>
      </c>
      <c r="O90" s="138"/>
      <c r="P90" s="138"/>
      <c r="Q90" s="138"/>
      <c r="R90" s="138"/>
      <c r="S90" s="138"/>
      <c r="T90" s="138"/>
      <c r="U90" s="138"/>
      <c r="V90" s="138"/>
      <c r="W90" s="138"/>
      <c r="X90" s="138"/>
      <c r="Y90" s="138"/>
      <c r="Z90" s="138"/>
      <c r="AA90" s="138">
        <f>SUM(O90:Z90)</f>
        <v>0</v>
      </c>
      <c r="AB90" s="142"/>
      <c r="AC90" s="140"/>
      <c r="AD90" s="138"/>
      <c r="AE90" s="142"/>
      <c r="AF90" s="141">
        <f t="shared" si="22"/>
        <v>0</v>
      </c>
      <c r="AG90" s="138"/>
      <c r="AH90" s="142"/>
      <c r="AI90" s="141">
        <f t="shared" si="23"/>
        <v>0</v>
      </c>
    </row>
    <row r="91" spans="1:35" hidden="1" outlineLevel="1" x14ac:dyDescent="0.25">
      <c r="A91" s="11"/>
      <c r="B91" s="11"/>
      <c r="C91" s="208"/>
      <c r="D91" s="11"/>
      <c r="E91" s="11"/>
      <c r="F91" s="11"/>
      <c r="G91" s="11"/>
      <c r="H91" s="185" t="s">
        <v>774</v>
      </c>
      <c r="I91" s="122" t="str">
        <f>IF(_epmOfflineCondition_,"T4",_xll.EVPRO($B$1,$H91,"STYLE"))</f>
        <v>T4</v>
      </c>
      <c r="J91" s="122" t="str">
        <f>IF(_epmOfflineCondition_,"Y",_xll.EVPRO($B$1,$H91,"CALC"))</f>
        <v>Y</v>
      </c>
      <c r="K91" s="11"/>
      <c r="L91" s="90"/>
      <c r="M91" s="90"/>
      <c r="N91" s="90" t="str">
        <f>IF(_epmOfflineCondition_,"Banquet &amp; Conf/Catering Service - THW",IF(_xll.EVDES(H91,$B$1)="#NODATA","",_xll.EVDES(H91,$B$1)))</f>
        <v>Banquet &amp; Conf/Catering Service - THW</v>
      </c>
      <c r="O91" s="138"/>
      <c r="P91" s="138">
        <v>6.48</v>
      </c>
      <c r="Q91" s="138"/>
      <c r="R91" s="138">
        <v>243</v>
      </c>
      <c r="S91" s="138"/>
      <c r="T91" s="138"/>
      <c r="U91" s="138"/>
      <c r="V91" s="138"/>
      <c r="W91" s="138"/>
      <c r="X91" s="138"/>
      <c r="Y91" s="138"/>
      <c r="Z91" s="138"/>
      <c r="AA91" s="138">
        <f>SUM(O91:Z91)</f>
        <v>249.48</v>
      </c>
      <c r="AB91" s="142"/>
      <c r="AC91" s="140"/>
      <c r="AD91" s="138"/>
      <c r="AE91" s="142"/>
      <c r="AF91" s="141">
        <f t="shared" si="22"/>
        <v>249.48</v>
      </c>
      <c r="AG91" s="138">
        <v>138.5</v>
      </c>
      <c r="AH91" s="142"/>
      <c r="AI91" s="141">
        <f t="shared" si="23"/>
        <v>110.97999999999999</v>
      </c>
    </row>
    <row r="92" spans="1:35" collapsed="1" x14ac:dyDescent="0.25">
      <c r="A92" s="11"/>
      <c r="B92" s="11"/>
      <c r="C92" s="208"/>
      <c r="D92" s="11"/>
      <c r="E92" s="11"/>
      <c r="F92" s="11"/>
      <c r="G92" s="11"/>
      <c r="H92" s="185"/>
      <c r="I92" s="122"/>
      <c r="J92" s="122"/>
      <c r="K92" s="11"/>
      <c r="L92" s="90"/>
      <c r="M92" s="90"/>
      <c r="N92" s="104" t="s">
        <v>335</v>
      </c>
      <c r="O92" s="510" t="str">
        <f t="shared" ref="O92:AA92" si="24">IFERROR(O$84/O89,"")</f>
        <v/>
      </c>
      <c r="P92" s="510" t="str">
        <f t="shared" si="24"/>
        <v/>
      </c>
      <c r="Q92" s="510" t="str">
        <f t="shared" si="24"/>
        <v/>
      </c>
      <c r="R92" s="510" t="str">
        <f t="shared" si="24"/>
        <v/>
      </c>
      <c r="S92" s="510" t="str">
        <f t="shared" si="24"/>
        <v/>
      </c>
      <c r="T92" s="510" t="str">
        <f t="shared" si="24"/>
        <v/>
      </c>
      <c r="U92" s="510" t="str">
        <f t="shared" si="24"/>
        <v/>
      </c>
      <c r="V92" s="510" t="str">
        <f t="shared" si="24"/>
        <v/>
      </c>
      <c r="W92" s="510" t="str">
        <f t="shared" si="24"/>
        <v/>
      </c>
      <c r="X92" s="510" t="str">
        <f t="shared" si="24"/>
        <v/>
      </c>
      <c r="Y92" s="510" t="str">
        <f t="shared" si="24"/>
        <v/>
      </c>
      <c r="Z92" s="510" t="str">
        <f t="shared" si="24"/>
        <v/>
      </c>
      <c r="AA92" s="510" t="str">
        <f t="shared" si="24"/>
        <v/>
      </c>
      <c r="AB92" s="511"/>
      <c r="AC92" s="140"/>
      <c r="AD92" s="510" t="str">
        <f>IFERROR(AD$84/AD89,"")</f>
        <v/>
      </c>
      <c r="AE92" s="511"/>
      <c r="AF92" s="213" t="str">
        <f t="shared" si="22"/>
        <v/>
      </c>
      <c r="AG92" s="510" t="str">
        <f>IFERROR(AG$84/AG89,"")</f>
        <v/>
      </c>
      <c r="AH92" s="511"/>
      <c r="AI92" s="213" t="str">
        <f t="shared" si="23"/>
        <v/>
      </c>
    </row>
    <row r="93" spans="1:35" x14ac:dyDescent="0.25">
      <c r="A93" s="11"/>
      <c r="B93" s="11"/>
      <c r="C93" s="208"/>
      <c r="D93" s="11"/>
      <c r="E93" s="11"/>
      <c r="F93" s="11"/>
      <c r="G93" s="11"/>
      <c r="H93" s="185"/>
      <c r="I93" s="122"/>
      <c r="J93" s="122"/>
      <c r="K93" s="11"/>
      <c r="L93" s="90"/>
      <c r="M93" s="90"/>
      <c r="N93" s="104" t="s">
        <v>336</v>
      </c>
      <c r="O93" s="510" t="str">
        <f t="shared" ref="O93:AA93" si="25">IFERROR(O$84/O90,"")</f>
        <v/>
      </c>
      <c r="P93" s="510" t="str">
        <f t="shared" si="25"/>
        <v/>
      </c>
      <c r="Q93" s="510" t="str">
        <f t="shared" si="25"/>
        <v/>
      </c>
      <c r="R93" s="510" t="str">
        <f t="shared" si="25"/>
        <v/>
      </c>
      <c r="S93" s="510" t="str">
        <f t="shared" si="25"/>
        <v/>
      </c>
      <c r="T93" s="510" t="str">
        <f t="shared" si="25"/>
        <v/>
      </c>
      <c r="U93" s="510" t="str">
        <f t="shared" si="25"/>
        <v/>
      </c>
      <c r="V93" s="510" t="str">
        <f t="shared" si="25"/>
        <v/>
      </c>
      <c r="W93" s="510" t="str">
        <f t="shared" si="25"/>
        <v/>
      </c>
      <c r="X93" s="510" t="str">
        <f t="shared" si="25"/>
        <v/>
      </c>
      <c r="Y93" s="510" t="str">
        <f t="shared" si="25"/>
        <v/>
      </c>
      <c r="Z93" s="510" t="str">
        <f t="shared" si="25"/>
        <v/>
      </c>
      <c r="AA93" s="510" t="str">
        <f t="shared" si="25"/>
        <v/>
      </c>
      <c r="AB93" s="511"/>
      <c r="AC93" s="140"/>
      <c r="AD93" s="510" t="str">
        <f>IFERROR(AD$84/AD90,"")</f>
        <v/>
      </c>
      <c r="AE93" s="511"/>
      <c r="AF93" s="213" t="str">
        <f t="shared" si="22"/>
        <v/>
      </c>
      <c r="AG93" s="510" t="str">
        <f>IFERROR(AG$84/AG90,"")</f>
        <v/>
      </c>
      <c r="AH93" s="511"/>
      <c r="AI93" s="213" t="str">
        <f t="shared" si="23"/>
        <v/>
      </c>
    </row>
    <row r="94" spans="1:35" x14ac:dyDescent="0.25">
      <c r="A94" s="11"/>
      <c r="B94" s="11"/>
      <c r="C94" s="208"/>
      <c r="D94" s="11"/>
      <c r="E94" s="11"/>
      <c r="F94" s="11"/>
      <c r="G94" s="11"/>
      <c r="H94" s="185"/>
      <c r="I94" s="122"/>
      <c r="J94" s="122"/>
      <c r="K94" s="11"/>
      <c r="L94" s="90"/>
      <c r="M94" s="90"/>
      <c r="N94" s="104" t="s">
        <v>775</v>
      </c>
      <c r="O94" s="510" t="str">
        <f t="shared" ref="O94:AA94" si="26">IFERROR(O$84/O91,"")</f>
        <v/>
      </c>
      <c r="P94" s="510">
        <f t="shared" si="26"/>
        <v>64.660493827160494</v>
      </c>
      <c r="Q94" s="510" t="str">
        <f t="shared" si="26"/>
        <v/>
      </c>
      <c r="R94" s="510">
        <f t="shared" si="26"/>
        <v>1.5967078189300412</v>
      </c>
      <c r="S94" s="510" t="str">
        <f t="shared" si="26"/>
        <v/>
      </c>
      <c r="T94" s="510" t="str">
        <f t="shared" si="26"/>
        <v/>
      </c>
      <c r="U94" s="510" t="str">
        <f t="shared" si="26"/>
        <v/>
      </c>
      <c r="V94" s="510" t="str">
        <f t="shared" si="26"/>
        <v/>
      </c>
      <c r="W94" s="510" t="str">
        <f t="shared" si="26"/>
        <v/>
      </c>
      <c r="X94" s="510" t="str">
        <f t="shared" si="26"/>
        <v/>
      </c>
      <c r="Y94" s="510" t="str">
        <f t="shared" si="26"/>
        <v/>
      </c>
      <c r="Z94" s="510" t="str">
        <f t="shared" si="26"/>
        <v/>
      </c>
      <c r="AA94" s="510">
        <f t="shared" si="26"/>
        <v>17.067500400833733</v>
      </c>
      <c r="AB94" s="511"/>
      <c r="AC94" s="140"/>
      <c r="AD94" s="510" t="str">
        <f>IFERROR(AD$84/AD91,"")</f>
        <v/>
      </c>
      <c r="AE94" s="511"/>
      <c r="AF94" s="213" t="e">
        <f t="shared" si="22"/>
        <v>#VALUE!</v>
      </c>
      <c r="AG94" s="510">
        <f>IFERROR(AG$84/AG91,"")</f>
        <v>5.4296028880866425</v>
      </c>
      <c r="AH94" s="511"/>
      <c r="AI94" s="213">
        <f t="shared" si="23"/>
        <v>11.637897512747092</v>
      </c>
    </row>
    <row r="95" spans="1:35" x14ac:dyDescent="0.25">
      <c r="A95" s="11"/>
      <c r="B95" s="11"/>
      <c r="C95" s="208"/>
      <c r="D95" s="11"/>
      <c r="E95" s="11"/>
      <c r="F95" s="11"/>
      <c r="G95" s="11"/>
      <c r="H95" s="185"/>
      <c r="I95" s="122"/>
      <c r="J95" s="122"/>
      <c r="K95" s="11"/>
      <c r="L95" s="90"/>
      <c r="M95" s="90"/>
      <c r="N95" s="90"/>
      <c r="O95" s="512"/>
      <c r="P95" s="513"/>
      <c r="Q95" s="513"/>
      <c r="R95" s="513"/>
      <c r="S95" s="513"/>
      <c r="T95" s="513"/>
      <c r="U95" s="513"/>
      <c r="V95" s="513"/>
      <c r="W95" s="513"/>
      <c r="X95" s="513"/>
      <c r="Y95" s="513"/>
      <c r="Z95" s="513"/>
      <c r="AA95" s="513"/>
      <c r="AB95" s="157"/>
      <c r="AC95" s="140"/>
      <c r="AD95" s="514"/>
      <c r="AE95" s="481"/>
      <c r="AF95" s="157"/>
      <c r="AG95" s="481"/>
      <c r="AH95" s="481"/>
      <c r="AI95" s="157"/>
    </row>
    <row r="96" spans="1:35" x14ac:dyDescent="0.25">
      <c r="A96" s="11"/>
      <c r="B96" s="11"/>
      <c r="C96" s="208"/>
      <c r="D96" s="11"/>
      <c r="E96" s="11"/>
      <c r="F96" s="11"/>
      <c r="G96" s="11"/>
      <c r="H96" s="185"/>
      <c r="I96" s="122"/>
      <c r="J96" s="122"/>
      <c r="K96" s="11"/>
      <c r="L96" s="90"/>
      <c r="M96" s="90"/>
      <c r="N96" s="53" t="s">
        <v>343</v>
      </c>
      <c r="O96" s="514"/>
      <c r="P96" s="481"/>
      <c r="Q96" s="481"/>
      <c r="R96" s="481"/>
      <c r="S96" s="481"/>
      <c r="T96" s="481"/>
      <c r="U96" s="481"/>
      <c r="V96" s="481"/>
      <c r="W96" s="481"/>
      <c r="X96" s="481"/>
      <c r="Y96" s="481"/>
      <c r="Z96" s="481"/>
      <c r="AA96" s="481"/>
      <c r="AB96" s="515"/>
      <c r="AC96" s="140"/>
      <c r="AD96" s="516"/>
      <c r="AE96" s="517"/>
      <c r="AF96" s="157"/>
      <c r="AG96" s="481"/>
      <c r="AH96" s="517"/>
      <c r="AI96" s="157"/>
    </row>
    <row r="97" spans="1:35" x14ac:dyDescent="0.25">
      <c r="A97" s="11"/>
      <c r="B97" s="11"/>
      <c r="C97" s="208"/>
      <c r="D97" s="11"/>
      <c r="E97" s="11"/>
      <c r="F97" s="11"/>
      <c r="G97" s="11"/>
      <c r="H97" s="185"/>
      <c r="I97" s="122"/>
      <c r="J97" s="122"/>
      <c r="K97" s="11"/>
      <c r="L97" s="90"/>
      <c r="M97" s="90"/>
      <c r="N97" s="53" t="s">
        <v>337</v>
      </c>
      <c r="O97" s="158"/>
      <c r="P97" s="159"/>
      <c r="Q97" s="159"/>
      <c r="R97" s="159"/>
      <c r="S97" s="159"/>
      <c r="T97" s="159"/>
      <c r="U97" s="159"/>
      <c r="V97" s="159"/>
      <c r="W97" s="159"/>
      <c r="X97" s="159"/>
      <c r="Y97" s="159"/>
      <c r="Z97" s="159"/>
      <c r="AA97" s="159"/>
      <c r="AB97" s="160"/>
      <c r="AC97" s="140"/>
      <c r="AD97" s="158"/>
      <c r="AE97" s="159"/>
      <c r="AF97" s="160"/>
      <c r="AG97" s="159"/>
      <c r="AH97" s="159"/>
      <c r="AI97" s="160"/>
    </row>
    <row r="98" spans="1:35" x14ac:dyDescent="0.25">
      <c r="A98" s="11"/>
      <c r="B98" s="11"/>
      <c r="C98" s="208"/>
      <c r="D98" s="11"/>
      <c r="E98" s="11"/>
      <c r="F98" s="11"/>
      <c r="G98" s="11"/>
      <c r="H98" s="185" t="s">
        <v>294</v>
      </c>
      <c r="I98" s="122"/>
      <c r="J98" s="122"/>
      <c r="K98" s="11"/>
      <c r="L98" s="90" t="str">
        <f>IF(_epmOfflineCondition_,"461200",_xll.EVPRO($B$1,H98,"JDEID"))</f>
        <v>461200</v>
      </c>
      <c r="M98" s="90" t="str">
        <f>IF(_epmOfflineCondition_,"",IF(AND(I98="N",J98="N"),_xll.EVPRO($B$1,H98,"PSFTID"),""))</f>
        <v/>
      </c>
      <c r="N98" s="90" t="str">
        <f>IF(_epmOfflineCondition_,"Breakfast Liquor",IF(_xll.EVDES(H98,$B$1)="#NODATA","",_xll.EVDES(H98,$B$1)))</f>
        <v>Breakfast Liquor</v>
      </c>
      <c r="O98" s="138"/>
      <c r="P98" s="138"/>
      <c r="Q98" s="138"/>
      <c r="R98" s="138"/>
      <c r="S98" s="138"/>
      <c r="T98" s="138"/>
      <c r="U98" s="138"/>
      <c r="V98" s="138"/>
      <c r="W98" s="138"/>
      <c r="X98" s="138"/>
      <c r="Y98" s="138"/>
      <c r="Z98" s="138"/>
      <c r="AA98" s="138">
        <f>SUM(O98:Z98)</f>
        <v>0</v>
      </c>
      <c r="AB98" s="142" t="str">
        <f>IF(AA98=0,"",IFERROR(AA98/AA$19,""))</f>
        <v/>
      </c>
      <c r="AC98" s="140"/>
      <c r="AD98" s="138"/>
      <c r="AE98" s="142" t="str">
        <f>IF(AD98=0,"",IFERROR(AD98/AD$19,""))</f>
        <v/>
      </c>
      <c r="AF98" s="141">
        <f>IF(AND($AA98="",AD98=""),"",$AA98-AD98)</f>
        <v>0</v>
      </c>
      <c r="AG98" s="138"/>
      <c r="AH98" s="142" t="str">
        <f>IF(AG98=0,"",IFERROR(AG98/AG$19,""))</f>
        <v/>
      </c>
      <c r="AI98" s="141">
        <f>IF(AND($AA98="",AG98=""),"",$AA98-AG98)</f>
        <v>0</v>
      </c>
    </row>
    <row r="99" spans="1:35" x14ac:dyDescent="0.25">
      <c r="A99" s="11"/>
      <c r="B99" s="11"/>
      <c r="C99" s="208"/>
      <c r="D99" s="11"/>
      <c r="E99" s="11"/>
      <c r="F99" s="11"/>
      <c r="G99" s="11"/>
      <c r="H99" s="185" t="s">
        <v>301</v>
      </c>
      <c r="I99" s="122"/>
      <c r="J99" s="122"/>
      <c r="K99" s="11"/>
      <c r="L99" s="90" t="str">
        <f>IF(_epmOfflineCondition_,"462200",_xll.EVPRO($B$1,H99,"JDEID"))</f>
        <v>462200</v>
      </c>
      <c r="M99" s="90" t="str">
        <f>IF(_epmOfflineCondition_,"",IF(AND(I99="N",J99="N"),_xll.EVPRO($B$1,H99,"PSFTID"),""))</f>
        <v/>
      </c>
      <c r="N99" s="90" t="str">
        <f>IF(_epmOfflineCondition_,"Lunch Liquor",IF(_xll.EVDES(H99,$B$1)="#NODATA","",_xll.EVDES(H99,$B$1)))</f>
        <v>Lunch Liquor</v>
      </c>
      <c r="O99" s="138"/>
      <c r="P99" s="138"/>
      <c r="Q99" s="138">
        <v>1003</v>
      </c>
      <c r="R99" s="138"/>
      <c r="S99" s="138">
        <v>660</v>
      </c>
      <c r="T99" s="138">
        <v>96</v>
      </c>
      <c r="U99" s="138"/>
      <c r="V99" s="138">
        <v>782</v>
      </c>
      <c r="W99" s="138"/>
      <c r="X99" s="138"/>
      <c r="Y99" s="138">
        <v>1600</v>
      </c>
      <c r="Z99" s="138"/>
      <c r="AA99" s="138">
        <f>SUM(O99:Z99)</f>
        <v>4141</v>
      </c>
      <c r="AB99" s="142">
        <f>IF(AA99=0,"",IFERROR(AA99/AA$19,""))</f>
        <v>1.6278352036403758E-2</v>
      </c>
      <c r="AC99" s="140"/>
      <c r="AD99" s="138">
        <v>764.35000005619997</v>
      </c>
      <c r="AE99" s="142">
        <f>IF(AD99=0,"",IFERROR(AD99/AD$19,""))</f>
        <v>6.6756426340287911E-3</v>
      </c>
      <c r="AF99" s="141">
        <f>IF(AND($AA99="",AD99=""),"",$AA99-AD99)</f>
        <v>3376.6499999438001</v>
      </c>
      <c r="AG99" s="138">
        <v>772</v>
      </c>
      <c r="AH99" s="142">
        <f>IF(AG99=0,"",IFERROR(AG99/AG$19,""))</f>
        <v>1.5355025290044892E-2</v>
      </c>
      <c r="AI99" s="141">
        <f>IF(AND($AA99="",AG99=""),"",$AA99-AG99)</f>
        <v>3369</v>
      </c>
    </row>
    <row r="100" spans="1:35" x14ac:dyDescent="0.25">
      <c r="A100" s="11"/>
      <c r="B100" s="11"/>
      <c r="C100" s="208"/>
      <c r="D100" s="11"/>
      <c r="E100" s="11"/>
      <c r="F100" s="11"/>
      <c r="G100" s="11"/>
      <c r="H100" s="185" t="s">
        <v>302</v>
      </c>
      <c r="I100" s="122"/>
      <c r="J100" s="122"/>
      <c r="K100" s="11"/>
      <c r="L100" s="90" t="str">
        <f>IF(_epmOfflineCondition_,"463200",_xll.EVPRO($B$1,H100,"JDEID"))</f>
        <v>463200</v>
      </c>
      <c r="M100" s="90" t="str">
        <f>IF(_epmOfflineCondition_,"",IF(AND(I100="N",J100="N"),_xll.EVPRO($B$1,H100,"PSFTID"),""))</f>
        <v/>
      </c>
      <c r="N100" s="90" t="str">
        <f>IF(_epmOfflineCondition_,"Dinner Liquor",IF(_xll.EVDES(H100,$B$1)="#NODATA","",_xll.EVDES(H100,$B$1)))</f>
        <v>Dinner Liquor</v>
      </c>
      <c r="O100" s="138">
        <v>450</v>
      </c>
      <c r="P100" s="138"/>
      <c r="Q100" s="138">
        <v>630</v>
      </c>
      <c r="R100" s="138"/>
      <c r="S100" s="138"/>
      <c r="T100" s="138"/>
      <c r="U100" s="138"/>
      <c r="V100" s="138"/>
      <c r="W100" s="138"/>
      <c r="X100" s="138">
        <v>5100</v>
      </c>
      <c r="Y100" s="138">
        <v>8978</v>
      </c>
      <c r="Z100" s="138"/>
      <c r="AA100" s="138">
        <f>SUM(O100:Z100)</f>
        <v>15158</v>
      </c>
      <c r="AB100" s="142">
        <f>IF(AA100=0,"",IFERROR(AA100/AA$19,""))</f>
        <v>5.9586394631202161E-2</v>
      </c>
      <c r="AC100" s="140"/>
      <c r="AD100" s="138">
        <v>5720.4102545958003</v>
      </c>
      <c r="AE100" s="142">
        <f>IF(AD100=0,"",IFERROR(AD100/AD$19,""))</f>
        <v>4.9960639205740079E-2</v>
      </c>
      <c r="AF100" s="141">
        <f>IF(AND($AA100="",AD100=""),"",$AA100-AD100)</f>
        <v>9437.5897454041988</v>
      </c>
      <c r="AG100" s="138">
        <v>3025</v>
      </c>
      <c r="AH100" s="142">
        <f>IF(AG100=0,"",IFERROR(AG100/AG$19,""))</f>
        <v>6.0167035624852074E-2</v>
      </c>
      <c r="AI100" s="141">
        <f>IF(AND($AA100="",AG100=""),"",$AA100-AG100)</f>
        <v>12133</v>
      </c>
    </row>
    <row r="101" spans="1:35" x14ac:dyDescent="0.25">
      <c r="A101" s="11"/>
      <c r="B101" s="11"/>
      <c r="C101" s="208"/>
      <c r="D101" s="11"/>
      <c r="E101" s="11"/>
      <c r="F101" s="11"/>
      <c r="G101" s="11"/>
      <c r="H101" s="185" t="s">
        <v>808</v>
      </c>
      <c r="I101" s="122"/>
      <c r="J101" s="122"/>
      <c r="K101" s="11"/>
      <c r="L101" s="90" t="str">
        <f>IF(_epmOfflineCondition_,"471210",_xll.EVPRO($B$1,H101,"JDEID"))</f>
        <v>471210</v>
      </c>
      <c r="M101" s="90" t="str">
        <f>IF(_epmOfflineCondition_,"",IF(AND(I101="N",J101="N"),_xll.EVPRO($B$1,H101,"PSFTID"),""))</f>
        <v/>
      </c>
      <c r="N101" s="90" t="str">
        <f>IF(_epmOfflineCondition_,"Reception Liquor",IF(_xll.EVDES(H101,$B$1)="#NODATA","",_xll.EVDES(H101,$B$1)))</f>
        <v>Reception Liquor</v>
      </c>
      <c r="O101" s="138"/>
      <c r="P101" s="138"/>
      <c r="Q101" s="138"/>
      <c r="R101" s="138"/>
      <c r="S101" s="138"/>
      <c r="T101" s="138"/>
      <c r="U101" s="138"/>
      <c r="V101" s="138"/>
      <c r="W101" s="138"/>
      <c r="X101" s="138"/>
      <c r="Y101" s="138">
        <v>615</v>
      </c>
      <c r="Z101" s="138"/>
      <c r="AA101" s="138">
        <f>SUM(O101:Z101)</f>
        <v>615</v>
      </c>
      <c r="AB101" s="142">
        <f>IF(AA101=0,"",IFERROR(AA101/AA$19,""))</f>
        <v>2.4175770351094689E-3</v>
      </c>
      <c r="AC101" s="140"/>
      <c r="AD101" s="138"/>
      <c r="AE101" s="142" t="str">
        <f>IF(AD101=0,"",IFERROR(AD101/AD$19,""))</f>
        <v/>
      </c>
      <c r="AF101" s="141">
        <f>IF(AND($AA101="",AD101=""),"",$AA101-AD101)</f>
        <v>615</v>
      </c>
      <c r="AG101" s="138"/>
      <c r="AH101" s="142" t="str">
        <f>IF(AG101=0,"",IFERROR(AG101/AG$19,""))</f>
        <v/>
      </c>
      <c r="AI101" s="141">
        <f>IF(AND($AA101="",AG101=""),"",$AA101-AG101)</f>
        <v>615</v>
      </c>
    </row>
    <row r="102" spans="1:35" x14ac:dyDescent="0.25">
      <c r="A102" s="11"/>
      <c r="B102" s="11"/>
      <c r="C102" s="208"/>
      <c r="D102" s="11"/>
      <c r="E102" s="11"/>
      <c r="F102" s="11"/>
      <c r="G102" s="11"/>
      <c r="H102" s="185" t="s">
        <v>340</v>
      </c>
      <c r="I102" s="122"/>
      <c r="J102" s="122"/>
      <c r="K102" s="11"/>
      <c r="L102" s="90" t="str">
        <f>IF(_epmOfflineCondition_,"",_xll.EVPRO($B$1,H102,"JDEID"))</f>
        <v/>
      </c>
      <c r="M102" s="90" t="str">
        <f>IF(_epmOfflineCondition_,"",IF(AND(I102="N",J102="N"),_xll.EVPRO($B$1,H102,"PSFTID"),""))</f>
        <v/>
      </c>
      <c r="N102" s="106" t="str">
        <f>IF(_epmOfflineCondition_,"Liquor Revenue ",IF(_xll.EVDES(H102,$B$1)="#NODATA","",_xll.EVDES(H102,$B$1)))</f>
        <v xml:space="preserve">Liquor Revenue </v>
      </c>
      <c r="O102" s="162">
        <v>450</v>
      </c>
      <c r="P102" s="162"/>
      <c r="Q102" s="162">
        <v>1633</v>
      </c>
      <c r="R102" s="162"/>
      <c r="S102" s="162">
        <v>660</v>
      </c>
      <c r="T102" s="162">
        <v>96</v>
      </c>
      <c r="U102" s="162"/>
      <c r="V102" s="162">
        <v>782</v>
      </c>
      <c r="W102" s="162"/>
      <c r="X102" s="162">
        <v>5100</v>
      </c>
      <c r="Y102" s="162">
        <v>11193</v>
      </c>
      <c r="Z102" s="162"/>
      <c r="AA102" s="162">
        <f>SUM(O102:Z102)</f>
        <v>19914</v>
      </c>
      <c r="AB102" s="163">
        <f>IF(AA102=0,"",IFERROR(AA102/AA$19,""))</f>
        <v>7.8282323702715387E-2</v>
      </c>
      <c r="AC102" s="140"/>
      <c r="AD102" s="162">
        <v>6484.7602546520002</v>
      </c>
      <c r="AE102" s="163">
        <f>IF(AD102=0,"",IFERROR(AD102/AD$19,""))</f>
        <v>5.6636281839768869E-2</v>
      </c>
      <c r="AF102" s="164">
        <f>IF(AND($AA102="",AD102=""),"",$AA102-AD102)</f>
        <v>13429.239745348001</v>
      </c>
      <c r="AG102" s="162">
        <v>3797</v>
      </c>
      <c r="AH102" s="163">
        <f>IF(AG102=0,"",IFERROR(AG102/AG$19,""))</f>
        <v>7.5522060914896966E-2</v>
      </c>
      <c r="AI102" s="164">
        <f>IF(AND($AA102="",AG102=""),"",$AA102-AG102)</f>
        <v>16117</v>
      </c>
    </row>
    <row r="103" spans="1:35" x14ac:dyDescent="0.25">
      <c r="A103" s="11"/>
      <c r="B103" s="11"/>
      <c r="C103" s="208"/>
      <c r="D103" s="11"/>
      <c r="E103" s="11"/>
      <c r="F103" s="11"/>
      <c r="G103" s="11"/>
      <c r="H103" s="185"/>
      <c r="I103" s="122"/>
      <c r="J103" s="122"/>
      <c r="K103" s="11"/>
      <c r="L103" s="90"/>
      <c r="M103" s="90"/>
      <c r="N103" s="53"/>
      <c r="O103" s="170"/>
      <c r="P103" s="171"/>
      <c r="Q103" s="171"/>
      <c r="R103" s="171"/>
      <c r="S103" s="171"/>
      <c r="T103" s="171"/>
      <c r="U103" s="171"/>
      <c r="V103" s="171"/>
      <c r="W103" s="171"/>
      <c r="X103" s="171"/>
      <c r="Y103" s="171"/>
      <c r="Z103" s="171"/>
      <c r="AA103" s="171"/>
      <c r="AB103" s="172"/>
      <c r="AC103" s="140"/>
      <c r="AD103" s="170"/>
      <c r="AE103" s="171"/>
      <c r="AF103" s="172"/>
      <c r="AG103" s="170"/>
      <c r="AH103" s="171"/>
      <c r="AI103" s="172"/>
    </row>
    <row r="104" spans="1:35" x14ac:dyDescent="0.25">
      <c r="A104" s="11"/>
      <c r="B104" s="11"/>
      <c r="C104" s="208"/>
      <c r="D104" s="11"/>
      <c r="E104" s="11"/>
      <c r="F104" s="11"/>
      <c r="G104" s="11"/>
      <c r="H104" s="185"/>
      <c r="I104" s="122"/>
      <c r="J104" s="122"/>
      <c r="K104" s="11"/>
      <c r="L104" s="90"/>
      <c r="M104" s="90"/>
      <c r="N104" s="53" t="s">
        <v>339</v>
      </c>
      <c r="O104" s="158"/>
      <c r="P104" s="159"/>
      <c r="Q104" s="159"/>
      <c r="R104" s="159"/>
      <c r="S104" s="159"/>
      <c r="T104" s="159"/>
      <c r="U104" s="159"/>
      <c r="V104" s="159"/>
      <c r="W104" s="159"/>
      <c r="X104" s="159"/>
      <c r="Y104" s="159"/>
      <c r="Z104" s="159"/>
      <c r="AA104" s="159"/>
      <c r="AB104" s="160"/>
      <c r="AC104" s="140"/>
      <c r="AD104" s="158"/>
      <c r="AE104" s="159"/>
      <c r="AF104" s="160"/>
      <c r="AG104" s="158"/>
      <c r="AH104" s="159"/>
      <c r="AI104" s="160"/>
    </row>
    <row r="105" spans="1:35" x14ac:dyDescent="0.25">
      <c r="A105" s="11"/>
      <c r="B105" s="11"/>
      <c r="C105" s="208"/>
      <c r="D105" s="11"/>
      <c r="E105" s="11"/>
      <c r="F105" s="11"/>
      <c r="G105" s="11"/>
      <c r="H105" s="185" t="s">
        <v>295</v>
      </c>
      <c r="I105" s="122"/>
      <c r="J105" s="122"/>
      <c r="K105" s="11"/>
      <c r="L105" s="90" t="str">
        <f>IF(_epmOfflineCondition_,"461300",_xll.EVPRO($B$1,H105,"JDEID"))</f>
        <v>461300</v>
      </c>
      <c r="M105" s="90" t="str">
        <f>IF(_epmOfflineCondition_,"",IF(AND(I105="N",J105="N"),_xll.EVPRO($B$1,H105,"PSFTID"),""))</f>
        <v/>
      </c>
      <c r="N105" s="90" t="str">
        <f>IF(_epmOfflineCondition_,"Breakfast Beer",IF(_xll.EVDES(H105,$B$1)="#NODATA","",_xll.EVDES(H105,$B$1)))</f>
        <v>Breakfast Beer</v>
      </c>
      <c r="O105" s="138"/>
      <c r="P105" s="138"/>
      <c r="Q105" s="138"/>
      <c r="R105" s="138"/>
      <c r="S105" s="138"/>
      <c r="T105" s="138"/>
      <c r="U105" s="138"/>
      <c r="V105" s="138"/>
      <c r="W105" s="138"/>
      <c r="X105" s="138"/>
      <c r="Y105" s="138"/>
      <c r="Z105" s="138"/>
      <c r="AA105" s="138">
        <f>SUM(O105:Z105)</f>
        <v>0</v>
      </c>
      <c r="AB105" s="142" t="str">
        <f>IF(AA105=0,"",IFERROR(AA105/AA$19,""))</f>
        <v/>
      </c>
      <c r="AC105" s="140"/>
      <c r="AD105" s="138"/>
      <c r="AE105" s="142" t="str">
        <f>IF(AD105=0,"",IFERROR(AD105/AD$19,""))</f>
        <v/>
      </c>
      <c r="AF105" s="141">
        <f>IF(AND($AA105="",AD105=""),"",$AA105-AD105)</f>
        <v>0</v>
      </c>
      <c r="AG105" s="138"/>
      <c r="AH105" s="142" t="str">
        <f>IF(AG105=0,"",IFERROR(AG105/AG$19,""))</f>
        <v/>
      </c>
      <c r="AI105" s="141">
        <f>IF(AND($AA105="",AG105=""),"",$AA105-AG105)</f>
        <v>0</v>
      </c>
    </row>
    <row r="106" spans="1:35" x14ac:dyDescent="0.25">
      <c r="A106" s="11"/>
      <c r="B106" s="11"/>
      <c r="C106" s="208"/>
      <c r="D106" s="11"/>
      <c r="E106" s="11"/>
      <c r="F106" s="11"/>
      <c r="G106" s="11"/>
      <c r="H106" s="185" t="s">
        <v>305</v>
      </c>
      <c r="I106" s="122"/>
      <c r="J106" s="122"/>
      <c r="K106" s="11"/>
      <c r="L106" s="90" t="str">
        <f>IF(_epmOfflineCondition_,"462300",_xll.EVPRO($B$1,H106,"JDEID"))</f>
        <v>462300</v>
      </c>
      <c r="M106" s="90" t="str">
        <f>IF(_epmOfflineCondition_,"",IF(AND(I106="N",J106="N"),_xll.EVPRO($B$1,H106,"PSFTID"),""))</f>
        <v/>
      </c>
      <c r="N106" s="90" t="str">
        <f>IF(_epmOfflineCondition_,"Lunch Beer",IF(_xll.EVDES(H106,$B$1)="#NODATA","",_xll.EVDES(H106,$B$1)))</f>
        <v>Lunch Beer</v>
      </c>
      <c r="O106" s="138"/>
      <c r="P106" s="138"/>
      <c r="Q106" s="138">
        <v>131</v>
      </c>
      <c r="R106" s="138"/>
      <c r="S106" s="138"/>
      <c r="T106" s="138"/>
      <c r="U106" s="138"/>
      <c r="V106" s="138">
        <v>80</v>
      </c>
      <c r="W106" s="138"/>
      <c r="X106" s="138"/>
      <c r="Y106" s="138"/>
      <c r="Z106" s="138"/>
      <c r="AA106" s="138">
        <f>SUM(O106:Z106)</f>
        <v>211</v>
      </c>
      <c r="AB106" s="142">
        <f>IF(AA106=0,"",IFERROR(AA106/AA$19,""))</f>
        <v>8.2944512911885845E-4</v>
      </c>
      <c r="AC106" s="140"/>
      <c r="AD106" s="138"/>
      <c r="AE106" s="142" t="str">
        <f>IF(AD106=0,"",IFERROR(AD106/AD$19,""))</f>
        <v/>
      </c>
      <c r="AF106" s="141">
        <f>IF(AND($AA106="",AD106=""),"",$AA106-AD106)</f>
        <v>211</v>
      </c>
      <c r="AG106" s="138"/>
      <c r="AH106" s="142" t="str">
        <f>IF(AG106=0,"",IFERROR(AG106/AG$19,""))</f>
        <v/>
      </c>
      <c r="AI106" s="141">
        <f>IF(AND($AA106="",AG106=""),"",$AA106-AG106)</f>
        <v>211</v>
      </c>
    </row>
    <row r="107" spans="1:35" x14ac:dyDescent="0.25">
      <c r="A107" s="11"/>
      <c r="B107" s="11"/>
      <c r="C107" s="208"/>
      <c r="D107" s="11"/>
      <c r="E107" s="11"/>
      <c r="F107" s="11"/>
      <c r="G107" s="11"/>
      <c r="H107" s="185" t="s">
        <v>306</v>
      </c>
      <c r="I107" s="122"/>
      <c r="J107" s="122"/>
      <c r="K107" s="11"/>
      <c r="L107" s="90" t="str">
        <f>IF(_epmOfflineCondition_,"463300",_xll.EVPRO($B$1,H107,"JDEID"))</f>
        <v>463300</v>
      </c>
      <c r="M107" s="90" t="str">
        <f>IF(_epmOfflineCondition_,"",IF(AND(I107="N",J107="N"),_xll.EVPRO($B$1,H107,"PSFTID"),""))</f>
        <v/>
      </c>
      <c r="N107" s="90" t="str">
        <f>IF(_epmOfflineCondition_,"Dinner Beer",IF(_xll.EVDES(H107,$B$1)="#NODATA","",_xll.EVDES(H107,$B$1)))</f>
        <v>Dinner Beer</v>
      </c>
      <c r="O107" s="138">
        <v>450</v>
      </c>
      <c r="P107" s="138"/>
      <c r="Q107" s="138"/>
      <c r="R107" s="138"/>
      <c r="S107" s="138"/>
      <c r="T107" s="138"/>
      <c r="U107" s="138"/>
      <c r="V107" s="138"/>
      <c r="W107" s="138"/>
      <c r="X107" s="138"/>
      <c r="Y107" s="138">
        <v>153</v>
      </c>
      <c r="Z107" s="138"/>
      <c r="AA107" s="138">
        <f>SUM(O107:Z107)</f>
        <v>603</v>
      </c>
      <c r="AB107" s="142">
        <f>IF(AA107=0,"",IFERROR(AA107/AA$19,""))</f>
        <v>2.3704048002780647E-3</v>
      </c>
      <c r="AC107" s="140"/>
      <c r="AD107" s="138">
        <v>463.97519999999997</v>
      </c>
      <c r="AE107" s="142">
        <f>IF(AD107=0,"",IFERROR(AD107/AD$19,""))</f>
        <v>4.0522439013858822E-3</v>
      </c>
      <c r="AF107" s="141">
        <f>IF(AND($AA107="",AD107=""),"",$AA107-AD107)</f>
        <v>139.02480000000003</v>
      </c>
      <c r="AG107" s="138"/>
      <c r="AH107" s="142" t="str">
        <f>IF(AG107=0,"",IFERROR(AG107/AG$19,""))</f>
        <v/>
      </c>
      <c r="AI107" s="141">
        <f>IF(AND($AA107="",AG107=""),"",$AA107-AG107)</f>
        <v>603</v>
      </c>
    </row>
    <row r="108" spans="1:35" x14ac:dyDescent="0.25">
      <c r="A108" s="11"/>
      <c r="B108" s="11"/>
      <c r="C108" s="208"/>
      <c r="D108" s="11"/>
      <c r="E108" s="11"/>
      <c r="F108" s="11"/>
      <c r="G108" s="11"/>
      <c r="H108" s="185" t="s">
        <v>809</v>
      </c>
      <c r="I108" s="122"/>
      <c r="J108" s="122"/>
      <c r="K108" s="11"/>
      <c r="L108" s="90" t="str">
        <f>IF(_epmOfflineCondition_,"471310",_xll.EVPRO($B$1,H108,"JDEID"))</f>
        <v>471310</v>
      </c>
      <c r="M108" s="90" t="str">
        <f>IF(_epmOfflineCondition_,"",IF(AND(I108="N",J108="N"),_xll.EVPRO($B$1,H108,"PSFTID"),""))</f>
        <v/>
      </c>
      <c r="N108" s="90" t="str">
        <f>IF(_epmOfflineCondition_,"Reception Beer",IF(_xll.EVDES(H108,$B$1)="#NODATA","",_xll.EVDES(H108,$B$1)))</f>
        <v>Reception Beer</v>
      </c>
      <c r="O108" s="138"/>
      <c r="P108" s="138"/>
      <c r="Q108" s="138"/>
      <c r="R108" s="138"/>
      <c r="S108" s="138"/>
      <c r="T108" s="138"/>
      <c r="U108" s="138"/>
      <c r="V108" s="138"/>
      <c r="W108" s="138"/>
      <c r="X108" s="138"/>
      <c r="Y108" s="138">
        <v>127</v>
      </c>
      <c r="Z108" s="138"/>
      <c r="AA108" s="138">
        <f>SUM(O108:Z108)</f>
        <v>127</v>
      </c>
      <c r="AB108" s="142">
        <f>IF(AA108=0,"",IFERROR(AA108/AA$19,""))</f>
        <v>4.9923948529902857E-4</v>
      </c>
      <c r="AC108" s="140"/>
      <c r="AD108" s="138"/>
      <c r="AE108" s="142" t="str">
        <f>IF(AD108=0,"",IFERROR(AD108/AD$19,""))</f>
        <v/>
      </c>
      <c r="AF108" s="141">
        <f>IF(AND($AA108="",AD108=""),"",$AA108-AD108)</f>
        <v>127</v>
      </c>
      <c r="AG108" s="138"/>
      <c r="AH108" s="142" t="str">
        <f>IF(AG108=0,"",IFERROR(AG108/AG$19,""))</f>
        <v/>
      </c>
      <c r="AI108" s="141">
        <f>IF(AND($AA108="",AG108=""),"",$AA108-AG108)</f>
        <v>127</v>
      </c>
    </row>
    <row r="109" spans="1:35" x14ac:dyDescent="0.25">
      <c r="A109" s="11"/>
      <c r="B109" s="11"/>
      <c r="C109" s="208"/>
      <c r="D109" s="11"/>
      <c r="E109" s="11"/>
      <c r="F109" s="11"/>
      <c r="G109" s="11"/>
      <c r="H109" s="185" t="s">
        <v>342</v>
      </c>
      <c r="I109" s="122"/>
      <c r="J109" s="122"/>
      <c r="K109" s="11"/>
      <c r="L109" s="90" t="str">
        <f>IF(_epmOfflineCondition_,"",_xll.EVPRO($B$1,H109,"JDEID"))</f>
        <v/>
      </c>
      <c r="M109" s="90" t="str">
        <f>IF(_epmOfflineCondition_,"",IF(AND(I109="N",J109="N"),_xll.EVPRO($B$1,H109,"PSFTID"),""))</f>
        <v/>
      </c>
      <c r="N109" s="106" t="str">
        <f>IF(_epmOfflineCondition_,"Beer Revenue",IF(_xll.EVDES(H109,$B$1)="#NODATA","",_xll.EVDES(H109,$B$1)))</f>
        <v>Beer Revenue</v>
      </c>
      <c r="O109" s="162">
        <v>450</v>
      </c>
      <c r="P109" s="162"/>
      <c r="Q109" s="162">
        <v>131</v>
      </c>
      <c r="R109" s="162"/>
      <c r="S109" s="162"/>
      <c r="T109" s="162"/>
      <c r="U109" s="162"/>
      <c r="V109" s="162">
        <v>80</v>
      </c>
      <c r="W109" s="162"/>
      <c r="X109" s="162"/>
      <c r="Y109" s="162">
        <v>280</v>
      </c>
      <c r="Z109" s="162"/>
      <c r="AA109" s="162">
        <f>SUM(O109:Z109)</f>
        <v>941</v>
      </c>
      <c r="AB109" s="163">
        <f>IF(AA109=0,"",IFERROR(AA109/AA$19,""))</f>
        <v>3.6990894146959516E-3</v>
      </c>
      <c r="AC109" s="140"/>
      <c r="AD109" s="162">
        <v>463.97519999999997</v>
      </c>
      <c r="AE109" s="163">
        <f>IF(AD109=0,"",IFERROR(AD109/AD$19,""))</f>
        <v>4.0522439013858822E-3</v>
      </c>
      <c r="AF109" s="164">
        <f>IF(AND($AA109="",AD109=""),"",$AA109-AD109)</f>
        <v>477.02480000000003</v>
      </c>
      <c r="AG109" s="162"/>
      <c r="AH109" s="163" t="str">
        <f>IF(AG109=0,"",IFERROR(AG109/AG$19,""))</f>
        <v/>
      </c>
      <c r="AI109" s="164">
        <f>IF(AND($AA109="",AG109=""),"",$AA109-AG109)</f>
        <v>941</v>
      </c>
    </row>
    <row r="110" spans="1:35" x14ac:dyDescent="0.25">
      <c r="A110" s="11"/>
      <c r="B110" s="11"/>
      <c r="C110" s="208"/>
      <c r="D110" s="11"/>
      <c r="E110" s="11"/>
      <c r="F110" s="11"/>
      <c r="G110" s="11"/>
      <c r="H110" s="185"/>
      <c r="I110" s="122"/>
      <c r="J110" s="122"/>
      <c r="K110" s="11"/>
      <c r="L110" s="90"/>
      <c r="M110" s="90"/>
      <c r="N110" s="53"/>
      <c r="O110" s="170"/>
      <c r="P110" s="171"/>
      <c r="Q110" s="171"/>
      <c r="R110" s="171"/>
      <c r="S110" s="171"/>
      <c r="T110" s="171"/>
      <c r="U110" s="171"/>
      <c r="V110" s="171"/>
      <c r="W110" s="171"/>
      <c r="X110" s="171"/>
      <c r="Y110" s="171"/>
      <c r="Z110" s="171"/>
      <c r="AA110" s="171"/>
      <c r="AB110" s="172"/>
      <c r="AC110" s="140"/>
      <c r="AD110" s="170"/>
      <c r="AE110" s="171"/>
      <c r="AF110" s="172"/>
      <c r="AG110" s="170"/>
      <c r="AH110" s="171"/>
      <c r="AI110" s="172"/>
    </row>
    <row r="111" spans="1:35" x14ac:dyDescent="0.25">
      <c r="A111" s="11"/>
      <c r="B111" s="11"/>
      <c r="C111" s="208"/>
      <c r="D111" s="11"/>
      <c r="E111" s="11"/>
      <c r="F111" s="11"/>
      <c r="G111" s="11"/>
      <c r="H111" s="185"/>
      <c r="I111" s="122"/>
      <c r="J111" s="122"/>
      <c r="K111" s="11"/>
      <c r="L111" s="90"/>
      <c r="M111" s="90"/>
      <c r="N111" s="53" t="s">
        <v>338</v>
      </c>
      <c r="O111" s="158"/>
      <c r="P111" s="159"/>
      <c r="Q111" s="159"/>
      <c r="R111" s="159"/>
      <c r="S111" s="159"/>
      <c r="T111" s="159"/>
      <c r="U111" s="159"/>
      <c r="V111" s="159"/>
      <c r="W111" s="159"/>
      <c r="X111" s="159"/>
      <c r="Y111" s="159"/>
      <c r="Z111" s="159"/>
      <c r="AA111" s="159"/>
      <c r="AB111" s="160"/>
      <c r="AC111" s="140"/>
      <c r="AD111" s="158"/>
      <c r="AE111" s="159"/>
      <c r="AF111" s="160"/>
      <c r="AG111" s="158"/>
      <c r="AH111" s="159"/>
      <c r="AI111" s="160"/>
    </row>
    <row r="112" spans="1:35" x14ac:dyDescent="0.25">
      <c r="A112" s="11"/>
      <c r="B112" s="11"/>
      <c r="C112" s="208"/>
      <c r="D112" s="11"/>
      <c r="E112" s="11"/>
      <c r="F112" s="11"/>
      <c r="G112" s="11"/>
      <c r="H112" s="185" t="s">
        <v>296</v>
      </c>
      <c r="I112" s="122"/>
      <c r="J112" s="122"/>
      <c r="K112" s="11"/>
      <c r="L112" s="90" t="str">
        <f>IF(_epmOfflineCondition_,"461400",_xll.EVPRO($B$1,H112,"JDEID"))</f>
        <v>461400</v>
      </c>
      <c r="M112" s="90" t="str">
        <f>IF(_epmOfflineCondition_,"",IF(AND(I112="N",J112="N"),_xll.EVPRO($B$1,H112,"PSFTID"),""))</f>
        <v/>
      </c>
      <c r="N112" s="90" t="str">
        <f>IF(_epmOfflineCondition_,"Breakfast Wine",IF(_xll.EVDES(H112,$B$1)="#NODATA","",_xll.EVDES(H112,$B$1)))</f>
        <v>Breakfast Wine</v>
      </c>
      <c r="O112" s="138"/>
      <c r="P112" s="138"/>
      <c r="Q112" s="138"/>
      <c r="R112" s="138"/>
      <c r="S112" s="138"/>
      <c r="T112" s="138"/>
      <c r="U112" s="138"/>
      <c r="V112" s="138"/>
      <c r="W112" s="138"/>
      <c r="X112" s="138"/>
      <c r="Y112" s="138"/>
      <c r="Z112" s="138"/>
      <c r="AA112" s="138">
        <f>SUM(O112:Z112)</f>
        <v>0</v>
      </c>
      <c r="AB112" s="142" t="str">
        <f>IF(AA112=0,"",IFERROR(AA112/AA$19,""))</f>
        <v/>
      </c>
      <c r="AC112" s="140"/>
      <c r="AD112" s="138"/>
      <c r="AE112" s="142" t="str">
        <f>IF(AD112=0,"",IFERROR(AD112/AD$19,""))</f>
        <v/>
      </c>
      <c r="AF112" s="141">
        <f>IF(AND($AA112="",AD112=""),"",$AA112-AD112)</f>
        <v>0</v>
      </c>
      <c r="AG112" s="138"/>
      <c r="AH112" s="142" t="str">
        <f>IF(AG112=0,"",IFERROR(AG112/AG$19,""))</f>
        <v/>
      </c>
      <c r="AI112" s="141">
        <f>IF(AND($AA112="",AG112=""),"",$AA112-AG112)</f>
        <v>0</v>
      </c>
    </row>
    <row r="113" spans="1:35" x14ac:dyDescent="0.25">
      <c r="A113" s="11"/>
      <c r="B113" s="11"/>
      <c r="C113" s="208"/>
      <c r="D113" s="11"/>
      <c r="E113" s="11"/>
      <c r="F113" s="11"/>
      <c r="G113" s="11"/>
      <c r="H113" s="185" t="s">
        <v>303</v>
      </c>
      <c r="I113" s="122"/>
      <c r="J113" s="122"/>
      <c r="K113" s="11"/>
      <c r="L113" s="90" t="str">
        <f>IF(_epmOfflineCondition_,"462400",_xll.EVPRO($B$1,H113,"JDEID"))</f>
        <v>462400</v>
      </c>
      <c r="M113" s="90" t="str">
        <f>IF(_epmOfflineCondition_,"",IF(AND(I113="N",J113="N"),_xll.EVPRO($B$1,H113,"PSFTID"),""))</f>
        <v/>
      </c>
      <c r="N113" s="90" t="str">
        <f>IF(_epmOfflineCondition_,"Lunch Wine",IF(_xll.EVDES(H113,$B$1)="#NODATA","",_xll.EVDES(H113,$B$1)))</f>
        <v>Lunch Wine</v>
      </c>
      <c r="O113" s="138">
        <v>180</v>
      </c>
      <c r="P113" s="138"/>
      <c r="Q113" s="138">
        <v>306</v>
      </c>
      <c r="R113" s="138"/>
      <c r="S113" s="138">
        <v>192</v>
      </c>
      <c r="T113" s="138">
        <v>160</v>
      </c>
      <c r="U113" s="138"/>
      <c r="V113" s="138">
        <v>13</v>
      </c>
      <c r="W113" s="138"/>
      <c r="X113" s="138"/>
      <c r="Y113" s="138"/>
      <c r="Z113" s="138"/>
      <c r="AA113" s="138">
        <f>SUM(O113:Z113)</f>
        <v>851</v>
      </c>
      <c r="AB113" s="142">
        <f>IF(AA113=0,"",IFERROR(AA113/AA$19,""))</f>
        <v>3.3452976534604196E-3</v>
      </c>
      <c r="AC113" s="140"/>
      <c r="AD113" s="138"/>
      <c r="AE113" s="142" t="str">
        <f>IF(AD113=0,"",IFERROR(AD113/AD$19,""))</f>
        <v/>
      </c>
      <c r="AF113" s="141">
        <f>IF(AND($AA113="",AD113=""),"",$AA113-AD113)</f>
        <v>851</v>
      </c>
      <c r="AG113" s="138"/>
      <c r="AH113" s="142" t="str">
        <f>IF(AG113=0,"",IFERROR(AG113/AG$19,""))</f>
        <v/>
      </c>
      <c r="AI113" s="141">
        <f>IF(AND($AA113="",AG113=""),"",$AA113-AG113)</f>
        <v>851</v>
      </c>
    </row>
    <row r="114" spans="1:35" x14ac:dyDescent="0.25">
      <c r="A114" s="11"/>
      <c r="B114" s="11"/>
      <c r="C114" s="208"/>
      <c r="D114" s="11"/>
      <c r="E114" s="11"/>
      <c r="F114" s="11"/>
      <c r="G114" s="11"/>
      <c r="H114" s="185" t="s">
        <v>304</v>
      </c>
      <c r="I114" s="122"/>
      <c r="J114" s="122"/>
      <c r="K114" s="11"/>
      <c r="L114" s="90" t="str">
        <f>IF(_epmOfflineCondition_,"463400",_xll.EVPRO($B$1,H114,"JDEID"))</f>
        <v>463400</v>
      </c>
      <c r="M114" s="90" t="str">
        <f>IF(_epmOfflineCondition_,"",IF(AND(I114="N",J114="N"),_xll.EVPRO($B$1,H114,"PSFTID"),""))</f>
        <v/>
      </c>
      <c r="N114" s="90" t="str">
        <f>IF(_epmOfflineCondition_,"Dinner Wine",IF(_xll.EVDES(H114,$B$1)="#NODATA","",_xll.EVDES(H114,$B$1)))</f>
        <v>Dinner Wine</v>
      </c>
      <c r="O114" s="138"/>
      <c r="P114" s="138"/>
      <c r="Q114" s="138"/>
      <c r="R114" s="138"/>
      <c r="S114" s="138"/>
      <c r="T114" s="138"/>
      <c r="U114" s="138"/>
      <c r="V114" s="138"/>
      <c r="W114" s="138"/>
      <c r="X114" s="138"/>
      <c r="Y114" s="138">
        <v>104</v>
      </c>
      <c r="Z114" s="138"/>
      <c r="AA114" s="138">
        <f>SUM(O114:Z114)</f>
        <v>104</v>
      </c>
      <c r="AB114" s="142">
        <f>IF(AA114=0,"",IFERROR(AA114/AA$19,""))</f>
        <v>4.0882603520550371E-4</v>
      </c>
      <c r="AC114" s="140"/>
      <c r="AD114" s="138">
        <v>2551.8636001056002</v>
      </c>
      <c r="AE114" s="142">
        <f>IF(AD114=0,"",IFERROR(AD114/AD$19,""))</f>
        <v>2.2287341458544638E-2</v>
      </c>
      <c r="AF114" s="141">
        <f>IF(AND($AA114="",AD114=""),"",$AA114-AD114)</f>
        <v>-2447.8636001056002</v>
      </c>
      <c r="AG114" s="138"/>
      <c r="AH114" s="142" t="str">
        <f>IF(AG114=0,"",IFERROR(AG114/AG$19,""))</f>
        <v/>
      </c>
      <c r="AI114" s="141">
        <f>IF(AND($AA114="",AG114=""),"",$AA114-AG114)</f>
        <v>104</v>
      </c>
    </row>
    <row r="115" spans="1:35" x14ac:dyDescent="0.25">
      <c r="A115" s="11"/>
      <c r="B115" s="11"/>
      <c r="C115" s="208"/>
      <c r="D115" s="11"/>
      <c r="E115" s="11"/>
      <c r="F115" s="11"/>
      <c r="G115" s="11"/>
      <c r="H115" s="185" t="s">
        <v>810</v>
      </c>
      <c r="I115" s="122"/>
      <c r="J115" s="122"/>
      <c r="K115" s="11"/>
      <c r="L115" s="90" t="str">
        <f>IF(_epmOfflineCondition_,"471410",_xll.EVPRO($B$1,H115,"JDEID"))</f>
        <v>471410</v>
      </c>
      <c r="M115" s="90" t="str">
        <f>IF(_epmOfflineCondition_,"",IF(AND(I115="N",J115="N"),_xll.EVPRO($B$1,H115,"PSFTID"),""))</f>
        <v/>
      </c>
      <c r="N115" s="90" t="str">
        <f>IF(_epmOfflineCondition_,"Reception Wine",IF(_xll.EVDES(H115,$B$1)="#NODATA","",_xll.EVDES(H115,$B$1)))</f>
        <v>Reception Wine</v>
      </c>
      <c r="O115" s="138"/>
      <c r="P115" s="138"/>
      <c r="Q115" s="138"/>
      <c r="R115" s="138"/>
      <c r="S115" s="138"/>
      <c r="T115" s="138"/>
      <c r="U115" s="138"/>
      <c r="V115" s="138"/>
      <c r="W115" s="138"/>
      <c r="X115" s="138"/>
      <c r="Y115" s="138">
        <v>52</v>
      </c>
      <c r="Z115" s="138"/>
      <c r="AA115" s="138">
        <f>SUM(O115:Z115)</f>
        <v>52</v>
      </c>
      <c r="AB115" s="142">
        <f>IF(AA115=0,"",IFERROR(AA115/AA$19,""))</f>
        <v>2.0441301760275185E-4</v>
      </c>
      <c r="AC115" s="140"/>
      <c r="AD115" s="138"/>
      <c r="AE115" s="142" t="str">
        <f>IF(AD115=0,"",IFERROR(AD115/AD$19,""))</f>
        <v/>
      </c>
      <c r="AF115" s="141">
        <f>IF(AND($AA115="",AD115=""),"",$AA115-AD115)</f>
        <v>52</v>
      </c>
      <c r="AG115" s="138"/>
      <c r="AH115" s="142" t="str">
        <f>IF(AG115=0,"",IFERROR(AG115/AG$19,""))</f>
        <v/>
      </c>
      <c r="AI115" s="141">
        <f>IF(AND($AA115="",AG115=""),"",$AA115-AG115)</f>
        <v>52</v>
      </c>
    </row>
    <row r="116" spans="1:35" x14ac:dyDescent="0.25">
      <c r="A116" s="11"/>
      <c r="B116" s="11"/>
      <c r="C116" s="208"/>
      <c r="D116" s="11"/>
      <c r="E116" s="11"/>
      <c r="F116" s="11"/>
      <c r="G116" s="11"/>
      <c r="H116" s="185" t="s">
        <v>341</v>
      </c>
      <c r="I116" s="122"/>
      <c r="J116" s="122"/>
      <c r="K116" s="11"/>
      <c r="L116" s="90" t="str">
        <f>IF(_epmOfflineCondition_,"",_xll.EVPRO($B$1,H116,"JDEID"))</f>
        <v/>
      </c>
      <c r="M116" s="90" t="str">
        <f>IF(_epmOfflineCondition_,"",IF(AND(I116="N",J116="N"),_xll.EVPRO($B$1,H116,"PSFTID"),""))</f>
        <v/>
      </c>
      <c r="N116" s="106" t="str">
        <f>IF(_epmOfflineCondition_,"Wine Revenue",IF(_xll.EVDES(H116,$B$1)="#NODATA","",_xll.EVDES(H116,$B$1)))</f>
        <v>Wine Revenue</v>
      </c>
      <c r="O116" s="162">
        <v>180</v>
      </c>
      <c r="P116" s="162"/>
      <c r="Q116" s="162">
        <v>306</v>
      </c>
      <c r="R116" s="162"/>
      <c r="S116" s="162">
        <v>192</v>
      </c>
      <c r="T116" s="162">
        <v>160</v>
      </c>
      <c r="U116" s="162"/>
      <c r="V116" s="162">
        <v>13</v>
      </c>
      <c r="W116" s="162"/>
      <c r="X116" s="162"/>
      <c r="Y116" s="162">
        <v>156</v>
      </c>
      <c r="Z116" s="162"/>
      <c r="AA116" s="162">
        <f>SUM(O116:Z116)</f>
        <v>1007</v>
      </c>
      <c r="AB116" s="163">
        <f>IF(AA116=0,"",IFERROR(AA116/AA$19,""))</f>
        <v>3.958536706268675E-3</v>
      </c>
      <c r="AC116" s="140"/>
      <c r="AD116" s="162">
        <v>2551.8636001056002</v>
      </c>
      <c r="AE116" s="163">
        <f>IF(AD116=0,"",IFERROR(AD116/AD$19,""))</f>
        <v>2.2287341458544638E-2</v>
      </c>
      <c r="AF116" s="164">
        <f>IF(AND($AA116="",AD116=""),"",$AA116-AD116)</f>
        <v>-1544.8636001056002</v>
      </c>
      <c r="AG116" s="162"/>
      <c r="AH116" s="163" t="str">
        <f>IF(AG116=0,"",IFERROR(AG116/AG$19,""))</f>
        <v/>
      </c>
      <c r="AI116" s="164">
        <f>IF(AND($AA116="",AG116=""),"",$AA116-AG116)</f>
        <v>1007</v>
      </c>
    </row>
    <row r="117" spans="1:35" x14ac:dyDescent="0.25">
      <c r="A117" s="11"/>
      <c r="B117" s="11"/>
      <c r="C117" s="208"/>
      <c r="D117" s="11"/>
      <c r="E117" s="11"/>
      <c r="F117" s="11"/>
      <c r="G117" s="11"/>
      <c r="H117" s="185"/>
      <c r="I117" s="122"/>
      <c r="J117" s="122"/>
      <c r="K117" s="11"/>
      <c r="L117" s="90"/>
      <c r="M117" s="90"/>
      <c r="N117" s="11"/>
      <c r="O117" s="170"/>
      <c r="P117" s="171"/>
      <c r="Q117" s="171"/>
      <c r="R117" s="171"/>
      <c r="S117" s="171"/>
      <c r="T117" s="171"/>
      <c r="U117" s="171"/>
      <c r="V117" s="171"/>
      <c r="W117" s="171"/>
      <c r="X117" s="171"/>
      <c r="Y117" s="171"/>
      <c r="Z117" s="171"/>
      <c r="AA117" s="171"/>
      <c r="AB117" s="172"/>
      <c r="AC117" s="140"/>
      <c r="AD117" s="170"/>
      <c r="AE117" s="171"/>
      <c r="AF117" s="172"/>
      <c r="AG117" s="170"/>
      <c r="AH117" s="171"/>
      <c r="AI117" s="172"/>
    </row>
    <row r="118" spans="1:35" x14ac:dyDescent="0.25">
      <c r="A118" s="11"/>
      <c r="B118" s="11"/>
      <c r="C118" s="208"/>
      <c r="D118" s="11"/>
      <c r="E118" s="11"/>
      <c r="F118" s="11"/>
      <c r="G118" s="11"/>
      <c r="H118" s="88" t="s">
        <v>267</v>
      </c>
      <c r="I118" s="122"/>
      <c r="J118" s="122"/>
      <c r="K118" s="11"/>
      <c r="L118" s="90" t="str">
        <f>IF(_epmOfflineCondition_,"",_xll.EVPRO($B$1,H118,"JDEID"))</f>
        <v/>
      </c>
      <c r="M118" s="90" t="str">
        <f>IF(_epmOfflineCondition_,"",IF(AND(I118="N",J118="N"),_xll.EVPRO($B$1,H118,"PSFTID"),""))</f>
        <v/>
      </c>
      <c r="N118" s="90" t="str">
        <f>IF(_epmOfflineCondition_,"Breakfast  Beverage Revenue",IF(_xll.EVDES(H118,$B$1)="#NODATA","",_xll.EVDES(H118,$B$1)))</f>
        <v>Breakfast  Beverage Revenue</v>
      </c>
      <c r="O118" s="138">
        <f t="shared" ref="O118:Z118" si="27">O98+O105+O112</f>
        <v>0</v>
      </c>
      <c r="P118" s="138">
        <f t="shared" si="27"/>
        <v>0</v>
      </c>
      <c r="Q118" s="138">
        <f t="shared" si="27"/>
        <v>0</v>
      </c>
      <c r="R118" s="138">
        <f t="shared" si="27"/>
        <v>0</v>
      </c>
      <c r="S118" s="138">
        <f t="shared" si="27"/>
        <v>0</v>
      </c>
      <c r="T118" s="138">
        <f t="shared" si="27"/>
        <v>0</v>
      </c>
      <c r="U118" s="138">
        <f t="shared" si="27"/>
        <v>0</v>
      </c>
      <c r="V118" s="138">
        <f t="shared" si="27"/>
        <v>0</v>
      </c>
      <c r="W118" s="138">
        <f t="shared" si="27"/>
        <v>0</v>
      </c>
      <c r="X118" s="138">
        <f t="shared" si="27"/>
        <v>0</v>
      </c>
      <c r="Y118" s="138">
        <f t="shared" si="27"/>
        <v>0</v>
      </c>
      <c r="Z118" s="138">
        <f t="shared" si="27"/>
        <v>0</v>
      </c>
      <c r="AA118" s="138">
        <f>SUM(O118:Z118)</f>
        <v>0</v>
      </c>
      <c r="AB118" s="142" t="str">
        <f>IF(AA118=0,"",IFERROR(AA118/AA$19,""))</f>
        <v/>
      </c>
      <c r="AC118" s="140"/>
      <c r="AD118" s="138">
        <f>AD98+AD105+AD112</f>
        <v>0</v>
      </c>
      <c r="AE118" s="142" t="str">
        <f>IF(AD118=0,"",IFERROR(AD118/AD$19,""))</f>
        <v/>
      </c>
      <c r="AF118" s="141">
        <f>IF(AND($AA118="",AD118=""),"",$AA118-AD118)</f>
        <v>0</v>
      </c>
      <c r="AG118" s="138">
        <f>AG98+AG105+AG112</f>
        <v>0</v>
      </c>
      <c r="AH118" s="142" t="str">
        <f>IF(AG118=0,"",IFERROR(AG118/AG$19,""))</f>
        <v/>
      </c>
      <c r="AI118" s="141">
        <f>IF(AND($AA118="",AG118=""),"",$AA118-AG118)</f>
        <v>0</v>
      </c>
    </row>
    <row r="119" spans="1:35" x14ac:dyDescent="0.25">
      <c r="A119" s="11"/>
      <c r="B119" s="11"/>
      <c r="C119" s="208"/>
      <c r="D119" s="11"/>
      <c r="E119" s="11"/>
      <c r="F119" s="11"/>
      <c r="G119" s="11"/>
      <c r="H119" s="88" t="s">
        <v>268</v>
      </c>
      <c r="I119" s="122"/>
      <c r="J119" s="122"/>
      <c r="K119" s="11"/>
      <c r="L119" s="90" t="str">
        <f>IF(_epmOfflineCondition_,"",_xll.EVPRO($B$1,H119,"JDEID"))</f>
        <v/>
      </c>
      <c r="M119" s="90" t="str">
        <f>IF(_epmOfflineCondition_,"",IF(AND(I119="N",J119="N"),_xll.EVPRO($B$1,H119,"PSFTID"),""))</f>
        <v/>
      </c>
      <c r="N119" s="90" t="str">
        <f>IF(_epmOfflineCondition_,"Lunch Beverage Revenue",IF(_xll.EVDES(H119,$B$1)="#NODATA","",_xll.EVDES(H119,$B$1)))</f>
        <v>Lunch Beverage Revenue</v>
      </c>
      <c r="O119" s="138">
        <f t="shared" ref="O119:Z119" si="28">O99+O106+O113</f>
        <v>180</v>
      </c>
      <c r="P119" s="138">
        <f t="shared" si="28"/>
        <v>0</v>
      </c>
      <c r="Q119" s="138">
        <f t="shared" si="28"/>
        <v>1440</v>
      </c>
      <c r="R119" s="138">
        <f t="shared" si="28"/>
        <v>0</v>
      </c>
      <c r="S119" s="138">
        <f t="shared" si="28"/>
        <v>852</v>
      </c>
      <c r="T119" s="138">
        <f t="shared" si="28"/>
        <v>256</v>
      </c>
      <c r="U119" s="138">
        <f t="shared" si="28"/>
        <v>0</v>
      </c>
      <c r="V119" s="138">
        <f t="shared" si="28"/>
        <v>875</v>
      </c>
      <c r="W119" s="138">
        <f t="shared" si="28"/>
        <v>0</v>
      </c>
      <c r="X119" s="138">
        <f t="shared" si="28"/>
        <v>0</v>
      </c>
      <c r="Y119" s="138">
        <f t="shared" si="28"/>
        <v>1600</v>
      </c>
      <c r="Z119" s="138">
        <f t="shared" si="28"/>
        <v>0</v>
      </c>
      <c r="AA119" s="138">
        <f>SUM(O119:Z119)</f>
        <v>5203</v>
      </c>
      <c r="AB119" s="142">
        <f>IF(AA119=0,"",IFERROR(AA119/AA$19,""))</f>
        <v>2.0453094818983036E-2</v>
      </c>
      <c r="AC119" s="140"/>
      <c r="AD119" s="138">
        <f>AD99+AD106+AD113</f>
        <v>764.35000005619997</v>
      </c>
      <c r="AE119" s="142">
        <f>IF(AD119=0,"",IFERROR(AD119/AD$19,""))</f>
        <v>6.6756426340287911E-3</v>
      </c>
      <c r="AF119" s="141">
        <f>IF(AND($AA119="",AD119=""),"",$AA119-AD119)</f>
        <v>4438.6499999438001</v>
      </c>
      <c r="AG119" s="138">
        <f>AG99+AG106+AG113</f>
        <v>772</v>
      </c>
      <c r="AH119" s="142">
        <f>IF(AG119=0,"",IFERROR(AG119/AG$19,""))</f>
        <v>1.5355025290044892E-2</v>
      </c>
      <c r="AI119" s="141">
        <f>IF(AND($AA119="",AG119=""),"",$AA119-AG119)</f>
        <v>4431</v>
      </c>
    </row>
    <row r="120" spans="1:35" x14ac:dyDescent="0.25">
      <c r="A120" s="11"/>
      <c r="B120" s="11"/>
      <c r="C120" s="208"/>
      <c r="D120" s="11"/>
      <c r="E120" s="11"/>
      <c r="F120" s="11"/>
      <c r="G120" s="11"/>
      <c r="H120" s="185" t="s">
        <v>269</v>
      </c>
      <c r="I120" s="122"/>
      <c r="J120" s="122"/>
      <c r="K120" s="11"/>
      <c r="L120" s="90" t="str">
        <f>IF(_epmOfflineCondition_,"",_xll.EVPRO($B$1,H120,"JDEID"))</f>
        <v/>
      </c>
      <c r="M120" s="90" t="str">
        <f>IF(_epmOfflineCondition_,"",IF(AND(I120="N",J120="N"),_xll.EVPRO($B$1,H120,"PSFTID"),""))</f>
        <v/>
      </c>
      <c r="N120" s="90" t="str">
        <f>IF(_epmOfflineCondition_,"Dinner Beverage Revenue",IF(_xll.EVDES(H120,$B$1)="#NODATA","",_xll.EVDES(H120,$B$1)))</f>
        <v>Dinner Beverage Revenue</v>
      </c>
      <c r="O120" s="138">
        <f t="shared" ref="O120:Z120" si="29">O100+O107+O114</f>
        <v>900</v>
      </c>
      <c r="P120" s="138">
        <f t="shared" si="29"/>
        <v>0</v>
      </c>
      <c r="Q120" s="138">
        <f t="shared" si="29"/>
        <v>630</v>
      </c>
      <c r="R120" s="138">
        <f t="shared" si="29"/>
        <v>0</v>
      </c>
      <c r="S120" s="138">
        <f t="shared" si="29"/>
        <v>0</v>
      </c>
      <c r="T120" s="138">
        <f t="shared" si="29"/>
        <v>0</v>
      </c>
      <c r="U120" s="138">
        <f t="shared" si="29"/>
        <v>0</v>
      </c>
      <c r="V120" s="138">
        <f t="shared" si="29"/>
        <v>0</v>
      </c>
      <c r="W120" s="138">
        <f t="shared" si="29"/>
        <v>0</v>
      </c>
      <c r="X120" s="138">
        <f t="shared" si="29"/>
        <v>5100</v>
      </c>
      <c r="Y120" s="138">
        <f t="shared" si="29"/>
        <v>9235</v>
      </c>
      <c r="Z120" s="138">
        <f t="shared" si="29"/>
        <v>0</v>
      </c>
      <c r="AA120" s="138">
        <f>SUM(O120:Z120)</f>
        <v>15865</v>
      </c>
      <c r="AB120" s="142">
        <f>IF(AA120=0,"",IFERROR(AA120/AA$19,""))</f>
        <v>6.2365625466685733E-2</v>
      </c>
      <c r="AC120" s="140"/>
      <c r="AD120" s="138">
        <f>AD100+AD107+AD114</f>
        <v>8736.2490547014004</v>
      </c>
      <c r="AE120" s="142">
        <f>IF(AD120=0,"",IFERROR(AD120/AD$19,""))</f>
        <v>7.6300224565670607E-2</v>
      </c>
      <c r="AF120" s="141">
        <f>IF(AND($AA120="",AD120=""),"",$AA120-AD120)</f>
        <v>7128.7509452985996</v>
      </c>
      <c r="AG120" s="138">
        <f>AG100+AG107+AG114</f>
        <v>3025</v>
      </c>
      <c r="AH120" s="142">
        <f>IF(AG120=0,"",IFERROR(AG120/AG$19,""))</f>
        <v>6.0167035624852074E-2</v>
      </c>
      <c r="AI120" s="141">
        <f>IF(AND($AA120="",AG120=""),"",$AA120-AG120)</f>
        <v>12840</v>
      </c>
    </row>
    <row r="121" spans="1:35" x14ac:dyDescent="0.25">
      <c r="A121" s="11"/>
      <c r="B121" s="11"/>
      <c r="C121" s="208"/>
      <c r="D121" s="11"/>
      <c r="E121" s="11"/>
      <c r="F121" s="11"/>
      <c r="G121" s="11"/>
      <c r="H121" s="185" t="s">
        <v>791</v>
      </c>
      <c r="I121" s="122"/>
      <c r="J121" s="122"/>
      <c r="K121" s="11"/>
      <c r="L121" s="90" t="str">
        <f>IF(_epmOfflineCondition_,"",_xll.EVPRO($B$1,H121,"JDEID"))</f>
        <v/>
      </c>
      <c r="M121" s="90" t="str">
        <f>IF(_epmOfflineCondition_,"",IF(AND(I121="N",J121="N"),_xll.EVPRO($B$1,H121,"PSFTID"),""))</f>
        <v/>
      </c>
      <c r="N121" s="90" t="str">
        <f>IF(_epmOfflineCondition_,"Reception Beverage Revenue",IF(_xll.EVDES(H121,$B$1)="#NODATA","",_xll.EVDES(H121,$B$1)))</f>
        <v>Reception Beverage Revenue</v>
      </c>
      <c r="O121" s="138">
        <f t="shared" ref="O121:Z121" si="30">O101+O108+O115</f>
        <v>0</v>
      </c>
      <c r="P121" s="138">
        <f t="shared" si="30"/>
        <v>0</v>
      </c>
      <c r="Q121" s="138">
        <f t="shared" si="30"/>
        <v>0</v>
      </c>
      <c r="R121" s="138">
        <f t="shared" si="30"/>
        <v>0</v>
      </c>
      <c r="S121" s="138">
        <f t="shared" si="30"/>
        <v>0</v>
      </c>
      <c r="T121" s="138">
        <f t="shared" si="30"/>
        <v>0</v>
      </c>
      <c r="U121" s="138">
        <f t="shared" si="30"/>
        <v>0</v>
      </c>
      <c r="V121" s="138">
        <f t="shared" si="30"/>
        <v>0</v>
      </c>
      <c r="W121" s="138">
        <f t="shared" si="30"/>
        <v>0</v>
      </c>
      <c r="X121" s="138">
        <f t="shared" si="30"/>
        <v>0</v>
      </c>
      <c r="Y121" s="138">
        <f t="shared" si="30"/>
        <v>794</v>
      </c>
      <c r="Z121" s="138">
        <f t="shared" si="30"/>
        <v>0</v>
      </c>
      <c r="AA121" s="138">
        <f>SUM(O121:Z121)</f>
        <v>794</v>
      </c>
      <c r="AB121" s="142">
        <f>IF(AA121=0,"",IFERROR(AA121/AA$19,""))</f>
        <v>3.1212295380112494E-3</v>
      </c>
      <c r="AC121" s="140"/>
      <c r="AD121" s="138">
        <f>AD101+AD108+AD115</f>
        <v>0</v>
      </c>
      <c r="AE121" s="142" t="str">
        <f>IF(AD121=0,"",IFERROR(AD121/AD$19,""))</f>
        <v/>
      </c>
      <c r="AF121" s="141">
        <f>IF(AND($AA121="",AD121=""),"",$AA121-AD121)</f>
        <v>794</v>
      </c>
      <c r="AG121" s="138">
        <f>AG101+AG108+AG115</f>
        <v>0</v>
      </c>
      <c r="AH121" s="142" t="str">
        <f>IF(AG121=0,"",IFERROR(AG121/AG$19,""))</f>
        <v/>
      </c>
      <c r="AI121" s="141">
        <f>IF(AND($AA121="",AG121=""),"",$AA121-AG121)</f>
        <v>794</v>
      </c>
    </row>
    <row r="122" spans="1:35" x14ac:dyDescent="0.25">
      <c r="A122" s="11"/>
      <c r="B122" s="11"/>
      <c r="C122" s="208"/>
      <c r="D122" s="11"/>
      <c r="E122" s="11"/>
      <c r="F122" s="11"/>
      <c r="G122" s="11"/>
      <c r="H122" s="88" t="s">
        <v>272</v>
      </c>
      <c r="I122" s="122"/>
      <c r="J122" s="122"/>
      <c r="K122" s="11"/>
      <c r="L122" s="90" t="str">
        <f>IF(_epmOfflineCondition_,"",_xll.EVPRO($B$1,H122,"JDEID"))</f>
        <v/>
      </c>
      <c r="M122" s="90" t="str">
        <f>IF(_epmOfflineCondition_,"",IF(AND(I122="N",J122="N"),_xll.EVPRO($B$1,H122,"PSFTID"),""))</f>
        <v/>
      </c>
      <c r="N122" s="106" t="str">
        <f>IF(_epmOfflineCondition_,"Total Beverage Revenue",IF(_xll.EVDES(H122,$B$1)="#NODATA","",_xll.EVDES(H122,$B$1)))</f>
        <v>Total Beverage Revenue</v>
      </c>
      <c r="O122" s="162">
        <f t="shared" ref="O122:Z122" si="31">SUM(O118:O121)</f>
        <v>1080</v>
      </c>
      <c r="P122" s="162">
        <f t="shared" si="31"/>
        <v>0</v>
      </c>
      <c r="Q122" s="162">
        <f t="shared" si="31"/>
        <v>2070</v>
      </c>
      <c r="R122" s="162">
        <f t="shared" si="31"/>
        <v>0</v>
      </c>
      <c r="S122" s="162">
        <f t="shared" si="31"/>
        <v>852</v>
      </c>
      <c r="T122" s="162">
        <f t="shared" si="31"/>
        <v>256</v>
      </c>
      <c r="U122" s="162">
        <f t="shared" si="31"/>
        <v>0</v>
      </c>
      <c r="V122" s="162">
        <f t="shared" si="31"/>
        <v>875</v>
      </c>
      <c r="W122" s="162">
        <f t="shared" si="31"/>
        <v>0</v>
      </c>
      <c r="X122" s="162">
        <f t="shared" si="31"/>
        <v>5100</v>
      </c>
      <c r="Y122" s="162">
        <f t="shared" si="31"/>
        <v>11629</v>
      </c>
      <c r="Z122" s="162">
        <f t="shared" si="31"/>
        <v>0</v>
      </c>
      <c r="AA122" s="162">
        <f>SUM(O122:Z122)</f>
        <v>21862</v>
      </c>
      <c r="AB122" s="163">
        <f>IF(AA122=0,"",IFERROR(AA122/AA$19,""))</f>
        <v>8.5939949823680015E-2</v>
      </c>
      <c r="AC122" s="140"/>
      <c r="AD122" s="162">
        <f>SUM(AD118:AD121)</f>
        <v>9500.5990547576002</v>
      </c>
      <c r="AE122" s="163">
        <f>IF(AD122=0,"",IFERROR(AD122/AD$19,""))</f>
        <v>8.2975867199699391E-2</v>
      </c>
      <c r="AF122" s="164">
        <f>IF(AND($AA122="",AD122=""),"",$AA122-AD122)</f>
        <v>12361.4009452424</v>
      </c>
      <c r="AG122" s="162">
        <f>SUM(AG118:AG121)</f>
        <v>3797</v>
      </c>
      <c r="AH122" s="163">
        <f>IF(AG122=0,"",IFERROR(AG122/AG$19,""))</f>
        <v>7.5522060914896966E-2</v>
      </c>
      <c r="AI122" s="164">
        <f>IF(AND($AA122="",AG122=""),"",$AA122-AG122)</f>
        <v>18065</v>
      </c>
    </row>
    <row r="123" spans="1:35" x14ac:dyDescent="0.25">
      <c r="A123" s="11"/>
      <c r="B123" s="11"/>
      <c r="C123" s="208"/>
      <c r="D123" s="11"/>
      <c r="E123" s="11"/>
      <c r="F123" s="11"/>
      <c r="G123" s="11"/>
      <c r="H123" s="185"/>
      <c r="I123" s="122"/>
      <c r="J123" s="122"/>
      <c r="K123" s="11"/>
      <c r="L123" s="11"/>
      <c r="M123" s="11"/>
      <c r="N123" s="11"/>
      <c r="O123" s="511">
        <f t="shared" ref="O123:AA123" si="32">O102+O109+O116-O122</f>
        <v>0</v>
      </c>
      <c r="P123" s="511">
        <f t="shared" si="32"/>
        <v>0</v>
      </c>
      <c r="Q123" s="511">
        <f t="shared" si="32"/>
        <v>0</v>
      </c>
      <c r="R123" s="511">
        <f t="shared" si="32"/>
        <v>0</v>
      </c>
      <c r="S123" s="511">
        <f t="shared" si="32"/>
        <v>0</v>
      </c>
      <c r="T123" s="511">
        <f t="shared" si="32"/>
        <v>0</v>
      </c>
      <c r="U123" s="511">
        <f t="shared" si="32"/>
        <v>0</v>
      </c>
      <c r="V123" s="511">
        <f t="shared" si="32"/>
        <v>0</v>
      </c>
      <c r="W123" s="511">
        <f t="shared" si="32"/>
        <v>0</v>
      </c>
      <c r="X123" s="511">
        <f t="shared" si="32"/>
        <v>0</v>
      </c>
      <c r="Y123" s="511">
        <f t="shared" si="32"/>
        <v>0</v>
      </c>
      <c r="Z123" s="511">
        <f t="shared" si="32"/>
        <v>0</v>
      </c>
      <c r="AA123" s="511">
        <f t="shared" si="32"/>
        <v>0</v>
      </c>
      <c r="AB123" s="142"/>
      <c r="AC123" s="140"/>
      <c r="AD123" s="511">
        <f>AD102+AD109+AD116-AD122</f>
        <v>0</v>
      </c>
      <c r="AE123" s="142"/>
      <c r="AF123" s="138"/>
      <c r="AG123" s="511">
        <f>AG102+AG109+AG116-AG122</f>
        <v>0</v>
      </c>
      <c r="AH123" s="142"/>
      <c r="AI123" s="138"/>
    </row>
    <row r="124" spans="1:35" x14ac:dyDescent="0.25">
      <c r="A124" s="11"/>
      <c r="B124" s="11"/>
      <c r="C124" s="208"/>
      <c r="D124" s="11"/>
      <c r="E124" s="11"/>
      <c r="F124" s="11"/>
      <c r="G124" s="11"/>
      <c r="H124" s="185"/>
      <c r="I124" s="122"/>
      <c r="J124" s="122"/>
      <c r="K124" s="11"/>
      <c r="L124" s="11"/>
      <c r="M124" s="11"/>
      <c r="N124" s="11"/>
      <c r="O124" s="170"/>
      <c r="P124" s="171"/>
      <c r="Q124" s="171"/>
      <c r="R124" s="171"/>
      <c r="S124" s="171"/>
      <c r="T124" s="171"/>
      <c r="U124" s="171"/>
      <c r="V124" s="171"/>
      <c r="W124" s="171"/>
      <c r="X124" s="171"/>
      <c r="Y124" s="171"/>
      <c r="Z124" s="171"/>
      <c r="AA124" s="171"/>
      <c r="AB124" s="172"/>
      <c r="AC124" s="140"/>
      <c r="AD124" s="170"/>
      <c r="AE124" s="171"/>
      <c r="AF124" s="172"/>
      <c r="AG124" s="170"/>
      <c r="AH124" s="171"/>
      <c r="AI124" s="172"/>
    </row>
    <row r="125" spans="1:35" ht="15.75" x14ac:dyDescent="0.25">
      <c r="A125" s="11"/>
      <c r="B125" s="11"/>
      <c r="C125" s="208"/>
      <c r="D125" s="11"/>
      <c r="E125" s="11"/>
      <c r="F125" s="11"/>
      <c r="G125" s="11"/>
      <c r="H125" s="185" t="s">
        <v>281</v>
      </c>
      <c r="I125" s="122"/>
      <c r="J125" s="122"/>
      <c r="K125" s="11"/>
      <c r="L125" s="11"/>
      <c r="M125" s="11"/>
      <c r="N125" s="489" t="str">
        <f>IF(_epmOfflineCondition_,"Cost of Sales",IF(_xll.EVDES(H125,$B$1)="#NODATA","",_xll.EVDES(H125,$B$1)))</f>
        <v>Cost of Sales</v>
      </c>
      <c r="O125" s="518"/>
      <c r="P125" s="519"/>
      <c r="Q125" s="519"/>
      <c r="R125" s="519"/>
      <c r="S125" s="519"/>
      <c r="T125" s="519"/>
      <c r="U125" s="519"/>
      <c r="V125" s="519"/>
      <c r="W125" s="519"/>
      <c r="X125" s="519"/>
      <c r="Y125" s="519"/>
      <c r="Z125" s="519"/>
      <c r="AA125" s="519"/>
      <c r="AB125" s="520"/>
      <c r="AC125" s="140"/>
      <c r="AD125" s="518"/>
      <c r="AE125" s="519"/>
      <c r="AF125" s="519"/>
      <c r="AG125" s="519"/>
      <c r="AH125" s="519"/>
      <c r="AI125" s="520"/>
    </row>
    <row r="126" spans="1:35" x14ac:dyDescent="0.25">
      <c r="A126" s="11"/>
      <c r="B126" s="11"/>
      <c r="C126" s="208"/>
      <c r="D126" s="11"/>
      <c r="E126" s="11"/>
      <c r="F126" s="11"/>
      <c r="G126" s="11"/>
      <c r="H126" s="185">
        <v>561100</v>
      </c>
      <c r="I126" s="122"/>
      <c r="J126" s="122"/>
      <c r="K126" s="11"/>
      <c r="L126" s="90" t="str">
        <f>IF(_epmOfflineCondition_,"561100",_xll.EVPRO($B$1,H126,"JDEID"))</f>
        <v>561100</v>
      </c>
      <c r="M126" s="90" t="str">
        <f>IF(_epmOfflineCondition_,"",IF(AND(I126="N",J126="N"),_xll.EVPRO($B$1,H126,"PSFTID"),""))</f>
        <v/>
      </c>
      <c r="N126" s="90" t="str">
        <f>IF(_epmOfflineCondition_,"Cost of Food Sales",IF(_xll.EVDES(H126,$B$1)="#NODATA","",_xll.EVDES(H126,$B$1)))</f>
        <v>Cost of Food Sales</v>
      </c>
      <c r="O126" s="138">
        <v>2883.57</v>
      </c>
      <c r="P126" s="138">
        <v>7242.69</v>
      </c>
      <c r="Q126" s="138">
        <v>60.31</v>
      </c>
      <c r="R126" s="138">
        <v>10340.9</v>
      </c>
      <c r="S126" s="138">
        <v>11398.63</v>
      </c>
      <c r="T126" s="138">
        <v>3824.91</v>
      </c>
      <c r="U126" s="138">
        <v>2743.13</v>
      </c>
      <c r="V126" s="138">
        <v>1624.14</v>
      </c>
      <c r="W126" s="138">
        <v>477.36</v>
      </c>
      <c r="X126" s="138">
        <v>2178.31</v>
      </c>
      <c r="Y126" s="138">
        <v>5639.78</v>
      </c>
      <c r="Z126" s="138">
        <v>2182.8000000000002</v>
      </c>
      <c r="AA126" s="138">
        <f>SUM(O126:Z126)</f>
        <v>50596.529999999992</v>
      </c>
      <c r="AB126" s="458">
        <f>IF(_epmOfflineCondition_,0.217596151948094,IF(AA126=0,"",IFERROR(AA126/_xll.EVGTS($B$1,1,_xll.EVPRO($B$1,$H126,"COSBASIS"),$B$3,$B$5,$B$6,$B$7,$B$9,AA$16,AA$17,AA$11),"")))</f>
        <v>0.21759615194809401</v>
      </c>
      <c r="AC126" s="140"/>
      <c r="AD126" s="138">
        <v>21419.54</v>
      </c>
      <c r="AE126" s="458">
        <f>IF(_epmOfflineCondition_,0.204000008060702,IF(AD126=0,"",IFERROR(AD126/_xll.EVGTS($B$1,1,_xll.EVPRO($B$1,$H126,"COSBASIS"),$B$3,$B$5,$B$6,$B$7,$B$9,AD$16,AD$17,AD$18),"")))</f>
        <v>0.20400000806070201</v>
      </c>
      <c r="AF126" s="141">
        <f t="shared" ref="AF126:AF137" si="33">IF(AND($AA126="",AD126=""),"",$AA126-AD126)</f>
        <v>29176.989999999991</v>
      </c>
      <c r="AG126" s="138">
        <v>9930.9699999999993</v>
      </c>
      <c r="AH126" s="458">
        <f>IF(_epmOfflineCondition_,0.213662523639352,IF(AG126=0,"",IFERROR(AG126/_xll.EVGTS($B$1,1,_xll.EVPRO($B$1,$H126,"COSBASIS"),$B$3,$B$5,$B$6,$B$7,$B$9,AG$16,AG$17,AG$18),"")))</f>
        <v>0.21366252363935201</v>
      </c>
      <c r="AI126" s="141">
        <f t="shared" ref="AI126:AI137" si="34">IF(AND($AA126="",AG126=""),"",$AA126-AG126)</f>
        <v>40665.55999999999</v>
      </c>
    </row>
    <row r="127" spans="1:35" x14ac:dyDescent="0.25">
      <c r="A127" s="11"/>
      <c r="B127" s="11"/>
      <c r="C127" s="208"/>
      <c r="D127" s="11"/>
      <c r="E127" s="11"/>
      <c r="F127" s="11"/>
      <c r="G127" s="11"/>
      <c r="H127" s="185" t="s">
        <v>756</v>
      </c>
      <c r="I127" s="122"/>
      <c r="J127" s="122"/>
      <c r="K127" s="11"/>
      <c r="L127" s="90" t="str">
        <f>IF(_epmOfflineCondition_,"",_xll.EVPRO($B$1,H127,"JDEID"))</f>
        <v/>
      </c>
      <c r="M127" s="90" t="str">
        <f>IF(_epmOfflineCondition_,"",IF(AND(I127="N",J127="N"),_xll.EVPRO($B$1,H127,"PSFTID"),""))</f>
        <v/>
      </c>
      <c r="N127" s="493" t="str">
        <f>IF(_epmOfflineCondition_,"Food Cost %",IF(_xll.EVDES(H127,$B$1)="#NODATA","",_xll.EVDES(H127,$B$1)))</f>
        <v>Food Cost %</v>
      </c>
      <c r="O127" s="508">
        <v>0.20899978256142601</v>
      </c>
      <c r="P127" s="508">
        <v>0.209362606232295</v>
      </c>
      <c r="Q127" s="508">
        <v>1.2189255830874299E-3</v>
      </c>
      <c r="R127" s="508">
        <v>0.38252876114378698</v>
      </c>
      <c r="S127" s="508">
        <v>0.66935949864820099</v>
      </c>
      <c r="T127" s="508">
        <v>0.209000054641823</v>
      </c>
      <c r="U127" s="508">
        <v>0.20900038095238099</v>
      </c>
      <c r="V127" s="508">
        <v>0.208122484388956</v>
      </c>
      <c r="W127" s="508">
        <v>0.20399999999999999</v>
      </c>
      <c r="X127" s="508">
        <v>0.20399981269900699</v>
      </c>
      <c r="Y127" s="508">
        <v>0.20399985531360801</v>
      </c>
      <c r="Z127" s="508">
        <v>0.20399999999999999</v>
      </c>
      <c r="AA127" s="508">
        <v>0.21759615194809401</v>
      </c>
      <c r="AB127" s="458"/>
      <c r="AC127" s="140"/>
      <c r="AD127" s="508">
        <v>0.20400000806070101</v>
      </c>
      <c r="AE127" s="458"/>
      <c r="AF127" s="521">
        <f t="shared" si="33"/>
        <v>1.3596143887392997E-2</v>
      </c>
      <c r="AG127" s="508">
        <v>0.21366252363935201</v>
      </c>
      <c r="AH127" s="458"/>
      <c r="AI127" s="521">
        <f t="shared" si="34"/>
        <v>3.9336283087419988E-3</v>
      </c>
    </row>
    <row r="128" spans="1:35" x14ac:dyDescent="0.25">
      <c r="A128" s="11"/>
      <c r="B128" s="11"/>
      <c r="C128" s="208"/>
      <c r="D128" s="11"/>
      <c r="E128" s="11"/>
      <c r="F128" s="11"/>
      <c r="G128" s="11"/>
      <c r="H128" s="185" t="s">
        <v>636</v>
      </c>
      <c r="I128" s="122"/>
      <c r="J128" s="122"/>
      <c r="K128" s="11"/>
      <c r="L128" s="90" t="str">
        <f>IF(_epmOfflineCondition_,"",_xll.EVPRO($B$1,H128,"JDEID"))</f>
        <v/>
      </c>
      <c r="M128" s="90" t="str">
        <f>IF(_epmOfflineCondition_,"",IF(AND(I128="N",J128="N"),_xll.EVPRO($B$1,H128,"PSFTID"),""))</f>
        <v/>
      </c>
      <c r="N128" s="90" t="str">
        <f>IF(_epmOfflineCondition_,"Cost of Beverage Sales",IF(_xll.EVDES(H128,$B$1)="#NODATA","",_xll.EVDES(H128,$B$1)))</f>
        <v>Cost of Beverage Sales</v>
      </c>
      <c r="O128" s="138">
        <v>218.25</v>
      </c>
      <c r="P128" s="138"/>
      <c r="Q128" s="138"/>
      <c r="R128" s="138">
        <v>407.15</v>
      </c>
      <c r="S128" s="138">
        <v>167.1</v>
      </c>
      <c r="T128" s="138">
        <v>50.72</v>
      </c>
      <c r="U128" s="138"/>
      <c r="V128" s="138">
        <v>171.89</v>
      </c>
      <c r="W128" s="138"/>
      <c r="X128" s="138">
        <v>994.5</v>
      </c>
      <c r="Y128" s="138">
        <v>2272.64</v>
      </c>
      <c r="Z128" s="138"/>
      <c r="AA128" s="138">
        <f>SUM(O128:Z128)</f>
        <v>4282.25</v>
      </c>
      <c r="AB128" s="458">
        <f>IF(_epmOfflineCondition_,0.195876406550178,IF(AA128=0,"",IFERROR(AA128/_xll.EVGTS($B$1,1,_xll.EVPRO($B$1,$H128,"COSBASIS"),$B$3,$B$5,$B$6,$B$7,$B$9,AA$16,AA$17,AA$11),"")))</f>
        <v>0.19587640655017799</v>
      </c>
      <c r="AC128" s="140"/>
      <c r="AD128" s="138">
        <v>1781.76</v>
      </c>
      <c r="AE128" s="458">
        <f>IF(_epmOfflineCondition_,0.187541858121857,IF(AD128=0,"",IFERROR(AD128/_xll.EVGTS($B$1,1,_xll.EVPRO($B$1,$H128,"COSBASIS"),$B$3,$B$5,$B$6,$B$7,$B$9,AD$16,AD$17,AD$18),"")))</f>
        <v>0.187541858121857</v>
      </c>
      <c r="AF128" s="141">
        <f t="shared" si="33"/>
        <v>2500.4899999999998</v>
      </c>
      <c r="AG128" s="138">
        <v>740.42</v>
      </c>
      <c r="AH128" s="458">
        <f>IF(_epmOfflineCondition_,0.195001316829076,IF(AG128=0,"",IFERROR(AG128/_xll.EVGTS($B$1,1,_xll.EVPRO($B$1,$H128,"COSBASIS"),$B$3,$B$5,$B$6,$B$7,$B$9,AG$16,AG$17,AG$18),"")))</f>
        <v>0.19500131682907601</v>
      </c>
      <c r="AI128" s="141">
        <f t="shared" si="34"/>
        <v>3541.83</v>
      </c>
    </row>
    <row r="129" spans="1:35" x14ac:dyDescent="0.25">
      <c r="A129" s="11"/>
      <c r="B129" s="11"/>
      <c r="C129" s="208"/>
      <c r="D129" s="11"/>
      <c r="E129" s="11"/>
      <c r="F129" s="11"/>
      <c r="G129" s="11"/>
      <c r="H129" s="185" t="s">
        <v>757</v>
      </c>
      <c r="I129" s="122"/>
      <c r="J129" s="122"/>
      <c r="K129" s="11"/>
      <c r="L129" s="90" t="str">
        <f>IF(_epmOfflineCondition_,"",_xll.EVPRO($B$1,H129,"JDEID"))</f>
        <v/>
      </c>
      <c r="M129" s="90" t="str">
        <f>IF(_epmOfflineCondition_,"",IF(AND(I129="N",J129="N"),_xll.EVPRO($B$1,H129,"PSFTID"),""))</f>
        <v/>
      </c>
      <c r="N129" s="493" t="str">
        <f>IF(_epmOfflineCondition_,"Beverage Cost %",IF(_xll.EVDES(H129,$B$1)="#NODATA","",_xll.EVDES(H129,$B$1)))</f>
        <v>Beverage Cost %</v>
      </c>
      <c r="O129" s="508">
        <v>0.202083333333333</v>
      </c>
      <c r="P129" s="508"/>
      <c r="Q129" s="508"/>
      <c r="R129" s="508"/>
      <c r="S129" s="508">
        <v>0.19612676056337999</v>
      </c>
      <c r="T129" s="508">
        <v>0.198125</v>
      </c>
      <c r="U129" s="508"/>
      <c r="V129" s="508">
        <v>0.196445714285714</v>
      </c>
      <c r="W129" s="508"/>
      <c r="X129" s="508">
        <v>0.19500000000000001</v>
      </c>
      <c r="Y129" s="508">
        <v>0.19542866970504799</v>
      </c>
      <c r="Z129" s="508"/>
      <c r="AA129" s="508">
        <v>0.19587640655017799</v>
      </c>
      <c r="AB129" s="458"/>
      <c r="AC129" s="140"/>
      <c r="AD129" s="508">
        <v>0.187541858121857</v>
      </c>
      <c r="AE129" s="458"/>
      <c r="AF129" s="521">
        <f t="shared" si="33"/>
        <v>8.334548428320987E-3</v>
      </c>
      <c r="AG129" s="508">
        <v>0.19500131682907601</v>
      </c>
      <c r="AH129" s="458"/>
      <c r="AI129" s="521">
        <f t="shared" si="34"/>
        <v>8.7508972110197925E-4</v>
      </c>
    </row>
    <row r="130" spans="1:35" x14ac:dyDescent="0.25">
      <c r="A130" s="11"/>
      <c r="B130" s="11"/>
      <c r="C130" s="208"/>
      <c r="D130" s="11"/>
      <c r="E130" s="11"/>
      <c r="F130" s="11"/>
      <c r="G130" s="11"/>
      <c r="H130" s="185" t="s">
        <v>755</v>
      </c>
      <c r="I130" s="122"/>
      <c r="J130" s="122"/>
      <c r="K130" s="11"/>
      <c r="L130" s="90" t="str">
        <f>IF(_epmOfflineCondition_,"561300",_xll.EVPRO($B$1,H130,"JDEID"))</f>
        <v>561300</v>
      </c>
      <c r="M130" s="90" t="str">
        <f>IF(_epmOfflineCondition_,"",IF(AND(I130="N",J130="N"),_xll.EVPRO($B$1,H130,"PSFTID"),""))</f>
        <v/>
      </c>
      <c r="N130" s="90" t="str">
        <f>IF(_epmOfflineCondition_,"Liquor Cost of Sales",IF(_xll.EVDES(H130,$B$1)="#NODATA","",_xll.EVDES(H130,$B$1)))</f>
        <v>Liquor Cost of Sales</v>
      </c>
      <c r="O130" s="138">
        <v>87.75</v>
      </c>
      <c r="P130" s="138"/>
      <c r="Q130" s="138"/>
      <c r="R130" s="138">
        <v>318.44</v>
      </c>
      <c r="S130" s="138">
        <v>128.69999999999999</v>
      </c>
      <c r="T130" s="138">
        <v>18.72</v>
      </c>
      <c r="U130" s="138"/>
      <c r="V130" s="138">
        <v>152.49</v>
      </c>
      <c r="W130" s="138"/>
      <c r="X130" s="138">
        <v>994.5</v>
      </c>
      <c r="Y130" s="138">
        <v>2182.64</v>
      </c>
      <c r="Z130" s="138"/>
      <c r="AA130" s="138">
        <f>SUM(O130:Z130)</f>
        <v>3883.24</v>
      </c>
      <c r="AB130" s="458">
        <f>IF(_epmOfflineCondition_,0.195000502159285,IF(AA130=0,"",IFERROR(AA130/_xll.EVGTS($B$1,1,_xll.EVPRO($B$1,$H130,"COSBASIS"),$B$3,$B$5,$B$6,$B$7,$B$9,AA$16,AA$17,AA$11),"")))</f>
        <v>0.19500050215928499</v>
      </c>
      <c r="AC130" s="140"/>
      <c r="AD130" s="138">
        <v>1186.71</v>
      </c>
      <c r="AE130" s="458">
        <f>IF(_epmOfflineCondition_,0.182999826269396,IF(AD130=0,"",IFERROR(AD130/_xll.EVGTS($B$1,1,_xll.EVPRO($B$1,$H130,"COSBASIS"),$B$3,$B$5,$B$6,$B$7,$B$9,AD$16,AD$17,AD$18),"")))</f>
        <v>0.18299982626939601</v>
      </c>
      <c r="AF130" s="141">
        <f t="shared" si="33"/>
        <v>2696.5299999999997</v>
      </c>
      <c r="AG130" s="138">
        <v>740.42</v>
      </c>
      <c r="AH130" s="458">
        <f>IF(_epmOfflineCondition_,0.195001316829076,IF(AG130=0,"",IFERROR(AG130/_xll.EVGTS($B$1,1,_xll.EVPRO($B$1,$H130,"COSBASIS"),$B$3,$B$5,$B$6,$B$7,$B$9,AG$16,AG$17,AG$18),"")))</f>
        <v>0.19500131682907601</v>
      </c>
      <c r="AI130" s="141">
        <f t="shared" si="34"/>
        <v>3142.8199999999997</v>
      </c>
    </row>
    <row r="131" spans="1:35" x14ac:dyDescent="0.25">
      <c r="A131" s="11"/>
      <c r="B131" s="11"/>
      <c r="C131" s="208"/>
      <c r="D131" s="11"/>
      <c r="E131" s="11"/>
      <c r="F131" s="11"/>
      <c r="G131" s="11"/>
      <c r="H131" s="185" t="s">
        <v>758</v>
      </c>
      <c r="I131" s="122"/>
      <c r="J131" s="122"/>
      <c r="K131" s="11"/>
      <c r="L131" s="90" t="str">
        <f>IF(_epmOfflineCondition_,"",_xll.EVPRO($B$1,H131,"JDEID"))</f>
        <v/>
      </c>
      <c r="M131" s="90" t="str">
        <f>IF(_epmOfflineCondition_,"",IF(AND(I131="N",J131="N"),_xll.EVPRO($B$1,H131,"PSFTID"),""))</f>
        <v/>
      </c>
      <c r="N131" s="493" t="str">
        <f>IF(_epmOfflineCondition_,"Liquor Cost %",IF(_xll.EVDES(H131,$B$1)="#NODATA","",_xll.EVDES(H131,$B$1)))</f>
        <v>Liquor Cost %</v>
      </c>
      <c r="O131" s="508">
        <v>0.19500000000000001</v>
      </c>
      <c r="P131" s="508"/>
      <c r="Q131" s="508"/>
      <c r="R131" s="508"/>
      <c r="S131" s="508">
        <v>0.19500000000000001</v>
      </c>
      <c r="T131" s="508">
        <v>0.19500000000000001</v>
      </c>
      <c r="U131" s="508"/>
      <c r="V131" s="508">
        <v>0.19500000000000001</v>
      </c>
      <c r="W131" s="508"/>
      <c r="X131" s="508">
        <v>0.19500000000000001</v>
      </c>
      <c r="Y131" s="508">
        <v>0.19500044670776401</v>
      </c>
      <c r="Z131" s="508"/>
      <c r="AA131" s="508">
        <v>0.19500050215928499</v>
      </c>
      <c r="AB131" s="458"/>
      <c r="AC131" s="140"/>
      <c r="AD131" s="508">
        <v>0.18299982626939601</v>
      </c>
      <c r="AE131" s="458"/>
      <c r="AF131" s="521">
        <f t="shared" si="33"/>
        <v>1.2000675889888984E-2</v>
      </c>
      <c r="AG131" s="508">
        <v>0.19500131682907601</v>
      </c>
      <c r="AH131" s="458"/>
      <c r="AI131" s="521">
        <f t="shared" si="34"/>
        <v>-8.1466979101607606E-7</v>
      </c>
    </row>
    <row r="132" spans="1:35" x14ac:dyDescent="0.25">
      <c r="A132" s="11"/>
      <c r="B132" s="11"/>
      <c r="C132" s="208"/>
      <c r="D132" s="11"/>
      <c r="E132" s="11"/>
      <c r="F132" s="11"/>
      <c r="G132" s="11"/>
      <c r="H132" s="185">
        <v>561400</v>
      </c>
      <c r="I132" s="122"/>
      <c r="J132" s="122"/>
      <c r="K132" s="11"/>
      <c r="L132" s="90" t="str">
        <f>IF(_epmOfflineCondition_,"561400",_xll.EVPRO($B$1,H132,"JDEID"))</f>
        <v>561400</v>
      </c>
      <c r="M132" s="90" t="str">
        <f>IF(_epmOfflineCondition_,"",IF(AND(I132="N",J132="N"),_xll.EVPRO($B$1,H132,"PSFTID"),""))</f>
        <v/>
      </c>
      <c r="N132" s="90" t="str">
        <f>IF(_epmOfflineCondition_,"Beer Cost of Sales",IF(_xll.EVDES(H132,$B$1)="#NODATA","",_xll.EVDES(H132,$B$1)))</f>
        <v>Beer Cost of Sales</v>
      </c>
      <c r="O132" s="138">
        <v>94.5</v>
      </c>
      <c r="P132" s="138"/>
      <c r="Q132" s="138"/>
      <c r="R132" s="138">
        <v>27.51</v>
      </c>
      <c r="S132" s="138"/>
      <c r="T132" s="138"/>
      <c r="U132" s="138"/>
      <c r="V132" s="138">
        <v>16.8</v>
      </c>
      <c r="W132" s="138"/>
      <c r="X132" s="138"/>
      <c r="Y132" s="138">
        <v>58.8</v>
      </c>
      <c r="Z132" s="138"/>
      <c r="AA132" s="138">
        <f>SUM(O132:Z132)</f>
        <v>197.61</v>
      </c>
      <c r="AB132" s="458">
        <f>IF(_epmOfflineCondition_,0.21,IF(AA132=0,"",IFERROR(AA132/_xll.EVGTS($B$1,1,_xll.EVPRO($B$1,$H132,"COSBASIS"),$B$3,$B$5,$B$6,$B$7,$B$9,AA$16,AA$17,AA$11),"")))</f>
        <v>0.21</v>
      </c>
      <c r="AC132" s="140"/>
      <c r="AD132" s="138">
        <v>97.44</v>
      </c>
      <c r="AE132" s="458">
        <f>IF(_epmOfflineCondition_,0.210011224737874,IF(AD132=0,"",IFERROR(AD132/_xll.EVGTS($B$1,1,_xll.EVPRO($B$1,$H132,"COSBASIS"),$B$3,$B$5,$B$6,$B$7,$B$9,AD$16,AD$17,AD$18),"")))</f>
        <v>0.21001122473787401</v>
      </c>
      <c r="AF132" s="141">
        <f t="shared" si="33"/>
        <v>100.17000000000002</v>
      </c>
      <c r="AG132" s="138"/>
      <c r="AH132" s="458" t="str">
        <f>IF(_epmOfflineCondition_,"",IF(AG132=0,"",IFERROR(AG132/_xll.EVGTS($B$1,1,_xll.EVPRO($B$1,$H132,"COSBASIS"),$B$3,$B$5,$B$6,$B$7,$B$9,AG$16,AG$17,AG$18),"")))</f>
        <v/>
      </c>
      <c r="AI132" s="141">
        <f t="shared" si="34"/>
        <v>197.61</v>
      </c>
    </row>
    <row r="133" spans="1:35" x14ac:dyDescent="0.25">
      <c r="A133" s="11"/>
      <c r="B133" s="11"/>
      <c r="C133" s="208"/>
      <c r="D133" s="11"/>
      <c r="E133" s="11"/>
      <c r="F133" s="11"/>
      <c r="G133" s="11"/>
      <c r="H133" s="185" t="s">
        <v>759</v>
      </c>
      <c r="I133" s="122"/>
      <c r="J133" s="122"/>
      <c r="K133" s="11"/>
      <c r="L133" s="90" t="str">
        <f>IF(_epmOfflineCondition_,"",_xll.EVPRO($B$1,H133,"JDEID"))</f>
        <v/>
      </c>
      <c r="M133" s="90" t="str">
        <f>IF(_epmOfflineCondition_,"",IF(AND(I133="N",J133="N"),_xll.EVPRO($B$1,H133,"PSFTID"),""))</f>
        <v/>
      </c>
      <c r="N133" s="493" t="str">
        <f>IF(_epmOfflineCondition_,"Beer Cost %",IF(_xll.EVDES(H133,$B$1)="#NODATA","",_xll.EVDES(H133,$B$1)))</f>
        <v>Beer Cost %</v>
      </c>
      <c r="O133" s="508">
        <v>0.21</v>
      </c>
      <c r="P133" s="508"/>
      <c r="Q133" s="508"/>
      <c r="R133" s="508"/>
      <c r="S133" s="508"/>
      <c r="T133" s="508"/>
      <c r="U133" s="508"/>
      <c r="V133" s="508">
        <v>0.21</v>
      </c>
      <c r="W133" s="508"/>
      <c r="X133" s="508"/>
      <c r="Y133" s="508">
        <v>0.21</v>
      </c>
      <c r="Z133" s="508"/>
      <c r="AA133" s="508">
        <v>0.21</v>
      </c>
      <c r="AB133" s="458"/>
      <c r="AC133" s="140"/>
      <c r="AD133" s="508">
        <v>0.21001122473787401</v>
      </c>
      <c r="AE133" s="458"/>
      <c r="AF133" s="521">
        <f t="shared" si="33"/>
        <v>-1.1224737874016011E-5</v>
      </c>
      <c r="AG133" s="508"/>
      <c r="AH133" s="458"/>
      <c r="AI133" s="521">
        <f t="shared" si="34"/>
        <v>0.21</v>
      </c>
    </row>
    <row r="134" spans="1:35" x14ac:dyDescent="0.25">
      <c r="A134" s="11"/>
      <c r="B134" s="11"/>
      <c r="C134" s="11"/>
      <c r="D134" s="11"/>
      <c r="E134" s="11"/>
      <c r="F134" s="11"/>
      <c r="G134" s="11"/>
      <c r="H134" s="185">
        <v>561500</v>
      </c>
      <c r="I134" s="122"/>
      <c r="J134" s="122"/>
      <c r="K134" s="11"/>
      <c r="L134" s="90" t="str">
        <f>IF(_epmOfflineCondition_,"561500",_xll.EVPRO($B$1,H134,"JDEID"))</f>
        <v>561500</v>
      </c>
      <c r="M134" s="90" t="str">
        <f>IF(_epmOfflineCondition_,"",IF(AND(I134="N",J134="N"),_xll.EVPRO($B$1,H134,"PSFTID"),""))</f>
        <v/>
      </c>
      <c r="N134" s="90" t="str">
        <f>IF(_epmOfflineCondition_,"Wine Cost of Sales",IF(_xll.EVDES(H134,$B$1)="#NODATA","",_xll.EVDES(H134,$B$1)))</f>
        <v>Wine Cost of Sales</v>
      </c>
      <c r="O134" s="138">
        <v>36</v>
      </c>
      <c r="P134" s="138"/>
      <c r="Q134" s="138"/>
      <c r="R134" s="138">
        <v>61.2</v>
      </c>
      <c r="S134" s="138">
        <v>38.4</v>
      </c>
      <c r="T134" s="138">
        <v>32</v>
      </c>
      <c r="U134" s="138"/>
      <c r="V134" s="138">
        <v>2.6</v>
      </c>
      <c r="W134" s="138"/>
      <c r="X134" s="138"/>
      <c r="Y134" s="138">
        <v>31.2</v>
      </c>
      <c r="Z134" s="138"/>
      <c r="AA134" s="138">
        <f>SUM(O134:Z134)</f>
        <v>201.39999999999998</v>
      </c>
      <c r="AB134" s="458">
        <f>IF(_epmOfflineCondition_,0.2,IF(AA134=0,"",IFERROR(AA134/_xll.EVGTS($B$1,1,_xll.EVPRO($B$1,$H134,"COSBASIS"),$B$3,$B$5,$B$6,$B$7,$B$9,AA$16,AA$17,AA$11),"")))</f>
        <v>0.2</v>
      </c>
      <c r="AC134" s="140"/>
      <c r="AD134" s="138">
        <v>497.61</v>
      </c>
      <c r="AE134" s="458">
        <f>IF(_epmOfflineCondition_,0.194998666848576,IF(AD134=0,"",IFERROR(AD134/_xll.EVGTS($B$1,1,_xll.EVPRO($B$1,$H134,"COSBASIS"),$B$3,$B$5,$B$6,$B$7,$B$9,AD$16,AD$17,AD$18),"")))</f>
        <v>0.194998666848576</v>
      </c>
      <c r="AF134" s="141">
        <f t="shared" si="33"/>
        <v>-296.21000000000004</v>
      </c>
      <c r="AG134" s="138"/>
      <c r="AH134" s="458" t="str">
        <f>IF(_epmOfflineCondition_,"",IF(AG134=0,"",IFERROR(AG134/_xll.EVGTS($B$1,1,_xll.EVPRO($B$1,$H134,"COSBASIS"),$B$3,$B$5,$B$6,$B$7,$B$9,AG$16,AG$17,AG$18),"")))</f>
        <v/>
      </c>
      <c r="AI134" s="141">
        <f t="shared" si="34"/>
        <v>201.39999999999998</v>
      </c>
    </row>
    <row r="135" spans="1:35" x14ac:dyDescent="0.25">
      <c r="A135" s="11"/>
      <c r="B135" s="11"/>
      <c r="C135" s="208"/>
      <c r="D135" s="11"/>
      <c r="E135" s="11"/>
      <c r="F135" s="11"/>
      <c r="G135" s="11"/>
      <c r="H135" s="185" t="s">
        <v>760</v>
      </c>
      <c r="I135" s="122"/>
      <c r="J135" s="122"/>
      <c r="K135" s="11"/>
      <c r="L135" s="90" t="str">
        <f>IF(_epmOfflineCondition_,"",_xll.EVPRO($B$1,H135,"JDEID"))</f>
        <v/>
      </c>
      <c r="M135" s="90" t="str">
        <f>IF(_epmOfflineCondition_,"",IF(AND(I135="N",J135="N"),_xll.EVPRO($B$1,H135,"PSFTID"),""))</f>
        <v/>
      </c>
      <c r="N135" s="493" t="str">
        <f>IF(_epmOfflineCondition_,"Wine Cost %",IF(_xll.EVDES(H135,$B$1)="#NODATA","",_xll.EVDES(H135,$B$1)))</f>
        <v>Wine Cost %</v>
      </c>
      <c r="O135" s="508">
        <v>0.2</v>
      </c>
      <c r="P135" s="508"/>
      <c r="Q135" s="508"/>
      <c r="R135" s="508"/>
      <c r="S135" s="508">
        <v>0.2</v>
      </c>
      <c r="T135" s="508">
        <v>0.2</v>
      </c>
      <c r="U135" s="508"/>
      <c r="V135" s="508">
        <v>0.2</v>
      </c>
      <c r="W135" s="508"/>
      <c r="X135" s="508"/>
      <c r="Y135" s="508">
        <v>0.2</v>
      </c>
      <c r="Z135" s="508"/>
      <c r="AA135" s="508">
        <v>0.2</v>
      </c>
      <c r="AB135" s="458"/>
      <c r="AC135" s="140"/>
      <c r="AD135" s="508">
        <v>0.194998666848576</v>
      </c>
      <c r="AE135" s="458"/>
      <c r="AF135" s="521">
        <f t="shared" si="33"/>
        <v>5.0013331514240089E-3</v>
      </c>
      <c r="AG135" s="508"/>
      <c r="AH135" s="458"/>
      <c r="AI135" s="521">
        <f t="shared" si="34"/>
        <v>0.2</v>
      </c>
    </row>
    <row r="136" spans="1:35" x14ac:dyDescent="0.25">
      <c r="A136" s="11"/>
      <c r="B136" s="11"/>
      <c r="C136" s="208"/>
      <c r="D136" s="11"/>
      <c r="E136" s="11"/>
      <c r="F136" s="11"/>
      <c r="G136" s="11"/>
      <c r="H136" s="185" t="s">
        <v>286</v>
      </c>
      <c r="I136" s="122"/>
      <c r="J136" s="122"/>
      <c r="K136" s="11"/>
      <c r="L136" s="90" t="str">
        <f>IF(_epmOfflineCondition_,"",_xll.EVPRO($B$1,H136,"JDEID"))</f>
        <v/>
      </c>
      <c r="M136" s="90" t="str">
        <f>IF(_epmOfflineCondition_,"",IF(AND(I136="N",J136="N"),_xll.EVPRO($B$1,H136,"PSFTID"),""))</f>
        <v/>
      </c>
      <c r="N136" s="90" t="str">
        <f>IF(_epmOfflineCondition_,"Total Cost of Food &amp; Beverage Sales",IF(_xll.EVDES(H136,$B$1)="#NODATA","",_xll.EVDES(H136,$B$1)))</f>
        <v>Total Cost of Food &amp; Beverage Sales</v>
      </c>
      <c r="O136" s="138">
        <v>3101.82</v>
      </c>
      <c r="P136" s="138">
        <v>7242.69</v>
      </c>
      <c r="Q136" s="138">
        <v>60.31</v>
      </c>
      <c r="R136" s="138">
        <v>10748.05</v>
      </c>
      <c r="S136" s="138">
        <v>11565.73</v>
      </c>
      <c r="T136" s="138">
        <v>3875.63</v>
      </c>
      <c r="U136" s="138">
        <v>2743.13</v>
      </c>
      <c r="V136" s="138">
        <v>1796.03</v>
      </c>
      <c r="W136" s="138">
        <v>477.36</v>
      </c>
      <c r="X136" s="138">
        <v>3172.81</v>
      </c>
      <c r="Y136" s="138">
        <v>7912.42</v>
      </c>
      <c r="Z136" s="138">
        <v>2182.8000000000002</v>
      </c>
      <c r="AA136" s="138">
        <f>SUM(O136:Z136)</f>
        <v>54878.779999999992</v>
      </c>
      <c r="AB136" s="458">
        <f>IF(_epmOfflineCondition_,0.215729558118414,IF(AA136=0,"",IFERROR(AA136/_xll.EVGTS($B$1,1,_xll.EVPRO($B$1,$H136,"COSBASIS"),$B$3,$B$5,$B$6,$B$7,$B$9,AA$16,AA$17,AA$11),"")))</f>
        <v>0.21572955811841399</v>
      </c>
      <c r="AC136" s="140"/>
      <c r="AD136" s="138">
        <v>23201.3</v>
      </c>
      <c r="AE136" s="458">
        <f>IF(_epmOfflineCondition_,0.202634378797023,IF(AD136=0,"",IFERROR(AD136/_xll.EVGTS($B$1,1,_xll.EVPRO($B$1,$H136,"COSBASIS"),$B$3,$B$5,$B$6,$B$7,$B$9,AD$16,AD$17,AD$18),"")))</f>
        <v>0.20263437879702301</v>
      </c>
      <c r="AF136" s="141">
        <f t="shared" si="33"/>
        <v>31677.479999999992</v>
      </c>
      <c r="AG136" s="138">
        <v>10671.39</v>
      </c>
      <c r="AH136" s="458">
        <f>IF(_epmOfflineCondition_,0.212253190841881,IF(AG136=0,"",IFERROR(AG136/_xll.EVGTS($B$1,1,_xll.EVPRO($B$1,$H136,"COSBASIS"),$B$3,$B$5,$B$6,$B$7,$B$9,AG$16,AG$17,AG$18),"")))</f>
        <v>0.21225319084188099</v>
      </c>
      <c r="AI136" s="141">
        <f t="shared" si="34"/>
        <v>44207.389999999992</v>
      </c>
    </row>
    <row r="137" spans="1:35" x14ac:dyDescent="0.25">
      <c r="A137" s="11"/>
      <c r="B137" s="11"/>
      <c r="C137" s="208"/>
      <c r="D137" s="11"/>
      <c r="E137" s="11"/>
      <c r="F137" s="11"/>
      <c r="G137" s="11"/>
      <c r="H137" s="185"/>
      <c r="I137" s="122"/>
      <c r="J137" s="122"/>
      <c r="K137" s="11"/>
      <c r="L137" s="90"/>
      <c r="M137" s="90"/>
      <c r="N137" s="493" t="s">
        <v>762</v>
      </c>
      <c r="O137" s="508">
        <f t="shared" ref="O137:AA137" si="35">IFERROR(O136/O82,"")</f>
        <v>0.20849768098406937</v>
      </c>
      <c r="P137" s="508">
        <f t="shared" si="35"/>
        <v>0.20936260623229461</v>
      </c>
      <c r="Q137" s="508">
        <f t="shared" si="35"/>
        <v>1.1699774967021028E-3</v>
      </c>
      <c r="R137" s="508">
        <f t="shared" si="35"/>
        <v>0.39758998261384232</v>
      </c>
      <c r="S137" s="508">
        <f t="shared" si="35"/>
        <v>0.6468109451512094</v>
      </c>
      <c r="T137" s="508">
        <f t="shared" si="35"/>
        <v>0.2088500296384114</v>
      </c>
      <c r="U137" s="508">
        <f t="shared" si="35"/>
        <v>0.20900038095238097</v>
      </c>
      <c r="V137" s="508">
        <f t="shared" si="35"/>
        <v>0.20694522380475572</v>
      </c>
      <c r="W137" s="508">
        <f t="shared" si="35"/>
        <v>0.20400000000000001</v>
      </c>
      <c r="X137" s="508">
        <f t="shared" si="35"/>
        <v>0.20109075928508049</v>
      </c>
      <c r="Y137" s="508">
        <f t="shared" si="35"/>
        <v>0.20146199872692552</v>
      </c>
      <c r="Z137" s="508">
        <f t="shared" si="35"/>
        <v>0.20400000000000001</v>
      </c>
      <c r="AA137" s="508">
        <f t="shared" si="35"/>
        <v>0.21572955811841432</v>
      </c>
      <c r="AB137" s="458"/>
      <c r="AC137" s="140"/>
      <c r="AD137" s="508">
        <f>IFERROR(AD136/AD82,"")</f>
        <v>0.20263437879702251</v>
      </c>
      <c r="AE137" s="458"/>
      <c r="AF137" s="521">
        <f t="shared" si="33"/>
        <v>1.3095179321391814E-2</v>
      </c>
      <c r="AG137" s="508">
        <f>IFERROR(AG136/AG82,"")</f>
        <v>0.21225319084188102</v>
      </c>
      <c r="AH137" s="458"/>
      <c r="AI137" s="521">
        <f t="shared" si="34"/>
        <v>3.4763672765333042E-3</v>
      </c>
    </row>
    <row r="138" spans="1:35" x14ac:dyDescent="0.25">
      <c r="A138" s="11"/>
      <c r="B138" s="11"/>
      <c r="C138" s="208"/>
      <c r="D138" s="11"/>
      <c r="E138" s="11"/>
      <c r="F138" s="11"/>
      <c r="G138" s="11"/>
      <c r="H138" s="11"/>
      <c r="I138" s="59"/>
      <c r="J138" s="59"/>
      <c r="K138" s="11"/>
      <c r="L138" s="11"/>
      <c r="M138" s="11"/>
      <c r="N138" s="11"/>
      <c r="O138" s="140"/>
      <c r="P138" s="140"/>
      <c r="Q138" s="140"/>
      <c r="R138" s="140"/>
      <c r="S138" s="140"/>
      <c r="T138" s="140"/>
      <c r="U138" s="140"/>
      <c r="V138" s="140"/>
      <c r="W138" s="140"/>
      <c r="X138" s="140"/>
      <c r="Y138" s="140"/>
      <c r="Z138" s="140"/>
      <c r="AA138" s="140"/>
      <c r="AB138" s="140"/>
      <c r="AC138" s="140"/>
      <c r="AD138" s="140"/>
      <c r="AE138" s="140"/>
      <c r="AF138" s="140"/>
      <c r="AG138" s="140"/>
      <c r="AH138" s="140"/>
      <c r="AI138" s="140"/>
    </row>
    <row r="139" spans="1:35" x14ac:dyDescent="0.25">
      <c r="A139" s="11"/>
      <c r="B139" s="11"/>
      <c r="C139" s="208"/>
      <c r="D139" s="11"/>
      <c r="E139" s="11"/>
      <c r="F139" s="11"/>
      <c r="G139" s="11"/>
      <c r="H139" s="185"/>
      <c r="I139" s="122"/>
      <c r="J139" s="122"/>
      <c r="K139" s="11"/>
      <c r="L139" s="11"/>
      <c r="M139" s="11"/>
      <c r="N139" s="104" t="str">
        <f>N82&amp;" - Check"</f>
        <v>Total Food &amp; Beverage Revenue - Check</v>
      </c>
      <c r="O139" s="511">
        <f t="shared" ref="O139:AA139" si="36">O39+O49+O59+O69+O75+O80-O82</f>
        <v>0</v>
      </c>
      <c r="P139" s="511">
        <f t="shared" si="36"/>
        <v>0</v>
      </c>
      <c r="Q139" s="511">
        <f t="shared" si="36"/>
        <v>0</v>
      </c>
      <c r="R139" s="511">
        <f t="shared" si="36"/>
        <v>0</v>
      </c>
      <c r="S139" s="511">
        <f t="shared" si="36"/>
        <v>0</v>
      </c>
      <c r="T139" s="511">
        <f t="shared" si="36"/>
        <v>0</v>
      </c>
      <c r="U139" s="511">
        <f t="shared" si="36"/>
        <v>0</v>
      </c>
      <c r="V139" s="511">
        <f t="shared" si="36"/>
        <v>0</v>
      </c>
      <c r="W139" s="511">
        <f t="shared" si="36"/>
        <v>0</v>
      </c>
      <c r="X139" s="511">
        <f t="shared" si="36"/>
        <v>0</v>
      </c>
      <c r="Y139" s="511">
        <f t="shared" si="36"/>
        <v>0</v>
      </c>
      <c r="Z139" s="511">
        <f t="shared" si="36"/>
        <v>0</v>
      </c>
      <c r="AA139" s="511">
        <f t="shared" si="36"/>
        <v>0</v>
      </c>
      <c r="AB139" s="142"/>
      <c r="AC139" s="140"/>
      <c r="AD139" s="511">
        <f>AD39+AD49+AD59+AD69+AD75+AD80-AD82</f>
        <v>-1.8917489796876907E-10</v>
      </c>
      <c r="AE139" s="142"/>
      <c r="AF139" s="138"/>
      <c r="AG139" s="511">
        <f>AG39+AG49+AG59+AG69+AG75+AG80-AG82</f>
        <v>0</v>
      </c>
      <c r="AH139" s="142"/>
      <c r="AI139" s="138"/>
    </row>
    <row r="140" spans="1:35" x14ac:dyDescent="0.25">
      <c r="A140" s="11"/>
      <c r="B140" s="11"/>
      <c r="C140" s="208"/>
      <c r="D140" s="11"/>
      <c r="E140" s="11"/>
      <c r="F140" s="11"/>
      <c r="G140" s="11"/>
      <c r="H140" s="185"/>
      <c r="I140" s="122"/>
      <c r="J140" s="122"/>
      <c r="K140" s="11"/>
      <c r="L140" s="11"/>
      <c r="M140" s="11"/>
      <c r="N140" s="104" t="str">
        <f>N84&amp;" - Check"</f>
        <v>Total Customers - Check</v>
      </c>
      <c r="O140" s="511">
        <f t="shared" ref="O140:AA140" si="37">O41+O51+O61+O70+O76-O84</f>
        <v>0</v>
      </c>
      <c r="P140" s="511">
        <f t="shared" si="37"/>
        <v>0</v>
      </c>
      <c r="Q140" s="511">
        <f t="shared" si="37"/>
        <v>0</v>
      </c>
      <c r="R140" s="511">
        <f t="shared" si="37"/>
        <v>0</v>
      </c>
      <c r="S140" s="511">
        <f t="shared" si="37"/>
        <v>0</v>
      </c>
      <c r="T140" s="511">
        <f t="shared" si="37"/>
        <v>0</v>
      </c>
      <c r="U140" s="511">
        <f t="shared" si="37"/>
        <v>0</v>
      </c>
      <c r="V140" s="511">
        <f t="shared" si="37"/>
        <v>0</v>
      </c>
      <c r="W140" s="511">
        <f t="shared" si="37"/>
        <v>0</v>
      </c>
      <c r="X140" s="511">
        <f t="shared" si="37"/>
        <v>0</v>
      </c>
      <c r="Y140" s="511">
        <f t="shared" si="37"/>
        <v>0</v>
      </c>
      <c r="Z140" s="511">
        <f t="shared" si="37"/>
        <v>0</v>
      </c>
      <c r="AA140" s="511">
        <f t="shared" si="37"/>
        <v>0</v>
      </c>
      <c r="AB140" s="142"/>
      <c r="AC140" s="140"/>
      <c r="AD140" s="511">
        <f>AD41+AD51+AD61+AD70+AD76-AD84</f>
        <v>0</v>
      </c>
      <c r="AE140" s="142"/>
      <c r="AF140" s="138"/>
      <c r="AG140" s="511">
        <f>AG41+AG51+AG61+AG70+AG76-AG84</f>
        <v>0</v>
      </c>
      <c r="AH140" s="142"/>
      <c r="AI140" s="138"/>
    </row>
    <row r="141" spans="1:35" x14ac:dyDescent="0.25">
      <c r="A141" s="11"/>
      <c r="B141" s="11"/>
      <c r="C141" s="208"/>
      <c r="D141" s="11"/>
      <c r="E141" s="11"/>
      <c r="F141" s="11"/>
      <c r="G141" s="11"/>
      <c r="H141" s="185"/>
      <c r="I141" s="122"/>
      <c r="J141" s="122"/>
      <c r="K141" s="11"/>
      <c r="L141" s="11"/>
      <c r="M141" s="11"/>
      <c r="N141" s="104" t="str">
        <f>N86&amp;" - Check"</f>
        <v>Revenue per Square Foot - Check</v>
      </c>
      <c r="O141" s="510">
        <f t="shared" ref="O141:AA141" si="38">IFERROR(O$82/O84,"")-O86</f>
        <v>52.170868114513709</v>
      </c>
      <c r="P141" s="510">
        <f t="shared" si="38"/>
        <v>51.481484817099727</v>
      </c>
      <c r="Q141" s="510">
        <f t="shared" si="38"/>
        <v>33.48120022586992</v>
      </c>
      <c r="R141" s="510">
        <f t="shared" si="38"/>
        <v>45.384270708867135</v>
      </c>
      <c r="S141" s="510">
        <f t="shared" si="38"/>
        <v>72.895262769709419</v>
      </c>
      <c r="T141" s="510">
        <f t="shared" si="38"/>
        <v>36.805430192304172</v>
      </c>
      <c r="U141" s="510">
        <f t="shared" si="38"/>
        <v>47.32916879143292</v>
      </c>
      <c r="V141" s="510">
        <f t="shared" si="38"/>
        <v>41.234961852985514</v>
      </c>
      <c r="W141" s="510">
        <f t="shared" si="38"/>
        <v>44.69757412398922</v>
      </c>
      <c r="X141" s="510">
        <f t="shared" si="38"/>
        <v>52.67983157445903</v>
      </c>
      <c r="Y141" s="510">
        <f t="shared" si="38"/>
        <v>3.6757824198861542</v>
      </c>
      <c r="Z141" s="510">
        <f t="shared" si="38"/>
        <v>22.137085056294509</v>
      </c>
      <c r="AA141" s="510">
        <f t="shared" si="38"/>
        <v>40.696649815909481</v>
      </c>
      <c r="AB141" s="142"/>
      <c r="AC141" s="140"/>
      <c r="AD141" s="510">
        <f>IFERROR(AD$82/AD84,"")-AD86</f>
        <v>59.992559290908652</v>
      </c>
      <c r="AE141" s="142"/>
      <c r="AF141" s="138"/>
      <c r="AG141" s="510">
        <f>IFERROR(AG$82/AG84,"")-AG86</f>
        <v>63.092960730056774</v>
      </c>
      <c r="AH141" s="142"/>
      <c r="AI141" s="138"/>
    </row>
    <row r="142" spans="1:35" x14ac:dyDescent="0.25">
      <c r="A142" s="11"/>
      <c r="B142" s="11"/>
      <c r="C142" s="208"/>
      <c r="D142" s="11"/>
      <c r="E142" s="11"/>
      <c r="F142" s="11"/>
      <c r="G142" s="11"/>
      <c r="H142" s="185"/>
      <c r="I142" s="122"/>
      <c r="J142" s="122"/>
      <c r="K142" s="11"/>
      <c r="L142" s="11"/>
      <c r="M142" s="11"/>
      <c r="N142" s="104" t="s">
        <v>768</v>
      </c>
      <c r="O142" s="511">
        <f t="shared" ref="O142:AA142" si="39">(O126+O128)-O136</f>
        <v>0</v>
      </c>
      <c r="P142" s="511">
        <f t="shared" si="39"/>
        <v>0</v>
      </c>
      <c r="Q142" s="511">
        <f t="shared" si="39"/>
        <v>0</v>
      </c>
      <c r="R142" s="511">
        <f t="shared" si="39"/>
        <v>0</v>
      </c>
      <c r="S142" s="511">
        <f t="shared" si="39"/>
        <v>0</v>
      </c>
      <c r="T142" s="511">
        <f t="shared" si="39"/>
        <v>0</v>
      </c>
      <c r="U142" s="511">
        <f t="shared" si="39"/>
        <v>0</v>
      </c>
      <c r="V142" s="511">
        <f t="shared" si="39"/>
        <v>0</v>
      </c>
      <c r="W142" s="511">
        <f t="shared" si="39"/>
        <v>0</v>
      </c>
      <c r="X142" s="511">
        <f t="shared" si="39"/>
        <v>0</v>
      </c>
      <c r="Y142" s="511">
        <f t="shared" si="39"/>
        <v>0</v>
      </c>
      <c r="Z142" s="511">
        <f t="shared" si="39"/>
        <v>0</v>
      </c>
      <c r="AA142" s="511">
        <f t="shared" si="39"/>
        <v>0</v>
      </c>
      <c r="AB142" s="142"/>
      <c r="AC142" s="140"/>
      <c r="AD142" s="511">
        <f>(AD126+AD128)-AD136</f>
        <v>0</v>
      </c>
      <c r="AE142" s="142"/>
      <c r="AF142" s="138"/>
      <c r="AG142" s="511">
        <f>(AG126+AG128)-AG136</f>
        <v>0</v>
      </c>
      <c r="AH142" s="142"/>
      <c r="AI142" s="138"/>
    </row>
    <row r="143" spans="1:35" x14ac:dyDescent="0.25">
      <c r="A143" s="11"/>
      <c r="B143" s="11"/>
      <c r="C143" s="208"/>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25">
      <c r="A144" s="11"/>
      <c r="B144" s="11"/>
      <c r="C144" s="208"/>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25">
      <c r="A145" s="11"/>
      <c r="B145" s="11"/>
      <c r="C145" s="208"/>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25">
      <c r="A146" s="11"/>
      <c r="B146" s="11"/>
      <c r="C146" s="208"/>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2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267"/>
      <c r="J165" s="11"/>
      <c r="K165" s="267"/>
      <c r="L165" s="267"/>
      <c r="M165" s="267"/>
      <c r="N165" s="11"/>
      <c r="O165" s="267"/>
      <c r="P165" s="267"/>
      <c r="Q165" s="267"/>
      <c r="R165" s="267"/>
      <c r="S165" s="267"/>
      <c r="T165" s="267"/>
      <c r="U165" s="267"/>
      <c r="V165" s="267"/>
      <c r="W165" s="267"/>
      <c r="X165" s="267"/>
      <c r="Y165" s="267"/>
      <c r="Z165" s="267"/>
      <c r="AA165" s="267"/>
      <c r="AB165" s="11"/>
      <c r="AC165" s="11"/>
      <c r="AD165" s="267"/>
      <c r="AE165" s="11"/>
      <c r="AF165" s="267"/>
      <c r="AG165" s="11"/>
      <c r="AH165" s="267"/>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267"/>
      <c r="J169" s="11"/>
      <c r="K169" s="267"/>
      <c r="L169" s="267"/>
      <c r="M169" s="267"/>
      <c r="N169" s="11"/>
      <c r="O169" s="267"/>
      <c r="P169" s="267"/>
      <c r="Q169" s="267"/>
      <c r="R169" s="267"/>
      <c r="S169" s="267"/>
      <c r="T169" s="267"/>
      <c r="U169" s="267"/>
      <c r="V169" s="267"/>
      <c r="W169" s="267"/>
      <c r="X169" s="267"/>
      <c r="Y169" s="267"/>
      <c r="Z169" s="267"/>
      <c r="AA169" s="267"/>
      <c r="AB169" s="11"/>
      <c r="AC169" s="11"/>
      <c r="AD169" s="267"/>
      <c r="AE169" s="11"/>
      <c r="AF169" s="267"/>
      <c r="AG169" s="11"/>
      <c r="AH169" s="267"/>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267"/>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sheetData>
  <sheetProtection algorithmName="SHA-512" hashValue="A4K/tn4bv+Ln7+BbKiu71++369rG2hZbdRfVIuUCVurwdChQr9cIuKG+BAzn3DsKQkorTlT45ECj/fG4/vZjYg==" saltValue="F4x1cjFpA1G7WqmDGBbV1Q==" spinCount="100000" sheet="1" scenarios="1"/>
  <mergeCells count="2">
    <mergeCell ref="AD31:AE31"/>
    <mergeCell ref="AG31:AH31"/>
  </mergeCells>
  <conditionalFormatting sqref="AD43 AF43:AG43 O43:AA43">
    <cfRule type="expression" dxfId="35" priority="10">
      <formula>ROUND(O42,2)&lt;&gt;ROUND(O43,2)</formula>
    </cfRule>
  </conditionalFormatting>
  <conditionalFormatting sqref="O53:AA53 AD53 AF53:AG53">
    <cfRule type="expression" dxfId="34" priority="9">
      <formula>ROUND(O52,2)&lt;&gt;ROUND(O53,2)</formula>
    </cfRule>
  </conditionalFormatting>
  <conditionalFormatting sqref="O63:AA63 AD63 AF63:AG63">
    <cfRule type="expression" dxfId="33" priority="8">
      <formula>ROUND(O62,2)&lt;&gt;ROUND(O63,2)</formula>
    </cfRule>
  </conditionalFormatting>
  <conditionalFormatting sqref="O72:AA72 AD72 AF72:AG72">
    <cfRule type="expression" dxfId="32" priority="7">
      <formula>ROUND(O71,2)&lt;&gt;ROUND(O72,2)</formula>
    </cfRule>
  </conditionalFormatting>
  <conditionalFormatting sqref="AD78 AF78:AG78 O78:AA78">
    <cfRule type="expression" dxfId="31" priority="6">
      <formula>ROUND(O77,2)&lt;&gt;ROUND(O78,2)</formula>
    </cfRule>
  </conditionalFormatting>
  <conditionalFormatting sqref="AI43">
    <cfRule type="expression" dxfId="30" priority="5">
      <formula>ROUND(AI42,2)&lt;&gt;ROUND(AI43,2)</formula>
    </cfRule>
  </conditionalFormatting>
  <conditionalFormatting sqref="AI53">
    <cfRule type="expression" dxfId="29" priority="4">
      <formula>ROUND(AI52,2)&lt;&gt;ROUND(AI53,2)</formula>
    </cfRule>
  </conditionalFormatting>
  <conditionalFormatting sqref="AI63">
    <cfRule type="expression" dxfId="28" priority="3">
      <formula>ROUND(AI62,2)&lt;&gt;ROUND(AI63,2)</formula>
    </cfRule>
  </conditionalFormatting>
  <conditionalFormatting sqref="AI72">
    <cfRule type="expression" dxfId="27" priority="2">
      <formula>ROUND(AI71,2)&lt;&gt;ROUND(AI72,2)</formula>
    </cfRule>
  </conditionalFormatting>
  <conditionalFormatting sqref="AI78">
    <cfRule type="expression" dxfId="26" priority="1">
      <formula>ROUND(AI77,2)&lt;&gt;ROUND(AI78,2)</formula>
    </cfRule>
  </conditionalFormatting>
  <conditionalFormatting sqref="N43 N53 N63 N72 N78">
    <cfRule type="expression" dxfId="25" priority="11">
      <formula>$G44&lt;&gt;0</formula>
    </cfRule>
  </conditionalFormatting>
  <conditionalFormatting sqref="N79">
    <cfRule type="expression" dxfId="24" priority="12">
      <formula>#REF!&lt;&gt;0</formula>
    </cfRule>
  </conditionalFormatting>
  <dataValidations count="2">
    <dataValidation type="list" allowBlank="1" sqref="B28" xr:uid="{00000000-0002-0000-1800-000000000000}">
      <formula1>"ACCOUNT,BUSINESSUNIT,CATEGORY,DATASRC,DEPARTMENT,INTCO,MEASURES,RPTCURRENCY,TIME"</formula1>
    </dataValidation>
    <dataValidation type="list" allowBlank="1" sqref="B29" xr:uid="{00000000-0002-0000-1800-000001000000}">
      <formula1>"SELF,ALL,BAS,DEP,BASMEMBERS,MEMBERS,NOEXPAND,GDEP"</formula1>
    </dataValidation>
  </dataValidations>
  <pageMargins left="0.25" right="0.25" top="0.5" bottom="0.5" header="0.3" footer="0.3"/>
  <pageSetup scale="50" fitToHeight="0" orientation="landscape" r:id="rId1"/>
  <rowBreaks count="1" manualBreakCount="1">
    <brk id="9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5153"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5153" r:id="rId7" name="FPMExcelClientSheetOptionstb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805</v>
      </c>
      <c r="C6" s="11" t="str">
        <f>IF(_epmOfflineCondition_,"Banquet CS Group",_xll.EVDES(B6,$B$1))</f>
        <v>Banquet CS Group</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IF(_epmOfflineCondition_,"'BCC_Group'!$B$2:$B$10",_xll.EVRNG($B$2:$B$10))</f>
        <v>'BCC_Group'!$B$2:$B$10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IF(_epmOfflineCondition_,"'BCC_Group'!$O$16:$AN$18",_xll.EVRNG($O$16:$AN$18))</f>
        <v>'BCC_Group'!$O$16:$AN$18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IF(_epmOfflineCondition_,"'BCC_Group'!$H$35:$H$56",_xll.EVRNG(H35:H56))</f>
        <v>'BCC_Group'!$H$35:$H$56</v>
      </c>
      <c r="C19" s="11"/>
      <c r="D19" s="11"/>
      <c r="E19" s="11"/>
      <c r="F19" s="11"/>
      <c r="G19" s="67" t="str">
        <f>$B$6</f>
        <v>D2248</v>
      </c>
      <c r="H19" s="67">
        <v>400000</v>
      </c>
      <c r="I19" s="68"/>
      <c r="J19" s="68"/>
      <c r="K19" s="67"/>
      <c r="L19" s="67"/>
      <c r="M19" s="67"/>
      <c r="N19" s="67" t="str">
        <f>IF(_epmOfflineCondition_,"Total Revenue",_xll.EVDES(H19))</f>
        <v>Total Revenue</v>
      </c>
      <c r="O19" s="69">
        <f>IF(_epmOfflineCondition_,25424.94,_xll.EVGTS($B$1,1,$B$3,$B$5,$B$7,$B$9,O$16,O$17,O$18,$G$19,$H$19))</f>
        <v>25424.94</v>
      </c>
      <c r="P19" s="69">
        <f>IF(_epmOfflineCondition_,16956.62,_xll.EVGTS($B$1,1,$B$3,$B$5,$B$7,$B$9,P$16,P$17,P$18,$G$19,$H$19))</f>
        <v>16956.62</v>
      </c>
      <c r="Q19" s="69">
        <f>IF(_epmOfflineCondition_,76201.26,_xll.EVGTS($B$1,1,$B$3,$B$5,$B$7,$B$9,Q$16,Q$17,Q$18,$G$19,$H$19))</f>
        <v>76201.259999999995</v>
      </c>
      <c r="R19" s="69">
        <f>IF(_epmOfflineCondition_,52543.66,_xll.EVGTS($B$1,1,$B$3,$B$5,$B$7,$B$9,R$16,R$17,R$18,$G$19,$H$19))</f>
        <v>52543.66</v>
      </c>
      <c r="S19" s="69">
        <f>IF(_epmOfflineCondition_,36136.06,_xll.EVGTS($B$1,1,$B$3,$B$5,$B$7,$B$9,S$16,S$17,S$18,$G$19,$H$19))</f>
        <v>36136.06</v>
      </c>
      <c r="T19" s="69">
        <f>IF(_epmOfflineCondition_,30999.54,_xll.EVGTS($B$1,1,$B$3,$B$5,$B$7,$B$9,T$16,T$17,T$18,$G$19,$H$19))</f>
        <v>30999.54</v>
      </c>
      <c r="U19" s="69">
        <f>IF(_epmOfflineCondition_,28347.5,_xll.EVGTS($B$1,1,$B$3,$B$5,$B$7,$B$9,U$16,U$17,U$18,$G$19,$H$19))</f>
        <v>28347.5</v>
      </c>
      <c r="V19" s="69">
        <f>IF(_epmOfflineCondition_,13543.61,_xll.EVGTS($B$1,1,$B$3,$B$5,$B$7,$B$9,V$16,V$17,V$18,$G$19,$H$19))</f>
        <v>13543.61</v>
      </c>
      <c r="W19" s="69">
        <f>IF(_epmOfflineCondition_,3679.2,_xll.EVGTS($B$1,1,$B$3,$B$5,$B$7,$B$9,W$16,W$17,W$18,$G$19,$H$19))</f>
        <v>3679.2</v>
      </c>
      <c r="X19" s="69">
        <f>IF(_epmOfflineCondition_,24694.16,_xll.EVGTS($B$1,1,$B$3,$B$5,$B$7,$B$9,X$16,X$17,X$18,$G$19,$H$19))</f>
        <v>24694.16</v>
      </c>
      <c r="Y19" s="69">
        <f>IF(_epmOfflineCondition_,64640.14,_xll.EVGTS($B$1,1,$B$3,$B$5,$B$7,$B$9,Y$16,Y$17,Y$18,$G$19,$H$19))</f>
        <v>64640.14</v>
      </c>
      <c r="Z19" s="69">
        <f>IF(_epmOfflineCondition_,21749,_xll.EVGTS($B$1,1,$B$3,$B$5,$B$7,$B$9,Z$16,Z$17,Z$18,$G$19,$H$19))</f>
        <v>21749</v>
      </c>
      <c r="AA19" s="69">
        <f>SUM(O19:Z19)</f>
        <v>394915.68999999994</v>
      </c>
      <c r="AB19" s="67"/>
      <c r="AC19" s="67"/>
      <c r="AD19" s="69">
        <f>IF(_epmOfflineCondition_,109793.048404902,_xll.EVGTS($B$1,1,$B$3,$B$5,$B$7,$B$9,AD$16,AD$17,AD$18,$G$19,$H$19))</f>
        <v>109793.048404902</v>
      </c>
      <c r="AE19" s="67"/>
      <c r="AF19" s="67"/>
      <c r="AG19" s="69">
        <f>IF(_epmOfflineCondition_,75227.12,_xll.EVGTS($B$1,1,$B$3,$B$5,$B$7,$B$9,AG$16,AG$17,AG$18,$G$19,$H$19))</f>
        <v>75227.12</v>
      </c>
      <c r="AH19" s="67"/>
      <c r="AI19" s="67"/>
      <c r="AJ19" s="11"/>
      <c r="AK19" s="11"/>
      <c r="AL19" s="11"/>
      <c r="AM19" s="11"/>
      <c r="AN19" s="11"/>
      <c r="AO19" s="11"/>
    </row>
    <row r="20" spans="1:41" hidden="1" outlineLevel="1" x14ac:dyDescent="0.25">
      <c r="A20" s="65" t="s">
        <v>5</v>
      </c>
      <c r="B20" s="66"/>
      <c r="C20" s="11"/>
      <c r="D20" s="11"/>
      <c r="E20" s="11"/>
      <c r="F20" s="11"/>
      <c r="G20" s="67" t="str">
        <f>$B$6</f>
        <v>D2248</v>
      </c>
      <c r="H20" s="67">
        <v>946000</v>
      </c>
      <c r="I20" s="68"/>
      <c r="J20" s="68"/>
      <c r="K20" s="67"/>
      <c r="L20" s="68"/>
      <c r="M20" s="68"/>
      <c r="N20" s="67" t="str">
        <f>IF(_epmOfflineCondition_,"Total Customers",_xll.EVDES(H20))</f>
        <v>Total Customers</v>
      </c>
      <c r="O20" s="69">
        <f>IF(_epmOfflineCondition_,227,_xll.EVGTS($B$1,1,$B$3,$B$5,$B$7,$B$9,O$16,O$17,O$18,$G$20,$H$20))</f>
        <v>227</v>
      </c>
      <c r="P20" s="69">
        <f>IF(_epmOfflineCondition_,123,_xll.EVGTS($B$1,1,$B$3,$B$5,$B$7,$B$9,P$16,P$17,P$18,$G$20,$H$20))</f>
        <v>123</v>
      </c>
      <c r="Q20" s="69">
        <f>IF(_epmOfflineCondition_,625,_xll.EVGTS($B$1,1,$B$3,$B$5,$B$7,$B$9,Q$16,Q$17,Q$18,$G$20,$H$20))</f>
        <v>625</v>
      </c>
      <c r="R20" s="69">
        <f>IF(_epmOfflineCondition_,388,_xll.EVGTS($B$1,1,$B$3,$B$5,$B$7,$B$9,R$16,R$17,R$18,$G$20,$H$20))</f>
        <v>388</v>
      </c>
      <c r="S20" s="69">
        <f>IF(_epmOfflineCondition_,201,_xll.EVGTS($B$1,1,$B$3,$B$5,$B$7,$B$9,S$16,S$17,S$18,$G$20,$H$20))</f>
        <v>201</v>
      </c>
      <c r="T20" s="69">
        <f>IF(_epmOfflineCondition_,347,_xll.EVGTS($B$1,1,$B$3,$B$5,$B$7,$B$9,T$16,T$17,T$18,$G$20,$H$20))</f>
        <v>347</v>
      </c>
      <c r="U20" s="69">
        <f>IF(_epmOfflineCondition_,222,_xll.EVGTS($B$1,1,$B$3,$B$5,$B$7,$B$9,U$16,U$17,U$18,$G$20,$H$20))</f>
        <v>222</v>
      </c>
      <c r="V20" s="69">
        <f>IF(_epmOfflineCondition_,177,_xll.EVGTS($B$1,1,$B$3,$B$5,$B$7,$B$9,V$16,V$17,V$18,$G$20,$H$20))</f>
        <v>177</v>
      </c>
      <c r="W20" s="69">
        <f>IF(_epmOfflineCondition_,50,_xll.EVGTS($B$1,1,$B$3,$B$5,$B$7,$B$9,W$16,W$17,W$18,$G$20,$H$20))</f>
        <v>50</v>
      </c>
      <c r="X20" s="69">
        <f>IF(_epmOfflineCondition_,236,_xll.EVGTS($B$1,1,$B$3,$B$5,$B$7,$B$9,X$16,X$17,X$18,$G$20,$H$20))</f>
        <v>236</v>
      </c>
      <c r="Y20" s="69">
        <f>IF(_epmOfflineCondition_,1008,_xll.EVGTS($B$1,1,$B$3,$B$5,$B$7,$B$9,Y$16,Y$17,Y$18,$G$20,$H$20))</f>
        <v>1008</v>
      </c>
      <c r="Z20" s="69">
        <f>IF(_epmOfflineCondition_,337,_xll.EVGTS($B$1,1,$B$3,$B$5,$B$7,$B$9,Z$16,Z$17,Z$18,$G$20,$H$20))</f>
        <v>337</v>
      </c>
      <c r="AA20" s="69">
        <f>SUM(O20:Z20)</f>
        <v>3941</v>
      </c>
      <c r="AB20" s="67"/>
      <c r="AC20" s="67"/>
      <c r="AD20" s="69">
        <f>IF(_epmOfflineCondition_,1269.00234854,_xll.EVGTS($B$1,1,$B$3,$B$5,$B$7,$B$9,AD$16,AD$17,AD$18,$G$20,$H$20))</f>
        <v>1269.00234854</v>
      </c>
      <c r="AE20" s="67"/>
      <c r="AF20" s="67"/>
      <c r="AG20" s="69">
        <f>IF(_epmOfflineCondition_,663,_xll.EVGTS($B$1,1,$B$3,$B$5,$B$7,$B$9,AG$16,AG$17,AG$18,$G$20,$H$20))</f>
        <v>663</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IF(_epmOfflineCondition_,"'BCC_Group'!$A$36:$F$44",_xll.EVRNG(A36:F44))</f>
        <v>'BCC_Group'!$A$36:$F$44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IF(_epmOfflineCondition_,"'BCC_Group'!$A$125:$B$146",_xll.EVRNG($A$125:$B$146))</f>
        <v>'BCC_Group'!$A$125:$B$146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IF(_epmOfflineCondition_,"Banquet CS Group Department",IF(_xll.EVDES(B6,$B$1)="#NODATA","",_xll.EVDES(B6,$B$1)&amp;" Department"))</f>
        <v>Banquet CS Group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D2148=Y,REV_F,BEV,DEP(REV_BEV) AND D2148=Y,REV_BEV,ALLOW_FB,REV_FB,OTHR_REV,DEP(REV_OTHR) AND D2148=Y,REV_OTHR,400000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11"/>
      <c r="J31" s="11"/>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6"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v>6627</v>
      </c>
      <c r="P35" s="564">
        <v>818</v>
      </c>
      <c r="Q35" s="564">
        <v>12524</v>
      </c>
      <c r="R35" s="564">
        <v>2056</v>
      </c>
      <c r="S35" s="564"/>
      <c r="T35" s="564"/>
      <c r="U35" s="564"/>
      <c r="V35" s="564"/>
      <c r="W35" s="564"/>
      <c r="X35" s="564"/>
      <c r="Y35" s="564"/>
      <c r="Z35" s="564"/>
      <c r="AA35" s="210">
        <f t="shared" ref="AA35:AA56" si="1">IF($I35="B1","",SUM(O35:Z35))</f>
        <v>22025</v>
      </c>
      <c r="AB35" s="565">
        <f t="shared" ref="AB35:AB56" si="2">IF(AA35=0,"",IFERROR(AA35/AA$19,""))</f>
        <v>5.5771397687440584E-2</v>
      </c>
      <c r="AC35" s="459"/>
      <c r="AD35" s="564">
        <v>17900.400000000001</v>
      </c>
      <c r="AE35" s="565">
        <f t="shared" ref="AE35:AE56" si="3">IF(AD35=0,"",IFERROR(AD35/AD$19,""))</f>
        <v>0.16303764455091668</v>
      </c>
      <c r="AF35" s="566">
        <f t="shared" ref="AF35:AF56" si="4">IF(AND($AA35="",AD35=""),"",$AA35-AD35)</f>
        <v>4124.5999999999985</v>
      </c>
      <c r="AG35" s="564">
        <v>7916</v>
      </c>
      <c r="AH35" s="565">
        <f t="shared" ref="AH35:AH56" si="5">IF(AG35=0,"",IFERROR(AG35/AG$19,""))</f>
        <v>0.10522800819704384</v>
      </c>
      <c r="AI35" s="567">
        <f t="shared" ref="AI35:AI56" si="6">IF(AND($AA35="",AG35=""),"",$AA35-AG35)</f>
        <v>14109</v>
      </c>
      <c r="AJ35" s="462">
        <f t="shared" ref="AJ35:AJ56" si="7">IFERROR(AA35/AA$20,0)</f>
        <v>5.5886830753615833</v>
      </c>
      <c r="AK35" s="463">
        <f t="shared" ref="AK35:AK56" si="8">IFERROR(AD35/AD$20,0)</f>
        <v>14.10588405970611</v>
      </c>
      <c r="AL35" s="464">
        <f t="shared" ref="AL35:AL56" si="9">IFERROR(AG35/AG$20,0)</f>
        <v>11.939668174962293</v>
      </c>
      <c r="AM35" s="465" t="str">
        <f t="shared" ref="AM35:AM56" si="10">+IFERROR(ROUND(($AB35-AE35)*100,2)&amp;" pts.",0)</f>
        <v>-10.73 pts.</v>
      </c>
      <c r="AN35" s="466" t="str">
        <f t="shared" ref="AN35:AN56" si="11">+IFERROR(ROUND(($AB35-AH35)*100,2)&amp;" pts.",0)</f>
        <v>-4.95 pts.</v>
      </c>
      <c r="AO35" s="11"/>
    </row>
    <row r="36" spans="1:41" x14ac:dyDescent="0.2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v>4920</v>
      </c>
      <c r="P36" s="564">
        <v>7654</v>
      </c>
      <c r="Q36" s="564">
        <v>36333</v>
      </c>
      <c r="R36" s="564">
        <v>24977</v>
      </c>
      <c r="S36" s="564">
        <v>17029.16</v>
      </c>
      <c r="T36" s="564">
        <v>18301</v>
      </c>
      <c r="U36" s="564">
        <v>13125</v>
      </c>
      <c r="V36" s="564">
        <v>7803.77</v>
      </c>
      <c r="W36" s="564">
        <v>2340</v>
      </c>
      <c r="X36" s="564">
        <v>7178</v>
      </c>
      <c r="Y36" s="564">
        <v>15223</v>
      </c>
      <c r="Z36" s="564">
        <v>11200</v>
      </c>
      <c r="AA36" s="210">
        <f t="shared" si="1"/>
        <v>166083.93</v>
      </c>
      <c r="AB36" s="565">
        <f t="shared" si="2"/>
        <v>0.42055541019400877</v>
      </c>
      <c r="AC36" s="459"/>
      <c r="AD36" s="564">
        <v>24435.6500011588</v>
      </c>
      <c r="AE36" s="565">
        <f t="shared" si="3"/>
        <v>0.22256099412636224</v>
      </c>
      <c r="AF36" s="566">
        <f t="shared" si="4"/>
        <v>141648.2799988412</v>
      </c>
      <c r="AG36" s="564">
        <v>8085</v>
      </c>
      <c r="AH36" s="565">
        <f t="shared" si="5"/>
        <v>0.10747453843773364</v>
      </c>
      <c r="AI36" s="567">
        <f t="shared" si="6"/>
        <v>157998.93</v>
      </c>
      <c r="AJ36" s="462">
        <f t="shared" si="7"/>
        <v>42.142585638162899</v>
      </c>
      <c r="AK36" s="463">
        <f t="shared" si="8"/>
        <v>19.255795727464385</v>
      </c>
      <c r="AL36" s="464">
        <f t="shared" si="9"/>
        <v>12.194570135746606</v>
      </c>
      <c r="AM36" s="465" t="str">
        <f t="shared" si="10"/>
        <v>19.8 pts.</v>
      </c>
      <c r="AN36" s="466" t="str">
        <f t="shared" si="11"/>
        <v>31.31 pts.</v>
      </c>
      <c r="AO36" s="11"/>
    </row>
    <row r="37" spans="1:41" x14ac:dyDescent="0.2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563">
        <v>2250</v>
      </c>
      <c r="P37" s="564">
        <v>99</v>
      </c>
      <c r="Q37" s="564"/>
      <c r="R37" s="564"/>
      <c r="S37" s="564"/>
      <c r="T37" s="564"/>
      <c r="U37" s="564"/>
      <c r="V37" s="564"/>
      <c r="W37" s="564"/>
      <c r="X37" s="564">
        <v>3500</v>
      </c>
      <c r="Y37" s="564">
        <v>10888</v>
      </c>
      <c r="Z37" s="564">
        <v>-500</v>
      </c>
      <c r="AA37" s="210">
        <f t="shared" si="1"/>
        <v>16237</v>
      </c>
      <c r="AB37" s="565">
        <f t="shared" si="2"/>
        <v>4.1115104846809206E-2</v>
      </c>
      <c r="AC37" s="459"/>
      <c r="AD37" s="564">
        <v>19742.455748079399</v>
      </c>
      <c r="AE37" s="565">
        <f t="shared" si="3"/>
        <v>0.17981517076811526</v>
      </c>
      <c r="AF37" s="566">
        <f t="shared" si="4"/>
        <v>-3505.4557480793992</v>
      </c>
      <c r="AG37" s="564">
        <v>24985.7</v>
      </c>
      <c r="AH37" s="565">
        <f t="shared" si="5"/>
        <v>0.33213686766155615</v>
      </c>
      <c r="AI37" s="567">
        <f t="shared" si="6"/>
        <v>-8748.7000000000007</v>
      </c>
      <c r="AJ37" s="462">
        <f t="shared" si="7"/>
        <v>4.1200202994163915</v>
      </c>
      <c r="AK37" s="463">
        <f t="shared" si="8"/>
        <v>15.557461947011598</v>
      </c>
      <c r="AL37" s="464">
        <f t="shared" si="9"/>
        <v>37.685822021116138</v>
      </c>
      <c r="AM37" s="465" t="str">
        <f t="shared" si="10"/>
        <v>-13.87 pts.</v>
      </c>
      <c r="AN37" s="466" t="str">
        <f t="shared" si="11"/>
        <v>-29.1 pts.</v>
      </c>
      <c r="AO37" s="11"/>
    </row>
    <row r="38" spans="1:41" x14ac:dyDescent="0.25">
      <c r="A38" s="11" t="s">
        <v>105</v>
      </c>
      <c r="B38" s="11"/>
      <c r="C38" s="104" t="s">
        <v>101</v>
      </c>
      <c r="D38" s="11" t="s">
        <v>106</v>
      </c>
      <c r="E38" s="11"/>
      <c r="F38" s="11" t="s">
        <v>98</v>
      </c>
      <c r="G38" s="11"/>
      <c r="H38" s="88" t="s">
        <v>789</v>
      </c>
      <c r="I38" s="122" t="str">
        <f>IF(_epmOfflineCondition_,"N",_xll.EVPRO($B$1,$H38,"STYLE"))</f>
        <v>N</v>
      </c>
      <c r="J38" s="122" t="str">
        <f>IF(_epmOfflineCondition_,"N",_xll.EVPRO($B$1,$H38,"CALC"))</f>
        <v>N</v>
      </c>
      <c r="K38" s="179" t="str">
        <f t="shared" si="0"/>
        <v/>
      </c>
      <c r="L38" s="90" t="str">
        <f>IF(_epmOfflineCondition_,"470110",_xll.EVPRO($B$1,H38,"JDEID"))</f>
        <v>470110</v>
      </c>
      <c r="M38" s="90" t="str">
        <f>IF(_epmOfflineCondition_,"201016",IF(AND(I38="N",J38="N"),_xll.EVPRO($B$1,H38,"PSFTID"),""))</f>
        <v>201016</v>
      </c>
      <c r="N38" s="90" t="str">
        <f>IF(_epmOfflineCondition_,"Break Food",IF(_xll.EVDES(H38,$B$1)="#NODATA","",_xll.EVDES(H38,$B$1)))</f>
        <v>Break Food</v>
      </c>
      <c r="O38" s="563"/>
      <c r="P38" s="564"/>
      <c r="Q38" s="564"/>
      <c r="R38" s="564"/>
      <c r="S38" s="564"/>
      <c r="T38" s="564"/>
      <c r="U38" s="564"/>
      <c r="V38" s="564"/>
      <c r="W38" s="564"/>
      <c r="X38" s="564"/>
      <c r="Y38" s="564"/>
      <c r="Z38" s="564"/>
      <c r="AA38" s="210">
        <f t="shared" si="1"/>
        <v>0</v>
      </c>
      <c r="AB38" s="565" t="str">
        <f t="shared" si="2"/>
        <v/>
      </c>
      <c r="AC38" s="459"/>
      <c r="AD38" s="564"/>
      <c r="AE38" s="565" t="str">
        <f t="shared" si="3"/>
        <v/>
      </c>
      <c r="AF38" s="566">
        <f t="shared" si="4"/>
        <v>0</v>
      </c>
      <c r="AG38" s="564"/>
      <c r="AH38" s="565" t="str">
        <f t="shared" si="5"/>
        <v/>
      </c>
      <c r="AI38" s="567">
        <f t="shared" si="6"/>
        <v>0</v>
      </c>
      <c r="AJ38" s="462">
        <f t="shared" si="7"/>
        <v>0</v>
      </c>
      <c r="AK38" s="463">
        <f t="shared" si="8"/>
        <v>0</v>
      </c>
      <c r="AL38" s="464">
        <f t="shared" si="9"/>
        <v>0</v>
      </c>
      <c r="AM38" s="465">
        <f t="shared" si="10"/>
        <v>0</v>
      </c>
      <c r="AN38" s="466">
        <f t="shared" si="11"/>
        <v>0</v>
      </c>
      <c r="AO38" s="11"/>
    </row>
    <row r="39" spans="1:41" x14ac:dyDescent="0.25">
      <c r="A39" s="11" t="s">
        <v>104</v>
      </c>
      <c r="B39" s="11"/>
      <c r="C39" s="104" t="s">
        <v>101</v>
      </c>
      <c r="D39" s="11" t="s">
        <v>106</v>
      </c>
      <c r="E39" s="11"/>
      <c r="F39" s="11" t="s">
        <v>98</v>
      </c>
      <c r="G39" s="11"/>
      <c r="H39" s="88" t="s">
        <v>790</v>
      </c>
      <c r="I39" s="122" t="str">
        <f>IF(_epmOfflineCondition_,"N",_xll.EVPRO($B$1,$H39,"STYLE"))</f>
        <v>N</v>
      </c>
      <c r="J39" s="122" t="str">
        <f>IF(_epmOfflineCondition_,"N",_xll.EVPRO($B$1,$H39,"CALC"))</f>
        <v>N</v>
      </c>
      <c r="K39" s="179" t="str">
        <f t="shared" si="0"/>
        <v/>
      </c>
      <c r="L39" s="90" t="str">
        <f>IF(_epmOfflineCondition_,"471110",_xll.EVPRO($B$1,H39,"JDEID"))</f>
        <v>471110</v>
      </c>
      <c r="M39" s="90" t="str">
        <f>IF(_epmOfflineCondition_,"201017",IF(AND(I39="N",J39="N"),_xll.EVPRO($B$1,H39,"PSFTID"),""))</f>
        <v>201017</v>
      </c>
      <c r="N39" s="90" t="str">
        <f>IF(_epmOfflineCondition_,"Reception Food",IF(_xll.EVDES(H39,$B$1)="#NODATA","",_xll.EVDES(H39,$B$1)))</f>
        <v>Reception Food</v>
      </c>
      <c r="O39" s="467"/>
      <c r="P39" s="216"/>
      <c r="Q39" s="216"/>
      <c r="R39" s="216"/>
      <c r="S39" s="216"/>
      <c r="T39" s="216"/>
      <c r="U39" s="216"/>
      <c r="V39" s="216"/>
      <c r="W39" s="216"/>
      <c r="X39" s="216"/>
      <c r="Y39" s="216">
        <v>1535</v>
      </c>
      <c r="Z39" s="216"/>
      <c r="AA39" s="216">
        <f t="shared" si="1"/>
        <v>1535</v>
      </c>
      <c r="AB39" s="468">
        <f t="shared" si="2"/>
        <v>3.8869055823028968E-3</v>
      </c>
      <c r="AC39" s="459"/>
      <c r="AD39" s="216"/>
      <c r="AE39" s="468" t="str">
        <f t="shared" si="3"/>
        <v/>
      </c>
      <c r="AF39" s="469">
        <f t="shared" si="4"/>
        <v>1535</v>
      </c>
      <c r="AG39" s="216"/>
      <c r="AH39" s="468" t="str">
        <f t="shared" si="5"/>
        <v/>
      </c>
      <c r="AI39" s="470">
        <f t="shared" si="6"/>
        <v>1535</v>
      </c>
      <c r="AJ39" s="471">
        <f t="shared" si="7"/>
        <v>0.38949505201725448</v>
      </c>
      <c r="AK39" s="472">
        <f t="shared" si="8"/>
        <v>0</v>
      </c>
      <c r="AL39" s="473">
        <f t="shared" si="9"/>
        <v>0</v>
      </c>
      <c r="AM39" s="474">
        <f t="shared" si="10"/>
        <v>0</v>
      </c>
      <c r="AN39" s="475">
        <f t="shared" si="11"/>
        <v>0</v>
      </c>
      <c r="AO39" s="11"/>
    </row>
    <row r="40" spans="1:41" x14ac:dyDescent="0.2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76">
        <v>13797</v>
      </c>
      <c r="P40" s="223">
        <v>8571</v>
      </c>
      <c r="Q40" s="223">
        <v>48857</v>
      </c>
      <c r="R40" s="223">
        <v>27033</v>
      </c>
      <c r="S40" s="223">
        <v>17029.16</v>
      </c>
      <c r="T40" s="223">
        <v>18301</v>
      </c>
      <c r="U40" s="223">
        <v>13125</v>
      </c>
      <c r="V40" s="223">
        <v>7803.77</v>
      </c>
      <c r="W40" s="223">
        <v>2340</v>
      </c>
      <c r="X40" s="223">
        <v>10678</v>
      </c>
      <c r="Y40" s="223">
        <v>27646</v>
      </c>
      <c r="Z40" s="223">
        <v>10700</v>
      </c>
      <c r="AA40" s="223">
        <f t="shared" si="1"/>
        <v>205880.93</v>
      </c>
      <c r="AB40" s="224">
        <f t="shared" si="2"/>
        <v>0.52132881831056144</v>
      </c>
      <c r="AC40" s="225"/>
      <c r="AD40" s="223">
        <v>62078.505749238197</v>
      </c>
      <c r="AE40" s="224">
        <f t="shared" si="3"/>
        <v>0.5654138094453941</v>
      </c>
      <c r="AF40" s="226">
        <f t="shared" si="4"/>
        <v>143802.4242507618</v>
      </c>
      <c r="AG40" s="223">
        <v>40986.699999999997</v>
      </c>
      <c r="AH40" s="224">
        <f t="shared" si="5"/>
        <v>0.54483941429633354</v>
      </c>
      <c r="AI40" s="477">
        <f t="shared" si="6"/>
        <v>164894.22999999998</v>
      </c>
      <c r="AJ40" s="227">
        <f t="shared" si="7"/>
        <v>52.240784064958127</v>
      </c>
      <c r="AK40" s="228">
        <f t="shared" si="8"/>
        <v>48.919141734182091</v>
      </c>
      <c r="AL40" s="230">
        <f t="shared" si="9"/>
        <v>61.820060331825033</v>
      </c>
      <c r="AM40" s="427" t="str">
        <f t="shared" si="10"/>
        <v>-4.41 pts.</v>
      </c>
      <c r="AN40" s="478" t="str">
        <f t="shared" si="11"/>
        <v>-2.35 pts.</v>
      </c>
      <c r="AO40" s="11"/>
    </row>
    <row r="41" spans="1:41" x14ac:dyDescent="0.2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568"/>
      <c r="P41" s="231"/>
      <c r="Q41" s="231"/>
      <c r="R41" s="231"/>
      <c r="S41" s="231"/>
      <c r="T41" s="231"/>
      <c r="U41" s="231"/>
      <c r="V41" s="231"/>
      <c r="W41" s="231"/>
      <c r="X41" s="231"/>
      <c r="Y41" s="231"/>
      <c r="Z41" s="231"/>
      <c r="AA41" s="232" t="str">
        <f t="shared" si="1"/>
        <v/>
      </c>
      <c r="AB41" s="233" t="str">
        <f t="shared" si="2"/>
        <v/>
      </c>
      <c r="AC41" s="481"/>
      <c r="AD41" s="231"/>
      <c r="AE41" s="233" t="str">
        <f t="shared" si="3"/>
        <v/>
      </c>
      <c r="AF41" s="234" t="str">
        <f t="shared" si="4"/>
        <v/>
      </c>
      <c r="AG41" s="231"/>
      <c r="AH41" s="233" t="str">
        <f t="shared" si="5"/>
        <v/>
      </c>
      <c r="AI41" s="569" t="str">
        <f t="shared" si="6"/>
        <v/>
      </c>
      <c r="AJ41" s="235">
        <f t="shared" si="7"/>
        <v>0</v>
      </c>
      <c r="AK41" s="236">
        <f t="shared" si="8"/>
        <v>0</v>
      </c>
      <c r="AL41" s="238">
        <f t="shared" si="9"/>
        <v>0</v>
      </c>
      <c r="AM41" s="429">
        <f t="shared" si="10"/>
        <v>0</v>
      </c>
      <c r="AN41" s="484">
        <f t="shared" si="11"/>
        <v>0</v>
      </c>
      <c r="AO41" s="11"/>
    </row>
    <row r="42" spans="1:41" x14ac:dyDescent="0.2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563"/>
      <c r="P42" s="564"/>
      <c r="Q42" s="564"/>
      <c r="R42" s="564"/>
      <c r="S42" s="564"/>
      <c r="T42" s="564"/>
      <c r="U42" s="564"/>
      <c r="V42" s="564"/>
      <c r="W42" s="564"/>
      <c r="X42" s="564"/>
      <c r="Y42" s="564"/>
      <c r="Z42" s="564"/>
      <c r="AA42" s="210">
        <f t="shared" si="1"/>
        <v>0</v>
      </c>
      <c r="AB42" s="565" t="str">
        <f t="shared" si="2"/>
        <v/>
      </c>
      <c r="AC42" s="459"/>
      <c r="AD42" s="564"/>
      <c r="AE42" s="565" t="str">
        <f t="shared" si="3"/>
        <v/>
      </c>
      <c r="AF42" s="566">
        <f t="shared" si="4"/>
        <v>0</v>
      </c>
      <c r="AG42" s="564"/>
      <c r="AH42" s="565" t="str">
        <f t="shared" si="5"/>
        <v/>
      </c>
      <c r="AI42" s="567">
        <f t="shared" si="6"/>
        <v>0</v>
      </c>
      <c r="AJ42" s="462">
        <f t="shared" si="7"/>
        <v>0</v>
      </c>
      <c r="AK42" s="463">
        <f t="shared" si="8"/>
        <v>0</v>
      </c>
      <c r="AL42" s="464">
        <f t="shared" si="9"/>
        <v>0</v>
      </c>
      <c r="AM42" s="465">
        <f t="shared" si="10"/>
        <v>0</v>
      </c>
      <c r="AN42" s="466">
        <f t="shared" si="11"/>
        <v>0</v>
      </c>
      <c r="AO42" s="11"/>
    </row>
    <row r="43" spans="1:41" ht="15.75" thickBot="1" x14ac:dyDescent="0.3">
      <c r="A43" s="11" t="s">
        <v>108</v>
      </c>
      <c r="B43" s="11"/>
      <c r="C43" s="574"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563">
        <v>180</v>
      </c>
      <c r="P43" s="564"/>
      <c r="Q43" s="564">
        <v>1440</v>
      </c>
      <c r="R43" s="564"/>
      <c r="S43" s="564">
        <v>852</v>
      </c>
      <c r="T43" s="564">
        <v>256</v>
      </c>
      <c r="U43" s="564"/>
      <c r="V43" s="564">
        <v>875</v>
      </c>
      <c r="W43" s="564"/>
      <c r="X43" s="564"/>
      <c r="Y43" s="564">
        <v>1600</v>
      </c>
      <c r="Z43" s="564"/>
      <c r="AA43" s="210">
        <f t="shared" si="1"/>
        <v>5203</v>
      </c>
      <c r="AB43" s="565">
        <f t="shared" si="2"/>
        <v>1.3174964003076203E-2</v>
      </c>
      <c r="AC43" s="459"/>
      <c r="AD43" s="564">
        <v>764.35000005619997</v>
      </c>
      <c r="AE43" s="565">
        <f t="shared" si="3"/>
        <v>6.9617340183267332E-3</v>
      </c>
      <c r="AF43" s="566">
        <f t="shared" si="4"/>
        <v>4438.6499999438001</v>
      </c>
      <c r="AG43" s="564">
        <v>772</v>
      </c>
      <c r="AH43" s="565">
        <f t="shared" si="5"/>
        <v>1.0262256484097758E-2</v>
      </c>
      <c r="AI43" s="567">
        <f t="shared" si="6"/>
        <v>4431</v>
      </c>
      <c r="AJ43" s="462">
        <f t="shared" si="7"/>
        <v>1.3202232935803095</v>
      </c>
      <c r="AK43" s="463">
        <f t="shared" si="8"/>
        <v>0.60232355041390773</v>
      </c>
      <c r="AL43" s="464">
        <f t="shared" si="9"/>
        <v>1.1644042232277527</v>
      </c>
      <c r="AM43" s="465" t="str">
        <f t="shared" si="10"/>
        <v>0.62 pts.</v>
      </c>
      <c r="AN43" s="466" t="str">
        <f t="shared" si="11"/>
        <v>0.29 pts.</v>
      </c>
      <c r="AO43" s="11"/>
    </row>
    <row r="44" spans="1:41" ht="16.5" thickTop="1" thickBot="1" x14ac:dyDescent="0.3">
      <c r="A44" s="11" t="s">
        <v>108</v>
      </c>
      <c r="B44" s="11"/>
      <c r="C44" s="574"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563">
        <v>900</v>
      </c>
      <c r="P44" s="564"/>
      <c r="Q44" s="564"/>
      <c r="R44" s="564"/>
      <c r="S44" s="564"/>
      <c r="T44" s="564"/>
      <c r="U44" s="564"/>
      <c r="V44" s="564"/>
      <c r="W44" s="564"/>
      <c r="X44" s="564">
        <v>5100</v>
      </c>
      <c r="Y44" s="564">
        <v>9235</v>
      </c>
      <c r="Z44" s="564"/>
      <c r="AA44" s="210">
        <f t="shared" si="1"/>
        <v>15235</v>
      </c>
      <c r="AB44" s="565">
        <f t="shared" si="2"/>
        <v>3.8577854427612135E-2</v>
      </c>
      <c r="AC44" s="459"/>
      <c r="AD44" s="564">
        <v>5856.3642547013997</v>
      </c>
      <c r="AE44" s="565">
        <f t="shared" si="3"/>
        <v>5.3340027804892672E-2</v>
      </c>
      <c r="AF44" s="566">
        <f t="shared" si="4"/>
        <v>9378.6357452986013</v>
      </c>
      <c r="AG44" s="564">
        <v>3025</v>
      </c>
      <c r="AH44" s="565">
        <f t="shared" si="5"/>
        <v>4.0211562000512582E-2</v>
      </c>
      <c r="AI44" s="567">
        <f t="shared" si="6"/>
        <v>12210</v>
      </c>
      <c r="AJ44" s="462">
        <f t="shared" si="7"/>
        <v>3.8657701091093633</v>
      </c>
      <c r="AK44" s="463">
        <f t="shared" si="8"/>
        <v>4.6149357102760336</v>
      </c>
      <c r="AL44" s="464">
        <f t="shared" si="9"/>
        <v>4.5625942684766212</v>
      </c>
      <c r="AM44" s="465" t="str">
        <f t="shared" si="10"/>
        <v>-1.48 pts.</v>
      </c>
      <c r="AN44" s="466" t="str">
        <f t="shared" si="11"/>
        <v>-0.16 pts.</v>
      </c>
      <c r="AO44" s="11"/>
    </row>
    <row r="45" spans="1:41" ht="15.75" thickTop="1" x14ac:dyDescent="0.25">
      <c r="A45" s="11"/>
      <c r="B45" s="11"/>
      <c r="C45" s="11"/>
      <c r="D45" s="11"/>
      <c r="E45" s="11"/>
      <c r="F45" s="11"/>
      <c r="G45" s="11"/>
      <c r="H45" s="88" t="s">
        <v>791</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IF(_epmOfflineCondition_,"Reception Beverage Revenue",IF(_xll.EVDES(H45,$B$1)="#NODATA","",_xll.EVDES(H45,$B$1)))</f>
        <v>Reception Beverage Revenue</v>
      </c>
      <c r="O45" s="467"/>
      <c r="P45" s="216"/>
      <c r="Q45" s="216"/>
      <c r="R45" s="216"/>
      <c r="S45" s="216"/>
      <c r="T45" s="216"/>
      <c r="U45" s="216"/>
      <c r="V45" s="216"/>
      <c r="W45" s="216"/>
      <c r="X45" s="216"/>
      <c r="Y45" s="216">
        <v>794</v>
      </c>
      <c r="Z45" s="216"/>
      <c r="AA45" s="216">
        <f t="shared" si="1"/>
        <v>794</v>
      </c>
      <c r="AB45" s="468">
        <f t="shared" si="2"/>
        <v>2.0105557213996742E-3</v>
      </c>
      <c r="AC45" s="459"/>
      <c r="AD45" s="216"/>
      <c r="AE45" s="468" t="str">
        <f t="shared" si="3"/>
        <v/>
      </c>
      <c r="AF45" s="469">
        <f t="shared" si="4"/>
        <v>794</v>
      </c>
      <c r="AG45" s="216"/>
      <c r="AH45" s="468" t="str">
        <f t="shared" si="5"/>
        <v/>
      </c>
      <c r="AI45" s="470">
        <f t="shared" si="6"/>
        <v>794</v>
      </c>
      <c r="AJ45" s="471">
        <f t="shared" si="7"/>
        <v>0.20147170768840394</v>
      </c>
      <c r="AK45" s="472">
        <f t="shared" si="8"/>
        <v>0</v>
      </c>
      <c r="AL45" s="473">
        <f t="shared" si="9"/>
        <v>0</v>
      </c>
      <c r="AM45" s="474">
        <f t="shared" si="10"/>
        <v>0</v>
      </c>
      <c r="AN45" s="475">
        <f t="shared" si="11"/>
        <v>0</v>
      </c>
      <c r="AO45" s="11"/>
    </row>
    <row r="46" spans="1:41" x14ac:dyDescent="0.25">
      <c r="A46" s="11"/>
      <c r="B46" s="11"/>
      <c r="C46" s="11"/>
      <c r="D46" s="11"/>
      <c r="E46" s="11"/>
      <c r="F46" s="11"/>
      <c r="G46" s="11"/>
      <c r="H46" s="88" t="s">
        <v>272</v>
      </c>
      <c r="I46" s="188" t="str">
        <f>IF(_epmOfflineCondition_,"T4",_xll.EVPRO($B$1,$H46,"STYLE"))</f>
        <v>T4</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Beverage Revenue",IF(_xll.EVDES(H46,$B$1)="#NODATA","",_xll.EVDES(H46,$B$1)))</f>
        <v>Total Beverage Revenue</v>
      </c>
      <c r="O46" s="476">
        <v>1080</v>
      </c>
      <c r="P46" s="223"/>
      <c r="Q46" s="223">
        <v>1440</v>
      </c>
      <c r="R46" s="223"/>
      <c r="S46" s="223">
        <v>852</v>
      </c>
      <c r="T46" s="223">
        <v>256</v>
      </c>
      <c r="U46" s="223"/>
      <c r="V46" s="223">
        <v>875</v>
      </c>
      <c r="W46" s="223"/>
      <c r="X46" s="223">
        <v>5100</v>
      </c>
      <c r="Y46" s="223">
        <v>11629</v>
      </c>
      <c r="Z46" s="223"/>
      <c r="AA46" s="223">
        <f t="shared" si="1"/>
        <v>21232</v>
      </c>
      <c r="AB46" s="224">
        <f t="shared" si="2"/>
        <v>5.3763374152088012E-2</v>
      </c>
      <c r="AC46" s="225"/>
      <c r="AD46" s="223">
        <v>6620.7142547576004</v>
      </c>
      <c r="AE46" s="224">
        <f t="shared" si="3"/>
        <v>6.0301761823219412E-2</v>
      </c>
      <c r="AF46" s="226">
        <f t="shared" si="4"/>
        <v>14611.2857452424</v>
      </c>
      <c r="AG46" s="223">
        <v>3797</v>
      </c>
      <c r="AH46" s="224">
        <f t="shared" si="5"/>
        <v>5.0473818484610342E-2</v>
      </c>
      <c r="AI46" s="477">
        <f t="shared" si="6"/>
        <v>17435</v>
      </c>
      <c r="AJ46" s="227">
        <f t="shared" si="7"/>
        <v>5.3874651103780771</v>
      </c>
      <c r="AK46" s="228">
        <f t="shared" si="8"/>
        <v>5.2172592606899419</v>
      </c>
      <c r="AL46" s="230">
        <f t="shared" si="9"/>
        <v>5.7269984917043741</v>
      </c>
      <c r="AM46" s="427" t="str">
        <f t="shared" si="10"/>
        <v>-0.65 pts.</v>
      </c>
      <c r="AN46" s="478" t="str">
        <f t="shared" si="11"/>
        <v>0.33 pts.</v>
      </c>
      <c r="AO46" s="11"/>
    </row>
    <row r="47" spans="1:41" x14ac:dyDescent="0.25">
      <c r="A47" s="61"/>
      <c r="B47" s="11"/>
      <c r="C47" s="11"/>
      <c r="D47" s="11"/>
      <c r="E47" s="11"/>
      <c r="F47" s="11"/>
      <c r="G47" s="11"/>
      <c r="H47" s="88" t="s">
        <v>486</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IF(_epmOfflineCondition_,"Food &amp; Beverage: Allowances",IF(_xll.EVDES(H47,$B$1)="#NODATA","",_xll.EVDES(H47,$B$1)))</f>
        <v>Food &amp; Beverage: Allowances</v>
      </c>
      <c r="O47" s="530"/>
      <c r="P47" s="239"/>
      <c r="Q47" s="239"/>
      <c r="R47" s="239"/>
      <c r="S47" s="239"/>
      <c r="T47" s="239"/>
      <c r="U47" s="239"/>
      <c r="V47" s="239"/>
      <c r="W47" s="239"/>
      <c r="X47" s="239"/>
      <c r="Y47" s="239"/>
      <c r="Z47" s="239"/>
      <c r="AA47" s="239">
        <f t="shared" si="1"/>
        <v>0</v>
      </c>
      <c r="AB47" s="240" t="str">
        <f t="shared" si="2"/>
        <v/>
      </c>
      <c r="AC47" s="481"/>
      <c r="AD47" s="239"/>
      <c r="AE47" s="240" t="str">
        <f t="shared" si="3"/>
        <v/>
      </c>
      <c r="AF47" s="241">
        <f t="shared" si="4"/>
        <v>0</v>
      </c>
      <c r="AG47" s="239"/>
      <c r="AH47" s="240" t="str">
        <f t="shared" si="5"/>
        <v/>
      </c>
      <c r="AI47" s="531">
        <f t="shared" si="6"/>
        <v>0</v>
      </c>
      <c r="AJ47" s="532">
        <f t="shared" si="7"/>
        <v>0</v>
      </c>
      <c r="AK47" s="533">
        <f t="shared" si="8"/>
        <v>0</v>
      </c>
      <c r="AL47" s="534">
        <f t="shared" si="9"/>
        <v>0</v>
      </c>
      <c r="AM47" s="535">
        <f t="shared" si="10"/>
        <v>0</v>
      </c>
      <c r="AN47" s="536">
        <f t="shared" si="11"/>
        <v>0</v>
      </c>
      <c r="AO47" s="11"/>
    </row>
    <row r="48" spans="1:41" x14ac:dyDescent="0.25">
      <c r="A48" s="11"/>
      <c r="B48" s="11"/>
      <c r="C48" s="11"/>
      <c r="D48" s="11"/>
      <c r="E48" s="11"/>
      <c r="F48" s="11"/>
      <c r="G48" s="11"/>
      <c r="H48" s="88" t="s">
        <v>273</v>
      </c>
      <c r="I48" s="188" t="str">
        <f>IF(_epmOfflineCondition_,"T4",_xll.EVPRO($B$1,$H48,"STYLE"))</f>
        <v>T4</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Food &amp; Beverage Revenue",IF(_xll.EVDES(H48,$B$1)="#NODATA","",_xll.EVDES(H48,$B$1)))</f>
        <v>Total Food &amp; Beverage Revenue</v>
      </c>
      <c r="O48" s="476">
        <v>14877</v>
      </c>
      <c r="P48" s="223">
        <v>8571</v>
      </c>
      <c r="Q48" s="223">
        <v>50297</v>
      </c>
      <c r="R48" s="223">
        <v>27033</v>
      </c>
      <c r="S48" s="223">
        <v>17881.16</v>
      </c>
      <c r="T48" s="223">
        <v>18557</v>
      </c>
      <c r="U48" s="223">
        <v>13125</v>
      </c>
      <c r="V48" s="223">
        <v>8678.77</v>
      </c>
      <c r="W48" s="223">
        <v>2340</v>
      </c>
      <c r="X48" s="223">
        <v>15778</v>
      </c>
      <c r="Y48" s="223">
        <v>39275</v>
      </c>
      <c r="Z48" s="223">
        <v>10700</v>
      </c>
      <c r="AA48" s="223">
        <f t="shared" si="1"/>
        <v>227112.93</v>
      </c>
      <c r="AB48" s="224">
        <f t="shared" si="2"/>
        <v>0.57509219246264953</v>
      </c>
      <c r="AC48" s="225"/>
      <c r="AD48" s="223">
        <v>68699.220003995797</v>
      </c>
      <c r="AE48" s="224">
        <f t="shared" si="3"/>
        <v>0.62571557126861355</v>
      </c>
      <c r="AF48" s="226">
        <f t="shared" si="4"/>
        <v>158413.70999600418</v>
      </c>
      <c r="AG48" s="223">
        <v>44783.7</v>
      </c>
      <c r="AH48" s="224">
        <f t="shared" si="5"/>
        <v>0.59531323278094395</v>
      </c>
      <c r="AI48" s="477">
        <f t="shared" si="6"/>
        <v>182329.22999999998</v>
      </c>
      <c r="AJ48" s="227">
        <f t="shared" si="7"/>
        <v>57.628249175336208</v>
      </c>
      <c r="AK48" s="228">
        <f t="shared" si="8"/>
        <v>54.136400994872034</v>
      </c>
      <c r="AL48" s="230">
        <f t="shared" si="9"/>
        <v>67.547058823529412</v>
      </c>
      <c r="AM48" s="427" t="str">
        <f t="shared" si="10"/>
        <v>-5.06 pts.</v>
      </c>
      <c r="AN48" s="478" t="str">
        <f t="shared" si="11"/>
        <v>-2.02 pts.</v>
      </c>
      <c r="AO48" s="11"/>
    </row>
    <row r="49" spans="1:41" x14ac:dyDescent="0.25">
      <c r="A49" s="62" t="s">
        <v>0</v>
      </c>
      <c r="B49" s="63" t="s">
        <v>1</v>
      </c>
      <c r="C49" s="11"/>
      <c r="D49" s="11"/>
      <c r="E49" s="11"/>
      <c r="F49" s="11"/>
      <c r="G49" s="11"/>
      <c r="H49" s="88" t="s">
        <v>279</v>
      </c>
      <c r="I49" s="188" t="str">
        <f>IF(_epmOfflineCondition_,"B1",_xll.EVPRO($B$1,$H49,"STYLE"))</f>
        <v>B1</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IF(_epmOfflineCondition_,"Other Revenue",IF(_xll.EVDES(H49,$B$1)="#NODATA","",_xll.EVDES(H49,$B$1)))</f>
        <v>Other Revenue</v>
      </c>
      <c r="O49" s="568"/>
      <c r="P49" s="231"/>
      <c r="Q49" s="231"/>
      <c r="R49" s="231"/>
      <c r="S49" s="231"/>
      <c r="T49" s="231"/>
      <c r="U49" s="231"/>
      <c r="V49" s="231"/>
      <c r="W49" s="231"/>
      <c r="X49" s="231"/>
      <c r="Y49" s="231"/>
      <c r="Z49" s="231"/>
      <c r="AA49" s="232" t="str">
        <f t="shared" si="1"/>
        <v/>
      </c>
      <c r="AB49" s="233" t="str">
        <f t="shared" si="2"/>
        <v/>
      </c>
      <c r="AC49" s="481"/>
      <c r="AD49" s="231"/>
      <c r="AE49" s="233" t="str">
        <f t="shared" si="3"/>
        <v/>
      </c>
      <c r="AF49" s="234" t="str">
        <f t="shared" si="4"/>
        <v/>
      </c>
      <c r="AG49" s="231"/>
      <c r="AH49" s="233" t="str">
        <f t="shared" si="5"/>
        <v/>
      </c>
      <c r="AI49" s="569" t="str">
        <f t="shared" si="6"/>
        <v/>
      </c>
      <c r="AJ49" s="235">
        <f t="shared" si="7"/>
        <v>0</v>
      </c>
      <c r="AK49" s="236">
        <f t="shared" si="8"/>
        <v>0</v>
      </c>
      <c r="AL49" s="238">
        <f t="shared" si="9"/>
        <v>0</v>
      </c>
      <c r="AM49" s="429">
        <f t="shared" si="10"/>
        <v>0</v>
      </c>
      <c r="AN49" s="484">
        <f t="shared" si="11"/>
        <v>0</v>
      </c>
      <c r="AO49" s="11"/>
    </row>
    <row r="50" spans="1:41" x14ac:dyDescent="0.25">
      <c r="A50" s="65" t="s">
        <v>2</v>
      </c>
      <c r="B50" s="66" t="str">
        <f>IF(_epmOfflineCondition_,"'BCC_Group'!$B$2:$B$10",_xll.EVRNG($B$2:$B$10))</f>
        <v>'BCC_Group'!$B$2:$B$10</v>
      </c>
      <c r="C50" s="11"/>
      <c r="D50" s="11"/>
      <c r="E50" s="11"/>
      <c r="F50" s="11"/>
      <c r="G50" s="11"/>
      <c r="H50" s="88" t="s">
        <v>274</v>
      </c>
      <c r="I50" s="122" t="str">
        <f>IF(_epmOfflineCondition_,"T5",_xll.EVPRO($B$1,$H50,"STYLE"))</f>
        <v>T5</v>
      </c>
      <c r="J50" s="122" t="str">
        <f>IF(_epmOfflineCondition_,"Y",_xll.EVPRO($B$1,$H50,"CALC"))</f>
        <v>Y</v>
      </c>
      <c r="K50" s="179" t="str">
        <f t="shared" si="0"/>
        <v>&gt;</v>
      </c>
      <c r="L50" s="90" t="str">
        <f>IF(_epmOfflineCondition_,"468300",_xll.EVPRO($B$1,H50,"JDEID"))</f>
        <v>468300</v>
      </c>
      <c r="M50" s="90" t="str">
        <f>IF(_epmOfflineCondition_,"",IF(AND(I50="N",J50="N"),_xll.EVPRO($B$1,H50,"PSFTID"),""))</f>
        <v/>
      </c>
      <c r="N50" s="90" t="str">
        <f>IF(_epmOfflineCondition_,"Audio/Visual Rentals",IF(_xll.EVDES(H50,$B$1)="#NODATA","",_xll.EVDES(H50,$B$1)))</f>
        <v>Audio/Visual Rentals</v>
      </c>
      <c r="O50" s="563">
        <v>575</v>
      </c>
      <c r="P50" s="564">
        <v>100</v>
      </c>
      <c r="Q50" s="564">
        <v>3950</v>
      </c>
      <c r="R50" s="564">
        <v>4050</v>
      </c>
      <c r="S50" s="564">
        <v>3100</v>
      </c>
      <c r="T50" s="564">
        <v>900</v>
      </c>
      <c r="U50" s="564">
        <v>2225</v>
      </c>
      <c r="V50" s="564">
        <v>700</v>
      </c>
      <c r="W50" s="564"/>
      <c r="X50" s="564">
        <v>1365</v>
      </c>
      <c r="Y50" s="564">
        <v>2150</v>
      </c>
      <c r="Z50" s="564">
        <v>2480</v>
      </c>
      <c r="AA50" s="210">
        <f t="shared" si="1"/>
        <v>21595</v>
      </c>
      <c r="AB50" s="565">
        <f t="shared" si="2"/>
        <v>5.4682557687186356E-2</v>
      </c>
      <c r="AC50" s="459"/>
      <c r="AD50" s="564">
        <v>6480</v>
      </c>
      <c r="AE50" s="565">
        <f t="shared" si="3"/>
        <v>5.9020130091502983E-2</v>
      </c>
      <c r="AF50" s="566">
        <f t="shared" si="4"/>
        <v>15115</v>
      </c>
      <c r="AG50" s="564">
        <v>75</v>
      </c>
      <c r="AH50" s="565">
        <f t="shared" si="5"/>
        <v>9.9698087604576649E-4</v>
      </c>
      <c r="AI50" s="567">
        <f t="shared" si="6"/>
        <v>21520</v>
      </c>
      <c r="AJ50" s="462">
        <f t="shared" si="7"/>
        <v>5.4795737122557728</v>
      </c>
      <c r="AK50" s="463">
        <f t="shared" si="8"/>
        <v>5.1063735283510745</v>
      </c>
      <c r="AL50" s="464">
        <f t="shared" si="9"/>
        <v>0.11312217194570136</v>
      </c>
      <c r="AM50" s="465" t="str">
        <f t="shared" si="10"/>
        <v>-0.43 pts.</v>
      </c>
      <c r="AN50" s="466" t="str">
        <f t="shared" si="11"/>
        <v>5.37 pts.</v>
      </c>
      <c r="AO50" s="11"/>
    </row>
    <row r="51" spans="1:41" x14ac:dyDescent="0.25">
      <c r="A51" s="65" t="s">
        <v>3</v>
      </c>
      <c r="B51" s="66" t="str">
        <f>IF(_epmOfflineCondition_,"'BCC_Group'!$O$16:$AN$18",_xll.EVRNG($O$16:$AN$18))</f>
        <v>'BCC_Group'!$O$16:$AN$18</v>
      </c>
      <c r="C51" s="11"/>
      <c r="D51" s="11"/>
      <c r="E51" s="11"/>
      <c r="F51" s="11"/>
      <c r="G51" s="11"/>
      <c r="H51" s="88" t="s">
        <v>275</v>
      </c>
      <c r="I51" s="122" t="str">
        <f>IF(_epmOfflineCondition_,"T5",_xll.EVPRO($B$1,$H51,"STYLE"))</f>
        <v>T5</v>
      </c>
      <c r="J51" s="122" t="str">
        <f>IF(_epmOfflineCondition_,"Y",_xll.EVPRO($B$1,$H51,"CALC"))</f>
        <v>Y</v>
      </c>
      <c r="K51" s="179" t="str">
        <f t="shared" si="0"/>
        <v>&gt;</v>
      </c>
      <c r="L51" s="90" t="str">
        <f>IF(_epmOfflineCondition_,"468350",_xll.EVPRO($B$1,H51,"JDEID"))</f>
        <v>468350</v>
      </c>
      <c r="M51" s="90" t="str">
        <f>IF(_epmOfflineCondition_,"",IF(AND(I51="N",J51="N"),_xll.EVPRO($B$1,H51,"PSFTID"),""))</f>
        <v/>
      </c>
      <c r="N51" s="90" t="str">
        <f>IF(_epmOfflineCondition_,"Public Room Rental",IF(_xll.EVDES(H51,$B$1)="#NODATA","",_xll.EVDES(H51,$B$1)))</f>
        <v>Public Room Rental</v>
      </c>
      <c r="O51" s="563">
        <v>6550</v>
      </c>
      <c r="P51" s="564">
        <v>6100</v>
      </c>
      <c r="Q51" s="564">
        <v>10550</v>
      </c>
      <c r="R51" s="564">
        <v>15125</v>
      </c>
      <c r="S51" s="564">
        <v>10350</v>
      </c>
      <c r="T51" s="564">
        <v>7000</v>
      </c>
      <c r="U51" s="564">
        <v>9950</v>
      </c>
      <c r="V51" s="564">
        <v>1350</v>
      </c>
      <c r="W51" s="564">
        <v>800</v>
      </c>
      <c r="X51" s="564">
        <v>3630</v>
      </c>
      <c r="Y51" s="564">
        <v>13800</v>
      </c>
      <c r="Z51" s="564">
        <v>6105</v>
      </c>
      <c r="AA51" s="210">
        <f t="shared" si="1"/>
        <v>91310</v>
      </c>
      <c r="AB51" s="565">
        <f t="shared" si="2"/>
        <v>0.23121390796096253</v>
      </c>
      <c r="AC51" s="459"/>
      <c r="AD51" s="564">
        <v>17400</v>
      </c>
      <c r="AE51" s="565">
        <f t="shared" si="3"/>
        <v>0.15847997894940616</v>
      </c>
      <c r="AF51" s="566">
        <f t="shared" si="4"/>
        <v>73910</v>
      </c>
      <c r="AG51" s="564">
        <v>18650</v>
      </c>
      <c r="AH51" s="565">
        <f t="shared" si="5"/>
        <v>0.24791591117671394</v>
      </c>
      <c r="AI51" s="567">
        <f t="shared" si="6"/>
        <v>72660</v>
      </c>
      <c r="AJ51" s="462">
        <f t="shared" si="7"/>
        <v>23.169246384166456</v>
      </c>
      <c r="AK51" s="463">
        <f t="shared" si="8"/>
        <v>13.711558548350109</v>
      </c>
      <c r="AL51" s="464">
        <f t="shared" si="9"/>
        <v>28.12971342383107</v>
      </c>
      <c r="AM51" s="465" t="str">
        <f t="shared" si="10"/>
        <v>7.27 pts.</v>
      </c>
      <c r="AN51" s="466" t="str">
        <f t="shared" si="11"/>
        <v>-1.67 pts.</v>
      </c>
      <c r="AO51" s="11"/>
    </row>
    <row r="52" spans="1:41" x14ac:dyDescent="0.25">
      <c r="A52" s="65" t="s">
        <v>4</v>
      </c>
      <c r="B52" s="66" t="str">
        <f>IF(_epmOfflineCondition_,"",_xll.EVRNG(#REF!))</f>
        <v/>
      </c>
      <c r="C52" s="11"/>
      <c r="D52" s="11"/>
      <c r="E52" s="11"/>
      <c r="F52" s="11"/>
      <c r="G52" s="11"/>
      <c r="H52" s="88" t="s">
        <v>282</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IF(_epmOfflineCondition_,"Surcharges &amp; Services Charges",IF(_xll.EVDES(H52,$B$1)="#NODATA","",_xll.EVDES(H52,$B$1)))</f>
        <v>Surcharges &amp; Services Charges</v>
      </c>
      <c r="O52" s="563">
        <v>3272.94</v>
      </c>
      <c r="P52" s="564">
        <v>1885.62</v>
      </c>
      <c r="Q52" s="564">
        <v>11104.26</v>
      </c>
      <c r="R52" s="564">
        <v>5950.66</v>
      </c>
      <c r="S52" s="564">
        <v>4484.8999999999996</v>
      </c>
      <c r="T52" s="564">
        <v>4082.54</v>
      </c>
      <c r="U52" s="564">
        <v>2887.5</v>
      </c>
      <c r="V52" s="564">
        <v>2504.84</v>
      </c>
      <c r="W52" s="564">
        <v>539.20000000000005</v>
      </c>
      <c r="X52" s="564">
        <v>3471.16</v>
      </c>
      <c r="Y52" s="564">
        <v>8665.14</v>
      </c>
      <c r="Z52" s="564">
        <v>2464</v>
      </c>
      <c r="AA52" s="210">
        <f t="shared" si="1"/>
        <v>51312.759999999995</v>
      </c>
      <c r="AB52" s="565">
        <f t="shared" si="2"/>
        <v>0.12993345491033795</v>
      </c>
      <c r="AC52" s="459"/>
      <c r="AD52" s="564">
        <v>15113.828400906399</v>
      </c>
      <c r="AE52" s="565">
        <f t="shared" si="3"/>
        <v>0.13765742567934386</v>
      </c>
      <c r="AF52" s="566">
        <f t="shared" si="4"/>
        <v>36198.931599093594</v>
      </c>
      <c r="AG52" s="564">
        <v>9818.42</v>
      </c>
      <c r="AH52" s="565">
        <f t="shared" si="5"/>
        <v>0.13051702630647033</v>
      </c>
      <c r="AI52" s="567">
        <f t="shared" si="6"/>
        <v>41494.339999999997</v>
      </c>
      <c r="AJ52" s="462">
        <f t="shared" si="7"/>
        <v>13.020238518142602</v>
      </c>
      <c r="AK52" s="463">
        <f t="shared" si="8"/>
        <v>11.910008218893378</v>
      </c>
      <c r="AL52" s="464">
        <f t="shared" si="9"/>
        <v>14.809079939668175</v>
      </c>
      <c r="AM52" s="465" t="str">
        <f t="shared" si="10"/>
        <v>-0.77 pts.</v>
      </c>
      <c r="AN52" s="466" t="str">
        <f t="shared" si="11"/>
        <v>-0.06 pts.</v>
      </c>
      <c r="AO52" s="11"/>
    </row>
    <row r="53" spans="1:41" x14ac:dyDescent="0.25">
      <c r="A53" s="65" t="s">
        <v>5</v>
      </c>
      <c r="B53" s="66"/>
      <c r="C53" s="11"/>
      <c r="D53" s="11"/>
      <c r="E53" s="11"/>
      <c r="F53" s="384"/>
      <c r="G53" s="11"/>
      <c r="H53" s="88" t="s">
        <v>283</v>
      </c>
      <c r="I53" s="122" t="str">
        <f>IF(_epmOfflineCondition_,"T5",_xll.EVPRO($B$1,$H53,"STYLE"))</f>
        <v>T5</v>
      </c>
      <c r="J53" s="122" t="str">
        <f>IF(_epmOfflineCondition_,"Y",_xll.EVPRO($B$1,$H53,"CALC"))</f>
        <v>Y</v>
      </c>
      <c r="K53" s="179" t="str">
        <f t="shared" si="0"/>
        <v>&gt;</v>
      </c>
      <c r="L53" s="90" t="str">
        <f>IF(_epmOfflineCondition_,"",_xll.EVPRO($B$1,H53,"JDEID"))</f>
        <v/>
      </c>
      <c r="M53" s="90" t="str">
        <f>IF(_epmOfflineCondition_,"",IF(AND(I53="N",J53="N"),_xll.EVPRO($B$1,H53,"PSFTID"),""))</f>
        <v/>
      </c>
      <c r="N53" s="90" t="str">
        <f>IF(_epmOfflineCondition_,"Miscellaneous Other Revenue",IF(_xll.EVDES(H53,$B$1)="#NODATA","",_xll.EVDES(H53,$B$1)))</f>
        <v>Miscellaneous Other Revenue</v>
      </c>
      <c r="O53" s="563">
        <v>150</v>
      </c>
      <c r="P53" s="564">
        <v>300</v>
      </c>
      <c r="Q53" s="564">
        <v>300</v>
      </c>
      <c r="R53" s="564">
        <v>385</v>
      </c>
      <c r="S53" s="564">
        <v>320</v>
      </c>
      <c r="T53" s="564">
        <v>460</v>
      </c>
      <c r="U53" s="564">
        <v>160</v>
      </c>
      <c r="V53" s="564">
        <v>310</v>
      </c>
      <c r="W53" s="564"/>
      <c r="X53" s="564">
        <v>450</v>
      </c>
      <c r="Y53" s="564">
        <v>750</v>
      </c>
      <c r="Z53" s="564"/>
      <c r="AA53" s="210">
        <f t="shared" si="1"/>
        <v>3585</v>
      </c>
      <c r="AB53" s="565">
        <f t="shared" si="2"/>
        <v>9.0778869788637681E-3</v>
      </c>
      <c r="AC53" s="459"/>
      <c r="AD53" s="564">
        <v>2100</v>
      </c>
      <c r="AE53" s="565">
        <f t="shared" si="3"/>
        <v>1.9126894011135227E-2</v>
      </c>
      <c r="AF53" s="566">
        <f t="shared" si="4"/>
        <v>1485</v>
      </c>
      <c r="AG53" s="564">
        <v>1900</v>
      </c>
      <c r="AH53" s="565">
        <f t="shared" si="5"/>
        <v>2.5256848859826087E-2</v>
      </c>
      <c r="AI53" s="567">
        <f t="shared" si="6"/>
        <v>1685</v>
      </c>
      <c r="AJ53" s="462">
        <f t="shared" si="7"/>
        <v>0.90966759705658462</v>
      </c>
      <c r="AK53" s="463">
        <f t="shared" si="8"/>
        <v>1.6548432730767373</v>
      </c>
      <c r="AL53" s="464">
        <f t="shared" si="9"/>
        <v>2.8657616892911011</v>
      </c>
      <c r="AM53" s="465" t="str">
        <f t="shared" si="10"/>
        <v>-1 pts.</v>
      </c>
      <c r="AN53" s="466" t="str">
        <f t="shared" si="11"/>
        <v>-1.62 pts.</v>
      </c>
      <c r="AO53" s="11"/>
    </row>
    <row r="54" spans="1:41" x14ac:dyDescent="0.25">
      <c r="A54" s="65" t="s">
        <v>6</v>
      </c>
      <c r="B54" s="66"/>
      <c r="C54" s="11"/>
      <c r="D54" s="11"/>
      <c r="E54" s="11"/>
      <c r="F54" s="384"/>
      <c r="G54" s="11"/>
      <c r="H54" s="88" t="s">
        <v>473</v>
      </c>
      <c r="I54" s="122" t="str">
        <f>IF(_epmOfflineCondition_,"N",_xll.EVPRO($B$1,$H54,"STYLE"))</f>
        <v>N</v>
      </c>
      <c r="J54" s="122" t="str">
        <f>IF(_epmOfflineCondition_,"N",_xll.EVPRO($B$1,$H54,"CALC"))</f>
        <v>N</v>
      </c>
      <c r="K54" s="179" t="str">
        <f t="shared" si="0"/>
        <v/>
      </c>
      <c r="L54" s="90" t="str">
        <f>IF(_epmOfflineCondition_,"468990",_xll.EVPRO($B$1,H54,"JDEID"))</f>
        <v>468990</v>
      </c>
      <c r="M54" s="90" t="str">
        <f>IF(_epmOfflineCondition_,"206022",IF(AND(I54="N",J54="N"),_xll.EVPRO($B$1,H54,"PSFTID"),""))</f>
        <v>206022</v>
      </c>
      <c r="N54" s="90" t="str">
        <f>IF(_epmOfflineCondition_,"Other Revenue: Allowances",IF(_xll.EVDES(H54,$B$1)="#NODATA","",_xll.EVDES(H54,$B$1)))</f>
        <v>Other Revenue: Allowances</v>
      </c>
      <c r="O54" s="467"/>
      <c r="P54" s="216"/>
      <c r="Q54" s="216"/>
      <c r="R54" s="216"/>
      <c r="S54" s="216"/>
      <c r="T54" s="216"/>
      <c r="U54" s="216"/>
      <c r="V54" s="216"/>
      <c r="W54" s="216"/>
      <c r="X54" s="216"/>
      <c r="Y54" s="216"/>
      <c r="Z54" s="216"/>
      <c r="AA54" s="216">
        <f t="shared" si="1"/>
        <v>0</v>
      </c>
      <c r="AB54" s="468" t="str">
        <f t="shared" si="2"/>
        <v/>
      </c>
      <c r="AC54" s="459"/>
      <c r="AD54" s="216"/>
      <c r="AE54" s="468" t="str">
        <f t="shared" si="3"/>
        <v/>
      </c>
      <c r="AF54" s="469">
        <f t="shared" si="4"/>
        <v>0</v>
      </c>
      <c r="AG54" s="216"/>
      <c r="AH54" s="468" t="str">
        <f t="shared" si="5"/>
        <v/>
      </c>
      <c r="AI54" s="470">
        <f t="shared" si="6"/>
        <v>0</v>
      </c>
      <c r="AJ54" s="471">
        <f t="shared" si="7"/>
        <v>0</v>
      </c>
      <c r="AK54" s="472">
        <f t="shared" si="8"/>
        <v>0</v>
      </c>
      <c r="AL54" s="473">
        <f t="shared" si="9"/>
        <v>0</v>
      </c>
      <c r="AM54" s="474">
        <f t="shared" si="10"/>
        <v>0</v>
      </c>
      <c r="AN54" s="475">
        <f t="shared" si="11"/>
        <v>0</v>
      </c>
      <c r="AO54" s="11"/>
    </row>
    <row r="55" spans="1:41" ht="15.75" thickBot="1" x14ac:dyDescent="0.3">
      <c r="A55" s="65" t="s">
        <v>7</v>
      </c>
      <c r="B55" s="66" t="str">
        <f>IF(_epmOfflineCondition_,"'BCC_Group'!$A$69:$F$77",_xll.EVRNG(A69:F77))</f>
        <v>'BCC_Group'!$A$69:$F$77</v>
      </c>
      <c r="C55" s="11"/>
      <c r="D55" s="11"/>
      <c r="E55" s="11"/>
      <c r="F55" s="384"/>
      <c r="G55" s="11"/>
      <c r="H55" s="88" t="s">
        <v>277</v>
      </c>
      <c r="I55" s="188" t="str">
        <f>IF(_epmOfflineCondition_,"T4",_xll.EVPRO($B$1,$H55,"STYLE"))</f>
        <v>T4</v>
      </c>
      <c r="J55" s="188" t="str">
        <f>IF(_epmOfflineCondition_,"Y",_xll.EVPRO($B$1,$H55,"CALC"))</f>
        <v>Y</v>
      </c>
      <c r="K55" s="189" t="str">
        <f t="shared" si="0"/>
        <v/>
      </c>
      <c r="L55" s="190" t="str">
        <f>IF(_epmOfflineCondition_,"",_xll.EVPRO($B$1,H55,"JDEID"))</f>
        <v/>
      </c>
      <c r="M55" s="190" t="str">
        <f>IF(_epmOfflineCondition_,"",IF(AND(I55="N",J55="N"),_xll.EVPRO($B$1,H55,"PSFTID"),""))</f>
        <v/>
      </c>
      <c r="N55" s="190" t="str">
        <f>IF(_epmOfflineCondition_,"Total Other Revenue",IF(_xll.EVDES(H55,$B$1)="#NODATA","",_xll.EVDES(H55,$B$1)))</f>
        <v>Total Other Revenue</v>
      </c>
      <c r="O55" s="485">
        <v>10547.94</v>
      </c>
      <c r="P55" s="242">
        <v>8385.6200000000008</v>
      </c>
      <c r="Q55" s="242">
        <v>25904.26</v>
      </c>
      <c r="R55" s="242">
        <v>25510.66</v>
      </c>
      <c r="S55" s="242">
        <v>18254.900000000001</v>
      </c>
      <c r="T55" s="242">
        <v>12442.54</v>
      </c>
      <c r="U55" s="242">
        <v>15222.5</v>
      </c>
      <c r="V55" s="242">
        <v>4864.84</v>
      </c>
      <c r="W55" s="242">
        <v>1339.2</v>
      </c>
      <c r="X55" s="242">
        <v>8916.16</v>
      </c>
      <c r="Y55" s="242">
        <v>25365.14</v>
      </c>
      <c r="Z55" s="242">
        <v>11049</v>
      </c>
      <c r="AA55" s="242">
        <f t="shared" si="1"/>
        <v>167802.76</v>
      </c>
      <c r="AB55" s="243">
        <f t="shared" si="2"/>
        <v>0.42490780753735063</v>
      </c>
      <c r="AC55" s="244"/>
      <c r="AD55" s="242">
        <v>41093.828400906401</v>
      </c>
      <c r="AE55" s="243">
        <f t="shared" si="3"/>
        <v>0.37428442873138823</v>
      </c>
      <c r="AF55" s="245">
        <f t="shared" si="4"/>
        <v>126708.9315990936</v>
      </c>
      <c r="AG55" s="242">
        <v>30443.42</v>
      </c>
      <c r="AH55" s="243">
        <f t="shared" si="5"/>
        <v>0.40468676721905611</v>
      </c>
      <c r="AI55" s="486">
        <f t="shared" si="6"/>
        <v>137359.34000000003</v>
      </c>
      <c r="AJ55" s="246">
        <f t="shared" si="7"/>
        <v>42.578726211621415</v>
      </c>
      <c r="AK55" s="247">
        <f t="shared" si="8"/>
        <v>32.3827835686713</v>
      </c>
      <c r="AL55" s="249">
        <f t="shared" si="9"/>
        <v>45.917677224736046</v>
      </c>
      <c r="AM55" s="431" t="str">
        <f t="shared" si="10"/>
        <v>5.06 pts.</v>
      </c>
      <c r="AN55" s="487" t="str">
        <f t="shared" si="11"/>
        <v>2.02 pts.</v>
      </c>
      <c r="AO55" s="11"/>
    </row>
    <row r="56" spans="1:41" ht="16.5" thickTop="1" thickBot="1" x14ac:dyDescent="0.3">
      <c r="A56" s="65" t="s">
        <v>47</v>
      </c>
      <c r="B56" s="66" t="str">
        <f>IF(_epmOfflineCondition_,"'BCC_Group'!$A$125:$B$146",_xll.EVRNG($A$125:$B$146))</f>
        <v>'BCC_Group'!$A$125:$B$146</v>
      </c>
      <c r="C56" s="11"/>
      <c r="D56" s="11"/>
      <c r="E56" s="11"/>
      <c r="F56" s="11"/>
      <c r="G56" s="11"/>
      <c r="H56" s="88" t="s">
        <v>280</v>
      </c>
      <c r="I56" s="188" t="str">
        <f>IF(_epmOfflineCondition_,"T3",_xll.EVPRO($B$1,$H56,"STYLE"))</f>
        <v>T3</v>
      </c>
      <c r="J56" s="188" t="str">
        <f>IF(_epmOfflineCondition_,"Y",_xll.EVPRO($B$1,$H56,"CALC"))</f>
        <v>Y</v>
      </c>
      <c r="K56" s="189" t="str">
        <f t="shared" si="0"/>
        <v/>
      </c>
      <c r="L56" s="190" t="str">
        <f>IF(_epmOfflineCondition_,"400000",_xll.EVPRO($B$1,H56,"JDEID"))</f>
        <v>400000</v>
      </c>
      <c r="M56" s="190" t="str">
        <f>IF(_epmOfflineCondition_,"",IF(AND(I56="N",J56="N"),_xll.EVPRO($B$1,H56,"PSFTID"),""))</f>
        <v/>
      </c>
      <c r="N56" s="190" t="str">
        <f>IF(_epmOfflineCondition_,"Total Revenue",IF(_xll.EVDES(H56,$B$1)="#NODATA","",_xll.EVDES(H56,$B$1)))</f>
        <v>Total Revenue</v>
      </c>
      <c r="O56" s="575">
        <v>25424.94</v>
      </c>
      <c r="P56" s="576">
        <v>16956.62</v>
      </c>
      <c r="Q56" s="576">
        <v>76201.259999999995</v>
      </c>
      <c r="R56" s="576">
        <v>52543.66</v>
      </c>
      <c r="S56" s="576">
        <v>36136.06</v>
      </c>
      <c r="T56" s="576">
        <v>30999.54</v>
      </c>
      <c r="U56" s="576">
        <v>28347.5</v>
      </c>
      <c r="V56" s="576">
        <v>13543.61</v>
      </c>
      <c r="W56" s="576">
        <v>3679.2</v>
      </c>
      <c r="X56" s="576">
        <v>24694.16</v>
      </c>
      <c r="Y56" s="576">
        <v>64640.14</v>
      </c>
      <c r="Z56" s="576">
        <v>21749</v>
      </c>
      <c r="AA56" s="576">
        <f t="shared" si="1"/>
        <v>394915.68999999994</v>
      </c>
      <c r="AB56" s="577">
        <f t="shared" si="2"/>
        <v>1</v>
      </c>
      <c r="AC56" s="578"/>
      <c r="AD56" s="576">
        <v>109793.048404902</v>
      </c>
      <c r="AE56" s="577">
        <f t="shared" si="3"/>
        <v>1</v>
      </c>
      <c r="AF56" s="579">
        <f t="shared" si="4"/>
        <v>285122.64159509796</v>
      </c>
      <c r="AG56" s="576">
        <v>75227.12</v>
      </c>
      <c r="AH56" s="577">
        <f t="shared" si="5"/>
        <v>1</v>
      </c>
      <c r="AI56" s="580">
        <f t="shared" si="6"/>
        <v>319688.56999999995</v>
      </c>
      <c r="AJ56" s="581">
        <f t="shared" si="7"/>
        <v>100.20697538695761</v>
      </c>
      <c r="AK56" s="582">
        <f t="shared" si="8"/>
        <v>86.519184563543178</v>
      </c>
      <c r="AL56" s="583">
        <f t="shared" si="9"/>
        <v>113.46473604826545</v>
      </c>
      <c r="AM56" s="584" t="str">
        <f t="shared" si="10"/>
        <v>0 pts.</v>
      </c>
      <c r="AN56" s="585" t="str">
        <f t="shared" si="11"/>
        <v>0 pts.</v>
      </c>
      <c r="AO56" s="11"/>
    </row>
    <row r="57" spans="1:41" ht="15.75" thickTop="1" x14ac:dyDescent="0.25">
      <c r="A57" s="65" t="s">
        <v>8</v>
      </c>
      <c r="B57" s="66"/>
      <c r="C57" s="11"/>
      <c r="D57" s="11"/>
      <c r="E57" s="11"/>
      <c r="F57" s="11"/>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203"/>
      <c r="AE57" s="204"/>
      <c r="AF57" s="118"/>
      <c r="AG57" s="204"/>
      <c r="AH57" s="204"/>
      <c r="AI57" s="118"/>
      <c r="AJ57" s="11"/>
      <c r="AK57" s="11"/>
      <c r="AL57" s="11"/>
      <c r="AM57" s="11"/>
      <c r="AN57" s="11"/>
      <c r="AO57" s="11"/>
    </row>
    <row r="58" spans="1:41" x14ac:dyDescent="0.25">
      <c r="A58" s="11"/>
      <c r="B58" s="11"/>
      <c r="C58" s="11"/>
      <c r="D58" s="11"/>
      <c r="E58" s="11"/>
      <c r="F58" s="11"/>
      <c r="G58" s="76"/>
      <c r="H58" s="11"/>
      <c r="I58" s="59"/>
      <c r="J58" s="59"/>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25">
      <c r="A59" s="62" t="s">
        <v>9</v>
      </c>
      <c r="B59" s="63" t="s">
        <v>10</v>
      </c>
      <c r="C59" s="11"/>
      <c r="D59" s="11"/>
      <c r="E59" s="11"/>
      <c r="F59" s="11"/>
      <c r="G59" s="11"/>
      <c r="H59" s="11"/>
      <c r="I59" s="59"/>
      <c r="J59" s="59"/>
      <c r="K59" s="11"/>
      <c r="L59" s="11"/>
      <c r="M59" s="11"/>
      <c r="N59" s="11"/>
      <c r="O59" s="137"/>
      <c r="P59" s="137"/>
      <c r="Q59" s="137"/>
      <c r="R59" s="137"/>
      <c r="S59" s="137"/>
      <c r="T59" s="137"/>
      <c r="U59" s="137"/>
      <c r="V59" s="137"/>
      <c r="W59" s="137"/>
      <c r="X59" s="137"/>
      <c r="Y59" s="137"/>
      <c r="Z59" s="137"/>
      <c r="AA59" s="137"/>
      <c r="AB59" s="11"/>
      <c r="AC59" s="11"/>
      <c r="AD59" s="137"/>
      <c r="AE59" s="11"/>
      <c r="AF59" s="11"/>
      <c r="AG59" s="137"/>
      <c r="AH59" s="11"/>
      <c r="AI59" s="11"/>
      <c r="AJ59" s="11"/>
      <c r="AK59" s="11"/>
      <c r="AL59" s="11"/>
      <c r="AM59" s="11"/>
      <c r="AN59" s="11"/>
      <c r="AO59" s="11"/>
    </row>
    <row r="60" spans="1:41" x14ac:dyDescent="0.25">
      <c r="A60" s="65" t="s">
        <v>11</v>
      </c>
      <c r="B60" s="66" t="s">
        <v>21</v>
      </c>
      <c r="C60" s="11"/>
      <c r="D60" s="11"/>
      <c r="E60" s="11"/>
      <c r="F60" s="11"/>
      <c r="G60" s="11"/>
      <c r="H60" s="11"/>
      <c r="I60" s="59"/>
      <c r="J60" s="59"/>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25">
      <c r="A61" s="65" t="s">
        <v>12</v>
      </c>
      <c r="B61" s="66" t="s">
        <v>22</v>
      </c>
      <c r="C61" s="11"/>
      <c r="D61" s="11"/>
      <c r="E61" s="11"/>
      <c r="F61" s="11"/>
      <c r="G61" s="11"/>
      <c r="H61" s="11"/>
      <c r="I61" s="59"/>
      <c r="J61" s="59"/>
      <c r="K61" s="11"/>
      <c r="L61" s="11"/>
      <c r="M61" s="11"/>
      <c r="N61" s="11"/>
      <c r="O61" s="137"/>
      <c r="P61" s="137"/>
      <c r="Q61" s="137"/>
      <c r="R61" s="137"/>
      <c r="S61" s="137"/>
      <c r="T61" s="137"/>
      <c r="U61" s="137"/>
      <c r="V61" s="137"/>
      <c r="W61" s="137"/>
      <c r="X61" s="137"/>
      <c r="Y61" s="137"/>
      <c r="Z61" s="137"/>
      <c r="AA61" s="137"/>
      <c r="AB61" s="11"/>
      <c r="AC61" s="11"/>
      <c r="AD61" s="137"/>
      <c r="AE61" s="11"/>
      <c r="AF61" s="11"/>
      <c r="AG61" s="137"/>
      <c r="AH61" s="11"/>
      <c r="AI61" s="11"/>
      <c r="AJ61" s="11"/>
      <c r="AK61" s="11"/>
      <c r="AL61" s="11"/>
      <c r="AM61" s="11"/>
      <c r="AN61" s="11"/>
      <c r="AO61" s="11"/>
    </row>
    <row r="62" spans="1:41" x14ac:dyDescent="0.25">
      <c r="A62" s="65" t="s">
        <v>13</v>
      </c>
      <c r="B62" s="66" t="str">
        <f>"DEP(COS_FB) AND "&amp;$E$6&amp;"=Y,COS_FB,COSOTH,DEP(COS_OTHR) AND "&amp;$E$6&amp;"=Y,COS_OTHR,500001"</f>
        <v>DEP(COS_FB) AND D2148=Y,COS_FB,COSOTH,DEP(COS_OTHR) AND D2148=Y,COS_OTHR,500001</v>
      </c>
      <c r="C62" s="11"/>
      <c r="D62" s="11"/>
      <c r="E62" s="11"/>
      <c r="F62" s="11"/>
      <c r="G62" s="11"/>
      <c r="H62" s="11"/>
      <c r="I62" s="59"/>
      <c r="J62" s="59"/>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25">
      <c r="A63" s="65" t="s">
        <v>14</v>
      </c>
      <c r="B63" s="66"/>
      <c r="C63" s="11"/>
      <c r="D63" s="11"/>
      <c r="E63" s="11"/>
      <c r="F63" s="11"/>
      <c r="G63" s="11"/>
      <c r="H63" s="11"/>
      <c r="I63" s="59"/>
      <c r="J63" s="59"/>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25">
      <c r="A64" s="65" t="s">
        <v>15</v>
      </c>
      <c r="B64" s="66"/>
      <c r="C64" s="11"/>
      <c r="D64" s="11"/>
      <c r="E64" s="11"/>
      <c r="F64" s="11"/>
      <c r="G64" s="11"/>
      <c r="H64" s="59"/>
      <c r="I64" s="59"/>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25">
      <c r="A65" s="65" t="s">
        <v>16</v>
      </c>
      <c r="B65" s="66"/>
      <c r="C65" s="11"/>
      <c r="D65" s="11"/>
      <c r="E65" s="11"/>
      <c r="F65" s="11"/>
      <c r="G65" s="11"/>
      <c r="H65" s="59"/>
      <c r="I65" s="59"/>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25">
      <c r="A66" s="65" t="s">
        <v>17</v>
      </c>
      <c r="B66" s="66"/>
      <c r="C66" s="11"/>
      <c r="D66" s="11"/>
      <c r="E66" s="11"/>
      <c r="F66" s="11"/>
      <c r="G66" s="11"/>
      <c r="H66" s="59"/>
      <c r="I66" s="59"/>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25">
      <c r="A67" s="11"/>
      <c r="B67" s="11"/>
      <c r="C67" s="11"/>
      <c r="D67" s="11"/>
      <c r="E67" s="11"/>
      <c r="F67" s="11"/>
      <c r="G67" s="11"/>
      <c r="H67" s="59"/>
      <c r="I67" s="59"/>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25">
      <c r="A68" s="97" t="s">
        <v>92</v>
      </c>
      <c r="B68" s="98" t="s">
        <v>93</v>
      </c>
      <c r="C68" s="98" t="s">
        <v>94</v>
      </c>
      <c r="D68" s="98" t="s">
        <v>95</v>
      </c>
      <c r="E68" s="98" t="s">
        <v>96</v>
      </c>
      <c r="F68" s="99" t="s">
        <v>97</v>
      </c>
      <c r="G68" s="11"/>
      <c r="H68" s="59"/>
      <c r="I68" s="59"/>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25">
      <c r="A70" s="11" t="s">
        <v>209</v>
      </c>
      <c r="B70" s="11" t="s">
        <v>21</v>
      </c>
      <c r="C70" s="395"/>
      <c r="D70" s="11" t="s">
        <v>590</v>
      </c>
      <c r="E70" s="11"/>
      <c r="F70" s="11" t="s">
        <v>99</v>
      </c>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25">
      <c r="A71" s="11" t="s">
        <v>105</v>
      </c>
      <c r="B71" s="11"/>
      <c r="C71" s="104" t="s">
        <v>101</v>
      </c>
      <c r="D71" s="11" t="s">
        <v>106</v>
      </c>
      <c r="E71" s="11"/>
      <c r="F71" s="11" t="s">
        <v>98</v>
      </c>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11" t="s">
        <v>104</v>
      </c>
      <c r="B72" s="11"/>
      <c r="C72" s="104" t="s">
        <v>101</v>
      </c>
      <c r="D72" s="11" t="s">
        <v>106</v>
      </c>
      <c r="E72" s="11"/>
      <c r="F72" s="11" t="s">
        <v>98</v>
      </c>
      <c r="G72" s="11"/>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11" t="s">
        <v>100</v>
      </c>
      <c r="B73" s="11"/>
      <c r="C73" s="53" t="s">
        <v>101</v>
      </c>
      <c r="D73" s="11" t="s">
        <v>106</v>
      </c>
      <c r="E73" s="11"/>
      <c r="F73" s="11" t="s">
        <v>98</v>
      </c>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hidden="1" x14ac:dyDescent="0.25">
      <c r="A74" s="11" t="s">
        <v>102</v>
      </c>
      <c r="B74" s="11"/>
      <c r="C74" s="106" t="s">
        <v>101</v>
      </c>
      <c r="D74" s="11" t="s">
        <v>106</v>
      </c>
      <c r="E74" s="11"/>
      <c r="F74" s="11" t="s">
        <v>98</v>
      </c>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hidden="1" x14ac:dyDescent="0.25">
      <c r="A75" s="11" t="s">
        <v>102</v>
      </c>
      <c r="B75" s="11"/>
      <c r="C75" s="196" t="s">
        <v>101</v>
      </c>
      <c r="D75" s="11" t="s">
        <v>107</v>
      </c>
      <c r="E75" s="11"/>
      <c r="F75" s="11" t="s">
        <v>99</v>
      </c>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11" t="s">
        <v>108</v>
      </c>
      <c r="B76" s="11"/>
      <c r="C76" s="106" t="s">
        <v>101</v>
      </c>
      <c r="D76" s="11" t="s">
        <v>106</v>
      </c>
      <c r="E76" s="11"/>
      <c r="F76" s="11" t="s">
        <v>98</v>
      </c>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hidden="1" x14ac:dyDescent="0.25">
      <c r="A77" s="11" t="s">
        <v>108</v>
      </c>
      <c r="B77" s="11"/>
      <c r="C77" s="196" t="s">
        <v>101</v>
      </c>
      <c r="D77" s="11" t="s">
        <v>107</v>
      </c>
      <c r="E77" s="11"/>
      <c r="F77" s="11" t="s">
        <v>99</v>
      </c>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hidden="1" x14ac:dyDescent="0.2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11"/>
      <c r="B79" s="11"/>
      <c r="C79" s="208"/>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61"/>
      <c r="B80" s="11"/>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hidden="1" x14ac:dyDescent="0.2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hidden="1" x14ac:dyDescent="0.25">
      <c r="A82" s="62" t="s">
        <v>0</v>
      </c>
      <c r="B82" s="63" t="s">
        <v>1</v>
      </c>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65" t="s">
        <v>2</v>
      </c>
      <c r="B83" s="66" t="str">
        <f>IF(_epmOfflineCondition_,"'BCC_Group'!$B$2:$B$10",_xll.EVRNG($B$2:$B$10))</f>
        <v>'BCC_Group'!$B$2:$B$10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3</v>
      </c>
      <c r="B84" s="66" t="str">
        <f>IF(_epmOfflineCondition_,"'BCC_Group'!$O$16:$AN$18",_xll.EVRNG($O$16:$AN$18))</f>
        <v>'BCC_Group'!$O$16:$AN$18</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65" t="s">
        <v>4</v>
      </c>
      <c r="B85" s="66" t="str">
        <f>IF(_epmOfflineCondition_,"",_xll.EVRNG(#REF!,#REF!,#REF!))</f>
        <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5</v>
      </c>
      <c r="B86" s="66"/>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6</v>
      </c>
      <c r="B87" s="66"/>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7</v>
      </c>
      <c r="B88" s="66" t="str">
        <f>IF(_epmOfflineCondition_,"'BCC_Group'!$A$102:$F$108",_xll.EVRNG(A102:F108))</f>
        <v>'BCC_Group'!$A$102:$F$108</v>
      </c>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65" t="s">
        <v>47</v>
      </c>
      <c r="B89" s="66" t="str">
        <f>IF(_epmOfflineCondition_,"'BCC_Group'!$A$125:$B$146",_xll.EVRNG($A$125:$B$146))</f>
        <v>'BCC_Group'!$A$125:$B$146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8</v>
      </c>
      <c r="B90" s="66"/>
      <c r="C90" s="11"/>
      <c r="D90" s="11"/>
      <c r="E90" s="11"/>
      <c r="F90" s="11"/>
      <c r="G90" s="11"/>
      <c r="H90" s="11"/>
      <c r="I90" s="59"/>
      <c r="J90" s="59"/>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76"/>
      <c r="H91" s="11"/>
      <c r="I91" s="59"/>
      <c r="J91" s="59"/>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5" t="s">
        <v>11</v>
      </c>
      <c r="B93" s="66" t="s">
        <v>21</v>
      </c>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13</v>
      </c>
      <c r="B95" s="66" t="s">
        <v>737</v>
      </c>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65" t="s">
        <v>16</v>
      </c>
      <c r="B98" s="66" t="s">
        <v>78</v>
      </c>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17</v>
      </c>
      <c r="B99" s="66"/>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97" t="s">
        <v>92</v>
      </c>
      <c r="B101" s="98" t="s">
        <v>93</v>
      </c>
      <c r="C101" s="98" t="s">
        <v>94</v>
      </c>
      <c r="D101" s="98" t="s">
        <v>95</v>
      </c>
      <c r="E101" s="98" t="s">
        <v>96</v>
      </c>
      <c r="F101" s="99" t="s">
        <v>97</v>
      </c>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t="s">
        <v>108</v>
      </c>
      <c r="B103" s="11"/>
      <c r="C103" s="104" t="s">
        <v>101</v>
      </c>
      <c r="D103" s="11" t="s">
        <v>106</v>
      </c>
      <c r="E103" s="11"/>
      <c r="F103" s="11" t="s">
        <v>98</v>
      </c>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t="s">
        <v>100</v>
      </c>
      <c r="B104" s="11"/>
      <c r="C104" s="53" t="s">
        <v>101</v>
      </c>
      <c r="D104" s="11" t="s">
        <v>106</v>
      </c>
      <c r="E104" s="11"/>
      <c r="F104" s="11" t="s">
        <v>98</v>
      </c>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t="s">
        <v>109</v>
      </c>
      <c r="B105" s="11"/>
      <c r="C105" s="106" t="s">
        <v>101</v>
      </c>
      <c r="D105" s="11" t="s">
        <v>106</v>
      </c>
      <c r="E105" s="11"/>
      <c r="F105" s="11" t="s">
        <v>98</v>
      </c>
      <c r="G105" s="76"/>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t="s">
        <v>109</v>
      </c>
      <c r="B106" s="11"/>
      <c r="C106" s="196" t="s">
        <v>101</v>
      </c>
      <c r="D106" s="11" t="s">
        <v>107</v>
      </c>
      <c r="E106" s="11"/>
      <c r="F106" s="11" t="s">
        <v>99</v>
      </c>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t="s">
        <v>110</v>
      </c>
      <c r="B107" s="11"/>
      <c r="C107" s="106" t="s">
        <v>101</v>
      </c>
      <c r="D107" s="11" t="s">
        <v>106</v>
      </c>
      <c r="E107" s="11"/>
      <c r="F107" s="11" t="s">
        <v>98</v>
      </c>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t="s">
        <v>110</v>
      </c>
      <c r="B108" s="11"/>
      <c r="C108" s="109" t="s">
        <v>101</v>
      </c>
      <c r="D108" s="11" t="s">
        <v>107</v>
      </c>
      <c r="E108" s="11"/>
      <c r="F108" s="11" t="s">
        <v>99</v>
      </c>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208"/>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1"/>
      <c r="B111" s="11" t="s">
        <v>736</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2" t="s">
        <v>0</v>
      </c>
      <c r="B113" s="63" t="s">
        <v>1</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5" t="s">
        <v>2</v>
      </c>
      <c r="B114" s="66" t="str">
        <f>IF(_epmOfflineCondition_,"'BCC_Group'!$B$2:$B$10",_xll.EVRNG($B$2:$B$10))</f>
        <v>'BCC_Group'!$B$2:$B$10</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3</v>
      </c>
      <c r="B115" s="66" t="str">
        <f>IF(_epmOfflineCondition_,"'BCC_Group'!$O$16:$AN$18",_xll.EVRNG($O$16:$AN$18))</f>
        <v>'BCC_Group'!$O$16:$AN$18</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4</v>
      </c>
      <c r="B116" s="66" t="str">
        <f>IF(_epmOfflineCondition_,"",_xll.EVRNG(#REF!))</f>
        <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47</v>
      </c>
      <c r="B120" s="66" t="str">
        <f>IF(_epmOfflineCondition_,"'BCC_Group'!$A$125:$B$146",_xll.EVRNG($A$125:$B$146))</f>
        <v>'BCC_Group'!$A$125:$B$146</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27</v>
      </c>
      <c r="B127" s="66"/>
      <c r="C127" s="11"/>
      <c r="D127" s="11"/>
      <c r="E127" s="11"/>
      <c r="F127" s="11"/>
      <c r="G127" s="11"/>
      <c r="H127" s="11"/>
      <c r="I127" s="267"/>
      <c r="J127" s="11"/>
      <c r="K127" s="267"/>
      <c r="L127" s="267"/>
      <c r="M127" s="267"/>
      <c r="N127" s="11"/>
      <c r="O127" s="267"/>
      <c r="P127" s="267"/>
      <c r="Q127" s="267"/>
      <c r="R127" s="267"/>
      <c r="S127" s="267"/>
      <c r="T127" s="267"/>
      <c r="U127" s="267"/>
      <c r="V127" s="267"/>
      <c r="W127" s="267"/>
      <c r="X127" s="267"/>
      <c r="Y127" s="267"/>
      <c r="Z127" s="267"/>
      <c r="AA127" s="267"/>
      <c r="AB127" s="11"/>
      <c r="AC127" s="11"/>
      <c r="AD127" s="267"/>
      <c r="AE127" s="11"/>
      <c r="AF127" s="267"/>
      <c r="AG127" s="11"/>
      <c r="AH127" s="267"/>
      <c r="AI127" s="11"/>
      <c r="AJ127" s="11"/>
      <c r="AK127" s="11"/>
      <c r="AL127" s="11"/>
      <c r="AM127" s="11"/>
      <c r="AN127" s="11"/>
      <c r="AO127" s="11"/>
    </row>
    <row r="128" spans="1:41" x14ac:dyDescent="0.2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30</v>
      </c>
      <c r="B130" s="66" t="s">
        <v>78</v>
      </c>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31</v>
      </c>
      <c r="B131" s="66" t="s">
        <v>78</v>
      </c>
      <c r="C131" s="11"/>
      <c r="D131" s="11"/>
      <c r="E131" s="11"/>
      <c r="F131" s="11"/>
      <c r="G131" s="11"/>
      <c r="H131" s="11"/>
      <c r="I131" s="267"/>
      <c r="J131" s="11"/>
      <c r="K131" s="267"/>
      <c r="L131" s="267"/>
      <c r="M131" s="267"/>
      <c r="N131" s="11"/>
      <c r="O131" s="267"/>
      <c r="P131" s="267"/>
      <c r="Q131" s="267"/>
      <c r="R131" s="267"/>
      <c r="S131" s="267"/>
      <c r="T131" s="267"/>
      <c r="U131" s="267"/>
      <c r="V131" s="267"/>
      <c r="W131" s="267"/>
      <c r="X131" s="267"/>
      <c r="Y131" s="267"/>
      <c r="Z131" s="267"/>
      <c r="AA131" s="267"/>
      <c r="AB131" s="11"/>
      <c r="AC131" s="11"/>
      <c r="AD131" s="267"/>
      <c r="AE131" s="11"/>
      <c r="AF131" s="267"/>
      <c r="AG131" s="11"/>
      <c r="AH131" s="267"/>
      <c r="AI131" s="11"/>
      <c r="AJ131" s="11"/>
      <c r="AK131" s="11"/>
      <c r="AL131" s="11"/>
      <c r="AM131" s="11"/>
      <c r="AN131" s="11"/>
      <c r="AO131" s="11"/>
    </row>
    <row r="132" spans="1:41" x14ac:dyDescent="0.2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267"/>
      <c r="F167" s="11"/>
      <c r="G167" s="267"/>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267"/>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sheetData>
  <sheetProtection algorithmName="SHA-512" hashValue="0cDR5Ax5KZ2bwSTg8JzTr2wqhZUxSX+0iATsJscgvjDQ0KMVzqGRqSvyU73DYBfSorXSNUwNkKSz/1F3+u0vGg==" saltValue="kY/W1RbtYSMOowWUf8EBPw==" spinCount="100000" sheet="1" scenarios="1"/>
  <mergeCells count="2">
    <mergeCell ref="AD31:AE31"/>
    <mergeCell ref="AG31:AH31"/>
  </mergeCells>
  <dataValidations count="2">
    <dataValidation type="list" allowBlank="1" sqref="B95 B29 B62" xr:uid="{00000000-0002-0000-1900-000000000000}">
      <formula1>"SELF,ALL,BAS,DEP,BASMEMBERS,MEMBERS,NOEXPAND,GDEP"</formula1>
    </dataValidation>
    <dataValidation type="list" allowBlank="1" sqref="B94 B28 B61" xr:uid="{00000000-0002-0000-1900-000001000000}">
      <formula1>"ACCOUNT,BUSINESSUNIT,CATEGORY,DATASRC,DEPARTMENT,INTCO,MEASURES,RPTCURRENCY,TIME"</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6177" r:id="rId7" name="FPMExcelClientSheetOptionstb1">
          <controlPr defaultSize="0" autoLine="0" autoPict="0" r:id="rId8">
            <anchor moveWithCells="1" sizeWithCells="1">
              <from>
                <xdr:col>0</xdr:col>
                <xdr:colOff>0</xdr:colOff>
                <xdr:row>24</xdr:row>
                <xdr:rowOff>0</xdr:rowOff>
              </from>
              <to>
                <xdr:col>0</xdr:col>
                <xdr:colOff>0</xdr:colOff>
                <xdr:row>24</xdr:row>
                <xdr:rowOff>0</xdr:rowOff>
              </to>
            </anchor>
          </controlPr>
        </control>
      </mc:Choice>
      <mc:Fallback>
        <control shapeId="306177" r:id="rId7" name="FPMExcelClientSheetOptionstb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6">
    <tabColor theme="6" tint="0.39997558519241921"/>
    <pageSetUpPr fitToPage="1"/>
  </sheetPr>
  <dimension ref="A1:AI207"/>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47.855468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805</v>
      </c>
      <c r="C6" s="11" t="str">
        <f>IF(_epmOfflineCondition_,"Banquet CS Group",_xll.EVDES(B6,$B$1))</f>
        <v>Banquet CS Group</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IF(_epmOfflineCondition_,"'BCC_KPI_Group'!$B$2:$B$10",_xll.EVRNG($B$2:$B$10))</f>
        <v>'BCC_KPI_Group'!$B$2:$B$10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IF(_epmOfflineCondition_,"'BCC_KPI_Group'!$O$16:$AI$18",_xll.EVRNG(O16:AI18))</f>
        <v>'BCC_KPI_Group'!$O$16:$AI$18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IF(_epmOfflineCondition_,"'BCC_KPI_Group'!$H$35:$H$112",_xll.EVRNG(H35:H112))</f>
        <v>'BCC_KPI_Group'!$H$35:$H$112</v>
      </c>
      <c r="C19" s="11"/>
      <c r="D19" s="11"/>
      <c r="E19" s="11"/>
      <c r="F19" s="11"/>
      <c r="G19" s="67" t="str">
        <f>$B$6</f>
        <v>D2248</v>
      </c>
      <c r="H19" s="67" t="s">
        <v>273</v>
      </c>
      <c r="I19" s="68"/>
      <c r="J19" s="68"/>
      <c r="K19" s="67"/>
      <c r="L19" s="67"/>
      <c r="M19" s="67"/>
      <c r="N19" s="67" t="str">
        <f>IF(_epmOfflineCondition_,"Total Food &amp; Beverage Revenue",_xll.EVDES(H19))</f>
        <v>Total Food &amp; Beverage Revenue</v>
      </c>
      <c r="O19" s="69">
        <f>IF(_epmOfflineCondition_,14877,_xll.EVGTS($B$1,1,$B$3,$B$5,$B$7,$B$9,O$16,O$17,O$18,$G$19,$H$19))</f>
        <v>14877</v>
      </c>
      <c r="P19" s="69">
        <f>IF(_epmOfflineCondition_,8571,_xll.EVGTS($B$1,1,$B$3,$B$5,$B$7,$B$9,P$16,P$17,P$18,$G$19,$H$19))</f>
        <v>8571</v>
      </c>
      <c r="Q19" s="69">
        <f>IF(_epmOfflineCondition_,50297,_xll.EVGTS($B$1,1,$B$3,$B$5,$B$7,$B$9,Q$16,Q$17,Q$18,$G$19,$H$19))</f>
        <v>50297</v>
      </c>
      <c r="R19" s="69">
        <f>IF(_epmOfflineCondition_,27033,_xll.EVGTS($B$1,1,$B$3,$B$5,$B$7,$B$9,R$16,R$17,R$18,$G$19,$H$19))</f>
        <v>27033</v>
      </c>
      <c r="S19" s="69">
        <f>IF(_epmOfflineCondition_,17881.16,_xll.EVGTS($B$1,1,$B$3,$B$5,$B$7,$B$9,S$16,S$17,S$18,$G$19,$H$19))</f>
        <v>17881.16</v>
      </c>
      <c r="T19" s="69">
        <f>IF(_epmOfflineCondition_,18557,_xll.EVGTS($B$1,1,$B$3,$B$5,$B$7,$B$9,T$16,T$17,T$18,$G$19,$H$19))</f>
        <v>18557</v>
      </c>
      <c r="U19" s="69">
        <f>IF(_epmOfflineCondition_,13125,_xll.EVGTS($B$1,1,$B$3,$B$5,$B$7,$B$9,U$16,U$17,U$18,$G$19,$H$19))</f>
        <v>13125</v>
      </c>
      <c r="V19" s="69">
        <f>IF(_epmOfflineCondition_,8678.77,_xll.EVGTS($B$1,1,$B$3,$B$5,$B$7,$B$9,V$16,V$17,V$18,$G$19,$H$19))</f>
        <v>8678.77</v>
      </c>
      <c r="W19" s="69">
        <f>IF(_epmOfflineCondition_,2340,_xll.EVGTS($B$1,1,$B$3,$B$5,$B$7,$B$9,W$16,W$17,W$18,$G$19,$H$19))</f>
        <v>2340</v>
      </c>
      <c r="X19" s="69">
        <f>IF(_epmOfflineCondition_,15778,_xll.EVGTS($B$1,1,$B$3,$B$5,$B$7,$B$9,X$16,X$17,X$18,$G$19,$H$19))</f>
        <v>15778</v>
      </c>
      <c r="Y19" s="69">
        <f>IF(_epmOfflineCondition_,39275,_xll.EVGTS($B$1,1,$B$3,$B$5,$B$7,$B$9,Y$16,Y$17,Y$18,$G$19,$H$19))</f>
        <v>39275</v>
      </c>
      <c r="Z19" s="69">
        <f>IF(_epmOfflineCondition_,10700,_xll.EVGTS($B$1,1,$B$3,$B$5,$B$7,$B$9,Z$16,Z$17,Z$18,$G$19,$H$19))</f>
        <v>10700</v>
      </c>
      <c r="AA19" s="69">
        <f>SUM(O19:Z19)</f>
        <v>227112.93</v>
      </c>
      <c r="AB19" s="67"/>
      <c r="AC19" s="67"/>
      <c r="AD19" s="69">
        <f>IF(_epmOfflineCondition_,68699.2200039958,_xll.EVGTS($B$1,1,$B$3,$B$5,$B$7,$B$9,AD$16,AD$17,AD$18,$G$19,$H$19))</f>
        <v>68699.220003995797</v>
      </c>
      <c r="AE19" s="67"/>
      <c r="AF19" s="67"/>
      <c r="AG19" s="69">
        <f>IF(_epmOfflineCondition_,44783.7,_xll.EVGTS($B$1,1,$B$3,$B$5,$B$7,$B$9,AG$16,AG$17,AG$18,$G$19,$H$19))</f>
        <v>44783.7</v>
      </c>
      <c r="AH19" s="67"/>
      <c r="AI19" s="67"/>
    </row>
    <row r="20" spans="1:35" hidden="1" outlineLevel="1" x14ac:dyDescent="0.25">
      <c r="A20" s="65" t="s">
        <v>5</v>
      </c>
      <c r="B20" s="66"/>
      <c r="C20" s="11"/>
      <c r="D20" s="11"/>
      <c r="E20" s="11"/>
      <c r="F20" s="11"/>
      <c r="G20" s="67" t="str">
        <f>$B$6</f>
        <v>D2248</v>
      </c>
      <c r="H20" s="67">
        <v>946000</v>
      </c>
      <c r="I20" s="68"/>
      <c r="J20" s="68"/>
      <c r="K20" s="67"/>
      <c r="L20" s="67"/>
      <c r="M20" s="67"/>
      <c r="N20" s="67" t="str">
        <f>IF(_epmOfflineCondition_,"Total Customers",_xll.EVDES(H20))</f>
        <v>Total Customers</v>
      </c>
      <c r="O20" s="69">
        <f>IF(_epmOfflineCondition_,227,_xll.EVGTS($B$1,1,$B$3,$B$5,$B$7,$B$9,O$16,O$17,O$18,$G$20,$H$20))</f>
        <v>227</v>
      </c>
      <c r="P20" s="69">
        <f>IF(_epmOfflineCondition_,123,_xll.EVGTS($B$1,1,$B$3,$B$5,$B$7,$B$9,P$16,P$17,P$18,$G$20,$H$20))</f>
        <v>123</v>
      </c>
      <c r="Q20" s="69">
        <f>IF(_epmOfflineCondition_,625,_xll.EVGTS($B$1,1,$B$3,$B$5,$B$7,$B$9,Q$16,Q$17,Q$18,$G$20,$H$20))</f>
        <v>625</v>
      </c>
      <c r="R20" s="69">
        <f>IF(_epmOfflineCondition_,388,_xll.EVGTS($B$1,1,$B$3,$B$5,$B$7,$B$9,R$16,R$17,R$18,$G$20,$H$20))</f>
        <v>388</v>
      </c>
      <c r="S20" s="69">
        <f>IF(_epmOfflineCondition_,201,_xll.EVGTS($B$1,1,$B$3,$B$5,$B$7,$B$9,S$16,S$17,S$18,$G$20,$H$20))</f>
        <v>201</v>
      </c>
      <c r="T20" s="69">
        <f>IF(_epmOfflineCondition_,347,_xll.EVGTS($B$1,1,$B$3,$B$5,$B$7,$B$9,T$16,T$17,T$18,$G$20,$H$20))</f>
        <v>347</v>
      </c>
      <c r="U20" s="69">
        <f>IF(_epmOfflineCondition_,222,_xll.EVGTS($B$1,1,$B$3,$B$5,$B$7,$B$9,U$16,U$17,U$18,$G$20,$H$20))</f>
        <v>222</v>
      </c>
      <c r="V20" s="69">
        <f>IF(_epmOfflineCondition_,177,_xll.EVGTS($B$1,1,$B$3,$B$5,$B$7,$B$9,V$16,V$17,V$18,$G$20,$H$20))</f>
        <v>177</v>
      </c>
      <c r="W20" s="69">
        <f>IF(_epmOfflineCondition_,50,_xll.EVGTS($B$1,1,$B$3,$B$5,$B$7,$B$9,W$16,W$17,W$18,$G$20,$H$20))</f>
        <v>50</v>
      </c>
      <c r="X20" s="69">
        <f>IF(_epmOfflineCondition_,236,_xll.EVGTS($B$1,1,$B$3,$B$5,$B$7,$B$9,X$16,X$17,X$18,$G$20,$H$20))</f>
        <v>236</v>
      </c>
      <c r="Y20" s="69">
        <f>IF(_epmOfflineCondition_,1008,_xll.EVGTS($B$1,1,$B$3,$B$5,$B$7,$B$9,Y$16,Y$17,Y$18,$G$20,$H$20))</f>
        <v>1008</v>
      </c>
      <c r="Z20" s="69">
        <f>IF(_epmOfflineCondition_,337,_xll.EVGTS($B$1,1,$B$3,$B$5,$B$7,$B$9,Z$16,Z$17,Z$18,$G$20,$H$20))</f>
        <v>337</v>
      </c>
      <c r="AA20" s="69">
        <f>SUM(O20:Z20)</f>
        <v>3941</v>
      </c>
      <c r="AB20" s="67"/>
      <c r="AC20" s="67"/>
      <c r="AD20" s="69">
        <f>SUM(R20:AC20)</f>
        <v>6907</v>
      </c>
      <c r="AE20" s="67"/>
      <c r="AF20" s="67"/>
      <c r="AG20" s="69">
        <f>SUM(U20:AF20)</f>
        <v>12878</v>
      </c>
      <c r="AH20" s="67"/>
      <c r="AI20" s="67"/>
    </row>
    <row r="21" spans="1:35" hidden="1" outlineLevel="1" x14ac:dyDescent="0.25">
      <c r="A21" s="65" t="s">
        <v>6</v>
      </c>
      <c r="B21" s="66"/>
      <c r="C21" s="11"/>
      <c r="D21" s="11"/>
      <c r="E21" s="11"/>
      <c r="F21" s="11"/>
      <c r="G21" s="67" t="s">
        <v>254</v>
      </c>
      <c r="H21" s="67">
        <v>901000</v>
      </c>
      <c r="I21" s="68"/>
      <c r="J21" s="68"/>
      <c r="K21" s="67"/>
      <c r="L21" s="67"/>
      <c r="M21" s="67"/>
      <c r="N21" s="67" t="str">
        <f>IF(_epmOfflineCondition_,"Total Group Rooms Occupied",_xll.EVDES(H21))</f>
        <v>Total Group Rooms Occupied</v>
      </c>
      <c r="O21" s="69">
        <f>IF(_epmOfflineCondition_,437,_xll.EVGTS($B$1,1,$B$3,$B$5,$B$7,$B$9,O$16,O$17,O$18,$G$21,$H$21))</f>
        <v>437</v>
      </c>
      <c r="P21" s="69">
        <f>IF(_epmOfflineCondition_,278,_xll.EVGTS($B$1,1,$B$3,$B$5,$B$7,$B$9,P$16,P$17,P$18,$G$21,$H$21))</f>
        <v>278</v>
      </c>
      <c r="Q21" s="69">
        <f>IF(_epmOfflineCondition_,756,_xll.EVGTS($B$1,1,$B$3,$B$5,$B$7,$B$9,Q$16,Q$17,Q$18,$G$21,$H$21))</f>
        <v>756</v>
      </c>
      <c r="R21" s="69">
        <f>IF(_epmOfflineCondition_,527,_xll.EVGTS($B$1,1,$B$3,$B$5,$B$7,$B$9,R$16,R$17,R$18,$G$21,$H$21))</f>
        <v>527</v>
      </c>
      <c r="S21" s="69">
        <f>IF(_epmOfflineCondition_,708,_xll.EVGTS($B$1,1,$B$3,$B$5,$B$7,$B$9,S$16,S$17,S$18,$G$21,$H$21))</f>
        <v>708</v>
      </c>
      <c r="T21" s="69">
        <f>IF(_epmOfflineCondition_,453,_xll.EVGTS($B$1,1,$B$3,$B$5,$B$7,$B$9,T$16,T$17,T$18,$G$21,$H$21))</f>
        <v>453</v>
      </c>
      <c r="U21" s="69">
        <f>IF(_epmOfflineCondition_,218,_xll.EVGTS($B$1,1,$B$3,$B$5,$B$7,$B$9,U$16,U$17,U$18,$G$21,$H$21))</f>
        <v>218</v>
      </c>
      <c r="V21" s="69">
        <f>IF(_epmOfflineCondition_,69,_xll.EVGTS($B$1,1,$B$3,$B$5,$B$7,$B$9,V$16,V$17,V$18,$G$21,$H$21))</f>
        <v>69</v>
      </c>
      <c r="W21" s="69">
        <f>IF(_epmOfflineCondition_,142,_xll.EVGTS($B$1,1,$B$3,$B$5,$B$7,$B$9,W$16,W$17,W$18,$G$21,$H$21))</f>
        <v>142</v>
      </c>
      <c r="X21" s="69">
        <f>IF(_epmOfflineCondition_,257,_xll.EVGTS($B$1,1,$B$3,$B$5,$B$7,$B$9,X$16,X$17,X$18,$G$21,$H$21))</f>
        <v>257</v>
      </c>
      <c r="Y21" s="69">
        <f>IF(_epmOfflineCondition_,489,_xll.EVGTS($B$1,1,$B$3,$B$5,$B$7,$B$9,Y$16,Y$17,Y$18,$G$21,$H$21))</f>
        <v>489</v>
      </c>
      <c r="Z21" s="69">
        <f>IF(_epmOfflineCondition_,250,_xll.EVGTS($B$1,1,$B$3,$B$5,$B$7,$B$9,Z$16,Z$17,Z$18,$G$21,$H$21))</f>
        <v>250</v>
      </c>
      <c r="AA21" s="69">
        <f>IF(_epmOfflineCondition_,4584,_xll.EVGTS($B$1,1,$B$3,$B$5,$B$7,$B$9,AA$16,AA$17,AA$18,$G$21,$H$21))</f>
        <v>4584</v>
      </c>
      <c r="AB21" s="67"/>
      <c r="AC21" s="67"/>
      <c r="AD21" s="69">
        <f>IF(_epmOfflineCondition_,2735,_xll.EVGTS($B$1,1,$B$3,$B$5,$B$7,$B$9,AD$16,AD$17,AD$18,$G$21,$H$21))</f>
        <v>2735</v>
      </c>
      <c r="AE21" s="67"/>
      <c r="AF21" s="67"/>
      <c r="AG21" s="69">
        <f>IF(_epmOfflineCondition_,1440,_xll.EVGTS($B$1,1,$B$3,$B$5,$B$7,$B$9,AG$16,AG$17,AG$18,$G$21,$H$21))</f>
        <v>1440</v>
      </c>
      <c r="AH21" s="67"/>
      <c r="AI21" s="67"/>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IF(_epmOfflineCondition_,"'BCC_KPI_Group'!$A$37:$B$58",_xll.EVRNG($A$37:$B$58))</f>
        <v>'BCC_KPI_Group'!$A$37:$B$58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IF(_epmOfflineCondition_,"Banquet CS Group Department",IF($N$1="",IF(_xll.EVDES(B6,$B$1)="#NODATA","",_xll.EVDES(B6,$B$1)&amp;" Department"),$N$1))</f>
        <v>Banquet CS Group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v>6627</v>
      </c>
      <c r="P35" s="138">
        <v>818</v>
      </c>
      <c r="Q35" s="138">
        <v>12524</v>
      </c>
      <c r="R35" s="138">
        <v>2056</v>
      </c>
      <c r="S35" s="138"/>
      <c r="T35" s="138"/>
      <c r="U35" s="138"/>
      <c r="V35" s="138"/>
      <c r="W35" s="138"/>
      <c r="X35" s="138"/>
      <c r="Y35" s="138"/>
      <c r="Z35" s="138"/>
      <c r="AA35" s="138">
        <f t="shared" ref="AA35:AA41" si="0">SUM(O35:Z35)</f>
        <v>22025</v>
      </c>
      <c r="AB35" s="142">
        <f>IF(AA35=0,"",IFERROR(AA35/AA$19,""))</f>
        <v>9.697818613849947E-2</v>
      </c>
      <c r="AC35" s="140"/>
      <c r="AD35" s="138">
        <v>17900.400000000001</v>
      </c>
      <c r="AE35" s="142">
        <f>IF(AD35=0,"",IFERROR(AD35/AD$19,""))</f>
        <v>0.26056191029474352</v>
      </c>
      <c r="AF35" s="141">
        <f t="shared" ref="AF35:AF42" si="1">IF(AND($AA35="",AD35=""),"",$AA35-AD35)</f>
        <v>4124.5999999999985</v>
      </c>
      <c r="AG35" s="138">
        <v>7916</v>
      </c>
      <c r="AH35" s="142">
        <f>IF(AG35=0,"",IFERROR(AG35/AG$19,""))</f>
        <v>0.176760741073203</v>
      </c>
      <c r="AI35" s="141">
        <f t="shared" ref="AI35:AI42" si="2">IF(AND($AA35="",AG35=""),"",$AA35-AG35)</f>
        <v>14109</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c r="P36" s="138"/>
      <c r="Q36" s="138"/>
      <c r="R36" s="138"/>
      <c r="S36" s="138"/>
      <c r="T36" s="138"/>
      <c r="U36" s="138"/>
      <c r="V36" s="138"/>
      <c r="W36" s="138"/>
      <c r="X36" s="138"/>
      <c r="Y36" s="138"/>
      <c r="Z36" s="138"/>
      <c r="AA36" s="138">
        <f t="shared" si="0"/>
        <v>0</v>
      </c>
      <c r="AB36" s="142" t="str">
        <f>IF(AA36=0,"",IFERROR(AA36/AA$19,""))</f>
        <v/>
      </c>
      <c r="AC36" s="140"/>
      <c r="AD36" s="138"/>
      <c r="AE36" s="142" t="str">
        <f>IF(AD36=0,"",IFERROR(AD36/AD$19,""))</f>
        <v/>
      </c>
      <c r="AF36" s="141">
        <f t="shared" si="1"/>
        <v>0</v>
      </c>
      <c r="AG36" s="138"/>
      <c r="AH36" s="142" t="str">
        <f>IF(AG36=0,"",IFERROR(AG36/AG$19,""))</f>
        <v/>
      </c>
      <c r="AI36" s="141">
        <f t="shared" si="2"/>
        <v>0</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c r="P37" s="138"/>
      <c r="Q37" s="138"/>
      <c r="R37" s="138"/>
      <c r="S37" s="138"/>
      <c r="T37" s="138"/>
      <c r="U37" s="138"/>
      <c r="V37" s="138"/>
      <c r="W37" s="138"/>
      <c r="X37" s="138"/>
      <c r="Y37" s="138"/>
      <c r="Z37" s="138"/>
      <c r="AA37" s="138">
        <f t="shared" si="0"/>
        <v>0</v>
      </c>
      <c r="AB37" s="142" t="str">
        <f>IF(AA37=0,"",IFERROR(AA37/AA$19,""))</f>
        <v/>
      </c>
      <c r="AC37" s="140"/>
      <c r="AD37" s="138"/>
      <c r="AE37" s="142" t="str">
        <f>IF(AD37=0,"",IFERROR(AD37/AD$19,""))</f>
        <v/>
      </c>
      <c r="AF37" s="141">
        <f t="shared" si="1"/>
        <v>0</v>
      </c>
      <c r="AG37" s="138"/>
      <c r="AH37" s="142" t="str">
        <f>IF(AG37=0,"",IFERROR(AG37/AG$19,""))</f>
        <v/>
      </c>
      <c r="AI37" s="141">
        <f t="shared" si="2"/>
        <v>0</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c r="P38" s="215"/>
      <c r="Q38" s="215"/>
      <c r="R38" s="215"/>
      <c r="S38" s="215"/>
      <c r="T38" s="215"/>
      <c r="U38" s="215"/>
      <c r="V38" s="215"/>
      <c r="W38" s="215"/>
      <c r="X38" s="215"/>
      <c r="Y38" s="215"/>
      <c r="Z38" s="215"/>
      <c r="AA38" s="215">
        <f t="shared" si="0"/>
        <v>0</v>
      </c>
      <c r="AB38" s="217" t="str">
        <f>IF(AA38=0,"",IFERROR(AA38/AA$19,""))</f>
        <v/>
      </c>
      <c r="AC38" s="140"/>
      <c r="AD38" s="215"/>
      <c r="AE38" s="217" t="str">
        <f>IF(AD38=0,"",IFERROR(AD38/AD$19,""))</f>
        <v/>
      </c>
      <c r="AF38" s="218">
        <f t="shared" si="1"/>
        <v>0</v>
      </c>
      <c r="AG38" s="215"/>
      <c r="AH38" s="217" t="str">
        <f>IF(AG38=0,"",IFERROR(AG38/AG$19,""))</f>
        <v/>
      </c>
      <c r="AI38" s="218">
        <f t="shared" si="2"/>
        <v>0</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v>6627</v>
      </c>
      <c r="P39" s="162">
        <v>818</v>
      </c>
      <c r="Q39" s="162">
        <v>12524</v>
      </c>
      <c r="R39" s="162">
        <v>2056</v>
      </c>
      <c r="S39" s="162"/>
      <c r="T39" s="162"/>
      <c r="U39" s="162"/>
      <c r="V39" s="162"/>
      <c r="W39" s="162"/>
      <c r="X39" s="162"/>
      <c r="Y39" s="162"/>
      <c r="Z39" s="162"/>
      <c r="AA39" s="162">
        <f t="shared" si="0"/>
        <v>22025</v>
      </c>
      <c r="AB39" s="163">
        <f>IF(AA39=0,"",IFERROR(AA39/AA$19,""))</f>
        <v>9.697818613849947E-2</v>
      </c>
      <c r="AC39" s="140"/>
      <c r="AD39" s="162">
        <v>17900.400000000001</v>
      </c>
      <c r="AE39" s="163">
        <f>IF(AD39=0,"",IFERROR(AD39/AD$19,""))</f>
        <v>0.26056191029474352</v>
      </c>
      <c r="AF39" s="164">
        <f t="shared" si="1"/>
        <v>4124.5999999999985</v>
      </c>
      <c r="AG39" s="162">
        <v>7916</v>
      </c>
      <c r="AH39" s="163">
        <f>IF(AG39=0,"",IFERROR(AG39/AG$19,""))</f>
        <v>0.176760741073203</v>
      </c>
      <c r="AI39" s="164">
        <f t="shared" si="2"/>
        <v>14109</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c r="P40" s="231"/>
      <c r="Q40" s="231"/>
      <c r="R40" s="231"/>
      <c r="S40" s="231"/>
      <c r="T40" s="231"/>
      <c r="U40" s="231"/>
      <c r="V40" s="231"/>
      <c r="W40" s="231"/>
      <c r="X40" s="231"/>
      <c r="Y40" s="231"/>
      <c r="Z40" s="231"/>
      <c r="AA40" s="231">
        <f t="shared" si="0"/>
        <v>0</v>
      </c>
      <c r="AB40" s="233"/>
      <c r="AC40" s="140"/>
      <c r="AD40" s="231"/>
      <c r="AE40" s="233"/>
      <c r="AF40" s="234">
        <f t="shared" si="1"/>
        <v>0</v>
      </c>
      <c r="AG40" s="231"/>
      <c r="AH40" s="233"/>
      <c r="AI40" s="234">
        <f t="shared" si="2"/>
        <v>0</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v>114</v>
      </c>
      <c r="P41" s="231"/>
      <c r="Q41" s="231">
        <v>93</v>
      </c>
      <c r="R41" s="231">
        <v>7</v>
      </c>
      <c r="S41" s="231"/>
      <c r="T41" s="231"/>
      <c r="U41" s="231"/>
      <c r="V41" s="231"/>
      <c r="W41" s="231"/>
      <c r="X41" s="231"/>
      <c r="Y41" s="231"/>
      <c r="Z41" s="231"/>
      <c r="AA41" s="231">
        <f t="shared" si="0"/>
        <v>214</v>
      </c>
      <c r="AB41" s="233">
        <f>IF(AA41=0,"",IFERROR(AA41/AA$83,""))</f>
        <v>5.4300938848008122E-2</v>
      </c>
      <c r="AC41" s="140"/>
      <c r="AD41" s="231">
        <v>511.44</v>
      </c>
      <c r="AE41" s="233">
        <f>IF(AD41=0,"",IFERROR(AD41/AD$83,""))</f>
        <v>0.40302525884874596</v>
      </c>
      <c r="AF41" s="234">
        <f t="shared" si="1"/>
        <v>-297.44</v>
      </c>
      <c r="AG41" s="231">
        <v>141</v>
      </c>
      <c r="AH41" s="233">
        <f>IF(AG41=0,"",IFERROR(AG41/AG$83,""))</f>
        <v>0.21266968325791855</v>
      </c>
      <c r="AI41" s="234">
        <f t="shared" si="2"/>
        <v>73</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v>58.131578947368403</v>
      </c>
      <c r="P42" s="495"/>
      <c r="Q42" s="495">
        <v>134.666666666667</v>
      </c>
      <c r="R42" s="495">
        <v>293.71428571428601</v>
      </c>
      <c r="S42" s="495"/>
      <c r="T42" s="495"/>
      <c r="U42" s="495"/>
      <c r="V42" s="495"/>
      <c r="W42" s="495"/>
      <c r="X42" s="495"/>
      <c r="Y42" s="495"/>
      <c r="Z42" s="495"/>
      <c r="AA42" s="495">
        <f>IFERROR(AA39/AA41,"")</f>
        <v>102.92056074766356</v>
      </c>
      <c r="AB42" s="495"/>
      <c r="AC42" s="140"/>
      <c r="AD42" s="495">
        <v>35</v>
      </c>
      <c r="AE42" s="495"/>
      <c r="AF42" s="496">
        <f t="shared" si="1"/>
        <v>67.920560747663558</v>
      </c>
      <c r="AG42" s="495">
        <v>56.141843971631197</v>
      </c>
      <c r="AH42" s="495"/>
      <c r="AI42" s="496">
        <f t="shared" si="2"/>
        <v>46.778716776032361</v>
      </c>
    </row>
    <row r="43" spans="1:35" x14ac:dyDescent="0.25">
      <c r="A43" s="65" t="s">
        <v>31</v>
      </c>
      <c r="B43" s="66" t="s">
        <v>78</v>
      </c>
      <c r="C43" s="11"/>
      <c r="D43" s="11"/>
      <c r="E43" s="11"/>
      <c r="F43" s="11"/>
      <c r="G43" s="11"/>
      <c r="H43" s="88"/>
      <c r="I43" s="122"/>
      <c r="J43" s="122"/>
      <c r="K43" s="90"/>
      <c r="L43" s="90"/>
      <c r="M43" s="90"/>
      <c r="N43" s="491" t="s">
        <v>345</v>
      </c>
      <c r="O43" s="497">
        <f t="shared" ref="O43:AA43" si="3">ROUND(IFERROR(O39/O41,0),2)</f>
        <v>58.13</v>
      </c>
      <c r="P43" s="498">
        <f t="shared" si="3"/>
        <v>0</v>
      </c>
      <c r="Q43" s="498">
        <f t="shared" si="3"/>
        <v>134.66999999999999</v>
      </c>
      <c r="R43" s="498">
        <f t="shared" si="3"/>
        <v>293.70999999999998</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102.92</v>
      </c>
      <c r="AB43" s="499"/>
      <c r="AC43" s="140"/>
      <c r="AD43" s="497">
        <f>ROUND(IFERROR(AD39/AD41,0),2)</f>
        <v>35</v>
      </c>
      <c r="AE43" s="498"/>
      <c r="AF43" s="155"/>
      <c r="AG43" s="497">
        <f>ROUND(IFERROR(AG39/AG41,0),2)</f>
        <v>56.14</v>
      </c>
      <c r="AH43" s="498"/>
      <c r="AI43" s="155"/>
    </row>
    <row r="44" spans="1:35" x14ac:dyDescent="0.25">
      <c r="A44" s="65" t="s">
        <v>32</v>
      </c>
      <c r="B44" s="66"/>
      <c r="C44" s="11"/>
      <c r="D44" s="11"/>
      <c r="E44" s="11"/>
      <c r="F44" s="11"/>
      <c r="G44" s="490">
        <f>COUNTIF(O44:AI44,FALSE)</f>
        <v>0</v>
      </c>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b">
        <f t="shared" si="4"/>
        <v>1</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v>4920</v>
      </c>
      <c r="P45" s="138">
        <v>7654</v>
      </c>
      <c r="Q45" s="138">
        <v>36333</v>
      </c>
      <c r="R45" s="138">
        <v>24977</v>
      </c>
      <c r="S45" s="138">
        <v>17029.16</v>
      </c>
      <c r="T45" s="138">
        <v>18301</v>
      </c>
      <c r="U45" s="138">
        <v>13125</v>
      </c>
      <c r="V45" s="138">
        <v>7803.77</v>
      </c>
      <c r="W45" s="138">
        <v>2340</v>
      </c>
      <c r="X45" s="138">
        <v>7178</v>
      </c>
      <c r="Y45" s="138">
        <v>15223</v>
      </c>
      <c r="Z45" s="138">
        <v>11200</v>
      </c>
      <c r="AA45" s="138">
        <f t="shared" ref="AA45:AA51" si="5">SUM(O45:Z45)</f>
        <v>166083.93</v>
      </c>
      <c r="AB45" s="142">
        <f>IF(AA45=0,"",IFERROR(AA45/AA$19,""))</f>
        <v>0.73128346325328109</v>
      </c>
      <c r="AC45" s="140"/>
      <c r="AD45" s="138">
        <v>24435.6500011588</v>
      </c>
      <c r="AE45" s="142">
        <f>IF(AD45=0,"",IFERROR(AD45/AD$19,""))</f>
        <v>0.35569035572365354</v>
      </c>
      <c r="AF45" s="141">
        <f t="shared" ref="AF45:AF52" si="6">IF(AND($AA45="",AD45=""),"",$AA45-AD45)</f>
        <v>141648.2799988412</v>
      </c>
      <c r="AG45" s="138">
        <v>8085</v>
      </c>
      <c r="AH45" s="142">
        <f>IF(AG45=0,"",IFERROR(AG45/AG$19,""))</f>
        <v>0.18053443552006646</v>
      </c>
      <c r="AI45" s="141">
        <f t="shared" ref="AI45:AI52" si="7">IF(AND($AA45="",AG45=""),"",$AA45-AG45)</f>
        <v>157998.93</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c r="P46" s="138"/>
      <c r="Q46" s="138">
        <v>1003</v>
      </c>
      <c r="R46" s="138"/>
      <c r="S46" s="138">
        <v>660</v>
      </c>
      <c r="T46" s="138">
        <v>96</v>
      </c>
      <c r="U46" s="138"/>
      <c r="V46" s="138">
        <v>782</v>
      </c>
      <c r="W46" s="138"/>
      <c r="X46" s="138"/>
      <c r="Y46" s="138">
        <v>1600</v>
      </c>
      <c r="Z46" s="138"/>
      <c r="AA46" s="138">
        <f t="shared" si="5"/>
        <v>4141</v>
      </c>
      <c r="AB46" s="142">
        <f>IF(AA46=0,"",IFERROR(AA46/AA$19,""))</f>
        <v>1.8233219922793475E-2</v>
      </c>
      <c r="AC46" s="140"/>
      <c r="AD46" s="138">
        <v>764.35000005619997</v>
      </c>
      <c r="AE46" s="142">
        <f>IF(AD46=0,"",IFERROR(AD46/AD$19,""))</f>
        <v>1.1126036074525192E-2</v>
      </c>
      <c r="AF46" s="141">
        <f t="shared" si="6"/>
        <v>3376.6499999438001</v>
      </c>
      <c r="AG46" s="138">
        <v>772</v>
      </c>
      <c r="AH46" s="142">
        <f>IF(AG46=0,"",IFERROR(AG46/AG$19,""))</f>
        <v>1.7238414869695896E-2</v>
      </c>
      <c r="AI46" s="141">
        <f t="shared" si="7"/>
        <v>3369</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c r="P47" s="138"/>
      <c r="Q47" s="138">
        <v>131</v>
      </c>
      <c r="R47" s="138"/>
      <c r="S47" s="138"/>
      <c r="T47" s="138"/>
      <c r="U47" s="138"/>
      <c r="V47" s="138">
        <v>80</v>
      </c>
      <c r="W47" s="138"/>
      <c r="X47" s="138"/>
      <c r="Y47" s="138"/>
      <c r="Z47" s="138"/>
      <c r="AA47" s="138">
        <f t="shared" si="5"/>
        <v>211</v>
      </c>
      <c r="AB47" s="142">
        <f>IF(AA47=0,"",IFERROR(AA47/AA$19,""))</f>
        <v>9.2905322475475094E-4</v>
      </c>
      <c r="AC47" s="140"/>
      <c r="AD47" s="138"/>
      <c r="AE47" s="142" t="str">
        <f>IF(AD47=0,"",IFERROR(AD47/AD$19,""))</f>
        <v/>
      </c>
      <c r="AF47" s="141">
        <f t="shared" si="6"/>
        <v>211</v>
      </c>
      <c r="AG47" s="138"/>
      <c r="AH47" s="142" t="str">
        <f>IF(AG47=0,"",IFERROR(AG47/AG$19,""))</f>
        <v/>
      </c>
      <c r="AI47" s="141">
        <f t="shared" si="7"/>
        <v>211</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v>180</v>
      </c>
      <c r="P48" s="215"/>
      <c r="Q48" s="215">
        <v>306</v>
      </c>
      <c r="R48" s="215"/>
      <c r="S48" s="215">
        <v>192</v>
      </c>
      <c r="T48" s="215">
        <v>160</v>
      </c>
      <c r="U48" s="215"/>
      <c r="V48" s="215">
        <v>13</v>
      </c>
      <c r="W48" s="215"/>
      <c r="X48" s="215"/>
      <c r="Y48" s="215"/>
      <c r="Z48" s="215"/>
      <c r="AA48" s="215">
        <f t="shared" si="5"/>
        <v>851</v>
      </c>
      <c r="AB48" s="217">
        <f>IF(AA48=0,"",IFERROR(AA48/AA$19,""))</f>
        <v>3.7470345699824313E-3</v>
      </c>
      <c r="AC48" s="140"/>
      <c r="AD48" s="215"/>
      <c r="AE48" s="217" t="str">
        <f>IF(AD48=0,"",IFERROR(AD48/AD$19,""))</f>
        <v/>
      </c>
      <c r="AF48" s="218">
        <f t="shared" si="6"/>
        <v>851</v>
      </c>
      <c r="AG48" s="215"/>
      <c r="AH48" s="217" t="str">
        <f>IF(AG48=0,"",IFERROR(AG48/AG$19,""))</f>
        <v/>
      </c>
      <c r="AI48" s="218">
        <f t="shared" si="7"/>
        <v>851</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v>5100</v>
      </c>
      <c r="P49" s="162">
        <v>7654</v>
      </c>
      <c r="Q49" s="162">
        <v>37773</v>
      </c>
      <c r="R49" s="162">
        <v>24977</v>
      </c>
      <c r="S49" s="162">
        <v>17881.16</v>
      </c>
      <c r="T49" s="162">
        <v>18557</v>
      </c>
      <c r="U49" s="162">
        <v>13125</v>
      </c>
      <c r="V49" s="162">
        <v>8678.77</v>
      </c>
      <c r="W49" s="162">
        <v>2340</v>
      </c>
      <c r="X49" s="162">
        <v>7178</v>
      </c>
      <c r="Y49" s="162">
        <v>16823</v>
      </c>
      <c r="Z49" s="162">
        <v>11200</v>
      </c>
      <c r="AA49" s="162">
        <f t="shared" si="5"/>
        <v>171286.93</v>
      </c>
      <c r="AB49" s="163">
        <f>IF(AA49=0,"",IFERROR(AA49/AA$19,""))</f>
        <v>0.75419277097081172</v>
      </c>
      <c r="AC49" s="140"/>
      <c r="AD49" s="162">
        <v>25200.000001215001</v>
      </c>
      <c r="AE49" s="163">
        <f>IF(AD49=0,"",IFERROR(AD49/AD$19,""))</f>
        <v>0.36681639179817876</v>
      </c>
      <c r="AF49" s="164">
        <f t="shared" si="6"/>
        <v>146086.929998785</v>
      </c>
      <c r="AG49" s="162">
        <v>8857</v>
      </c>
      <c r="AH49" s="163">
        <f>IF(AG49=0,"",IFERROR(AG49/AG$19,""))</f>
        <v>0.19777285038976236</v>
      </c>
      <c r="AI49" s="164">
        <f t="shared" si="7"/>
        <v>162429.93</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c r="P50" s="231"/>
      <c r="Q50" s="231"/>
      <c r="R50" s="231"/>
      <c r="S50" s="231"/>
      <c r="T50" s="231"/>
      <c r="U50" s="231"/>
      <c r="V50" s="231"/>
      <c r="W50" s="231"/>
      <c r="X50" s="231"/>
      <c r="Y50" s="231"/>
      <c r="Z50" s="231"/>
      <c r="AA50" s="231">
        <f t="shared" si="5"/>
        <v>0</v>
      </c>
      <c r="AB50" s="233"/>
      <c r="AC50" s="140"/>
      <c r="AD50" s="231"/>
      <c r="AE50" s="233"/>
      <c r="AF50" s="234">
        <f t="shared" si="6"/>
        <v>0</v>
      </c>
      <c r="AG50" s="231"/>
      <c r="AH50" s="233"/>
      <c r="AI50" s="234">
        <f t="shared" si="7"/>
        <v>0</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v>84</v>
      </c>
      <c r="P51" s="231">
        <v>80</v>
      </c>
      <c r="Q51" s="231">
        <v>468</v>
      </c>
      <c r="R51" s="231">
        <v>381</v>
      </c>
      <c r="S51" s="231">
        <v>201</v>
      </c>
      <c r="T51" s="231">
        <v>347</v>
      </c>
      <c r="U51" s="231">
        <v>222</v>
      </c>
      <c r="V51" s="231">
        <v>177</v>
      </c>
      <c r="W51" s="231">
        <v>50</v>
      </c>
      <c r="X51" s="231">
        <v>136</v>
      </c>
      <c r="Y51" s="231">
        <v>356</v>
      </c>
      <c r="Z51" s="231">
        <v>305</v>
      </c>
      <c r="AA51" s="231">
        <f t="shared" si="5"/>
        <v>2807</v>
      </c>
      <c r="AB51" s="233">
        <f>IF(AA51=0,"",IFERROR(AA51/AA$83,""))</f>
        <v>0.71225577264653639</v>
      </c>
      <c r="AC51" s="140"/>
      <c r="AD51" s="231">
        <v>466.66666669</v>
      </c>
      <c r="AE51" s="233">
        <f>IF(AD51=0,"",IFERROR(AD51/AD$83,""))</f>
        <v>0.3677429495909954</v>
      </c>
      <c r="AF51" s="234">
        <f t="shared" si="6"/>
        <v>2340.3333333099999</v>
      </c>
      <c r="AG51" s="231">
        <v>265</v>
      </c>
      <c r="AH51" s="233">
        <f>IF(AG51=0,"",IFERROR(AG51/AG$83,""))</f>
        <v>0.39969834087481149</v>
      </c>
      <c r="AI51" s="234">
        <f t="shared" si="7"/>
        <v>2542</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v>60.714285714285701</v>
      </c>
      <c r="P52" s="495">
        <v>95.674999999999997</v>
      </c>
      <c r="Q52" s="495">
        <v>80.711538461538495</v>
      </c>
      <c r="R52" s="495">
        <v>65.556430446194199</v>
      </c>
      <c r="S52" s="495">
        <v>88.960995024875601</v>
      </c>
      <c r="T52" s="495">
        <v>53.478386167147001</v>
      </c>
      <c r="U52" s="495">
        <v>59.1216216216216</v>
      </c>
      <c r="V52" s="495">
        <v>49.032598870056503</v>
      </c>
      <c r="W52" s="495">
        <v>46.8</v>
      </c>
      <c r="X52" s="495">
        <v>52.779411764705898</v>
      </c>
      <c r="Y52" s="495">
        <v>47.255617977528097</v>
      </c>
      <c r="Z52" s="495">
        <v>36.721311475409799</v>
      </c>
      <c r="AA52" s="495">
        <f>IFERROR(AA49/AA51,"")</f>
        <v>61.021350195938723</v>
      </c>
      <c r="AB52" s="495"/>
      <c r="AC52" s="140"/>
      <c r="AD52" s="495">
        <v>53.999999999903601</v>
      </c>
      <c r="AE52" s="495"/>
      <c r="AF52" s="496">
        <f t="shared" si="6"/>
        <v>7.0213501960351223</v>
      </c>
      <c r="AG52" s="495">
        <v>33.422641509434001</v>
      </c>
      <c r="AH52" s="495"/>
      <c r="AI52" s="496">
        <f t="shared" si="7"/>
        <v>27.598708686504722</v>
      </c>
    </row>
    <row r="53" spans="1:35" x14ac:dyDescent="0.25">
      <c r="A53" s="65" t="s">
        <v>41</v>
      </c>
      <c r="B53" s="66"/>
      <c r="C53" s="11"/>
      <c r="D53" s="11"/>
      <c r="E53" s="11"/>
      <c r="F53" s="11"/>
      <c r="G53" s="11"/>
      <c r="H53" s="88"/>
      <c r="I53" s="122"/>
      <c r="J53" s="122"/>
      <c r="K53" s="90"/>
      <c r="L53" s="90"/>
      <c r="M53" s="90"/>
      <c r="N53" s="491" t="s">
        <v>345</v>
      </c>
      <c r="O53" s="497">
        <f t="shared" ref="O53:AA53" si="8">ROUND(IFERROR(O49/O51,0),2)</f>
        <v>60.71</v>
      </c>
      <c r="P53" s="498">
        <f t="shared" si="8"/>
        <v>95.68</v>
      </c>
      <c r="Q53" s="498">
        <f t="shared" si="8"/>
        <v>80.709999999999994</v>
      </c>
      <c r="R53" s="498">
        <f t="shared" si="8"/>
        <v>65.56</v>
      </c>
      <c r="S53" s="498">
        <f t="shared" si="8"/>
        <v>88.96</v>
      </c>
      <c r="T53" s="498">
        <f t="shared" si="8"/>
        <v>53.48</v>
      </c>
      <c r="U53" s="498">
        <f t="shared" si="8"/>
        <v>59.12</v>
      </c>
      <c r="V53" s="498">
        <f t="shared" si="8"/>
        <v>49.03</v>
      </c>
      <c r="W53" s="498">
        <f t="shared" si="8"/>
        <v>46.8</v>
      </c>
      <c r="X53" s="498">
        <f t="shared" si="8"/>
        <v>52.78</v>
      </c>
      <c r="Y53" s="498">
        <f t="shared" si="8"/>
        <v>47.26</v>
      </c>
      <c r="Z53" s="498">
        <f t="shared" si="8"/>
        <v>36.72</v>
      </c>
      <c r="AA53" s="498">
        <f t="shared" si="8"/>
        <v>61.02</v>
      </c>
      <c r="AB53" s="499"/>
      <c r="AC53" s="140"/>
      <c r="AD53" s="497">
        <f>ROUND(IFERROR(AD49/AD51,0),2)</f>
        <v>54</v>
      </c>
      <c r="AE53" s="498"/>
      <c r="AF53" s="155"/>
      <c r="AG53" s="497">
        <f>ROUND(IFERROR(AG49/AG51,0),2)</f>
        <v>33.42</v>
      </c>
      <c r="AH53" s="498"/>
      <c r="AI53" s="155"/>
    </row>
    <row r="54" spans="1:35" x14ac:dyDescent="0.25">
      <c r="A54" s="65" t="s">
        <v>42</v>
      </c>
      <c r="B54" s="66"/>
      <c r="C54" s="11"/>
      <c r="D54" s="11"/>
      <c r="E54" s="11"/>
      <c r="F54" s="11"/>
      <c r="G54" s="490">
        <f>COUNTIF(O54:AI54,FALSE)</f>
        <v>0</v>
      </c>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v>2250</v>
      </c>
      <c r="P55" s="138">
        <v>99</v>
      </c>
      <c r="Q55" s="138"/>
      <c r="R55" s="138"/>
      <c r="S55" s="138"/>
      <c r="T55" s="138"/>
      <c r="U55" s="138"/>
      <c r="V55" s="138"/>
      <c r="W55" s="138"/>
      <c r="X55" s="138">
        <v>3500</v>
      </c>
      <c r="Y55" s="138">
        <v>10888</v>
      </c>
      <c r="Z55" s="138">
        <v>-500</v>
      </c>
      <c r="AA55" s="138">
        <f t="shared" ref="AA55:AA61" si="10">SUM(O55:Z55)</f>
        <v>16237</v>
      </c>
      <c r="AB55" s="142">
        <f>IF(AA55=0,"",IFERROR(AA55/AA$19,""))</f>
        <v>7.1493067347596639E-2</v>
      </c>
      <c r="AC55" s="140"/>
      <c r="AD55" s="138">
        <v>19742.455748079399</v>
      </c>
      <c r="AE55" s="142">
        <f>IF(AD55=0,"",IFERROR(AD55/AD$19,""))</f>
        <v>0.28737525326970387</v>
      </c>
      <c r="AF55" s="141">
        <f t="shared" ref="AF55:AF62" si="11">IF(AND($AA55="",AD55=""),"",$AA55-AD55)</f>
        <v>-3505.4557480793992</v>
      </c>
      <c r="AG55" s="138">
        <v>24985.7</v>
      </c>
      <c r="AH55" s="142">
        <f>IF(AG55=0,"",IFERROR(AG55/AG$19,""))</f>
        <v>0.55791951089347247</v>
      </c>
      <c r="AI55" s="141">
        <f t="shared" ref="AI55:AI62" si="12">IF(AND($AA55="",AG55=""),"",$AA55-AG55)</f>
        <v>-8748.7000000000007</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v>450</v>
      </c>
      <c r="P56" s="138"/>
      <c r="Q56" s="138"/>
      <c r="R56" s="138"/>
      <c r="S56" s="138"/>
      <c r="T56" s="138"/>
      <c r="U56" s="138"/>
      <c r="V56" s="138"/>
      <c r="W56" s="138"/>
      <c r="X56" s="138">
        <v>5100</v>
      </c>
      <c r="Y56" s="138">
        <v>8978</v>
      </c>
      <c r="Z56" s="138"/>
      <c r="AA56" s="138">
        <f t="shared" si="10"/>
        <v>14528</v>
      </c>
      <c r="AB56" s="142">
        <f>IF(AA56=0,"",IFERROR(AA56/AA$19,""))</f>
        <v>6.396817653666835E-2</v>
      </c>
      <c r="AC56" s="140"/>
      <c r="AD56" s="138">
        <v>4400.4630545957998</v>
      </c>
      <c r="AE56" s="142">
        <f>IF(AD56=0,"",IFERROR(AD56/AD$19,""))</f>
        <v>6.4054046819452287E-2</v>
      </c>
      <c r="AF56" s="141">
        <f t="shared" si="11"/>
        <v>10127.536945404201</v>
      </c>
      <c r="AG56" s="138">
        <v>3025</v>
      </c>
      <c r="AH56" s="142">
        <f>IF(AG56=0,"",IFERROR(AG56/AG$19,""))</f>
        <v>6.7546897643562281E-2</v>
      </c>
      <c r="AI56" s="141">
        <f t="shared" si="12"/>
        <v>11503</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v>450</v>
      </c>
      <c r="P57" s="138"/>
      <c r="Q57" s="138"/>
      <c r="R57" s="138"/>
      <c r="S57" s="138"/>
      <c r="T57" s="138"/>
      <c r="U57" s="138"/>
      <c r="V57" s="138"/>
      <c r="W57" s="138"/>
      <c r="X57" s="138"/>
      <c r="Y57" s="138">
        <v>153</v>
      </c>
      <c r="Z57" s="138"/>
      <c r="AA57" s="138">
        <f t="shared" si="10"/>
        <v>603</v>
      </c>
      <c r="AB57" s="142">
        <f>IF(AA57=0,"",IFERROR(AA57/AA$19,""))</f>
        <v>2.6550667987067051E-3</v>
      </c>
      <c r="AC57" s="140"/>
      <c r="AD57" s="138">
        <v>223.98480000000001</v>
      </c>
      <c r="AE57" s="142">
        <f>IF(AD57=0,"",IFERROR(AD57/AD$19,""))</f>
        <v>3.2603688948283872E-3</v>
      </c>
      <c r="AF57" s="141">
        <f t="shared" si="11"/>
        <v>379.01519999999999</v>
      </c>
      <c r="AG57" s="138"/>
      <c r="AH57" s="142" t="str">
        <f>IF(AG57=0,"",IFERROR(AG57/AG$19,""))</f>
        <v/>
      </c>
      <c r="AI57" s="141">
        <f t="shared" si="12"/>
        <v>603</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c r="P58" s="215"/>
      <c r="Q58" s="215"/>
      <c r="R58" s="215"/>
      <c r="S58" s="215"/>
      <c r="T58" s="215"/>
      <c r="U58" s="215"/>
      <c r="V58" s="215"/>
      <c r="W58" s="215"/>
      <c r="X58" s="215"/>
      <c r="Y58" s="215">
        <v>104</v>
      </c>
      <c r="Z58" s="215"/>
      <c r="AA58" s="215">
        <f t="shared" si="10"/>
        <v>104</v>
      </c>
      <c r="AB58" s="217">
        <f>IF(AA58=0,"",IFERROR(AA58/AA$19,""))</f>
        <v>4.5792196859949805E-4</v>
      </c>
      <c r="AC58" s="140"/>
      <c r="AD58" s="215">
        <v>1231.9164001055999</v>
      </c>
      <c r="AE58" s="217">
        <f>IF(AD58=0,"",IFERROR(AD58/AD$19,""))</f>
        <v>1.7932028923093264E-2</v>
      </c>
      <c r="AF58" s="218">
        <f t="shared" si="11"/>
        <v>-1127.9164001055999</v>
      </c>
      <c r="AG58" s="215"/>
      <c r="AH58" s="217" t="str">
        <f>IF(AG58=0,"",IFERROR(AG58/AG$19,""))</f>
        <v/>
      </c>
      <c r="AI58" s="218">
        <f t="shared" si="12"/>
        <v>104</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v>3150</v>
      </c>
      <c r="P59" s="162">
        <v>99</v>
      </c>
      <c r="Q59" s="162"/>
      <c r="R59" s="162"/>
      <c r="S59" s="162"/>
      <c r="T59" s="162"/>
      <c r="U59" s="162"/>
      <c r="V59" s="162"/>
      <c r="W59" s="162"/>
      <c r="X59" s="162">
        <v>8600</v>
      </c>
      <c r="Y59" s="162">
        <v>20123</v>
      </c>
      <c r="Z59" s="162">
        <v>-500</v>
      </c>
      <c r="AA59" s="162">
        <f t="shared" si="10"/>
        <v>31472</v>
      </c>
      <c r="AB59" s="163">
        <f>IF(AA59=0,"",IFERROR(AA59/AA$19,""))</f>
        <v>0.13857423265157118</v>
      </c>
      <c r="AC59" s="140"/>
      <c r="AD59" s="162">
        <v>25598.820002780802</v>
      </c>
      <c r="AE59" s="163">
        <f>IF(AD59=0,"",IFERROR(AD59/AD$19,""))</f>
        <v>0.37262169790707783</v>
      </c>
      <c r="AF59" s="164">
        <f t="shared" si="11"/>
        <v>5873.1799972191984</v>
      </c>
      <c r="AG59" s="162">
        <v>28010.7</v>
      </c>
      <c r="AH59" s="163">
        <f>IF(AG59=0,"",IFERROR(AG59/AG$19,""))</f>
        <v>0.62546640853703472</v>
      </c>
      <c r="AI59" s="164">
        <f t="shared" si="12"/>
        <v>3461.2999999999993</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c r="P60" s="231"/>
      <c r="Q60" s="231"/>
      <c r="R60" s="231"/>
      <c r="S60" s="231"/>
      <c r="T60" s="231"/>
      <c r="U60" s="231"/>
      <c r="V60" s="231"/>
      <c r="W60" s="231"/>
      <c r="X60" s="231"/>
      <c r="Y60" s="231"/>
      <c r="Z60" s="231"/>
      <c r="AA60" s="231">
        <f t="shared" si="10"/>
        <v>0</v>
      </c>
      <c r="AB60" s="233"/>
      <c r="AC60" s="140"/>
      <c r="AD60" s="231"/>
      <c r="AE60" s="233"/>
      <c r="AF60" s="234">
        <f t="shared" si="11"/>
        <v>0</v>
      </c>
      <c r="AG60" s="231"/>
      <c r="AH60" s="233"/>
      <c r="AI60" s="234">
        <f t="shared" si="12"/>
        <v>0</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v>29</v>
      </c>
      <c r="P61" s="231">
        <v>43</v>
      </c>
      <c r="Q61" s="231">
        <v>64</v>
      </c>
      <c r="R61" s="231"/>
      <c r="S61" s="231"/>
      <c r="T61" s="231"/>
      <c r="U61" s="231"/>
      <c r="V61" s="231"/>
      <c r="W61" s="231"/>
      <c r="X61" s="231">
        <v>100</v>
      </c>
      <c r="Y61" s="231">
        <v>476</v>
      </c>
      <c r="Z61" s="231">
        <v>22</v>
      </c>
      <c r="AA61" s="231">
        <f t="shared" si="10"/>
        <v>734</v>
      </c>
      <c r="AB61" s="233">
        <f>IF(AA61=0,"",IFERROR(AA61/AA$83,""))</f>
        <v>0.18624714539456991</v>
      </c>
      <c r="AC61" s="140"/>
      <c r="AD61" s="231">
        <v>290.89568185000002</v>
      </c>
      <c r="AE61" s="233">
        <f>IF(AD61=0,"",IFERROR(AD61/AD$83,""))</f>
        <v>0.22923179156025869</v>
      </c>
      <c r="AF61" s="234">
        <f t="shared" si="11"/>
        <v>443.10431814999998</v>
      </c>
      <c r="AG61" s="231">
        <v>186</v>
      </c>
      <c r="AH61" s="233">
        <f>IF(AG61=0,"",IFERROR(AG61/AG$83,""))</f>
        <v>0.28054298642533937</v>
      </c>
      <c r="AI61" s="234">
        <f t="shared" si="12"/>
        <v>548</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v>108.620689655172</v>
      </c>
      <c r="P62" s="495">
        <v>2.3023255813953498</v>
      </c>
      <c r="Q62" s="495"/>
      <c r="R62" s="495"/>
      <c r="S62" s="495"/>
      <c r="T62" s="495"/>
      <c r="U62" s="495"/>
      <c r="V62" s="495"/>
      <c r="W62" s="495"/>
      <c r="X62" s="495">
        <v>86</v>
      </c>
      <c r="Y62" s="495">
        <v>42.275210084033603</v>
      </c>
      <c r="Z62" s="495">
        <v>-22.727272727272702</v>
      </c>
      <c r="AA62" s="495">
        <f>IFERROR(AA59/AA61,"")</f>
        <v>42.87738419618529</v>
      </c>
      <c r="AB62" s="495"/>
      <c r="AC62" s="140"/>
      <c r="AD62" s="495">
        <v>87.999999999934005</v>
      </c>
      <c r="AE62" s="495"/>
      <c r="AF62" s="496">
        <f t="shared" si="11"/>
        <v>-45.122615803748715</v>
      </c>
      <c r="AG62" s="495">
        <v>150.59516129032301</v>
      </c>
      <c r="AH62" s="495"/>
      <c r="AI62" s="496">
        <f t="shared" si="12"/>
        <v>-107.71777709413772</v>
      </c>
    </row>
    <row r="63" spans="1:35" x14ac:dyDescent="0.25">
      <c r="A63" s="11"/>
      <c r="B63" s="11"/>
      <c r="C63" s="11"/>
      <c r="D63" s="11"/>
      <c r="E63" s="11"/>
      <c r="F63" s="11"/>
      <c r="G63" s="11"/>
      <c r="H63" s="88"/>
      <c r="I63" s="122"/>
      <c r="J63" s="122"/>
      <c r="K63" s="90"/>
      <c r="L63" s="90"/>
      <c r="M63" s="90"/>
      <c r="N63" s="491" t="s">
        <v>345</v>
      </c>
      <c r="O63" s="497">
        <f t="shared" ref="O63:AA63" si="13">ROUND(IFERROR(O59/O61,0),2)</f>
        <v>108.62</v>
      </c>
      <c r="P63" s="498">
        <f t="shared" si="13"/>
        <v>2.2999999999999998</v>
      </c>
      <c r="Q63" s="498">
        <f t="shared" si="13"/>
        <v>0</v>
      </c>
      <c r="R63" s="498">
        <f t="shared" si="13"/>
        <v>0</v>
      </c>
      <c r="S63" s="498">
        <f t="shared" si="13"/>
        <v>0</v>
      </c>
      <c r="T63" s="498">
        <f t="shared" si="13"/>
        <v>0</v>
      </c>
      <c r="U63" s="498">
        <f t="shared" si="13"/>
        <v>0</v>
      </c>
      <c r="V63" s="498">
        <f t="shared" si="13"/>
        <v>0</v>
      </c>
      <c r="W63" s="498">
        <f t="shared" si="13"/>
        <v>0</v>
      </c>
      <c r="X63" s="498">
        <f t="shared" si="13"/>
        <v>86</v>
      </c>
      <c r="Y63" s="498">
        <f t="shared" si="13"/>
        <v>42.28</v>
      </c>
      <c r="Z63" s="498">
        <f t="shared" si="13"/>
        <v>-22.73</v>
      </c>
      <c r="AA63" s="498">
        <f t="shared" si="13"/>
        <v>42.88</v>
      </c>
      <c r="AB63" s="499"/>
      <c r="AC63" s="140"/>
      <c r="AD63" s="497">
        <f>ROUND(IFERROR(AD59/AD61,0),2)</f>
        <v>88</v>
      </c>
      <c r="AE63" s="498"/>
      <c r="AF63" s="155"/>
      <c r="AG63" s="497">
        <f>ROUND(IFERROR(AG59/AG61,0),2)</f>
        <v>150.6</v>
      </c>
      <c r="AH63" s="498"/>
      <c r="AI63" s="155"/>
    </row>
    <row r="64" spans="1:35" x14ac:dyDescent="0.25">
      <c r="A64" s="11"/>
      <c r="B64" s="11"/>
      <c r="C64" s="11"/>
      <c r="D64" s="11"/>
      <c r="E64" s="11"/>
      <c r="F64" s="11"/>
      <c r="G64" s="490">
        <f>COUNTIF(O64:AI64,FALSE)</f>
        <v>0</v>
      </c>
      <c r="H64" s="185"/>
      <c r="I64" s="122"/>
      <c r="J64" s="122"/>
      <c r="K64" s="90"/>
      <c r="L64" s="90"/>
      <c r="M64" s="90"/>
      <c r="N64" s="53" t="s">
        <v>807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790</v>
      </c>
      <c r="I65" s="122" t="str">
        <f>IF(_epmOfflineCondition_,"N",_xll.EVPRO($B$1,$H65,"STYLE"))</f>
        <v>N</v>
      </c>
      <c r="J65" s="122" t="str">
        <f>IF(_epmOfflineCondition_,"N",_xll.EVPRO($B$1,$H65,"CALC"))</f>
        <v>N</v>
      </c>
      <c r="K65" s="90"/>
      <c r="L65" s="90" t="str">
        <f>IF(_epmOfflineCondition_,"471110",_xll.EVPRO($B$1,H65,"JDEID"))</f>
        <v>471110</v>
      </c>
      <c r="M65" s="90" t="str">
        <f>IF(_epmOfflineCondition_,"201017",IF(AND(I65="N",J65="N"),_xll.EVPRO($B$1,H65,"PSFTID"),""))</f>
        <v>201017</v>
      </c>
      <c r="N65" s="90" t="str">
        <f>IF(_epmOfflineCondition_,"Reception Food",IF(_xll.EVDES(H65,$B$1)="#NODATA","",_xll.EVDES(H65,$B$1)))</f>
        <v>Reception Food</v>
      </c>
      <c r="O65" s="138"/>
      <c r="P65" s="138"/>
      <c r="Q65" s="138"/>
      <c r="R65" s="138"/>
      <c r="S65" s="138"/>
      <c r="T65" s="138"/>
      <c r="U65" s="138"/>
      <c r="V65" s="138"/>
      <c r="W65" s="138"/>
      <c r="X65" s="138"/>
      <c r="Y65" s="138">
        <v>1535</v>
      </c>
      <c r="Z65" s="138"/>
      <c r="AA65" s="138">
        <f t="shared" ref="AA65:AA70" si="15">SUM(O65:Z65)</f>
        <v>1535</v>
      </c>
      <c r="AB65" s="142">
        <f>IF(AA65=0,"",IFERROR(AA65/AA$19,""))</f>
        <v>6.7587521326945149E-3</v>
      </c>
      <c r="AC65" s="140"/>
      <c r="AD65" s="138"/>
      <c r="AE65" s="142" t="str">
        <f>IF(AD65=0,"",IFERROR(AD65/AD$19,""))</f>
        <v/>
      </c>
      <c r="AF65" s="141">
        <f t="shared" ref="AF65:AF71" si="16">IF(AND($AA65="",AD65=""),"",$AA65-AD65)</f>
        <v>1535</v>
      </c>
      <c r="AG65" s="138"/>
      <c r="AH65" s="142" t="str">
        <f>IF(AG65=0,"",IFERROR(AG65/AG$19,""))</f>
        <v/>
      </c>
      <c r="AI65" s="141">
        <f t="shared" ref="AI65:AI71" si="17">IF(AND($AA65="",AG65=""),"",$AA65-AG65)</f>
        <v>1535</v>
      </c>
    </row>
    <row r="66" spans="1:35" x14ac:dyDescent="0.25">
      <c r="A66" s="11"/>
      <c r="B66" s="11"/>
      <c r="C66" s="11"/>
      <c r="D66" s="11"/>
      <c r="E66" s="11"/>
      <c r="F66" s="11"/>
      <c r="G66" s="11"/>
      <c r="H66" s="185" t="s">
        <v>808</v>
      </c>
      <c r="I66" s="122" t="str">
        <f>IF(_epmOfflineCondition_,"N",_xll.EVPRO($B$1,$H66,"STYLE"))</f>
        <v>N</v>
      </c>
      <c r="J66" s="122" t="str">
        <f>IF(_epmOfflineCondition_,"N",_xll.EVPRO($B$1,$H66,"CALC"))</f>
        <v>N</v>
      </c>
      <c r="K66" s="90"/>
      <c r="L66" s="90" t="str">
        <f>IF(_epmOfflineCondition_,"471210",_xll.EVPRO($B$1,H66,"JDEID"))</f>
        <v>471210</v>
      </c>
      <c r="M66" s="90" t="str">
        <f>IF(_epmOfflineCondition_,"NA",IF(AND(I66="N",J66="N"),_xll.EVPRO($B$1,H66,"PSFTID"),""))</f>
        <v>NA</v>
      </c>
      <c r="N66" s="90" t="str">
        <f>IF(_epmOfflineCondition_,"Reception Liquor",IF(_xll.EVDES(H66,$B$1)="#NODATA","",_xll.EVDES(H66,$B$1)))</f>
        <v>Reception Liquor</v>
      </c>
      <c r="O66" s="138"/>
      <c r="P66" s="138"/>
      <c r="Q66" s="138"/>
      <c r="R66" s="138"/>
      <c r="S66" s="138"/>
      <c r="T66" s="138"/>
      <c r="U66" s="138"/>
      <c r="V66" s="138"/>
      <c r="W66" s="138"/>
      <c r="X66" s="138"/>
      <c r="Y66" s="138">
        <v>615</v>
      </c>
      <c r="Z66" s="138"/>
      <c r="AA66" s="138">
        <f t="shared" si="15"/>
        <v>615</v>
      </c>
      <c r="AB66" s="142">
        <f>IF(AA66=0,"",IFERROR(AA66/AA$19,""))</f>
        <v>2.7079039489297241E-3</v>
      </c>
      <c r="AC66" s="140"/>
      <c r="AD66" s="138"/>
      <c r="AE66" s="142" t="str">
        <f>IF(AD66=0,"",IFERROR(AD66/AD$19,""))</f>
        <v/>
      </c>
      <c r="AF66" s="141">
        <f t="shared" si="16"/>
        <v>615</v>
      </c>
      <c r="AG66" s="138"/>
      <c r="AH66" s="142" t="str">
        <f>IF(AG66=0,"",IFERROR(AG66/AG$19,""))</f>
        <v/>
      </c>
      <c r="AI66" s="141">
        <f t="shared" si="17"/>
        <v>615</v>
      </c>
    </row>
    <row r="67" spans="1:35" x14ac:dyDescent="0.25">
      <c r="A67" s="11"/>
      <c r="B67" s="11"/>
      <c r="C67" s="11"/>
      <c r="D67" s="11"/>
      <c r="E67" s="11"/>
      <c r="F67" s="11"/>
      <c r="G67" s="11"/>
      <c r="H67" s="185" t="s">
        <v>809</v>
      </c>
      <c r="I67" s="122" t="str">
        <f>IF(_epmOfflineCondition_,"N",_xll.EVPRO($B$1,$H67,"STYLE"))</f>
        <v>N</v>
      </c>
      <c r="J67" s="122" t="str">
        <f>IF(_epmOfflineCondition_,"N",_xll.EVPRO($B$1,$H67,"CALC"))</f>
        <v>N</v>
      </c>
      <c r="K67" s="90"/>
      <c r="L67" s="90" t="str">
        <f>IF(_epmOfflineCondition_,"471310",_xll.EVPRO($B$1,H67,"JDEID"))</f>
        <v>471310</v>
      </c>
      <c r="M67" s="90" t="str">
        <f>IF(_epmOfflineCondition_,"NA",IF(AND(I67="N",J67="N"),_xll.EVPRO($B$1,H67,"PSFTID"),""))</f>
        <v>NA</v>
      </c>
      <c r="N67" s="90" t="str">
        <f>IF(_epmOfflineCondition_,"Reception Beer",IF(_xll.EVDES(H67,$B$1)="#NODATA","",_xll.EVDES(H67,$B$1)))</f>
        <v>Reception Beer</v>
      </c>
      <c r="O67" s="138"/>
      <c r="P67" s="138"/>
      <c r="Q67" s="138"/>
      <c r="R67" s="138"/>
      <c r="S67" s="138"/>
      <c r="T67" s="138"/>
      <c r="U67" s="138"/>
      <c r="V67" s="138"/>
      <c r="W67" s="138"/>
      <c r="X67" s="138"/>
      <c r="Y67" s="138">
        <v>127</v>
      </c>
      <c r="Z67" s="138"/>
      <c r="AA67" s="138">
        <f t="shared" si="15"/>
        <v>127</v>
      </c>
      <c r="AB67" s="142">
        <f>IF(AA67=0,"",IFERROR(AA67/AA$19,""))</f>
        <v>5.591931731936178E-4</v>
      </c>
      <c r="AC67" s="140"/>
      <c r="AD67" s="138"/>
      <c r="AE67" s="142" t="str">
        <f>IF(AD67=0,"",IFERROR(AD67/AD$19,""))</f>
        <v/>
      </c>
      <c r="AF67" s="141">
        <f t="shared" si="16"/>
        <v>127</v>
      </c>
      <c r="AG67" s="138"/>
      <c r="AH67" s="142" t="str">
        <f>IF(AG67=0,"",IFERROR(AG67/AG$19,""))</f>
        <v/>
      </c>
      <c r="AI67" s="141">
        <f t="shared" si="17"/>
        <v>127</v>
      </c>
    </row>
    <row r="68" spans="1:35" x14ac:dyDescent="0.25">
      <c r="A68" s="11"/>
      <c r="B68" s="11"/>
      <c r="C68" s="11"/>
      <c r="D68" s="11"/>
      <c r="E68" s="11"/>
      <c r="F68" s="11"/>
      <c r="G68" s="11"/>
      <c r="H68" s="185" t="s">
        <v>810</v>
      </c>
      <c r="I68" s="122" t="str">
        <f>IF(_epmOfflineCondition_,"N",_xll.EVPRO($B$1,$H68,"STYLE"))</f>
        <v>N</v>
      </c>
      <c r="J68" s="122" t="str">
        <f>IF(_epmOfflineCondition_,"N",_xll.EVPRO($B$1,$H68,"CALC"))</f>
        <v>N</v>
      </c>
      <c r="K68" s="90"/>
      <c r="L68" s="90" t="str">
        <f>IF(_epmOfflineCondition_,"471410",_xll.EVPRO($B$1,H68,"JDEID"))</f>
        <v>471410</v>
      </c>
      <c r="M68" s="90" t="str">
        <f>IF(_epmOfflineCondition_,"NA",IF(AND(I68="N",J68="N"),_xll.EVPRO($B$1,H68,"PSFTID"),""))</f>
        <v>NA</v>
      </c>
      <c r="N68" s="90" t="str">
        <f>IF(_epmOfflineCondition_,"Reception Wine",IF(_xll.EVDES(H68,$B$1)="#NODATA","",_xll.EVDES(H68,$B$1)))</f>
        <v>Reception Wine</v>
      </c>
      <c r="O68" s="215"/>
      <c r="P68" s="215"/>
      <c r="Q68" s="215"/>
      <c r="R68" s="215"/>
      <c r="S68" s="215"/>
      <c r="T68" s="215"/>
      <c r="U68" s="215"/>
      <c r="V68" s="215"/>
      <c r="W68" s="215"/>
      <c r="X68" s="215"/>
      <c r="Y68" s="215">
        <v>52</v>
      </c>
      <c r="Z68" s="215"/>
      <c r="AA68" s="215">
        <f t="shared" si="15"/>
        <v>52</v>
      </c>
      <c r="AB68" s="217">
        <f>IF(AA68=0,"",IFERROR(AA68/AA$19,""))</f>
        <v>2.2896098429974902E-4</v>
      </c>
      <c r="AC68" s="140"/>
      <c r="AD68" s="215"/>
      <c r="AE68" s="217" t="str">
        <f>IF(AD68=0,"",IFERROR(AD68/AD$19,""))</f>
        <v/>
      </c>
      <c r="AF68" s="218">
        <f t="shared" si="16"/>
        <v>52</v>
      </c>
      <c r="AG68" s="215"/>
      <c r="AH68" s="217" t="str">
        <f>IF(AG68=0,"",IFERROR(AG68/AG$19,""))</f>
        <v/>
      </c>
      <c r="AI68" s="218">
        <f t="shared" si="17"/>
        <v>52</v>
      </c>
    </row>
    <row r="69" spans="1:35" x14ac:dyDescent="0.25">
      <c r="A69" s="11"/>
      <c r="B69" s="11"/>
      <c r="C69" s="11"/>
      <c r="D69" s="11"/>
      <c r="E69" s="11"/>
      <c r="F69" s="11"/>
      <c r="G69" s="11"/>
      <c r="H69" s="185" t="s">
        <v>811</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IF(_epmOfflineCondition_,"Reception Revenue",IF(_xll.EVDES(H69,$B$1)="#NODATA","",_xll.EVDES(H69,$B$1)))</f>
        <v>Reception Revenue</v>
      </c>
      <c r="O69" s="162"/>
      <c r="P69" s="162"/>
      <c r="Q69" s="162"/>
      <c r="R69" s="162"/>
      <c r="S69" s="162"/>
      <c r="T69" s="162"/>
      <c r="U69" s="162"/>
      <c r="V69" s="162"/>
      <c r="W69" s="162"/>
      <c r="X69" s="162"/>
      <c r="Y69" s="162">
        <v>2329</v>
      </c>
      <c r="Z69" s="162"/>
      <c r="AA69" s="162">
        <f t="shared" si="15"/>
        <v>2329</v>
      </c>
      <c r="AB69" s="163">
        <f>IF(AA69=0,"",IFERROR(AA69/AA$19,""))</f>
        <v>1.0254810239117606E-2</v>
      </c>
      <c r="AC69" s="140"/>
      <c r="AD69" s="162"/>
      <c r="AE69" s="163" t="str">
        <f>IF(AD69=0,"",IFERROR(AD69/AD$19,""))</f>
        <v/>
      </c>
      <c r="AF69" s="164">
        <f t="shared" si="16"/>
        <v>2329</v>
      </c>
      <c r="AG69" s="162"/>
      <c r="AH69" s="163" t="str">
        <f>IF(AG69=0,"",IFERROR(AG69/AG$19,""))</f>
        <v/>
      </c>
      <c r="AI69" s="164">
        <f t="shared" si="17"/>
        <v>2329</v>
      </c>
    </row>
    <row r="70" spans="1:35" x14ac:dyDescent="0.25">
      <c r="A70" s="11"/>
      <c r="B70" s="11"/>
      <c r="C70" s="11"/>
      <c r="D70" s="11"/>
      <c r="E70" s="11"/>
      <c r="F70" s="11"/>
      <c r="G70" s="11"/>
      <c r="H70" s="185" t="s">
        <v>812</v>
      </c>
      <c r="I70" s="122" t="str">
        <f>IF(_epmOfflineCondition_,"N",_xll.EVPRO($B$1,$H70,"STYLE"))</f>
        <v>N</v>
      </c>
      <c r="J70" s="122" t="str">
        <f>IF(_epmOfflineCondition_,"N",_xll.EVPRO($B$1,$H70,"CALC"))</f>
        <v>N</v>
      </c>
      <c r="K70" s="90"/>
      <c r="L70" s="90" t="str">
        <f>IF(_epmOfflineCondition_,"946700",_xll.EVPRO($B$1,H70,"JDEID"))</f>
        <v>946700</v>
      </c>
      <c r="M70" s="90" t="str">
        <f>IF(_epmOfflineCondition_,"991508",IF(AND(I70="N",J70="N"),_xll.EVPRO($B$1,H70,"PSFTID"),""))</f>
        <v>991508</v>
      </c>
      <c r="N70" s="90" t="str">
        <f>IF(_epmOfflineCondition_,"Reception Customers",IF(_xll.EVDES(H70,$B$1)="#NODATA","",_xll.EVDES(H70,$B$1)))</f>
        <v>Reception Customers</v>
      </c>
      <c r="O70" s="231"/>
      <c r="P70" s="231"/>
      <c r="Q70" s="231"/>
      <c r="R70" s="231"/>
      <c r="S70" s="231"/>
      <c r="T70" s="231"/>
      <c r="U70" s="231"/>
      <c r="V70" s="231"/>
      <c r="W70" s="231"/>
      <c r="X70" s="231"/>
      <c r="Y70" s="231">
        <v>176</v>
      </c>
      <c r="Z70" s="231">
        <v>10</v>
      </c>
      <c r="AA70" s="231">
        <f t="shared" si="15"/>
        <v>186</v>
      </c>
      <c r="AB70" s="233">
        <f>IF(AA70=0,"",IFERROR(AA70/AA$83,""))</f>
        <v>4.7196143110885561E-2</v>
      </c>
      <c r="AC70" s="140"/>
      <c r="AD70" s="231"/>
      <c r="AE70" s="233" t="str">
        <f>IF(AD70=0,"",IFERROR(AD70/AD$83,""))</f>
        <v/>
      </c>
      <c r="AF70" s="234">
        <f t="shared" si="16"/>
        <v>186</v>
      </c>
      <c r="AG70" s="231">
        <v>71</v>
      </c>
      <c r="AH70" s="233">
        <f>IF(AG70=0,"",IFERROR(AG70/AG$83,""))</f>
        <v>0.10708898944193061</v>
      </c>
      <c r="AI70" s="234">
        <f t="shared" si="17"/>
        <v>115</v>
      </c>
    </row>
    <row r="71" spans="1:35" x14ac:dyDescent="0.25">
      <c r="A71" s="11"/>
      <c r="B71" s="11"/>
      <c r="C71" s="11"/>
      <c r="D71" s="11"/>
      <c r="E71" s="11"/>
      <c r="F71" s="11"/>
      <c r="G71" s="11"/>
      <c r="H71" s="185" t="s">
        <v>813</v>
      </c>
      <c r="I71" s="122" t="str">
        <f>IF(_epmOfflineCondition_,"N",_xll.EVPRO($B$1,$H71,"STYLE"))</f>
        <v>N</v>
      </c>
      <c r="J71" s="122" t="str">
        <f>IF(_epmOfflineCondition_,"Y",_xll.EVPRO($B$1,$H71,"CALC"))</f>
        <v>Y</v>
      </c>
      <c r="K71" s="90"/>
      <c r="L71" s="90" t="str">
        <f>IF(_epmOfflineCondition_,"",_xll.EVPRO($B$1,H71,"JDEID"))</f>
        <v/>
      </c>
      <c r="M71" s="90" t="str">
        <f>IF(_epmOfflineCondition_,"",IF(AND(I71="N",J71="N"),_xll.EVPRO($B$1,H71,"PSFTID"),""))</f>
        <v/>
      </c>
      <c r="N71" s="190" t="str">
        <f>IF(_epmOfflineCondition_,"Reception Average Check",IF(_xll.EVDES(H71,$B$1)="#NODATA","",_xll.EVDES(H71,$B$1)))</f>
        <v>Reception Average Check</v>
      </c>
      <c r="O71" s="495"/>
      <c r="P71" s="495"/>
      <c r="Q71" s="495"/>
      <c r="R71" s="495"/>
      <c r="S71" s="495"/>
      <c r="T71" s="495"/>
      <c r="U71" s="495"/>
      <c r="V71" s="495"/>
      <c r="W71" s="495"/>
      <c r="X71" s="495"/>
      <c r="Y71" s="495">
        <v>13.232954545454501</v>
      </c>
      <c r="Z71" s="495"/>
      <c r="AA71" s="495">
        <f>IFERROR(AA69/AA70,"")</f>
        <v>12.521505376344086</v>
      </c>
      <c r="AB71" s="495"/>
      <c r="AC71" s="140"/>
      <c r="AD71" s="495"/>
      <c r="AE71" s="495"/>
      <c r="AF71" s="496">
        <f t="shared" si="16"/>
        <v>12.521505376344086</v>
      </c>
      <c r="AG71" s="495"/>
      <c r="AH71" s="495"/>
      <c r="AI71" s="496">
        <f t="shared" si="17"/>
        <v>12.521505376344086</v>
      </c>
    </row>
    <row r="72" spans="1:35" x14ac:dyDescent="0.25">
      <c r="A72" s="11"/>
      <c r="B72" s="11"/>
      <c r="C72" s="11"/>
      <c r="D72" s="11"/>
      <c r="E72" s="11"/>
      <c r="F72" s="11"/>
      <c r="G72" s="11"/>
      <c r="H72" s="88"/>
      <c r="I72" s="122"/>
      <c r="J72" s="122"/>
      <c r="K72" s="90"/>
      <c r="L72" s="90"/>
      <c r="M72" s="90"/>
      <c r="N72" s="491" t="s">
        <v>345</v>
      </c>
      <c r="O72" s="497">
        <f t="shared" ref="O72:AA72" si="18">ROUND(IFERROR(O69/O70,0),2)</f>
        <v>0</v>
      </c>
      <c r="P72" s="498">
        <f t="shared" si="18"/>
        <v>0</v>
      </c>
      <c r="Q72" s="498">
        <f t="shared" si="18"/>
        <v>0</v>
      </c>
      <c r="R72" s="498">
        <f t="shared" si="18"/>
        <v>0</v>
      </c>
      <c r="S72" s="498">
        <f t="shared" si="18"/>
        <v>0</v>
      </c>
      <c r="T72" s="498">
        <f t="shared" si="18"/>
        <v>0</v>
      </c>
      <c r="U72" s="498">
        <f t="shared" si="18"/>
        <v>0</v>
      </c>
      <c r="V72" s="498">
        <f t="shared" si="18"/>
        <v>0</v>
      </c>
      <c r="W72" s="498">
        <f t="shared" si="18"/>
        <v>0</v>
      </c>
      <c r="X72" s="498">
        <f t="shared" si="18"/>
        <v>0</v>
      </c>
      <c r="Y72" s="498">
        <f t="shared" si="18"/>
        <v>13.23</v>
      </c>
      <c r="Z72" s="498">
        <f t="shared" si="18"/>
        <v>0</v>
      </c>
      <c r="AA72" s="498">
        <f t="shared" si="18"/>
        <v>12.52</v>
      </c>
      <c r="AB72" s="499"/>
      <c r="AC72" s="140"/>
      <c r="AD72" s="497">
        <f>ROUND(IFERROR(AD69/AD70,0),2)</f>
        <v>0</v>
      </c>
      <c r="AE72" s="498"/>
      <c r="AF72" s="155"/>
      <c r="AG72" s="497">
        <f>ROUND(IFERROR(AG69/AG70,0),2)</f>
        <v>0</v>
      </c>
      <c r="AH72" s="498"/>
      <c r="AI72" s="155"/>
    </row>
    <row r="73" spans="1:35" x14ac:dyDescent="0.25">
      <c r="A73" s="11"/>
      <c r="B73" s="11"/>
      <c r="C73" s="11"/>
      <c r="D73" s="11"/>
      <c r="E73" s="11"/>
      <c r="F73" s="11"/>
      <c r="G73" s="490">
        <f>COUNTIF(O73:AI73,FALSE)</f>
        <v>0</v>
      </c>
      <c r="H73" s="185"/>
      <c r="I73" s="122"/>
      <c r="J73" s="122"/>
      <c r="K73" s="90"/>
      <c r="L73" s="90"/>
      <c r="M73" s="90"/>
      <c r="N73" s="53" t="s">
        <v>814</v>
      </c>
      <c r="O73" s="500" t="b">
        <f t="shared" ref="O73:AA73" si="19">ROUND(O71,2)=ROUND(O72,2)</f>
        <v>1</v>
      </c>
      <c r="P73" s="501" t="b">
        <f t="shared" si="19"/>
        <v>1</v>
      </c>
      <c r="Q73" s="501" t="b">
        <f t="shared" si="19"/>
        <v>1</v>
      </c>
      <c r="R73" s="501" t="b">
        <f t="shared" si="19"/>
        <v>1</v>
      </c>
      <c r="S73" s="501" t="b">
        <f t="shared" si="19"/>
        <v>1</v>
      </c>
      <c r="T73" s="501" t="b">
        <f t="shared" si="19"/>
        <v>1</v>
      </c>
      <c r="U73" s="501" t="b">
        <f t="shared" si="19"/>
        <v>1</v>
      </c>
      <c r="V73" s="501" t="b">
        <f t="shared" si="19"/>
        <v>1</v>
      </c>
      <c r="W73" s="501" t="b">
        <f t="shared" si="19"/>
        <v>1</v>
      </c>
      <c r="X73" s="501" t="b">
        <f t="shared" si="19"/>
        <v>1</v>
      </c>
      <c r="Y73" s="501" t="b">
        <f t="shared" si="19"/>
        <v>1</v>
      </c>
      <c r="Z73" s="501" t="b">
        <f t="shared" si="19"/>
        <v>1</v>
      </c>
      <c r="AA73" s="501" t="b">
        <f t="shared" si="19"/>
        <v>1</v>
      </c>
      <c r="AB73" s="502"/>
      <c r="AC73" s="503"/>
      <c r="AD73" s="500"/>
      <c r="AE73" s="501" t="b">
        <f>ROUND(AD71,2)=ROUND(AD72,2)</f>
        <v>1</v>
      </c>
      <c r="AF73" s="502"/>
      <c r="AG73" s="500"/>
      <c r="AH73" s="501" t="b">
        <f>ROUND(AG71,2)=ROUND(AG72,2)</f>
        <v>1</v>
      </c>
      <c r="AI73" s="502"/>
    </row>
    <row r="74" spans="1:35" x14ac:dyDescent="0.25">
      <c r="A74" s="11"/>
      <c r="B74" s="11"/>
      <c r="C74" s="11"/>
      <c r="D74" s="11"/>
      <c r="E74" s="11"/>
      <c r="F74" s="11"/>
      <c r="G74" s="11"/>
      <c r="H74" s="185" t="s">
        <v>789</v>
      </c>
      <c r="I74" s="122" t="str">
        <f>IF(_epmOfflineCondition_,"N",_xll.EVPRO($B$1,$H74,"STYLE"))</f>
        <v>N</v>
      </c>
      <c r="J74" s="122" t="str">
        <f>IF(_epmOfflineCondition_,"N",_xll.EVPRO($B$1,$H74,"CALC"))</f>
        <v>N</v>
      </c>
      <c r="K74" s="90"/>
      <c r="L74" s="90" t="str">
        <f>IF(_epmOfflineCondition_,"470110",_xll.EVPRO($B$1,H74,"JDEID"))</f>
        <v>470110</v>
      </c>
      <c r="M74" s="90" t="str">
        <f>IF(_epmOfflineCondition_,"201016",IF(AND(I74="N",J74="N"),_xll.EVPRO($B$1,H74,"PSFTID"),""))</f>
        <v>201016</v>
      </c>
      <c r="N74" s="90" t="str">
        <f>IF(_epmOfflineCondition_,"Break Food",IF(_xll.EVDES(H74,$B$1)="#NODATA","",_xll.EVDES(H74,$B$1)))</f>
        <v>Break Food</v>
      </c>
      <c r="O74" s="138"/>
      <c r="P74" s="138"/>
      <c r="Q74" s="138"/>
      <c r="R74" s="138"/>
      <c r="S74" s="138"/>
      <c r="T74" s="138"/>
      <c r="U74" s="138"/>
      <c r="V74" s="138"/>
      <c r="W74" s="138"/>
      <c r="X74" s="138"/>
      <c r="Y74" s="138"/>
      <c r="Z74" s="138"/>
      <c r="AA74" s="138">
        <f>SUM(O74:Z74)</f>
        <v>0</v>
      </c>
      <c r="AB74" s="142" t="str">
        <f>IF(AA74=0,"",IFERROR(AA74/AA$19,""))</f>
        <v/>
      </c>
      <c r="AC74" s="140"/>
      <c r="AD74" s="138"/>
      <c r="AE74" s="142" t="str">
        <f>IF(AD74=0,"",IFERROR(AD74/AD$19,""))</f>
        <v/>
      </c>
      <c r="AF74" s="141">
        <f>IF(AND($AA74="",AD74=""),"",$AA74-AD74)</f>
        <v>0</v>
      </c>
      <c r="AG74" s="138"/>
      <c r="AH74" s="142" t="str">
        <f>IF(AG74=0,"",IFERROR(AG74/AG$19,""))</f>
        <v/>
      </c>
      <c r="AI74" s="141">
        <f>IF(AND($AA74="",AG74=""),"",$AA74-AG74)</f>
        <v>0</v>
      </c>
    </row>
    <row r="75" spans="1:35" x14ac:dyDescent="0.25">
      <c r="A75" s="11"/>
      <c r="B75" s="11"/>
      <c r="C75" s="208"/>
      <c r="D75" s="11"/>
      <c r="E75" s="11"/>
      <c r="F75" s="11"/>
      <c r="G75" s="11"/>
      <c r="H75" s="185" t="s">
        <v>815</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IF(_epmOfflineCondition_,"Break Revenue",IF(_xll.EVDES(H75,$B$1)="#NODATA","",_xll.EVDES(H75,$B$1)))</f>
        <v>Break Revenue</v>
      </c>
      <c r="O75" s="162"/>
      <c r="P75" s="162"/>
      <c r="Q75" s="162"/>
      <c r="R75" s="162"/>
      <c r="S75" s="162"/>
      <c r="T75" s="162"/>
      <c r="U75" s="162"/>
      <c r="V75" s="162"/>
      <c r="W75" s="162"/>
      <c r="X75" s="162"/>
      <c r="Y75" s="162"/>
      <c r="Z75" s="162"/>
      <c r="AA75" s="162">
        <f>SUM(O75:Z75)</f>
        <v>0</v>
      </c>
      <c r="AB75" s="163" t="str">
        <f>IF(AA75=0,"",IFERROR(AA75/AA$19,""))</f>
        <v/>
      </c>
      <c r="AC75" s="140"/>
      <c r="AD75" s="162"/>
      <c r="AE75" s="163" t="str">
        <f>IF(AD75=0,"",IFERROR(AD75/AD$19,""))</f>
        <v/>
      </c>
      <c r="AF75" s="164">
        <f>IF(AND($AA75="",AD75=""),"",$AA75-AD75)</f>
        <v>0</v>
      </c>
      <c r="AG75" s="162"/>
      <c r="AH75" s="163" t="str">
        <f>IF(AG75=0,"",IFERROR(AG75/AG$19,""))</f>
        <v/>
      </c>
      <c r="AI75" s="164">
        <f>IF(AND($AA75="",AG75=""),"",$AA75-AG75)</f>
        <v>0</v>
      </c>
    </row>
    <row r="76" spans="1:35" x14ac:dyDescent="0.25">
      <c r="A76" s="11"/>
      <c r="B76" s="11"/>
      <c r="C76" s="208"/>
      <c r="D76" s="11"/>
      <c r="E76" s="11"/>
      <c r="F76" s="11"/>
      <c r="G76" s="11"/>
      <c r="H76" s="185" t="s">
        <v>816</v>
      </c>
      <c r="I76" s="122" t="str">
        <f>IF(_epmOfflineCondition_,"N",_xll.EVPRO($B$1,$H76,"STYLE"))</f>
        <v>N</v>
      </c>
      <c r="J76" s="122" t="str">
        <f>IF(_epmOfflineCondition_,"N",_xll.EVPRO($B$1,$H76,"CALC"))</f>
        <v>N</v>
      </c>
      <c r="K76" s="90"/>
      <c r="L76" s="90" t="str">
        <f>IF(_epmOfflineCondition_,"946600",_xll.EVPRO($B$1,H76,"JDEID"))</f>
        <v>946600</v>
      </c>
      <c r="M76" s="90" t="str">
        <f>IF(_epmOfflineCondition_,"991507",IF(AND(I76="N",J76="N"),_xll.EVPRO($B$1,H76,"PSFTID"),""))</f>
        <v>991507</v>
      </c>
      <c r="N76" s="90" t="str">
        <f>IF(_epmOfflineCondition_,"Break Customers",IF(_xll.EVDES(H76,$B$1)="#NODATA","",_xll.EVDES(H76,$B$1)))</f>
        <v>Break Customers</v>
      </c>
      <c r="O76" s="231"/>
      <c r="P76" s="231"/>
      <c r="Q76" s="231"/>
      <c r="R76" s="231"/>
      <c r="S76" s="231"/>
      <c r="T76" s="231"/>
      <c r="U76" s="231"/>
      <c r="V76" s="231"/>
      <c r="W76" s="231"/>
      <c r="X76" s="231"/>
      <c r="Y76" s="231"/>
      <c r="Z76" s="231"/>
      <c r="AA76" s="231">
        <f>SUM(O76:Z76)</f>
        <v>0</v>
      </c>
      <c r="AB76" s="233" t="str">
        <f>IF(AA76=0,"",IFERROR(AA76/AA$83,""))</f>
        <v/>
      </c>
      <c r="AC76" s="140"/>
      <c r="AD76" s="231"/>
      <c r="AE76" s="233" t="str">
        <f>IF(AD76=0,"",IFERROR(AD76/AD$83,""))</f>
        <v/>
      </c>
      <c r="AF76" s="234">
        <f>IF(AND($AA76="",AD76=""),"",$AA76-AD76)</f>
        <v>0</v>
      </c>
      <c r="AG76" s="231"/>
      <c r="AH76" s="233" t="str">
        <f>IF(AG76=0,"",IFERROR(AG76/AG$83,""))</f>
        <v/>
      </c>
      <c r="AI76" s="234">
        <f>IF(AND($AA76="",AG76=""),"",$AA76-AG76)</f>
        <v>0</v>
      </c>
    </row>
    <row r="77" spans="1:35" x14ac:dyDescent="0.25">
      <c r="A77" s="11"/>
      <c r="B77" s="11"/>
      <c r="C77" s="208"/>
      <c r="D77" s="11"/>
      <c r="E77" s="11"/>
      <c r="F77" s="11"/>
      <c r="G77" s="11"/>
      <c r="H77" s="185" t="s">
        <v>817</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IF(_epmOfflineCondition_,"Break Average Check",IF(_xll.EVDES(H77,$B$1)="#NODATA","",_xll.EVDES(H77,$B$1)))</f>
        <v>Break Average Check</v>
      </c>
      <c r="O77" s="495"/>
      <c r="P77" s="495"/>
      <c r="Q77" s="495"/>
      <c r="R77" s="495"/>
      <c r="S77" s="495"/>
      <c r="T77" s="495"/>
      <c r="U77" s="495"/>
      <c r="V77" s="495"/>
      <c r="W77" s="495"/>
      <c r="X77" s="495"/>
      <c r="Y77" s="495"/>
      <c r="Z77" s="495"/>
      <c r="AA77" s="495" t="str">
        <f>IFERROR(AA75/AA76,"")</f>
        <v/>
      </c>
      <c r="AB77" s="495"/>
      <c r="AC77" s="140"/>
      <c r="AD77" s="495"/>
      <c r="AE77" s="495"/>
      <c r="AF77" s="496" t="str">
        <f>IF(AND($AA77="",AD77=""),"",$AA77-AD77)</f>
        <v/>
      </c>
      <c r="AG77" s="495"/>
      <c r="AH77" s="495"/>
      <c r="AI77" s="496" t="str">
        <f>IF(AND($AA77="",AG77=""),"",$AA77-AG77)</f>
        <v/>
      </c>
    </row>
    <row r="78" spans="1:35" x14ac:dyDescent="0.25">
      <c r="A78" s="11"/>
      <c r="B78" s="11"/>
      <c r="C78" s="208"/>
      <c r="D78" s="11"/>
      <c r="E78" s="11"/>
      <c r="F78" s="11"/>
      <c r="G78" s="11"/>
      <c r="H78" s="88"/>
      <c r="I78" s="122"/>
      <c r="J78" s="122"/>
      <c r="K78" s="90"/>
      <c r="L78" s="90"/>
      <c r="M78" s="90"/>
      <c r="N78" s="491" t="s">
        <v>345</v>
      </c>
      <c r="O78" s="497">
        <f t="shared" ref="O78:AA78" si="20">ROUND(IFERROR(O75/O76,0),2)</f>
        <v>0</v>
      </c>
      <c r="P78" s="498">
        <f t="shared" si="20"/>
        <v>0</v>
      </c>
      <c r="Q78" s="498">
        <f t="shared" si="20"/>
        <v>0</v>
      </c>
      <c r="R78" s="498">
        <f t="shared" si="20"/>
        <v>0</v>
      </c>
      <c r="S78" s="498">
        <f t="shared" si="20"/>
        <v>0</v>
      </c>
      <c r="T78" s="498">
        <f t="shared" si="20"/>
        <v>0</v>
      </c>
      <c r="U78" s="498">
        <f t="shared" si="20"/>
        <v>0</v>
      </c>
      <c r="V78" s="498">
        <f t="shared" si="20"/>
        <v>0</v>
      </c>
      <c r="W78" s="498">
        <f t="shared" si="20"/>
        <v>0</v>
      </c>
      <c r="X78" s="498">
        <f t="shared" si="20"/>
        <v>0</v>
      </c>
      <c r="Y78" s="498">
        <f t="shared" si="20"/>
        <v>0</v>
      </c>
      <c r="Z78" s="498">
        <f t="shared" si="20"/>
        <v>0</v>
      </c>
      <c r="AA78" s="498">
        <f t="shared" si="20"/>
        <v>0</v>
      </c>
      <c r="AB78" s="499"/>
      <c r="AC78" s="140"/>
      <c r="AD78" s="497">
        <f>ROUND(IFERROR(AD75/AD76,0),2)</f>
        <v>0</v>
      </c>
      <c r="AE78" s="498"/>
      <c r="AF78" s="155"/>
      <c r="AG78" s="497">
        <f>ROUND(IFERROR(AG75/AG76,0),2)</f>
        <v>0</v>
      </c>
      <c r="AH78" s="498"/>
      <c r="AI78" s="155"/>
    </row>
    <row r="79" spans="1:35" x14ac:dyDescent="0.25">
      <c r="A79" s="11"/>
      <c r="B79" s="11"/>
      <c r="C79" s="208"/>
      <c r="D79" s="11"/>
      <c r="E79" s="11"/>
      <c r="F79" s="11"/>
      <c r="G79" s="490">
        <f>COUNTIF(O79:AI79,FALSE)</f>
        <v>0</v>
      </c>
      <c r="H79" s="88"/>
      <c r="I79" s="122"/>
      <c r="J79" s="122"/>
      <c r="K79" s="90"/>
      <c r="L79" s="90"/>
      <c r="M79" s="90"/>
      <c r="N79" s="491"/>
      <c r="O79" s="500" t="b">
        <f t="shared" ref="O79:AA79" si="21">ROUND(O77,2)=ROUND(O78,2)</f>
        <v>1</v>
      </c>
      <c r="P79" s="501" t="b">
        <f t="shared" si="21"/>
        <v>1</v>
      </c>
      <c r="Q79" s="501" t="b">
        <f t="shared" si="21"/>
        <v>1</v>
      </c>
      <c r="R79" s="501" t="b">
        <f t="shared" si="21"/>
        <v>1</v>
      </c>
      <c r="S79" s="501" t="b">
        <f t="shared" si="21"/>
        <v>1</v>
      </c>
      <c r="T79" s="501" t="b">
        <f t="shared" si="21"/>
        <v>1</v>
      </c>
      <c r="U79" s="501" t="b">
        <f t="shared" si="21"/>
        <v>1</v>
      </c>
      <c r="V79" s="501" t="b">
        <f t="shared" si="21"/>
        <v>1</v>
      </c>
      <c r="W79" s="501" t="b">
        <f t="shared" si="21"/>
        <v>1</v>
      </c>
      <c r="X79" s="501" t="b">
        <f t="shared" si="21"/>
        <v>1</v>
      </c>
      <c r="Y79" s="501" t="b">
        <f t="shared" si="21"/>
        <v>1</v>
      </c>
      <c r="Z79" s="501" t="b">
        <f t="shared" si="21"/>
        <v>1</v>
      </c>
      <c r="AA79" s="501" t="e">
        <f t="shared" si="21"/>
        <v>#VALUE!</v>
      </c>
      <c r="AB79" s="502"/>
      <c r="AC79" s="503"/>
      <c r="AD79" s="500"/>
      <c r="AE79" s="501" t="b">
        <f>ROUND(AD77,2)=ROUND(AD78,2)</f>
        <v>1</v>
      </c>
      <c r="AF79" s="502"/>
      <c r="AG79" s="500"/>
      <c r="AH79" s="501" t="b">
        <f>ROUND(AG77,2)=ROUND(AG78,2)</f>
        <v>1</v>
      </c>
      <c r="AI79" s="502"/>
    </row>
    <row r="80" spans="1:35" x14ac:dyDescent="0.25">
      <c r="A80" s="11"/>
      <c r="B80" s="11"/>
      <c r="C80" s="208"/>
      <c r="D80" s="11"/>
      <c r="E80" s="11"/>
      <c r="F80" s="11"/>
      <c r="G80" s="11"/>
      <c r="H80" s="88" t="s">
        <v>486</v>
      </c>
      <c r="I80" s="122" t="str">
        <f>IF(_epmOfflineCondition_,"T5",_xll.EVPRO($B$1,$H80,"STYLE"))</f>
        <v>T5</v>
      </c>
      <c r="J80" s="122" t="str">
        <f>IF(_epmOfflineCondition_,"Y",_xll.EVPRO($B$1,$H80,"CALC"))</f>
        <v>Y</v>
      </c>
      <c r="K80" s="90"/>
      <c r="L80" s="90" t="str">
        <f>IF(_epmOfflineCondition_,"",_xll.EVPRO($B$1,H80,"JDEID"))</f>
        <v/>
      </c>
      <c r="M80" s="90" t="str">
        <f>IF(_epmOfflineCondition_,"",IF(AND(I80="N",J80="N"),_xll.EVPRO($B$1,H80,"PSFTID"),""))</f>
        <v/>
      </c>
      <c r="N80" s="90" t="str">
        <f>IF(_epmOfflineCondition_,"Food &amp; Beverage: Allowances",IF(_xll.EVDES(H80,$B$1)="#NODATA","",_xll.EVDES(H80,$B$1)))</f>
        <v>Food &amp; Beverage: Allowances</v>
      </c>
      <c r="O80" s="138"/>
      <c r="P80" s="138"/>
      <c r="Q80" s="138"/>
      <c r="R80" s="138"/>
      <c r="S80" s="138"/>
      <c r="T80" s="138"/>
      <c r="U80" s="138"/>
      <c r="V80" s="138"/>
      <c r="W80" s="138"/>
      <c r="X80" s="138"/>
      <c r="Y80" s="138"/>
      <c r="Z80" s="138"/>
      <c r="AA80" s="138">
        <f>SUM(O80:Z80)</f>
        <v>0</v>
      </c>
      <c r="AB80" s="142" t="str">
        <f>IF(AA80=0,"",IFERROR(AA80/AA$19,""))</f>
        <v/>
      </c>
      <c r="AC80" s="140"/>
      <c r="AD80" s="138"/>
      <c r="AE80" s="142" t="str">
        <f>IF(AD80=0,"",IFERROR(AD80/AD$19,""))</f>
        <v/>
      </c>
      <c r="AF80" s="141">
        <f>IF(AND($AA80="",AD80=""),"",$AA80-AD80)</f>
        <v>0</v>
      </c>
      <c r="AG80" s="138"/>
      <c r="AH80" s="142" t="str">
        <f>IF(AG80=0,"",IFERROR(AG80/AG$19,""))</f>
        <v/>
      </c>
      <c r="AI80" s="141">
        <f>IF(AND($AA80="",AG80=""),"",$AA80-AG80)</f>
        <v>0</v>
      </c>
    </row>
    <row r="81" spans="1:35" x14ac:dyDescent="0.25">
      <c r="A81" s="11"/>
      <c r="B81" s="11"/>
      <c r="C81" s="208"/>
      <c r="D81" s="11"/>
      <c r="E81" s="11"/>
      <c r="F81" s="11"/>
      <c r="G81" s="11"/>
      <c r="H81" s="88"/>
      <c r="I81" s="122"/>
      <c r="J81" s="122"/>
      <c r="K81" s="90"/>
      <c r="L81" s="90"/>
      <c r="M81" s="90"/>
      <c r="N81" s="53" t="s">
        <v>348</v>
      </c>
      <c r="O81" s="500"/>
      <c r="P81" s="501"/>
      <c r="Q81" s="501"/>
      <c r="R81" s="501"/>
      <c r="S81" s="501"/>
      <c r="T81" s="501"/>
      <c r="U81" s="501"/>
      <c r="V81" s="501"/>
      <c r="W81" s="501"/>
      <c r="X81" s="501"/>
      <c r="Y81" s="501"/>
      <c r="Z81" s="501"/>
      <c r="AA81" s="501"/>
      <c r="AB81" s="502"/>
      <c r="AC81" s="503"/>
      <c r="AD81" s="500"/>
      <c r="AE81" s="501"/>
      <c r="AF81" s="502"/>
      <c r="AG81" s="500"/>
      <c r="AH81" s="501"/>
      <c r="AI81" s="502"/>
    </row>
    <row r="82" spans="1:35" x14ac:dyDescent="0.25">
      <c r="A82" s="11"/>
      <c r="B82" s="11"/>
      <c r="C82" s="208"/>
      <c r="D82" s="11"/>
      <c r="E82" s="11"/>
      <c r="F82" s="11"/>
      <c r="G82" s="11"/>
      <c r="H82" s="185" t="s">
        <v>273</v>
      </c>
      <c r="I82" s="122" t="str">
        <f>IF(_epmOfflineCondition_,"T4",_xll.EVPRO($B$1,$H82,"STYLE"))</f>
        <v>T4</v>
      </c>
      <c r="J82" s="122" t="str">
        <f>IF(_epmOfflineCondition_,"Y",_xll.EVPRO($B$1,$H82,"CALC"))</f>
        <v>Y</v>
      </c>
      <c r="K82" s="11"/>
      <c r="L82" s="90" t="str">
        <f>IF(_epmOfflineCondition_,"",_xll.EVPRO($B$1,H82,"JDEID"))</f>
        <v/>
      </c>
      <c r="M82" s="90" t="str">
        <f>IF(_epmOfflineCondition_,"",IF(AND(I82="N",J82="N"),_xll.EVPRO($B$1,H82,"PSFTID"),""))</f>
        <v/>
      </c>
      <c r="N82" s="90" t="str">
        <f>IF(_epmOfflineCondition_,"Total Food &amp; Beverage Revenue",IF(_xll.EVDES(H82,$B$1)="#NODATA","",_xll.EVDES(H82,$B$1)))</f>
        <v>Total Food &amp; Beverage Revenue</v>
      </c>
      <c r="O82" s="507">
        <v>14877</v>
      </c>
      <c r="P82" s="507">
        <v>8571</v>
      </c>
      <c r="Q82" s="507">
        <v>50297</v>
      </c>
      <c r="R82" s="507">
        <v>27033</v>
      </c>
      <c r="S82" s="507">
        <v>17881.16</v>
      </c>
      <c r="T82" s="507">
        <v>18557</v>
      </c>
      <c r="U82" s="507">
        <v>13125</v>
      </c>
      <c r="V82" s="507">
        <v>8678.77</v>
      </c>
      <c r="W82" s="507">
        <v>2340</v>
      </c>
      <c r="X82" s="507">
        <v>15778</v>
      </c>
      <c r="Y82" s="507">
        <v>39275</v>
      </c>
      <c r="Z82" s="507">
        <v>10700</v>
      </c>
      <c r="AA82" s="507">
        <f>SUM(O82:Z82)</f>
        <v>227112.93</v>
      </c>
      <c r="AB82" s="508">
        <f>IF(AA82=0,"",IFERROR(AA82/AA$19,""))</f>
        <v>1</v>
      </c>
      <c r="AC82" s="140"/>
      <c r="AD82" s="507">
        <v>68699.220003995797</v>
      </c>
      <c r="AE82" s="508">
        <f>IF(AD82=0,"",IFERROR(AD82/AD$19,""))</f>
        <v>1</v>
      </c>
      <c r="AF82" s="509">
        <f>IF(AND($AA82="",AD82=""),"",$AA82-AD82)</f>
        <v>158413.70999600418</v>
      </c>
      <c r="AG82" s="507">
        <v>44783.7</v>
      </c>
      <c r="AH82" s="508">
        <f>IF(AG82=0,"",IFERROR(AG82/AG$19,""))</f>
        <v>1</v>
      </c>
      <c r="AI82" s="509">
        <f>IF(AND($AA82="",AG82=""),"",$AA82-AG82)</f>
        <v>182329.22999999998</v>
      </c>
    </row>
    <row r="83" spans="1:35" x14ac:dyDescent="0.25">
      <c r="A83" s="11"/>
      <c r="B83" s="11"/>
      <c r="C83" s="208"/>
      <c r="D83" s="11"/>
      <c r="E83" s="11"/>
      <c r="F83" s="11"/>
      <c r="G83" s="11"/>
      <c r="H83" s="185" t="s">
        <v>331</v>
      </c>
      <c r="I83" s="122" t="str">
        <f>IF(_epmOfflineCondition_,"T2",_xll.EVPRO($B$1,$H83,"STYLE"))</f>
        <v>T2</v>
      </c>
      <c r="J83" s="122" t="str">
        <f>IF(_epmOfflineCondition_,"Y",_xll.EVPRO($B$1,$H83,"CALC"))</f>
        <v>Y</v>
      </c>
      <c r="K83" s="11"/>
      <c r="L83" s="90" t="str">
        <f>IF(_epmOfflineCondition_,"946000",_xll.EVPRO($B$1,H83,"JDEID"))</f>
        <v>946000</v>
      </c>
      <c r="M83" s="90" t="str">
        <f>IF(_epmOfflineCondition_,"",IF(AND(I83="N",J83="N"),_xll.EVPRO($B$1,H83,"PSFTID"),""))</f>
        <v/>
      </c>
      <c r="N83" s="90" t="str">
        <f>IF(_epmOfflineCondition_,"Total Customers",IF(_xll.EVDES(H83,$B$1)="#NODATA","",_xll.EVDES(H83,$B$1)))</f>
        <v>Total Customers</v>
      </c>
      <c r="O83" s="507">
        <v>227</v>
      </c>
      <c r="P83" s="507">
        <v>123</v>
      </c>
      <c r="Q83" s="507">
        <v>625</v>
      </c>
      <c r="R83" s="507">
        <v>388</v>
      </c>
      <c r="S83" s="507">
        <v>201</v>
      </c>
      <c r="T83" s="507">
        <v>347</v>
      </c>
      <c r="U83" s="507">
        <v>222</v>
      </c>
      <c r="V83" s="507">
        <v>177</v>
      </c>
      <c r="W83" s="507">
        <v>50</v>
      </c>
      <c r="X83" s="507">
        <v>236</v>
      </c>
      <c r="Y83" s="507">
        <v>1008</v>
      </c>
      <c r="Z83" s="507">
        <v>337</v>
      </c>
      <c r="AA83" s="507">
        <f>SUM(O83:Z83)</f>
        <v>3941</v>
      </c>
      <c r="AB83" s="508">
        <f>IF(AA83=0,"",IFERROR(AA83/AA$20,""))</f>
        <v>1</v>
      </c>
      <c r="AC83" s="140"/>
      <c r="AD83" s="507">
        <v>1269.00234854</v>
      </c>
      <c r="AE83" s="508">
        <f>IF(AD83=0,"",IFERROR(AD83/AD$20,""))</f>
        <v>0.18372699414217461</v>
      </c>
      <c r="AF83" s="509">
        <f>IF(AND($AA83="",AD83=""),"",$AA83-AD83)</f>
        <v>2671.9976514600003</v>
      </c>
      <c r="AG83" s="507">
        <v>663</v>
      </c>
      <c r="AH83" s="508">
        <f>IF(AG83=0,"",IFERROR(AG83/AG$20,""))</f>
        <v>5.1483149557384686E-2</v>
      </c>
      <c r="AI83" s="509">
        <f>IF(AND($AA83="",AG83=""),"",$AA83-AG83)</f>
        <v>3278</v>
      </c>
    </row>
    <row r="84" spans="1:35" x14ac:dyDescent="0.25">
      <c r="A84" s="11"/>
      <c r="B84" s="11"/>
      <c r="C84" s="208"/>
      <c r="D84" s="11"/>
      <c r="E84" s="11"/>
      <c r="F84" s="11"/>
      <c r="G84" s="11"/>
      <c r="H84" s="185" t="s">
        <v>311</v>
      </c>
      <c r="I84" s="122" t="str">
        <f>IF(_epmOfflineCondition_,"N",_xll.EVPRO($B$1,$H84,"STYLE"))</f>
        <v>N</v>
      </c>
      <c r="J84" s="122" t="str">
        <f>IF(_epmOfflineCondition_,"Y",_xll.EVPRO($B$1,$H84,"CALC"))</f>
        <v>Y</v>
      </c>
      <c r="K84" s="11"/>
      <c r="L84" s="90"/>
      <c r="M84" s="90"/>
      <c r="N84" s="90" t="str">
        <f>IF(_epmOfflineCondition_,"Total Average Check",IF(_xll.EVDES(H84,$B$1)="#NODATA","",_xll.EVDES(H84,$B$1)))</f>
        <v>Total Average Check</v>
      </c>
      <c r="O84" s="495">
        <v>65.537444933920696</v>
      </c>
      <c r="P84" s="495">
        <v>69.682926829268297</v>
      </c>
      <c r="Q84" s="495">
        <v>80.475200000000001</v>
      </c>
      <c r="R84" s="495">
        <v>69.672680412371093</v>
      </c>
      <c r="S84" s="495">
        <v>88.960995024875601</v>
      </c>
      <c r="T84" s="495">
        <v>53.478386167147001</v>
      </c>
      <c r="U84" s="495">
        <v>59.1216216216216</v>
      </c>
      <c r="V84" s="495">
        <v>49.032598870056503</v>
      </c>
      <c r="W84" s="495">
        <v>46.8</v>
      </c>
      <c r="X84" s="495">
        <v>66.855932203389798</v>
      </c>
      <c r="Y84" s="495">
        <v>38.963293650793702</v>
      </c>
      <c r="Z84" s="495">
        <v>31.7507418397626</v>
      </c>
      <c r="AA84" s="495">
        <f>IFERROR(AA82/AA83,"")</f>
        <v>57.628249175336208</v>
      </c>
      <c r="AB84" s="495"/>
      <c r="AC84" s="140"/>
      <c r="AD84" s="495">
        <v>54.136400994872098</v>
      </c>
      <c r="AE84" s="495"/>
      <c r="AF84" s="496">
        <f>IF(AND($AA84="",AD84=""),"",$AA84-AD84)</f>
        <v>3.4918481804641104</v>
      </c>
      <c r="AG84" s="495">
        <v>67.547058823529397</v>
      </c>
      <c r="AH84" s="495"/>
      <c r="AI84" s="496">
        <f>IF(AND($AA84="",AG84=""),"",$AA84-AG84)</f>
        <v>-9.9188096481931893</v>
      </c>
    </row>
    <row r="85" spans="1:35" x14ac:dyDescent="0.25">
      <c r="A85" s="11"/>
      <c r="B85" s="11"/>
      <c r="C85" s="208"/>
      <c r="D85" s="11"/>
      <c r="E85" s="11"/>
      <c r="F85" s="11"/>
      <c r="G85" s="11"/>
      <c r="H85" s="185"/>
      <c r="I85" s="122"/>
      <c r="J85" s="122"/>
      <c r="K85" s="11"/>
      <c r="L85" s="90"/>
      <c r="M85" s="90"/>
      <c r="N85" s="90"/>
      <c r="O85" s="170"/>
      <c r="P85" s="171"/>
      <c r="Q85" s="171"/>
      <c r="R85" s="171"/>
      <c r="S85" s="171"/>
      <c r="T85" s="171"/>
      <c r="U85" s="171"/>
      <c r="V85" s="171"/>
      <c r="W85" s="171"/>
      <c r="X85" s="171"/>
      <c r="Y85" s="171"/>
      <c r="Z85" s="171"/>
      <c r="AA85" s="171"/>
      <c r="AB85" s="172"/>
      <c r="AC85" s="140"/>
      <c r="AD85" s="170"/>
      <c r="AE85" s="171"/>
      <c r="AF85" s="172"/>
      <c r="AG85" s="170"/>
      <c r="AH85" s="171"/>
      <c r="AI85" s="172"/>
    </row>
    <row r="86" spans="1:35" x14ac:dyDescent="0.25">
      <c r="A86" s="11"/>
      <c r="B86" s="11"/>
      <c r="C86" s="208"/>
      <c r="D86" s="11"/>
      <c r="E86" s="11"/>
      <c r="F86" s="11"/>
      <c r="G86" s="11"/>
      <c r="H86" s="185"/>
      <c r="I86" s="122"/>
      <c r="J86" s="122"/>
      <c r="K86" s="11"/>
      <c r="L86" s="90"/>
      <c r="M86" s="90"/>
      <c r="N86" s="53" t="s">
        <v>343</v>
      </c>
      <c r="O86" s="514"/>
      <c r="P86" s="481"/>
      <c r="Q86" s="481"/>
      <c r="R86" s="481"/>
      <c r="S86" s="481"/>
      <c r="T86" s="481"/>
      <c r="U86" s="481"/>
      <c r="V86" s="481"/>
      <c r="W86" s="481"/>
      <c r="X86" s="481"/>
      <c r="Y86" s="481"/>
      <c r="Z86" s="481"/>
      <c r="AA86" s="481"/>
      <c r="AB86" s="515"/>
      <c r="AC86" s="140"/>
      <c r="AD86" s="516"/>
      <c r="AE86" s="517"/>
      <c r="AF86" s="157"/>
      <c r="AG86" s="481"/>
      <c r="AH86" s="517"/>
      <c r="AI86" s="157"/>
    </row>
    <row r="87" spans="1:35" x14ac:dyDescent="0.25">
      <c r="A87" s="11"/>
      <c r="B87" s="11"/>
      <c r="C87" s="208"/>
      <c r="D87" s="11"/>
      <c r="E87" s="11"/>
      <c r="F87" s="11"/>
      <c r="G87" s="11"/>
      <c r="H87" s="185"/>
      <c r="I87" s="122"/>
      <c r="J87" s="122"/>
      <c r="K87" s="11"/>
      <c r="L87" s="90"/>
      <c r="M87" s="90"/>
      <c r="N87" s="53" t="s">
        <v>337</v>
      </c>
      <c r="O87" s="158"/>
      <c r="P87" s="159"/>
      <c r="Q87" s="159"/>
      <c r="R87" s="159"/>
      <c r="S87" s="159"/>
      <c r="T87" s="159"/>
      <c r="U87" s="159"/>
      <c r="V87" s="159"/>
      <c r="W87" s="159"/>
      <c r="X87" s="159"/>
      <c r="Y87" s="159"/>
      <c r="Z87" s="159"/>
      <c r="AA87" s="159"/>
      <c r="AB87" s="160"/>
      <c r="AC87" s="140"/>
      <c r="AD87" s="158"/>
      <c r="AE87" s="159"/>
      <c r="AF87" s="160"/>
      <c r="AG87" s="159"/>
      <c r="AH87" s="159"/>
      <c r="AI87" s="160"/>
    </row>
    <row r="88" spans="1:35" x14ac:dyDescent="0.25">
      <c r="A88" s="11"/>
      <c r="B88" s="11"/>
      <c r="C88" s="208"/>
      <c r="D88" s="11"/>
      <c r="E88" s="11"/>
      <c r="F88" s="11"/>
      <c r="G88" s="11"/>
      <c r="H88" s="185" t="s">
        <v>294</v>
      </c>
      <c r="I88" s="122"/>
      <c r="J88" s="122"/>
      <c r="K88" s="11"/>
      <c r="L88" s="90" t="str">
        <f>IF(_epmOfflineCondition_,"461200",_xll.EVPRO($B$1,H88,"JDEID"))</f>
        <v>461200</v>
      </c>
      <c r="M88" s="90" t="str">
        <f>IF(_epmOfflineCondition_,"",IF(AND(I88="N",J88="N"),_xll.EVPRO($B$1,H88,"PSFTID"),""))</f>
        <v/>
      </c>
      <c r="N88" s="90" t="str">
        <f>IF(_epmOfflineCondition_,"Breakfast Liquor",IF(_xll.EVDES(H88,$B$1)="#NODATA","",_xll.EVDES(H88,$B$1)))</f>
        <v>Breakfast Liquor</v>
      </c>
      <c r="O88" s="138"/>
      <c r="P88" s="138"/>
      <c r="Q88" s="138"/>
      <c r="R88" s="138"/>
      <c r="S88" s="138"/>
      <c r="T88" s="138"/>
      <c r="U88" s="138"/>
      <c r="V88" s="138"/>
      <c r="W88" s="138"/>
      <c r="X88" s="138"/>
      <c r="Y88" s="138"/>
      <c r="Z88" s="138"/>
      <c r="AA88" s="138">
        <f>SUM(O88:Z88)</f>
        <v>0</v>
      </c>
      <c r="AB88" s="142" t="str">
        <f>IF(AA88=0,"",IFERROR(AA88/AA$19,""))</f>
        <v/>
      </c>
      <c r="AC88" s="140"/>
      <c r="AD88" s="138"/>
      <c r="AE88" s="142" t="str">
        <f>IF(AD88=0,"",IFERROR(AD88/AD$19,""))</f>
        <v/>
      </c>
      <c r="AF88" s="141">
        <f>IF(AND($AA88="",AD88=""),"",$AA88-AD88)</f>
        <v>0</v>
      </c>
      <c r="AG88" s="138"/>
      <c r="AH88" s="142" t="str">
        <f>IF(AG88=0,"",IFERROR(AG88/AG$19,""))</f>
        <v/>
      </c>
      <c r="AI88" s="141">
        <f>IF(AND($AA88="",AG88=""),"",$AA88-AG88)</f>
        <v>0</v>
      </c>
    </row>
    <row r="89" spans="1:35" x14ac:dyDescent="0.25">
      <c r="A89" s="11"/>
      <c r="B89" s="11"/>
      <c r="C89" s="208"/>
      <c r="D89" s="11"/>
      <c r="E89" s="11"/>
      <c r="F89" s="11"/>
      <c r="G89" s="11"/>
      <c r="H89" s="185" t="s">
        <v>301</v>
      </c>
      <c r="I89" s="122"/>
      <c r="J89" s="122"/>
      <c r="K89" s="11"/>
      <c r="L89" s="90" t="str">
        <f>IF(_epmOfflineCondition_,"462200",_xll.EVPRO($B$1,H89,"JDEID"))</f>
        <v>462200</v>
      </c>
      <c r="M89" s="90" t="str">
        <f>IF(_epmOfflineCondition_,"",IF(AND(I89="N",J89="N"),_xll.EVPRO($B$1,H89,"PSFTID"),""))</f>
        <v/>
      </c>
      <c r="N89" s="90" t="str">
        <f>IF(_epmOfflineCondition_,"Lunch Liquor",IF(_xll.EVDES(H89,$B$1)="#NODATA","",_xll.EVDES(H89,$B$1)))</f>
        <v>Lunch Liquor</v>
      </c>
      <c r="O89" s="138"/>
      <c r="P89" s="138"/>
      <c r="Q89" s="138">
        <v>1003</v>
      </c>
      <c r="R89" s="138"/>
      <c r="S89" s="138">
        <v>660</v>
      </c>
      <c r="T89" s="138">
        <v>96</v>
      </c>
      <c r="U89" s="138"/>
      <c r="V89" s="138">
        <v>782</v>
      </c>
      <c r="W89" s="138"/>
      <c r="X89" s="138"/>
      <c r="Y89" s="138">
        <v>1600</v>
      </c>
      <c r="Z89" s="138"/>
      <c r="AA89" s="138">
        <f>SUM(O89:Z89)</f>
        <v>4141</v>
      </c>
      <c r="AB89" s="142">
        <f>IF(AA89=0,"",IFERROR(AA89/AA$19,""))</f>
        <v>1.8233219922793475E-2</v>
      </c>
      <c r="AC89" s="140"/>
      <c r="AD89" s="138">
        <v>764.35000005619997</v>
      </c>
      <c r="AE89" s="142">
        <f>IF(AD89=0,"",IFERROR(AD89/AD$19,""))</f>
        <v>1.1126036074525192E-2</v>
      </c>
      <c r="AF89" s="141">
        <f>IF(AND($AA89="",AD89=""),"",$AA89-AD89)</f>
        <v>3376.6499999438001</v>
      </c>
      <c r="AG89" s="138">
        <v>772</v>
      </c>
      <c r="AH89" s="142">
        <f>IF(AG89=0,"",IFERROR(AG89/AG$19,""))</f>
        <v>1.7238414869695896E-2</v>
      </c>
      <c r="AI89" s="141">
        <f>IF(AND($AA89="",AG89=""),"",$AA89-AG89)</f>
        <v>3369</v>
      </c>
    </row>
    <row r="90" spans="1:35" x14ac:dyDescent="0.25">
      <c r="A90" s="11"/>
      <c r="B90" s="11"/>
      <c r="C90" s="208"/>
      <c r="D90" s="11"/>
      <c r="E90" s="11"/>
      <c r="F90" s="11"/>
      <c r="G90" s="11"/>
      <c r="H90" s="185" t="s">
        <v>302</v>
      </c>
      <c r="I90" s="122"/>
      <c r="J90" s="122"/>
      <c r="K90" s="11"/>
      <c r="L90" s="90" t="str">
        <f>IF(_epmOfflineCondition_,"463200",_xll.EVPRO($B$1,H90,"JDEID"))</f>
        <v>463200</v>
      </c>
      <c r="M90" s="90" t="str">
        <f>IF(_epmOfflineCondition_,"",IF(AND(I90="N",J90="N"),_xll.EVPRO($B$1,H90,"PSFTID"),""))</f>
        <v/>
      </c>
      <c r="N90" s="90" t="str">
        <f>IF(_epmOfflineCondition_,"Dinner Liquor",IF(_xll.EVDES(H90,$B$1)="#NODATA","",_xll.EVDES(H90,$B$1)))</f>
        <v>Dinner Liquor</v>
      </c>
      <c r="O90" s="138">
        <v>450</v>
      </c>
      <c r="P90" s="138"/>
      <c r="Q90" s="138"/>
      <c r="R90" s="138"/>
      <c r="S90" s="138"/>
      <c r="T90" s="138"/>
      <c r="U90" s="138"/>
      <c r="V90" s="138"/>
      <c r="W90" s="138"/>
      <c r="X90" s="138">
        <v>5100</v>
      </c>
      <c r="Y90" s="138">
        <v>8978</v>
      </c>
      <c r="Z90" s="138"/>
      <c r="AA90" s="138">
        <f>SUM(O90:Z90)</f>
        <v>14528</v>
      </c>
      <c r="AB90" s="142">
        <f>IF(AA90=0,"",IFERROR(AA90/AA$19,""))</f>
        <v>6.396817653666835E-2</v>
      </c>
      <c r="AC90" s="140"/>
      <c r="AD90" s="138">
        <v>4400.4630545957998</v>
      </c>
      <c r="AE90" s="142">
        <f>IF(AD90=0,"",IFERROR(AD90/AD$19,""))</f>
        <v>6.4054046819452287E-2</v>
      </c>
      <c r="AF90" s="141">
        <f>IF(AND($AA90="",AD90=""),"",$AA90-AD90)</f>
        <v>10127.536945404201</v>
      </c>
      <c r="AG90" s="138">
        <v>3025</v>
      </c>
      <c r="AH90" s="142">
        <f>IF(AG90=0,"",IFERROR(AG90/AG$19,""))</f>
        <v>6.7546897643562281E-2</v>
      </c>
      <c r="AI90" s="141">
        <f>IF(AND($AA90="",AG90=""),"",$AA90-AG90)</f>
        <v>11503</v>
      </c>
    </row>
    <row r="91" spans="1:35" x14ac:dyDescent="0.25">
      <c r="A91" s="11"/>
      <c r="B91" s="11"/>
      <c r="C91" s="208"/>
      <c r="D91" s="11"/>
      <c r="E91" s="11"/>
      <c r="F91" s="11"/>
      <c r="G91" s="11"/>
      <c r="H91" s="185" t="s">
        <v>808</v>
      </c>
      <c r="I91" s="122"/>
      <c r="J91" s="122"/>
      <c r="K91" s="11"/>
      <c r="L91" s="90" t="str">
        <f>IF(_epmOfflineCondition_,"471210",_xll.EVPRO($B$1,H91,"JDEID"))</f>
        <v>471210</v>
      </c>
      <c r="M91" s="90" t="str">
        <f>IF(_epmOfflineCondition_,"",IF(AND(I91="N",J91="N"),_xll.EVPRO($B$1,H91,"PSFTID"),""))</f>
        <v/>
      </c>
      <c r="N91" s="90" t="str">
        <f>IF(_epmOfflineCondition_,"Reception Liquor",IF(_xll.EVDES(H91,$B$1)="#NODATA","",_xll.EVDES(H91,$B$1)))</f>
        <v>Reception Liquor</v>
      </c>
      <c r="O91" s="138"/>
      <c r="P91" s="138"/>
      <c r="Q91" s="138"/>
      <c r="R91" s="138"/>
      <c r="S91" s="138"/>
      <c r="T91" s="138"/>
      <c r="U91" s="138"/>
      <c r="V91" s="138"/>
      <c r="W91" s="138"/>
      <c r="X91" s="138"/>
      <c r="Y91" s="138">
        <v>615</v>
      </c>
      <c r="Z91" s="138"/>
      <c r="AA91" s="138">
        <f>SUM(O91:Z91)</f>
        <v>615</v>
      </c>
      <c r="AB91" s="142">
        <f>IF(AA91=0,"",IFERROR(AA91/AA$19,""))</f>
        <v>2.7079039489297241E-3</v>
      </c>
      <c r="AC91" s="140"/>
      <c r="AD91" s="138"/>
      <c r="AE91" s="142" t="str">
        <f>IF(AD91=0,"",IFERROR(AD91/AD$19,""))</f>
        <v/>
      </c>
      <c r="AF91" s="141">
        <f>IF(AND($AA91="",AD91=""),"",$AA91-AD91)</f>
        <v>615</v>
      </c>
      <c r="AG91" s="138"/>
      <c r="AH91" s="142" t="str">
        <f>IF(AG91=0,"",IFERROR(AG91/AG$19,""))</f>
        <v/>
      </c>
      <c r="AI91" s="141">
        <f>IF(AND($AA91="",AG91=""),"",$AA91-AG91)</f>
        <v>615</v>
      </c>
    </row>
    <row r="92" spans="1:35" x14ac:dyDescent="0.25">
      <c r="A92" s="11"/>
      <c r="B92" s="11"/>
      <c r="C92" s="208"/>
      <c r="D92" s="11"/>
      <c r="E92" s="11"/>
      <c r="F92" s="11"/>
      <c r="G92" s="11"/>
      <c r="H92" s="185" t="s">
        <v>340</v>
      </c>
      <c r="I92" s="122"/>
      <c r="J92" s="122"/>
      <c r="K92" s="11"/>
      <c r="L92" s="90" t="str">
        <f>IF(_epmOfflineCondition_,"",_xll.EVPRO($B$1,H92,"JDEID"))</f>
        <v/>
      </c>
      <c r="M92" s="90" t="str">
        <f>IF(_epmOfflineCondition_,"",IF(AND(I92="N",J92="N"),_xll.EVPRO($B$1,H92,"PSFTID"),""))</f>
        <v/>
      </c>
      <c r="N92" s="106" t="str">
        <f>IF(_epmOfflineCondition_,"Liquor Revenue ",IF(_xll.EVDES(H92,$B$1)="#NODATA","",_xll.EVDES(H92,$B$1)))</f>
        <v xml:space="preserve">Liquor Revenue </v>
      </c>
      <c r="O92" s="162">
        <v>450</v>
      </c>
      <c r="P92" s="162"/>
      <c r="Q92" s="162">
        <v>1003</v>
      </c>
      <c r="R92" s="162"/>
      <c r="S92" s="162">
        <v>660</v>
      </c>
      <c r="T92" s="162">
        <v>96</v>
      </c>
      <c r="U92" s="162"/>
      <c r="V92" s="162">
        <v>782</v>
      </c>
      <c r="W92" s="162"/>
      <c r="X92" s="162">
        <v>5100</v>
      </c>
      <c r="Y92" s="162">
        <v>11193</v>
      </c>
      <c r="Z92" s="162"/>
      <c r="AA92" s="162">
        <f>SUM(O92:Z92)</f>
        <v>19284</v>
      </c>
      <c r="AB92" s="163">
        <f>IF(AA92=0,"",IFERROR(AA92/AA$19,""))</f>
        <v>8.490930040839155E-2</v>
      </c>
      <c r="AC92" s="140"/>
      <c r="AD92" s="162">
        <v>5164.8130546519997</v>
      </c>
      <c r="AE92" s="163">
        <f>IF(AD92=0,"",IFERROR(AD92/AD$19,""))</f>
        <v>7.5180082893977471E-2</v>
      </c>
      <c r="AF92" s="164">
        <f>IF(AND($AA92="",AD92=""),"",$AA92-AD92)</f>
        <v>14119.186945347999</v>
      </c>
      <c r="AG92" s="162">
        <v>3797</v>
      </c>
      <c r="AH92" s="163">
        <f>IF(AG92=0,"",IFERROR(AG92/AG$19,""))</f>
        <v>8.4785312513258174E-2</v>
      </c>
      <c r="AI92" s="164">
        <f>IF(AND($AA92="",AG92=""),"",$AA92-AG92)</f>
        <v>15487</v>
      </c>
    </row>
    <row r="93" spans="1:35" x14ac:dyDescent="0.25">
      <c r="A93" s="11"/>
      <c r="B93" s="11"/>
      <c r="C93" s="208"/>
      <c r="D93" s="11"/>
      <c r="E93" s="11"/>
      <c r="F93" s="11"/>
      <c r="G93" s="11"/>
      <c r="H93" s="185"/>
      <c r="I93" s="122"/>
      <c r="J93" s="122"/>
      <c r="K93" s="11"/>
      <c r="L93" s="90"/>
      <c r="M93" s="90"/>
      <c r="N93" s="53"/>
      <c r="O93" s="170"/>
      <c r="P93" s="171"/>
      <c r="Q93" s="171"/>
      <c r="R93" s="171"/>
      <c r="S93" s="171"/>
      <c r="T93" s="171"/>
      <c r="U93" s="171"/>
      <c r="V93" s="171"/>
      <c r="W93" s="171"/>
      <c r="X93" s="171"/>
      <c r="Y93" s="171"/>
      <c r="Z93" s="171"/>
      <c r="AA93" s="171"/>
      <c r="AB93" s="172"/>
      <c r="AC93" s="140"/>
      <c r="AD93" s="170"/>
      <c r="AE93" s="171"/>
      <c r="AF93" s="172"/>
      <c r="AG93" s="170"/>
      <c r="AH93" s="171"/>
      <c r="AI93" s="172"/>
    </row>
    <row r="94" spans="1:35" x14ac:dyDescent="0.25">
      <c r="A94" s="11"/>
      <c r="B94" s="11"/>
      <c r="C94" s="208"/>
      <c r="D94" s="11"/>
      <c r="E94" s="11"/>
      <c r="F94" s="11"/>
      <c r="G94" s="11"/>
      <c r="H94" s="185"/>
      <c r="I94" s="122"/>
      <c r="J94" s="122"/>
      <c r="K94" s="11"/>
      <c r="L94" s="90"/>
      <c r="M94" s="90"/>
      <c r="N94" s="53" t="s">
        <v>339</v>
      </c>
      <c r="O94" s="158"/>
      <c r="P94" s="159"/>
      <c r="Q94" s="159"/>
      <c r="R94" s="159"/>
      <c r="S94" s="159"/>
      <c r="T94" s="159"/>
      <c r="U94" s="159"/>
      <c r="V94" s="159"/>
      <c r="W94" s="159"/>
      <c r="X94" s="159"/>
      <c r="Y94" s="159"/>
      <c r="Z94" s="159"/>
      <c r="AA94" s="159"/>
      <c r="AB94" s="160"/>
      <c r="AC94" s="140"/>
      <c r="AD94" s="158"/>
      <c r="AE94" s="159"/>
      <c r="AF94" s="160"/>
      <c r="AG94" s="158"/>
      <c r="AH94" s="159"/>
      <c r="AI94" s="160"/>
    </row>
    <row r="95" spans="1:35" x14ac:dyDescent="0.25">
      <c r="A95" s="11"/>
      <c r="B95" s="11"/>
      <c r="C95" s="208"/>
      <c r="D95" s="11"/>
      <c r="E95" s="11"/>
      <c r="F95" s="11"/>
      <c r="G95" s="11"/>
      <c r="H95" s="185" t="s">
        <v>295</v>
      </c>
      <c r="I95" s="122"/>
      <c r="J95" s="122"/>
      <c r="K95" s="11"/>
      <c r="L95" s="90" t="str">
        <f>IF(_epmOfflineCondition_,"461300",_xll.EVPRO($B$1,H95,"JDEID"))</f>
        <v>461300</v>
      </c>
      <c r="M95" s="90" t="str">
        <f>IF(_epmOfflineCondition_,"",IF(AND(I95="N",J95="N"),_xll.EVPRO($B$1,H95,"PSFTID"),""))</f>
        <v/>
      </c>
      <c r="N95" s="90" t="str">
        <f>IF(_epmOfflineCondition_,"Breakfast Beer",IF(_xll.EVDES(H95,$B$1)="#NODATA","",_xll.EVDES(H95,$B$1)))</f>
        <v>Breakfast Beer</v>
      </c>
      <c r="O95" s="138"/>
      <c r="P95" s="138"/>
      <c r="Q95" s="138"/>
      <c r="R95" s="138"/>
      <c r="S95" s="138"/>
      <c r="T95" s="138"/>
      <c r="U95" s="138"/>
      <c r="V95" s="138"/>
      <c r="W95" s="138"/>
      <c r="X95" s="138"/>
      <c r="Y95" s="138"/>
      <c r="Z95" s="138"/>
      <c r="AA95" s="138">
        <f>SUM(O95:Z95)</f>
        <v>0</v>
      </c>
      <c r="AB95" s="142" t="str">
        <f>IF(AA95=0,"",IFERROR(AA95/AA$19,""))</f>
        <v/>
      </c>
      <c r="AC95" s="140"/>
      <c r="AD95" s="138"/>
      <c r="AE95" s="142" t="str">
        <f>IF(AD95=0,"",IFERROR(AD95/AD$19,""))</f>
        <v/>
      </c>
      <c r="AF95" s="141">
        <f>IF(AND($AA95="",AD95=""),"",$AA95-AD95)</f>
        <v>0</v>
      </c>
      <c r="AG95" s="138"/>
      <c r="AH95" s="142" t="str">
        <f>IF(AG95=0,"",IFERROR(AG95/AG$19,""))</f>
        <v/>
      </c>
      <c r="AI95" s="141">
        <f>IF(AND($AA95="",AG95=""),"",$AA95-AG95)</f>
        <v>0</v>
      </c>
    </row>
    <row r="96" spans="1:35" x14ac:dyDescent="0.25">
      <c r="A96" s="11"/>
      <c r="B96" s="11"/>
      <c r="C96" s="208"/>
      <c r="D96" s="11"/>
      <c r="E96" s="11"/>
      <c r="F96" s="11"/>
      <c r="G96" s="11"/>
      <c r="H96" s="185" t="s">
        <v>305</v>
      </c>
      <c r="I96" s="122"/>
      <c r="J96" s="122"/>
      <c r="K96" s="11"/>
      <c r="L96" s="90" t="str">
        <f>IF(_epmOfflineCondition_,"462300",_xll.EVPRO($B$1,H96,"JDEID"))</f>
        <v>462300</v>
      </c>
      <c r="M96" s="90" t="str">
        <f>IF(_epmOfflineCondition_,"",IF(AND(I96="N",J96="N"),_xll.EVPRO($B$1,H96,"PSFTID"),""))</f>
        <v/>
      </c>
      <c r="N96" s="90" t="str">
        <f>IF(_epmOfflineCondition_,"Lunch Beer",IF(_xll.EVDES(H96,$B$1)="#NODATA","",_xll.EVDES(H96,$B$1)))</f>
        <v>Lunch Beer</v>
      </c>
      <c r="O96" s="138"/>
      <c r="P96" s="138"/>
      <c r="Q96" s="138">
        <v>131</v>
      </c>
      <c r="R96" s="138"/>
      <c r="S96" s="138"/>
      <c r="T96" s="138"/>
      <c r="U96" s="138"/>
      <c r="V96" s="138">
        <v>80</v>
      </c>
      <c r="W96" s="138"/>
      <c r="X96" s="138"/>
      <c r="Y96" s="138"/>
      <c r="Z96" s="138"/>
      <c r="AA96" s="138">
        <f>SUM(O96:Z96)</f>
        <v>211</v>
      </c>
      <c r="AB96" s="142">
        <f>IF(AA96=0,"",IFERROR(AA96/AA$19,""))</f>
        <v>9.2905322475475094E-4</v>
      </c>
      <c r="AC96" s="140"/>
      <c r="AD96" s="138"/>
      <c r="AE96" s="142" t="str">
        <f>IF(AD96=0,"",IFERROR(AD96/AD$19,""))</f>
        <v/>
      </c>
      <c r="AF96" s="141">
        <f>IF(AND($AA96="",AD96=""),"",$AA96-AD96)</f>
        <v>211</v>
      </c>
      <c r="AG96" s="138"/>
      <c r="AH96" s="142" t="str">
        <f>IF(AG96=0,"",IFERROR(AG96/AG$19,""))</f>
        <v/>
      </c>
      <c r="AI96" s="141">
        <f>IF(AND($AA96="",AG96=""),"",$AA96-AG96)</f>
        <v>211</v>
      </c>
    </row>
    <row r="97" spans="1:35" x14ac:dyDescent="0.25">
      <c r="A97" s="11"/>
      <c r="B97" s="11"/>
      <c r="C97" s="208"/>
      <c r="D97" s="11"/>
      <c r="E97" s="11"/>
      <c r="F97" s="11"/>
      <c r="G97" s="11"/>
      <c r="H97" s="185" t="s">
        <v>306</v>
      </c>
      <c r="I97" s="122"/>
      <c r="J97" s="122"/>
      <c r="K97" s="11"/>
      <c r="L97" s="90" t="str">
        <f>IF(_epmOfflineCondition_,"463300",_xll.EVPRO($B$1,H97,"JDEID"))</f>
        <v>463300</v>
      </c>
      <c r="M97" s="90" t="str">
        <f>IF(_epmOfflineCondition_,"",IF(AND(I97="N",J97="N"),_xll.EVPRO($B$1,H97,"PSFTID"),""))</f>
        <v/>
      </c>
      <c r="N97" s="90" t="str">
        <f>IF(_epmOfflineCondition_,"Dinner Beer",IF(_xll.EVDES(H97,$B$1)="#NODATA","",_xll.EVDES(H97,$B$1)))</f>
        <v>Dinner Beer</v>
      </c>
      <c r="O97" s="138">
        <v>450</v>
      </c>
      <c r="P97" s="138"/>
      <c r="Q97" s="138"/>
      <c r="R97" s="138"/>
      <c r="S97" s="138"/>
      <c r="T97" s="138"/>
      <c r="U97" s="138"/>
      <c r="V97" s="138"/>
      <c r="W97" s="138"/>
      <c r="X97" s="138"/>
      <c r="Y97" s="138">
        <v>153</v>
      </c>
      <c r="Z97" s="138"/>
      <c r="AA97" s="138">
        <f>SUM(O97:Z97)</f>
        <v>603</v>
      </c>
      <c r="AB97" s="142">
        <f>IF(AA97=0,"",IFERROR(AA97/AA$19,""))</f>
        <v>2.6550667987067051E-3</v>
      </c>
      <c r="AC97" s="140"/>
      <c r="AD97" s="138">
        <v>223.98480000000001</v>
      </c>
      <c r="AE97" s="142">
        <f>IF(AD97=0,"",IFERROR(AD97/AD$19,""))</f>
        <v>3.2603688948283872E-3</v>
      </c>
      <c r="AF97" s="141">
        <f>IF(AND($AA97="",AD97=""),"",$AA97-AD97)</f>
        <v>379.01519999999999</v>
      </c>
      <c r="AG97" s="138"/>
      <c r="AH97" s="142" t="str">
        <f>IF(AG97=0,"",IFERROR(AG97/AG$19,""))</f>
        <v/>
      </c>
      <c r="AI97" s="141">
        <f>IF(AND($AA97="",AG97=""),"",$AA97-AG97)</f>
        <v>603</v>
      </c>
    </row>
    <row r="98" spans="1:35" x14ac:dyDescent="0.25">
      <c r="A98" s="11"/>
      <c r="B98" s="11"/>
      <c r="C98" s="208"/>
      <c r="D98" s="11"/>
      <c r="E98" s="11"/>
      <c r="F98" s="11"/>
      <c r="G98" s="11"/>
      <c r="H98" s="185" t="s">
        <v>809</v>
      </c>
      <c r="I98" s="122"/>
      <c r="J98" s="122"/>
      <c r="K98" s="11"/>
      <c r="L98" s="90" t="str">
        <f>IF(_epmOfflineCondition_,"471310",_xll.EVPRO($B$1,H98,"JDEID"))</f>
        <v>471310</v>
      </c>
      <c r="M98" s="90" t="str">
        <f>IF(_epmOfflineCondition_,"",IF(AND(I98="N",J98="N"),_xll.EVPRO($B$1,H98,"PSFTID"),""))</f>
        <v/>
      </c>
      <c r="N98" s="90" t="str">
        <f>IF(_epmOfflineCondition_,"Reception Beer",IF(_xll.EVDES(H98,$B$1)="#NODATA","",_xll.EVDES(H98,$B$1)))</f>
        <v>Reception Beer</v>
      </c>
      <c r="O98" s="138"/>
      <c r="P98" s="138"/>
      <c r="Q98" s="138"/>
      <c r="R98" s="138"/>
      <c r="S98" s="138"/>
      <c r="T98" s="138"/>
      <c r="U98" s="138"/>
      <c r="V98" s="138"/>
      <c r="W98" s="138"/>
      <c r="X98" s="138"/>
      <c r="Y98" s="138">
        <v>127</v>
      </c>
      <c r="Z98" s="138"/>
      <c r="AA98" s="138">
        <f>SUM(O98:Z98)</f>
        <v>127</v>
      </c>
      <c r="AB98" s="142">
        <f>IF(AA98=0,"",IFERROR(AA98/AA$19,""))</f>
        <v>5.591931731936178E-4</v>
      </c>
      <c r="AC98" s="140"/>
      <c r="AD98" s="138"/>
      <c r="AE98" s="142" t="str">
        <f>IF(AD98=0,"",IFERROR(AD98/AD$19,""))</f>
        <v/>
      </c>
      <c r="AF98" s="141">
        <f>IF(AND($AA98="",AD98=""),"",$AA98-AD98)</f>
        <v>127</v>
      </c>
      <c r="AG98" s="138"/>
      <c r="AH98" s="142" t="str">
        <f>IF(AG98=0,"",IFERROR(AG98/AG$19,""))</f>
        <v/>
      </c>
      <c r="AI98" s="141">
        <f>IF(AND($AA98="",AG98=""),"",$AA98-AG98)</f>
        <v>127</v>
      </c>
    </row>
    <row r="99" spans="1:35" x14ac:dyDescent="0.25">
      <c r="A99" s="11"/>
      <c r="B99" s="11"/>
      <c r="C99" s="208"/>
      <c r="D99" s="11"/>
      <c r="E99" s="11"/>
      <c r="F99" s="11"/>
      <c r="G99" s="11"/>
      <c r="H99" s="185" t="s">
        <v>342</v>
      </c>
      <c r="I99" s="122"/>
      <c r="J99" s="122"/>
      <c r="K99" s="11"/>
      <c r="L99" s="90" t="str">
        <f>IF(_epmOfflineCondition_,"",_xll.EVPRO($B$1,H99,"JDEID"))</f>
        <v/>
      </c>
      <c r="M99" s="90" t="str">
        <f>IF(_epmOfflineCondition_,"",IF(AND(I99="N",J99="N"),_xll.EVPRO($B$1,H99,"PSFTID"),""))</f>
        <v/>
      </c>
      <c r="N99" s="106" t="str">
        <f>IF(_epmOfflineCondition_,"Beer Revenue",IF(_xll.EVDES(H99,$B$1)="#NODATA","",_xll.EVDES(H99,$B$1)))</f>
        <v>Beer Revenue</v>
      </c>
      <c r="O99" s="162">
        <v>450</v>
      </c>
      <c r="P99" s="162"/>
      <c r="Q99" s="162">
        <v>131</v>
      </c>
      <c r="R99" s="162"/>
      <c r="S99" s="162"/>
      <c r="T99" s="162"/>
      <c r="U99" s="162"/>
      <c r="V99" s="162">
        <v>80</v>
      </c>
      <c r="W99" s="162"/>
      <c r="X99" s="162"/>
      <c r="Y99" s="162">
        <v>280</v>
      </c>
      <c r="Z99" s="162"/>
      <c r="AA99" s="162">
        <f>SUM(O99:Z99)</f>
        <v>941</v>
      </c>
      <c r="AB99" s="163">
        <f>IF(AA99=0,"",IFERROR(AA99/AA$19,""))</f>
        <v>4.1433131966550742E-3</v>
      </c>
      <c r="AC99" s="140"/>
      <c r="AD99" s="162">
        <v>223.98480000000001</v>
      </c>
      <c r="AE99" s="163">
        <f>IF(AD99=0,"",IFERROR(AD99/AD$19,""))</f>
        <v>3.2603688948283872E-3</v>
      </c>
      <c r="AF99" s="164">
        <f>IF(AND($AA99="",AD99=""),"",$AA99-AD99)</f>
        <v>717.01520000000005</v>
      </c>
      <c r="AG99" s="162"/>
      <c r="AH99" s="163" t="str">
        <f>IF(AG99=0,"",IFERROR(AG99/AG$19,""))</f>
        <v/>
      </c>
      <c r="AI99" s="164">
        <f>IF(AND($AA99="",AG99=""),"",$AA99-AG99)</f>
        <v>941</v>
      </c>
    </row>
    <row r="100" spans="1:35" x14ac:dyDescent="0.25">
      <c r="A100" s="11"/>
      <c r="B100" s="11"/>
      <c r="C100" s="208"/>
      <c r="D100" s="11"/>
      <c r="E100" s="11"/>
      <c r="F100" s="11"/>
      <c r="G100" s="11"/>
      <c r="H100" s="185"/>
      <c r="I100" s="122"/>
      <c r="J100" s="122"/>
      <c r="K100" s="11"/>
      <c r="L100" s="90"/>
      <c r="M100" s="90"/>
      <c r="N100" s="53"/>
      <c r="O100" s="170"/>
      <c r="P100" s="171"/>
      <c r="Q100" s="171"/>
      <c r="R100" s="171"/>
      <c r="S100" s="171"/>
      <c r="T100" s="171"/>
      <c r="U100" s="171"/>
      <c r="V100" s="171"/>
      <c r="W100" s="171"/>
      <c r="X100" s="171"/>
      <c r="Y100" s="171"/>
      <c r="Z100" s="171"/>
      <c r="AA100" s="171"/>
      <c r="AB100" s="172"/>
      <c r="AC100" s="140"/>
      <c r="AD100" s="170"/>
      <c r="AE100" s="171"/>
      <c r="AF100" s="172"/>
      <c r="AG100" s="170"/>
      <c r="AH100" s="171"/>
      <c r="AI100" s="172"/>
    </row>
    <row r="101" spans="1:35" x14ac:dyDescent="0.25">
      <c r="A101" s="11"/>
      <c r="B101" s="11"/>
      <c r="C101" s="208"/>
      <c r="D101" s="11"/>
      <c r="E101" s="11"/>
      <c r="F101" s="11"/>
      <c r="G101" s="11"/>
      <c r="H101" s="185"/>
      <c r="I101" s="122"/>
      <c r="J101" s="122"/>
      <c r="K101" s="11"/>
      <c r="L101" s="90"/>
      <c r="M101" s="90"/>
      <c r="N101" s="53" t="s">
        <v>338</v>
      </c>
      <c r="O101" s="158"/>
      <c r="P101" s="159"/>
      <c r="Q101" s="159"/>
      <c r="R101" s="159"/>
      <c r="S101" s="159"/>
      <c r="T101" s="159"/>
      <c r="U101" s="159"/>
      <c r="V101" s="159"/>
      <c r="W101" s="159"/>
      <c r="X101" s="159"/>
      <c r="Y101" s="159"/>
      <c r="Z101" s="159"/>
      <c r="AA101" s="159"/>
      <c r="AB101" s="160"/>
      <c r="AC101" s="140"/>
      <c r="AD101" s="158"/>
      <c r="AE101" s="159"/>
      <c r="AF101" s="160"/>
      <c r="AG101" s="158"/>
      <c r="AH101" s="159"/>
      <c r="AI101" s="160"/>
    </row>
    <row r="102" spans="1:35" x14ac:dyDescent="0.25">
      <c r="A102" s="11"/>
      <c r="B102" s="11"/>
      <c r="C102" s="208"/>
      <c r="D102" s="11"/>
      <c r="E102" s="11"/>
      <c r="F102" s="11"/>
      <c r="G102" s="11"/>
      <c r="H102" s="185" t="s">
        <v>296</v>
      </c>
      <c r="I102" s="122"/>
      <c r="J102" s="122"/>
      <c r="K102" s="11"/>
      <c r="L102" s="90" t="str">
        <f>IF(_epmOfflineCondition_,"461400",_xll.EVPRO($B$1,H102,"JDEID"))</f>
        <v>461400</v>
      </c>
      <c r="M102" s="90" t="str">
        <f>IF(_epmOfflineCondition_,"",IF(AND(I102="N",J102="N"),_xll.EVPRO($B$1,H102,"PSFTID"),""))</f>
        <v/>
      </c>
      <c r="N102" s="90" t="str">
        <f>IF(_epmOfflineCondition_,"Breakfast Wine",IF(_xll.EVDES(H102,$B$1)="#NODATA","",_xll.EVDES(H102,$B$1)))</f>
        <v>Breakfast Wine</v>
      </c>
      <c r="O102" s="138"/>
      <c r="P102" s="138"/>
      <c r="Q102" s="138"/>
      <c r="R102" s="138"/>
      <c r="S102" s="138"/>
      <c r="T102" s="138"/>
      <c r="U102" s="138"/>
      <c r="V102" s="138"/>
      <c r="W102" s="138"/>
      <c r="X102" s="138"/>
      <c r="Y102" s="138"/>
      <c r="Z102" s="138"/>
      <c r="AA102" s="138">
        <f>SUM(O102:Z102)</f>
        <v>0</v>
      </c>
      <c r="AB102" s="142" t="str">
        <f>IF(AA102=0,"",IFERROR(AA102/AA$19,""))</f>
        <v/>
      </c>
      <c r="AC102" s="140"/>
      <c r="AD102" s="138"/>
      <c r="AE102" s="142" t="str">
        <f>IF(AD102=0,"",IFERROR(AD102/AD$19,""))</f>
        <v/>
      </c>
      <c r="AF102" s="141">
        <f>IF(AND($AA102="",AD102=""),"",$AA102-AD102)</f>
        <v>0</v>
      </c>
      <c r="AG102" s="138"/>
      <c r="AH102" s="142" t="str">
        <f>IF(AG102=0,"",IFERROR(AG102/AG$19,""))</f>
        <v/>
      </c>
      <c r="AI102" s="141">
        <f>IF(AND($AA102="",AG102=""),"",$AA102-AG102)</f>
        <v>0</v>
      </c>
    </row>
    <row r="103" spans="1:35" x14ac:dyDescent="0.25">
      <c r="A103" s="11"/>
      <c r="B103" s="11"/>
      <c r="C103" s="208"/>
      <c r="D103" s="11"/>
      <c r="E103" s="11"/>
      <c r="F103" s="11"/>
      <c r="G103" s="11"/>
      <c r="H103" s="185" t="s">
        <v>303</v>
      </c>
      <c r="I103" s="122"/>
      <c r="J103" s="122"/>
      <c r="K103" s="11"/>
      <c r="L103" s="90" t="str">
        <f>IF(_epmOfflineCondition_,"462400",_xll.EVPRO($B$1,H103,"JDEID"))</f>
        <v>462400</v>
      </c>
      <c r="M103" s="90" t="str">
        <f>IF(_epmOfflineCondition_,"",IF(AND(I103="N",J103="N"),_xll.EVPRO($B$1,H103,"PSFTID"),""))</f>
        <v/>
      </c>
      <c r="N103" s="90" t="str">
        <f>IF(_epmOfflineCondition_,"Lunch Wine",IF(_xll.EVDES(H103,$B$1)="#NODATA","",_xll.EVDES(H103,$B$1)))</f>
        <v>Lunch Wine</v>
      </c>
      <c r="O103" s="138">
        <v>180</v>
      </c>
      <c r="P103" s="138"/>
      <c r="Q103" s="138">
        <v>306</v>
      </c>
      <c r="R103" s="138"/>
      <c r="S103" s="138">
        <v>192</v>
      </c>
      <c r="T103" s="138">
        <v>160</v>
      </c>
      <c r="U103" s="138"/>
      <c r="V103" s="138">
        <v>13</v>
      </c>
      <c r="W103" s="138"/>
      <c r="X103" s="138"/>
      <c r="Y103" s="138"/>
      <c r="Z103" s="138"/>
      <c r="AA103" s="138">
        <f>SUM(O103:Z103)</f>
        <v>851</v>
      </c>
      <c r="AB103" s="142">
        <f>IF(AA103=0,"",IFERROR(AA103/AA$19,""))</f>
        <v>3.7470345699824313E-3</v>
      </c>
      <c r="AC103" s="140"/>
      <c r="AD103" s="138"/>
      <c r="AE103" s="142" t="str">
        <f>IF(AD103=0,"",IFERROR(AD103/AD$19,""))</f>
        <v/>
      </c>
      <c r="AF103" s="141">
        <f>IF(AND($AA103="",AD103=""),"",$AA103-AD103)</f>
        <v>851</v>
      </c>
      <c r="AG103" s="138"/>
      <c r="AH103" s="142" t="str">
        <f>IF(AG103=0,"",IFERROR(AG103/AG$19,""))</f>
        <v/>
      </c>
      <c r="AI103" s="141">
        <f>IF(AND($AA103="",AG103=""),"",$AA103-AG103)</f>
        <v>851</v>
      </c>
    </row>
    <row r="104" spans="1:35" x14ac:dyDescent="0.25">
      <c r="A104" s="11"/>
      <c r="B104" s="11"/>
      <c r="C104" s="208"/>
      <c r="D104" s="11"/>
      <c r="E104" s="11"/>
      <c r="F104" s="11"/>
      <c r="G104" s="11"/>
      <c r="H104" s="185" t="s">
        <v>304</v>
      </c>
      <c r="I104" s="122"/>
      <c r="J104" s="122"/>
      <c r="K104" s="11"/>
      <c r="L104" s="90" t="str">
        <f>IF(_epmOfflineCondition_,"463400",_xll.EVPRO($B$1,H104,"JDEID"))</f>
        <v>463400</v>
      </c>
      <c r="M104" s="90" t="str">
        <f>IF(_epmOfflineCondition_,"",IF(AND(I104="N",J104="N"),_xll.EVPRO($B$1,H104,"PSFTID"),""))</f>
        <v/>
      </c>
      <c r="N104" s="90" t="str">
        <f>IF(_epmOfflineCondition_,"Dinner Wine",IF(_xll.EVDES(H104,$B$1)="#NODATA","",_xll.EVDES(H104,$B$1)))</f>
        <v>Dinner Wine</v>
      </c>
      <c r="O104" s="138"/>
      <c r="P104" s="138"/>
      <c r="Q104" s="138"/>
      <c r="R104" s="138"/>
      <c r="S104" s="138"/>
      <c r="T104" s="138"/>
      <c r="U104" s="138"/>
      <c r="V104" s="138"/>
      <c r="W104" s="138"/>
      <c r="X104" s="138"/>
      <c r="Y104" s="138">
        <v>104</v>
      </c>
      <c r="Z104" s="138"/>
      <c r="AA104" s="138">
        <f>SUM(O104:Z104)</f>
        <v>104</v>
      </c>
      <c r="AB104" s="142">
        <f>IF(AA104=0,"",IFERROR(AA104/AA$19,""))</f>
        <v>4.5792196859949805E-4</v>
      </c>
      <c r="AC104" s="140"/>
      <c r="AD104" s="138">
        <v>1231.9164001055999</v>
      </c>
      <c r="AE104" s="142">
        <f>IF(AD104=0,"",IFERROR(AD104/AD$19,""))</f>
        <v>1.7932028923093264E-2</v>
      </c>
      <c r="AF104" s="141">
        <f>IF(AND($AA104="",AD104=""),"",$AA104-AD104)</f>
        <v>-1127.9164001055999</v>
      </c>
      <c r="AG104" s="138"/>
      <c r="AH104" s="142" t="str">
        <f>IF(AG104=0,"",IFERROR(AG104/AG$19,""))</f>
        <v/>
      </c>
      <c r="AI104" s="141">
        <f>IF(AND($AA104="",AG104=""),"",$AA104-AG104)</f>
        <v>104</v>
      </c>
    </row>
    <row r="105" spans="1:35" x14ac:dyDescent="0.25">
      <c r="A105" s="11"/>
      <c r="B105" s="11"/>
      <c r="C105" s="208"/>
      <c r="D105" s="11"/>
      <c r="E105" s="11"/>
      <c r="F105" s="11"/>
      <c r="G105" s="11"/>
      <c r="H105" s="185" t="s">
        <v>810</v>
      </c>
      <c r="I105" s="122"/>
      <c r="J105" s="122"/>
      <c r="K105" s="11"/>
      <c r="L105" s="90" t="str">
        <f>IF(_epmOfflineCondition_,"471410",_xll.EVPRO($B$1,H105,"JDEID"))</f>
        <v>471410</v>
      </c>
      <c r="M105" s="90" t="str">
        <f>IF(_epmOfflineCondition_,"",IF(AND(I105="N",J105="N"),_xll.EVPRO($B$1,H105,"PSFTID"),""))</f>
        <v/>
      </c>
      <c r="N105" s="90" t="str">
        <f>IF(_epmOfflineCondition_,"Reception Wine",IF(_xll.EVDES(H105,$B$1)="#NODATA","",_xll.EVDES(H105,$B$1)))</f>
        <v>Reception Wine</v>
      </c>
      <c r="O105" s="138"/>
      <c r="P105" s="138"/>
      <c r="Q105" s="138"/>
      <c r="R105" s="138"/>
      <c r="S105" s="138"/>
      <c r="T105" s="138"/>
      <c r="U105" s="138"/>
      <c r="V105" s="138"/>
      <c r="W105" s="138"/>
      <c r="X105" s="138"/>
      <c r="Y105" s="138">
        <v>52</v>
      </c>
      <c r="Z105" s="138"/>
      <c r="AA105" s="138">
        <f>SUM(O105:Z105)</f>
        <v>52</v>
      </c>
      <c r="AB105" s="142">
        <f>IF(AA105=0,"",IFERROR(AA105/AA$19,""))</f>
        <v>2.2896098429974902E-4</v>
      </c>
      <c r="AC105" s="140"/>
      <c r="AD105" s="138"/>
      <c r="AE105" s="142" t="str">
        <f>IF(AD105=0,"",IFERROR(AD105/AD$19,""))</f>
        <v/>
      </c>
      <c r="AF105" s="141">
        <f>IF(AND($AA105="",AD105=""),"",$AA105-AD105)</f>
        <v>52</v>
      </c>
      <c r="AG105" s="138"/>
      <c r="AH105" s="142" t="str">
        <f>IF(AG105=0,"",IFERROR(AG105/AG$19,""))</f>
        <v/>
      </c>
      <c r="AI105" s="141">
        <f>IF(AND($AA105="",AG105=""),"",$AA105-AG105)</f>
        <v>52</v>
      </c>
    </row>
    <row r="106" spans="1:35" x14ac:dyDescent="0.25">
      <c r="A106" s="11"/>
      <c r="B106" s="11"/>
      <c r="C106" s="208"/>
      <c r="D106" s="11"/>
      <c r="E106" s="11"/>
      <c r="F106" s="11"/>
      <c r="G106" s="11"/>
      <c r="H106" s="185" t="s">
        <v>341</v>
      </c>
      <c r="I106" s="122"/>
      <c r="J106" s="122"/>
      <c r="K106" s="11"/>
      <c r="L106" s="90" t="str">
        <f>IF(_epmOfflineCondition_,"",_xll.EVPRO($B$1,H106,"JDEID"))</f>
        <v/>
      </c>
      <c r="M106" s="90" t="str">
        <f>IF(_epmOfflineCondition_,"",IF(AND(I106="N",J106="N"),_xll.EVPRO($B$1,H106,"PSFTID"),""))</f>
        <v/>
      </c>
      <c r="N106" s="106" t="str">
        <f>IF(_epmOfflineCondition_,"Wine Revenue",IF(_xll.EVDES(H106,$B$1)="#NODATA","",_xll.EVDES(H106,$B$1)))</f>
        <v>Wine Revenue</v>
      </c>
      <c r="O106" s="162">
        <v>180</v>
      </c>
      <c r="P106" s="162"/>
      <c r="Q106" s="162">
        <v>306</v>
      </c>
      <c r="R106" s="162"/>
      <c r="S106" s="162">
        <v>192</v>
      </c>
      <c r="T106" s="162">
        <v>160</v>
      </c>
      <c r="U106" s="162"/>
      <c r="V106" s="162">
        <v>13</v>
      </c>
      <c r="W106" s="162"/>
      <c r="X106" s="162"/>
      <c r="Y106" s="162">
        <v>156</v>
      </c>
      <c r="Z106" s="162"/>
      <c r="AA106" s="162">
        <f>SUM(O106:Z106)</f>
        <v>1007</v>
      </c>
      <c r="AB106" s="163">
        <f>IF(AA106=0,"",IFERROR(AA106/AA$19,""))</f>
        <v>4.4339175228816788E-3</v>
      </c>
      <c r="AC106" s="140"/>
      <c r="AD106" s="162">
        <v>1231.9164001055999</v>
      </c>
      <c r="AE106" s="163">
        <f>IF(AD106=0,"",IFERROR(AD106/AD$19,""))</f>
        <v>1.7932028923093264E-2</v>
      </c>
      <c r="AF106" s="164">
        <f>IF(AND($AA106="",AD106=""),"",$AA106-AD106)</f>
        <v>-224.91640010559991</v>
      </c>
      <c r="AG106" s="162"/>
      <c r="AH106" s="163" t="str">
        <f>IF(AG106=0,"",IFERROR(AG106/AG$19,""))</f>
        <v/>
      </c>
      <c r="AI106" s="164">
        <f>IF(AND($AA106="",AG106=""),"",$AA106-AG106)</f>
        <v>1007</v>
      </c>
    </row>
    <row r="107" spans="1:35" x14ac:dyDescent="0.25">
      <c r="A107" s="11"/>
      <c r="B107" s="11"/>
      <c r="C107" s="208"/>
      <c r="D107" s="11"/>
      <c r="E107" s="11"/>
      <c r="F107" s="11"/>
      <c r="G107" s="11"/>
      <c r="H107" s="185"/>
      <c r="I107" s="122"/>
      <c r="J107" s="122"/>
      <c r="K107" s="11"/>
      <c r="L107" s="90"/>
      <c r="M107" s="90"/>
      <c r="N107" s="11"/>
      <c r="O107" s="170"/>
      <c r="P107" s="171"/>
      <c r="Q107" s="171"/>
      <c r="R107" s="171"/>
      <c r="S107" s="171"/>
      <c r="T107" s="171"/>
      <c r="U107" s="171"/>
      <c r="V107" s="171"/>
      <c r="W107" s="171"/>
      <c r="X107" s="171"/>
      <c r="Y107" s="171"/>
      <c r="Z107" s="171"/>
      <c r="AA107" s="171"/>
      <c r="AB107" s="172"/>
      <c r="AC107" s="140"/>
      <c r="AD107" s="170"/>
      <c r="AE107" s="171"/>
      <c r="AF107" s="172"/>
      <c r="AG107" s="170"/>
      <c r="AH107" s="171"/>
      <c r="AI107" s="172"/>
    </row>
    <row r="108" spans="1:35" x14ac:dyDescent="0.25">
      <c r="A108" s="11"/>
      <c r="B108" s="11"/>
      <c r="C108" s="208"/>
      <c r="D108" s="11"/>
      <c r="E108" s="11"/>
      <c r="F108" s="11"/>
      <c r="G108" s="11"/>
      <c r="H108" s="88" t="s">
        <v>267</v>
      </c>
      <c r="I108" s="122"/>
      <c r="J108" s="122"/>
      <c r="K108" s="11"/>
      <c r="L108" s="90" t="str">
        <f>IF(_epmOfflineCondition_,"",_xll.EVPRO($B$1,H108,"JDEID"))</f>
        <v/>
      </c>
      <c r="M108" s="90" t="str">
        <f>IF(_epmOfflineCondition_,"",IF(AND(I108="N",J108="N"),_xll.EVPRO($B$1,H108,"PSFTID"),""))</f>
        <v/>
      </c>
      <c r="N108" s="90" t="str">
        <f>IF(_epmOfflineCondition_,"Breakfast  Beverage Revenue",IF(_xll.EVDES(H108,$B$1)="#NODATA","",_xll.EVDES(H108,$B$1)))</f>
        <v>Breakfast  Beverage Revenue</v>
      </c>
      <c r="O108" s="138">
        <f t="shared" ref="O108:Z108" si="22">O88+O95+O102</f>
        <v>0</v>
      </c>
      <c r="P108" s="138">
        <f t="shared" si="22"/>
        <v>0</v>
      </c>
      <c r="Q108" s="138">
        <f t="shared" si="22"/>
        <v>0</v>
      </c>
      <c r="R108" s="138">
        <f t="shared" si="22"/>
        <v>0</v>
      </c>
      <c r="S108" s="138">
        <f t="shared" si="22"/>
        <v>0</v>
      </c>
      <c r="T108" s="138">
        <f t="shared" si="22"/>
        <v>0</v>
      </c>
      <c r="U108" s="138">
        <f t="shared" si="22"/>
        <v>0</v>
      </c>
      <c r="V108" s="138">
        <f t="shared" si="22"/>
        <v>0</v>
      </c>
      <c r="W108" s="138">
        <f t="shared" si="22"/>
        <v>0</v>
      </c>
      <c r="X108" s="138">
        <f t="shared" si="22"/>
        <v>0</v>
      </c>
      <c r="Y108" s="138">
        <f t="shared" si="22"/>
        <v>0</v>
      </c>
      <c r="Z108" s="138">
        <f t="shared" si="22"/>
        <v>0</v>
      </c>
      <c r="AA108" s="138">
        <f>SUM(O108:Z108)</f>
        <v>0</v>
      </c>
      <c r="AB108" s="142" t="str">
        <f>IF(AA108=0,"",IFERROR(AA108/AA$19,""))</f>
        <v/>
      </c>
      <c r="AC108" s="140"/>
      <c r="AD108" s="138">
        <f>AD88+AD95+AD102</f>
        <v>0</v>
      </c>
      <c r="AE108" s="142" t="str">
        <f>IF(AD108=0,"",IFERROR(AD108/AD$19,""))</f>
        <v/>
      </c>
      <c r="AF108" s="141">
        <f>IF(AND($AA108="",AD108=""),"",$AA108-AD108)</f>
        <v>0</v>
      </c>
      <c r="AG108" s="138">
        <f>AG88+AG95+AG102</f>
        <v>0</v>
      </c>
      <c r="AH108" s="142" t="str">
        <f>IF(AG108=0,"",IFERROR(AG108/AG$19,""))</f>
        <v/>
      </c>
      <c r="AI108" s="141">
        <f>IF(AND($AA108="",AG108=""),"",$AA108-AG108)</f>
        <v>0</v>
      </c>
    </row>
    <row r="109" spans="1:35" x14ac:dyDescent="0.25">
      <c r="A109" s="11"/>
      <c r="B109" s="11"/>
      <c r="C109" s="208"/>
      <c r="D109" s="11"/>
      <c r="E109" s="11"/>
      <c r="F109" s="11"/>
      <c r="G109" s="11"/>
      <c r="H109" s="88" t="s">
        <v>268</v>
      </c>
      <c r="I109" s="122"/>
      <c r="J109" s="122"/>
      <c r="K109" s="11"/>
      <c r="L109" s="90" t="str">
        <f>IF(_epmOfflineCondition_,"",_xll.EVPRO($B$1,H109,"JDEID"))</f>
        <v/>
      </c>
      <c r="M109" s="90" t="str">
        <f>IF(_epmOfflineCondition_,"",IF(AND(I109="N",J109="N"),_xll.EVPRO($B$1,H109,"PSFTID"),""))</f>
        <v/>
      </c>
      <c r="N109" s="90" t="str">
        <f>IF(_epmOfflineCondition_,"Lunch Beverage Revenue",IF(_xll.EVDES(H109,$B$1)="#NODATA","",_xll.EVDES(H109,$B$1)))</f>
        <v>Lunch Beverage Revenue</v>
      </c>
      <c r="O109" s="138">
        <f t="shared" ref="O109:Z109" si="23">O89+O96+O103</f>
        <v>180</v>
      </c>
      <c r="P109" s="138">
        <f t="shared" si="23"/>
        <v>0</v>
      </c>
      <c r="Q109" s="138">
        <f t="shared" si="23"/>
        <v>1440</v>
      </c>
      <c r="R109" s="138">
        <f t="shared" si="23"/>
        <v>0</v>
      </c>
      <c r="S109" s="138">
        <f t="shared" si="23"/>
        <v>852</v>
      </c>
      <c r="T109" s="138">
        <f t="shared" si="23"/>
        <v>256</v>
      </c>
      <c r="U109" s="138">
        <f t="shared" si="23"/>
        <v>0</v>
      </c>
      <c r="V109" s="138">
        <f t="shared" si="23"/>
        <v>875</v>
      </c>
      <c r="W109" s="138">
        <f t="shared" si="23"/>
        <v>0</v>
      </c>
      <c r="X109" s="138">
        <f t="shared" si="23"/>
        <v>0</v>
      </c>
      <c r="Y109" s="138">
        <f t="shared" si="23"/>
        <v>1600</v>
      </c>
      <c r="Z109" s="138">
        <f t="shared" si="23"/>
        <v>0</v>
      </c>
      <c r="AA109" s="138">
        <f>SUM(O109:Z109)</f>
        <v>5203</v>
      </c>
      <c r="AB109" s="142">
        <f>IF(AA109=0,"",IFERROR(AA109/AA$19,""))</f>
        <v>2.2909307717530657E-2</v>
      </c>
      <c r="AC109" s="140"/>
      <c r="AD109" s="138">
        <f>AD89+AD96+AD103</f>
        <v>764.35000005619997</v>
      </c>
      <c r="AE109" s="142">
        <f>IF(AD109=0,"",IFERROR(AD109/AD$19,""))</f>
        <v>1.1126036074525192E-2</v>
      </c>
      <c r="AF109" s="141">
        <f>IF(AND($AA109="",AD109=""),"",$AA109-AD109)</f>
        <v>4438.6499999438001</v>
      </c>
      <c r="AG109" s="138">
        <f>AG89+AG96+AG103</f>
        <v>772</v>
      </c>
      <c r="AH109" s="142">
        <f>IF(AG109=0,"",IFERROR(AG109/AG$19,""))</f>
        <v>1.7238414869695896E-2</v>
      </c>
      <c r="AI109" s="141">
        <f>IF(AND($AA109="",AG109=""),"",$AA109-AG109)</f>
        <v>4431</v>
      </c>
    </row>
    <row r="110" spans="1:35" x14ac:dyDescent="0.25">
      <c r="A110" s="11"/>
      <c r="B110" s="11"/>
      <c r="C110" s="208"/>
      <c r="D110" s="11"/>
      <c r="E110" s="11"/>
      <c r="F110" s="11"/>
      <c r="G110" s="11"/>
      <c r="H110" s="185" t="s">
        <v>269</v>
      </c>
      <c r="I110" s="122"/>
      <c r="J110" s="122"/>
      <c r="K110" s="11"/>
      <c r="L110" s="90" t="str">
        <f>IF(_epmOfflineCondition_,"",_xll.EVPRO($B$1,H110,"JDEID"))</f>
        <v/>
      </c>
      <c r="M110" s="90" t="str">
        <f>IF(_epmOfflineCondition_,"",IF(AND(I110="N",J110="N"),_xll.EVPRO($B$1,H110,"PSFTID"),""))</f>
        <v/>
      </c>
      <c r="N110" s="90" t="str">
        <f>IF(_epmOfflineCondition_,"Dinner Beverage Revenue",IF(_xll.EVDES(H110,$B$1)="#NODATA","",_xll.EVDES(H110,$B$1)))</f>
        <v>Dinner Beverage Revenue</v>
      </c>
      <c r="O110" s="138">
        <f t="shared" ref="O110:Z110" si="24">O90+O97+O104</f>
        <v>900</v>
      </c>
      <c r="P110" s="138">
        <f t="shared" si="24"/>
        <v>0</v>
      </c>
      <c r="Q110" s="138">
        <f t="shared" si="24"/>
        <v>0</v>
      </c>
      <c r="R110" s="138">
        <f t="shared" si="24"/>
        <v>0</v>
      </c>
      <c r="S110" s="138">
        <f t="shared" si="24"/>
        <v>0</v>
      </c>
      <c r="T110" s="138">
        <f t="shared" si="24"/>
        <v>0</v>
      </c>
      <c r="U110" s="138">
        <f t="shared" si="24"/>
        <v>0</v>
      </c>
      <c r="V110" s="138">
        <f t="shared" si="24"/>
        <v>0</v>
      </c>
      <c r="W110" s="138">
        <f t="shared" si="24"/>
        <v>0</v>
      </c>
      <c r="X110" s="138">
        <f t="shared" si="24"/>
        <v>5100</v>
      </c>
      <c r="Y110" s="138">
        <f t="shared" si="24"/>
        <v>9235</v>
      </c>
      <c r="Z110" s="138">
        <f t="shared" si="24"/>
        <v>0</v>
      </c>
      <c r="AA110" s="138">
        <f>SUM(O110:Z110)</f>
        <v>15235</v>
      </c>
      <c r="AB110" s="142">
        <f>IF(AA110=0,"",IFERROR(AA110/AA$19,""))</f>
        <v>6.7081165303974552E-2</v>
      </c>
      <c r="AC110" s="140"/>
      <c r="AD110" s="138">
        <f>AD90+AD97+AD104</f>
        <v>5856.3642547013997</v>
      </c>
      <c r="AE110" s="142">
        <f>IF(AD110=0,"",IFERROR(AD110/AD$19,""))</f>
        <v>8.5246444637373936E-2</v>
      </c>
      <c r="AF110" s="141">
        <f>IF(AND($AA110="",AD110=""),"",$AA110-AD110)</f>
        <v>9378.6357452986013</v>
      </c>
      <c r="AG110" s="138">
        <f>AG90+AG97+AG104</f>
        <v>3025</v>
      </c>
      <c r="AH110" s="142">
        <f>IF(AG110=0,"",IFERROR(AG110/AG$19,""))</f>
        <v>6.7546897643562281E-2</v>
      </c>
      <c r="AI110" s="141">
        <f>IF(AND($AA110="",AG110=""),"",$AA110-AG110)</f>
        <v>12210</v>
      </c>
    </row>
    <row r="111" spans="1:35" x14ac:dyDescent="0.25">
      <c r="A111" s="11"/>
      <c r="B111" s="11"/>
      <c r="C111" s="208"/>
      <c r="D111" s="11"/>
      <c r="E111" s="11"/>
      <c r="F111" s="11"/>
      <c r="G111" s="11"/>
      <c r="H111" s="185" t="s">
        <v>791</v>
      </c>
      <c r="I111" s="122"/>
      <c r="J111" s="122"/>
      <c r="K111" s="11"/>
      <c r="L111" s="90" t="str">
        <f>IF(_epmOfflineCondition_,"",_xll.EVPRO($B$1,H111,"JDEID"))</f>
        <v/>
      </c>
      <c r="M111" s="90" t="str">
        <f>IF(_epmOfflineCondition_,"",IF(AND(I111="N",J111="N"),_xll.EVPRO($B$1,H111,"PSFTID"),""))</f>
        <v/>
      </c>
      <c r="N111" s="90" t="str">
        <f>IF(_epmOfflineCondition_,"Reception Beverage Revenue",IF(_xll.EVDES(H111,$B$1)="#NODATA","",_xll.EVDES(H111,$B$1)))</f>
        <v>Reception Beverage Revenue</v>
      </c>
      <c r="O111" s="138">
        <f t="shared" ref="O111:Z111" si="25">O91+O98+O105</f>
        <v>0</v>
      </c>
      <c r="P111" s="138">
        <f t="shared" si="25"/>
        <v>0</v>
      </c>
      <c r="Q111" s="138">
        <f t="shared" si="25"/>
        <v>0</v>
      </c>
      <c r="R111" s="138">
        <f t="shared" si="25"/>
        <v>0</v>
      </c>
      <c r="S111" s="138">
        <f t="shared" si="25"/>
        <v>0</v>
      </c>
      <c r="T111" s="138">
        <f t="shared" si="25"/>
        <v>0</v>
      </c>
      <c r="U111" s="138">
        <f t="shared" si="25"/>
        <v>0</v>
      </c>
      <c r="V111" s="138">
        <f t="shared" si="25"/>
        <v>0</v>
      </c>
      <c r="W111" s="138">
        <f t="shared" si="25"/>
        <v>0</v>
      </c>
      <c r="X111" s="138">
        <f t="shared" si="25"/>
        <v>0</v>
      </c>
      <c r="Y111" s="138">
        <f t="shared" si="25"/>
        <v>794</v>
      </c>
      <c r="Z111" s="138">
        <f t="shared" si="25"/>
        <v>0</v>
      </c>
      <c r="AA111" s="138">
        <f>SUM(O111:Z111)</f>
        <v>794</v>
      </c>
      <c r="AB111" s="142">
        <f>IF(AA111=0,"",IFERROR(AA111/AA$19,""))</f>
        <v>3.4960581064230911E-3</v>
      </c>
      <c r="AC111" s="140"/>
      <c r="AD111" s="138">
        <f>AD91+AD98+AD105</f>
        <v>0</v>
      </c>
      <c r="AE111" s="142" t="str">
        <f>IF(AD111=0,"",IFERROR(AD111/AD$19,""))</f>
        <v/>
      </c>
      <c r="AF111" s="141">
        <f>IF(AND($AA111="",AD111=""),"",$AA111-AD111)</f>
        <v>794</v>
      </c>
      <c r="AG111" s="138">
        <f>AG91+AG98+AG105</f>
        <v>0</v>
      </c>
      <c r="AH111" s="142" t="str">
        <f>IF(AG111=0,"",IFERROR(AG111/AG$19,""))</f>
        <v/>
      </c>
      <c r="AI111" s="141">
        <f>IF(AND($AA111="",AG111=""),"",$AA111-AG111)</f>
        <v>794</v>
      </c>
    </row>
    <row r="112" spans="1:35" x14ac:dyDescent="0.25">
      <c r="A112" s="11"/>
      <c r="B112" s="11"/>
      <c r="C112" s="208"/>
      <c r="D112" s="11"/>
      <c r="E112" s="11"/>
      <c r="F112" s="11"/>
      <c r="G112" s="11"/>
      <c r="H112" s="88" t="s">
        <v>272</v>
      </c>
      <c r="I112" s="122"/>
      <c r="J112" s="122"/>
      <c r="K112" s="11"/>
      <c r="L112" s="90" t="str">
        <f>IF(_epmOfflineCondition_,"",_xll.EVPRO($B$1,H112,"JDEID"))</f>
        <v/>
      </c>
      <c r="M112" s="90" t="str">
        <f>IF(_epmOfflineCondition_,"",IF(AND(I112="N",J112="N"),_xll.EVPRO($B$1,H112,"PSFTID"),""))</f>
        <v/>
      </c>
      <c r="N112" s="106" t="str">
        <f>IF(_epmOfflineCondition_,"Total Beverage Revenue",IF(_xll.EVDES(H112,$B$1)="#NODATA","",_xll.EVDES(H112,$B$1)))</f>
        <v>Total Beverage Revenue</v>
      </c>
      <c r="O112" s="162">
        <f t="shared" ref="O112:Z112" si="26">SUM(O108:O111)</f>
        <v>1080</v>
      </c>
      <c r="P112" s="162">
        <f t="shared" si="26"/>
        <v>0</v>
      </c>
      <c r="Q112" s="162">
        <f t="shared" si="26"/>
        <v>1440</v>
      </c>
      <c r="R112" s="162">
        <f t="shared" si="26"/>
        <v>0</v>
      </c>
      <c r="S112" s="162">
        <f t="shared" si="26"/>
        <v>852</v>
      </c>
      <c r="T112" s="162">
        <f t="shared" si="26"/>
        <v>256</v>
      </c>
      <c r="U112" s="162">
        <f t="shared" si="26"/>
        <v>0</v>
      </c>
      <c r="V112" s="162">
        <f t="shared" si="26"/>
        <v>875</v>
      </c>
      <c r="W112" s="162">
        <f t="shared" si="26"/>
        <v>0</v>
      </c>
      <c r="X112" s="162">
        <f t="shared" si="26"/>
        <v>5100</v>
      </c>
      <c r="Y112" s="162">
        <f t="shared" si="26"/>
        <v>11629</v>
      </c>
      <c r="Z112" s="162">
        <f t="shared" si="26"/>
        <v>0</v>
      </c>
      <c r="AA112" s="162">
        <f>SUM(O112:Z112)</f>
        <v>21232</v>
      </c>
      <c r="AB112" s="163">
        <f>IF(AA112=0,"",IFERROR(AA112/AA$19,""))</f>
        <v>9.3486531127928305E-2</v>
      </c>
      <c r="AC112" s="140"/>
      <c r="AD112" s="162">
        <f>SUM(AD108:AD111)</f>
        <v>6620.7142547575995</v>
      </c>
      <c r="AE112" s="163">
        <f>IF(AD112=0,"",IFERROR(AD112/AD$19,""))</f>
        <v>9.6372480711899119E-2</v>
      </c>
      <c r="AF112" s="164">
        <f>IF(AND($AA112="",AD112=""),"",$AA112-AD112)</f>
        <v>14611.2857452424</v>
      </c>
      <c r="AG112" s="162">
        <f>SUM(AG108:AG111)</f>
        <v>3797</v>
      </c>
      <c r="AH112" s="163">
        <f>IF(AG112=0,"",IFERROR(AG112/AG$19,""))</f>
        <v>8.4785312513258174E-2</v>
      </c>
      <c r="AI112" s="164">
        <f>IF(AND($AA112="",AG112=""),"",$AA112-AG112)</f>
        <v>17435</v>
      </c>
    </row>
    <row r="113" spans="1:35" x14ac:dyDescent="0.25">
      <c r="A113" s="11"/>
      <c r="B113" s="11"/>
      <c r="C113" s="208"/>
      <c r="D113" s="11"/>
      <c r="E113" s="11"/>
      <c r="F113" s="11"/>
      <c r="G113" s="11"/>
      <c r="H113" s="185"/>
      <c r="I113" s="122"/>
      <c r="J113" s="122"/>
      <c r="K113" s="11"/>
      <c r="L113" s="11"/>
      <c r="M113" s="11"/>
      <c r="N113" s="11"/>
      <c r="O113" s="209">
        <f t="shared" ref="O113:AA113" si="27">O92+O99+O106-O112</f>
        <v>0</v>
      </c>
      <c r="P113" s="209">
        <f t="shared" si="27"/>
        <v>0</v>
      </c>
      <c r="Q113" s="209">
        <f t="shared" si="27"/>
        <v>0</v>
      </c>
      <c r="R113" s="209">
        <f t="shared" si="27"/>
        <v>0</v>
      </c>
      <c r="S113" s="209">
        <f t="shared" si="27"/>
        <v>0</v>
      </c>
      <c r="T113" s="209">
        <f t="shared" si="27"/>
        <v>0</v>
      </c>
      <c r="U113" s="209">
        <f t="shared" si="27"/>
        <v>0</v>
      </c>
      <c r="V113" s="209">
        <f t="shared" si="27"/>
        <v>0</v>
      </c>
      <c r="W113" s="209">
        <f t="shared" si="27"/>
        <v>0</v>
      </c>
      <c r="X113" s="209">
        <f t="shared" si="27"/>
        <v>0</v>
      </c>
      <c r="Y113" s="209">
        <f t="shared" si="27"/>
        <v>0</v>
      </c>
      <c r="Z113" s="209">
        <f t="shared" si="27"/>
        <v>0</v>
      </c>
      <c r="AA113" s="209">
        <f t="shared" si="27"/>
        <v>0</v>
      </c>
      <c r="AB113" s="100"/>
      <c r="AC113" s="11"/>
      <c r="AD113" s="209">
        <f>AD92+AD99+AD106-AD112</f>
        <v>0</v>
      </c>
      <c r="AE113" s="100"/>
      <c r="AF113" s="91"/>
      <c r="AG113" s="209">
        <f>AG92+AG99+AG106-AG112</f>
        <v>0</v>
      </c>
      <c r="AH113" s="100"/>
      <c r="AI113" s="91"/>
    </row>
    <row r="114" spans="1:35" x14ac:dyDescent="0.25">
      <c r="A114" s="11"/>
      <c r="B114" s="11"/>
      <c r="C114" s="208"/>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25">
      <c r="A115" s="11"/>
      <c r="B115" s="11"/>
      <c r="C115" s="208"/>
      <c r="D115" s="11"/>
      <c r="E115" s="11"/>
      <c r="F115" s="11"/>
      <c r="G115" s="11"/>
      <c r="H115" s="88"/>
      <c r="I115" s="122"/>
      <c r="J115" s="122"/>
      <c r="K115" s="11"/>
      <c r="L115" s="90" t="str">
        <f>IF(_epmOfflineCondition_,"",_xll.EVPRO($B$1,H115,"JDEID"))</f>
        <v/>
      </c>
      <c r="M115" s="90" t="str">
        <f>IF(_epmOfflineCondition_,"",IF(AND(I115="N",J115="N"),_xll.EVPRO($B$1,H115,"PSFTID"),""))</f>
        <v/>
      </c>
      <c r="N115" s="106" t="s">
        <v>820</v>
      </c>
      <c r="O115" s="586">
        <f t="shared" ref="O115:AA115" si="28">IFERROR(O19/O21,0)</f>
        <v>34.043478260869563</v>
      </c>
      <c r="P115" s="586">
        <f t="shared" si="28"/>
        <v>30.830935251798561</v>
      </c>
      <c r="Q115" s="586">
        <f t="shared" si="28"/>
        <v>66.530423280423278</v>
      </c>
      <c r="R115" s="586">
        <f t="shared" si="28"/>
        <v>51.296015180265655</v>
      </c>
      <c r="S115" s="586">
        <f t="shared" si="28"/>
        <v>25.255875706214688</v>
      </c>
      <c r="T115" s="586">
        <f t="shared" si="28"/>
        <v>40.964679911699783</v>
      </c>
      <c r="U115" s="586">
        <f t="shared" si="28"/>
        <v>60.206422018348626</v>
      </c>
      <c r="V115" s="586">
        <f t="shared" si="28"/>
        <v>125.77927536231884</v>
      </c>
      <c r="W115" s="586">
        <f t="shared" si="28"/>
        <v>16.47887323943662</v>
      </c>
      <c r="X115" s="586">
        <f t="shared" si="28"/>
        <v>61.392996108949418</v>
      </c>
      <c r="Y115" s="586">
        <f t="shared" si="28"/>
        <v>80.316973415132921</v>
      </c>
      <c r="Z115" s="586">
        <f t="shared" si="28"/>
        <v>42.8</v>
      </c>
      <c r="AA115" s="586">
        <f t="shared" si="28"/>
        <v>49.544705497382196</v>
      </c>
      <c r="AB115" s="124"/>
      <c r="AC115" s="11"/>
      <c r="AD115" s="586">
        <f>IFERROR(AD19/AD21,0)</f>
        <v>25.118544791223325</v>
      </c>
      <c r="AE115" s="124"/>
      <c r="AF115" s="372">
        <f>IFERROR(AF19/AF21,0)</f>
        <v>0</v>
      </c>
      <c r="AG115" s="586">
        <f>IFERROR(AG19/AG21,0)</f>
        <v>31.099791666666665</v>
      </c>
      <c r="AH115" s="124"/>
      <c r="AI115" s="372">
        <f>IFERROR(AI19/AI21,0)</f>
        <v>0</v>
      </c>
    </row>
    <row r="116" spans="1:35" x14ac:dyDescent="0.25">
      <c r="A116" s="11"/>
      <c r="B116" s="11"/>
      <c r="C116" s="208"/>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25">
      <c r="A117" s="11"/>
      <c r="B117" s="11"/>
      <c r="C117" s="208"/>
      <c r="D117" s="11"/>
      <c r="E117" s="11"/>
      <c r="F117" s="11"/>
      <c r="G117" s="11"/>
      <c r="H117" s="185"/>
      <c r="I117" s="122"/>
      <c r="J117" s="122"/>
      <c r="K117" s="11"/>
      <c r="L117" s="11"/>
      <c r="M117" s="11"/>
      <c r="N117" s="11"/>
      <c r="O117" s="129"/>
      <c r="P117" s="130"/>
      <c r="Q117" s="130"/>
      <c r="R117" s="130"/>
      <c r="S117" s="130"/>
      <c r="T117" s="130"/>
      <c r="U117" s="130"/>
      <c r="V117" s="130"/>
      <c r="W117" s="130"/>
      <c r="X117" s="130"/>
      <c r="Y117" s="130"/>
      <c r="Z117" s="130"/>
      <c r="AA117" s="130"/>
      <c r="AB117" s="131"/>
      <c r="AC117" s="11"/>
      <c r="AD117" s="129"/>
      <c r="AE117" s="130"/>
      <c r="AF117" s="131"/>
      <c r="AG117" s="129"/>
      <c r="AH117" s="130"/>
      <c r="AI117" s="131"/>
    </row>
    <row r="118" spans="1:35" x14ac:dyDescent="0.25">
      <c r="A118" s="11"/>
      <c r="B118" s="11"/>
      <c r="C118" s="208"/>
      <c r="D118" s="11"/>
      <c r="E118" s="11"/>
      <c r="F118" s="11"/>
      <c r="G118" s="11"/>
      <c r="H118" s="185"/>
      <c r="I118" s="122"/>
      <c r="J118" s="122"/>
      <c r="K118" s="11"/>
      <c r="L118" s="11"/>
      <c r="M118" s="11"/>
      <c r="N118" s="104" t="str">
        <f>N82&amp;" - Check"</f>
        <v>Total Food &amp; Beverage Revenue - Check</v>
      </c>
      <c r="O118" s="209">
        <f t="shared" ref="O118:AA118" si="29">O39+O49+O59+O69+O75+O80-O82</f>
        <v>0</v>
      </c>
      <c r="P118" s="209">
        <f t="shared" si="29"/>
        <v>0</v>
      </c>
      <c r="Q118" s="209">
        <f t="shared" si="29"/>
        <v>0</v>
      </c>
      <c r="R118" s="209">
        <f t="shared" si="29"/>
        <v>0</v>
      </c>
      <c r="S118" s="209">
        <f t="shared" si="29"/>
        <v>0</v>
      </c>
      <c r="T118" s="209">
        <f t="shared" si="29"/>
        <v>0</v>
      </c>
      <c r="U118" s="209">
        <f t="shared" si="29"/>
        <v>0</v>
      </c>
      <c r="V118" s="209">
        <f t="shared" si="29"/>
        <v>0</v>
      </c>
      <c r="W118" s="209">
        <f t="shared" si="29"/>
        <v>0</v>
      </c>
      <c r="X118" s="209">
        <f t="shared" si="29"/>
        <v>0</v>
      </c>
      <c r="Y118" s="209">
        <f t="shared" si="29"/>
        <v>0</v>
      </c>
      <c r="Z118" s="209">
        <f t="shared" si="29"/>
        <v>0</v>
      </c>
      <c r="AA118" s="209">
        <f t="shared" si="29"/>
        <v>0</v>
      </c>
      <c r="AB118" s="100"/>
      <c r="AC118" s="11"/>
      <c r="AD118" s="209">
        <f>AD39+AD49+AD59+AD69+AD75+AD80-AD82</f>
        <v>0</v>
      </c>
      <c r="AE118" s="100"/>
      <c r="AF118" s="91"/>
      <c r="AG118" s="209">
        <f>AG39+AG49+AG59+AG69+AG75+AG80-AG82</f>
        <v>0</v>
      </c>
      <c r="AH118" s="100"/>
      <c r="AI118" s="91"/>
    </row>
    <row r="119" spans="1:35" x14ac:dyDescent="0.25">
      <c r="A119" s="11"/>
      <c r="B119" s="11"/>
      <c r="C119" s="208"/>
      <c r="D119" s="11"/>
      <c r="E119" s="11"/>
      <c r="F119" s="11"/>
      <c r="G119" s="11"/>
      <c r="H119" s="185"/>
      <c r="I119" s="122"/>
      <c r="J119" s="122"/>
      <c r="K119" s="11"/>
      <c r="L119" s="11"/>
      <c r="M119" s="11"/>
      <c r="N119" s="104" t="str">
        <f>N83&amp;" - Check"</f>
        <v>Total Customers - Check</v>
      </c>
      <c r="O119" s="209">
        <f t="shared" ref="O119:AA119" si="30">O41+O51+O61+O70+O76-O83</f>
        <v>0</v>
      </c>
      <c r="P119" s="209">
        <f t="shared" si="30"/>
        <v>0</v>
      </c>
      <c r="Q119" s="209">
        <f t="shared" si="30"/>
        <v>0</v>
      </c>
      <c r="R119" s="209">
        <f t="shared" si="30"/>
        <v>0</v>
      </c>
      <c r="S119" s="209">
        <f t="shared" si="30"/>
        <v>0</v>
      </c>
      <c r="T119" s="209">
        <f t="shared" si="30"/>
        <v>0</v>
      </c>
      <c r="U119" s="209">
        <f t="shared" si="30"/>
        <v>0</v>
      </c>
      <c r="V119" s="209">
        <f t="shared" si="30"/>
        <v>0</v>
      </c>
      <c r="W119" s="209">
        <f t="shared" si="30"/>
        <v>0</v>
      </c>
      <c r="X119" s="209">
        <f t="shared" si="30"/>
        <v>0</v>
      </c>
      <c r="Y119" s="209">
        <f t="shared" si="30"/>
        <v>0</v>
      </c>
      <c r="Z119" s="209">
        <f t="shared" si="30"/>
        <v>0</v>
      </c>
      <c r="AA119" s="209">
        <f t="shared" si="30"/>
        <v>0</v>
      </c>
      <c r="AB119" s="100"/>
      <c r="AC119" s="11"/>
      <c r="AD119" s="209">
        <f>AD41+AD51+AD61+AD70+AD76-AD83</f>
        <v>0</v>
      </c>
      <c r="AE119" s="100"/>
      <c r="AF119" s="91"/>
      <c r="AG119" s="209">
        <f>AG41+AG51+AG61+AG70+AG76-AG83</f>
        <v>0</v>
      </c>
      <c r="AH119" s="100"/>
      <c r="AI119" s="91"/>
    </row>
    <row r="120" spans="1:35" x14ac:dyDescent="0.25">
      <c r="A120" s="11"/>
      <c r="B120" s="11"/>
      <c r="C120" s="208"/>
      <c r="D120" s="11"/>
      <c r="E120" s="11"/>
      <c r="F120" s="11"/>
      <c r="G120" s="11"/>
      <c r="H120" s="185"/>
      <c r="I120" s="122"/>
      <c r="J120" s="122"/>
      <c r="K120" s="11"/>
      <c r="L120" s="11"/>
      <c r="M120" s="11"/>
      <c r="N120" s="104" t="str">
        <f>N84&amp;" - Check"</f>
        <v>Total Average Check - Check</v>
      </c>
      <c r="O120" s="492">
        <f t="shared" ref="O120:AA120" si="31">IFERROR(O$82/O83,"")-O84</f>
        <v>0</v>
      </c>
      <c r="P120" s="492">
        <f t="shared" si="31"/>
        <v>0</v>
      </c>
      <c r="Q120" s="492">
        <f t="shared" si="31"/>
        <v>0</v>
      </c>
      <c r="R120" s="492">
        <f t="shared" si="31"/>
        <v>0</v>
      </c>
      <c r="S120" s="492">
        <f t="shared" si="31"/>
        <v>0</v>
      </c>
      <c r="T120" s="492">
        <f t="shared" si="31"/>
        <v>0</v>
      </c>
      <c r="U120" s="492">
        <f t="shared" si="31"/>
        <v>0</v>
      </c>
      <c r="V120" s="492">
        <f t="shared" si="31"/>
        <v>0</v>
      </c>
      <c r="W120" s="492">
        <f t="shared" si="31"/>
        <v>0</v>
      </c>
      <c r="X120" s="492">
        <f t="shared" si="31"/>
        <v>0</v>
      </c>
      <c r="Y120" s="492">
        <f t="shared" si="31"/>
        <v>0</v>
      </c>
      <c r="Z120" s="492">
        <f t="shared" si="31"/>
        <v>0</v>
      </c>
      <c r="AA120" s="492">
        <f t="shared" si="31"/>
        <v>0</v>
      </c>
      <c r="AB120" s="100"/>
      <c r="AC120" s="11"/>
      <c r="AD120" s="492">
        <f>IFERROR(AD$82/AD83,"")-AD84</f>
        <v>-6.3948846218409017E-14</v>
      </c>
      <c r="AE120" s="100"/>
      <c r="AF120" s="91"/>
      <c r="AG120" s="492">
        <f>IFERROR(AG$82/AG83,"")-AG84</f>
        <v>0</v>
      </c>
      <c r="AH120" s="100"/>
      <c r="AI120" s="91"/>
    </row>
    <row r="121" spans="1:35" x14ac:dyDescent="0.25">
      <c r="A121" s="11"/>
      <c r="B121" s="11"/>
      <c r="C121" s="208"/>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25">
      <c r="A122" s="11"/>
      <c r="B122" s="11"/>
      <c r="C122" s="208"/>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25">
      <c r="A123" s="11"/>
      <c r="B123" s="11"/>
      <c r="C123" s="208"/>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25">
      <c r="A124" s="11"/>
      <c r="B124" s="11"/>
      <c r="C124" s="208"/>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25">
      <c r="A125" s="11"/>
      <c r="B125" s="11"/>
      <c r="C125" s="208"/>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25">
      <c r="A126" s="11"/>
      <c r="B126" s="11"/>
      <c r="C126" s="208"/>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25">
      <c r="A127" s="11"/>
      <c r="B127" s="11"/>
      <c r="C127" s="208"/>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25">
      <c r="A128" s="11"/>
      <c r="B128" s="11"/>
      <c r="C128" s="208"/>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25">
      <c r="A129" s="11"/>
      <c r="B129" s="11"/>
      <c r="C129" s="208"/>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25">
      <c r="A130" s="11"/>
      <c r="B130" s="11"/>
      <c r="C130" s="208"/>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25">
      <c r="A131" s="11"/>
      <c r="B131" s="11"/>
      <c r="C131" s="208"/>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25">
      <c r="A132" s="11"/>
      <c r="B132" s="11"/>
      <c r="C132" s="208"/>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25">
      <c r="A133" s="11"/>
      <c r="B133" s="11"/>
      <c r="C133" s="208"/>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2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25">
      <c r="A135" s="11"/>
      <c r="B135" s="11"/>
      <c r="C135" s="208"/>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25">
      <c r="A136" s="11"/>
      <c r="B136" s="11"/>
      <c r="C136" s="208"/>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25">
      <c r="A137" s="11"/>
      <c r="B137" s="11"/>
      <c r="C137" s="208"/>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25">
      <c r="A138" s="11"/>
      <c r="B138" s="11"/>
      <c r="C138" s="208"/>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25">
      <c r="A139" s="11"/>
      <c r="B139" s="11"/>
      <c r="C139" s="208"/>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25">
      <c r="A140" s="11"/>
      <c r="B140" s="11"/>
      <c r="C140" s="208"/>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25">
      <c r="A141" s="11"/>
      <c r="B141" s="11"/>
      <c r="C141" s="208"/>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25">
      <c r="A142" s="11"/>
      <c r="B142" s="11"/>
      <c r="C142" s="208"/>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25">
      <c r="A143" s="11"/>
      <c r="B143" s="11"/>
      <c r="C143" s="208"/>
      <c r="D143" s="11"/>
      <c r="E143" s="11"/>
      <c r="F143" s="11"/>
      <c r="G143" s="11"/>
      <c r="H143" s="11"/>
      <c r="I143" s="267"/>
      <c r="J143" s="11"/>
      <c r="K143" s="267"/>
      <c r="L143" s="267"/>
      <c r="M143" s="267"/>
      <c r="N143" s="11"/>
      <c r="O143" s="267"/>
      <c r="P143" s="267"/>
      <c r="Q143" s="267"/>
      <c r="R143" s="267"/>
      <c r="S143" s="267"/>
      <c r="T143" s="267"/>
      <c r="U143" s="267"/>
      <c r="V143" s="267"/>
      <c r="W143" s="267"/>
      <c r="X143" s="267"/>
      <c r="Y143" s="267"/>
      <c r="Z143" s="267"/>
      <c r="AA143" s="267"/>
      <c r="AB143" s="11"/>
      <c r="AC143" s="11"/>
      <c r="AD143" s="267"/>
      <c r="AE143" s="11"/>
      <c r="AF143" s="267"/>
      <c r="AG143" s="11"/>
      <c r="AH143" s="267"/>
      <c r="AI143" s="11"/>
    </row>
    <row r="144" spans="1:35" x14ac:dyDescent="0.25">
      <c r="A144" s="11"/>
      <c r="B144" s="11"/>
      <c r="C144" s="208"/>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25">
      <c r="A145" s="11"/>
      <c r="B145" s="11"/>
      <c r="C145" s="208"/>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25">
      <c r="A146" s="11"/>
      <c r="B146" s="11"/>
      <c r="C146" s="208"/>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25">
      <c r="A147" s="11"/>
      <c r="B147" s="11"/>
      <c r="C147" s="208"/>
      <c r="D147" s="11"/>
      <c r="E147" s="11"/>
      <c r="F147" s="11"/>
      <c r="G147" s="11"/>
      <c r="H147" s="11"/>
      <c r="I147" s="267"/>
      <c r="J147" s="11"/>
      <c r="K147" s="267"/>
      <c r="L147" s="267"/>
      <c r="M147" s="267"/>
      <c r="N147" s="11"/>
      <c r="O147" s="267"/>
      <c r="P147" s="267"/>
      <c r="Q147" s="267"/>
      <c r="R147" s="267"/>
      <c r="S147" s="267"/>
      <c r="T147" s="267"/>
      <c r="U147" s="267"/>
      <c r="V147" s="267"/>
      <c r="W147" s="267"/>
      <c r="X147" s="267"/>
      <c r="Y147" s="267"/>
      <c r="Z147" s="267"/>
      <c r="AA147" s="267"/>
      <c r="AB147" s="11"/>
      <c r="AC147" s="11"/>
      <c r="AD147" s="267"/>
      <c r="AE147" s="11"/>
      <c r="AF147" s="267"/>
      <c r="AG147" s="11"/>
      <c r="AH147" s="267"/>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208"/>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11"/>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267"/>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11"/>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row r="207" spans="1:35" x14ac:dyDescent="0.25">
      <c r="A207" s="11"/>
      <c r="B207" s="11"/>
      <c r="C207" s="11"/>
      <c r="D207" s="11"/>
      <c r="E207" s="267"/>
      <c r="F207" s="11"/>
      <c r="G207" s="11"/>
      <c r="H207" s="11"/>
      <c r="I207" s="59"/>
      <c r="J207" s="59"/>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row>
  </sheetData>
  <sheetProtection algorithmName="SHA-512" hashValue="3C3ZT+oIPEPhmXAd3CZNKWDMTRjt/hHPJn/DIpAK0NusBkWgtbOiYfg45C3qb86jJunWGNJWxkBZpivd9pmhPg==" saltValue="m/k1t2Ou2ZYeUjTaafp4iw==" spinCount="100000" sheet="1" scenarios="1"/>
  <mergeCells count="2">
    <mergeCell ref="AD31:AE31"/>
    <mergeCell ref="AG31:AH31"/>
  </mergeCells>
  <conditionalFormatting sqref="AD43 AF43:AG43 O43:AA43">
    <cfRule type="expression" dxfId="23" priority="10">
      <formula>ROUND(O42,2)&lt;&gt;ROUND(O43,2)</formula>
    </cfRule>
  </conditionalFormatting>
  <conditionalFormatting sqref="O53:AA53 AD53 AF53:AG53">
    <cfRule type="expression" dxfId="22" priority="9">
      <formula>ROUND(O52,2)&lt;&gt;ROUND(O53,2)</formula>
    </cfRule>
  </conditionalFormatting>
  <conditionalFormatting sqref="O63:AA63 AD63 AF63:AG63">
    <cfRule type="expression" dxfId="21" priority="8">
      <formula>ROUND(O62,2)&lt;&gt;ROUND(O63,2)</formula>
    </cfRule>
  </conditionalFormatting>
  <conditionalFormatting sqref="O72:AA72 AD72 AF72:AG72">
    <cfRule type="expression" dxfId="20" priority="7">
      <formula>ROUND(O71,2)&lt;&gt;ROUND(O72,2)</formula>
    </cfRule>
  </conditionalFormatting>
  <conditionalFormatting sqref="AD78 AF78:AG78 O78:AA78">
    <cfRule type="expression" dxfId="19" priority="6">
      <formula>ROUND(O77,2)&lt;&gt;ROUND(O78,2)</formula>
    </cfRule>
  </conditionalFormatting>
  <conditionalFormatting sqref="AI43">
    <cfRule type="expression" dxfId="18" priority="5">
      <formula>ROUND(AI42,2)&lt;&gt;ROUND(AI43,2)</formula>
    </cfRule>
  </conditionalFormatting>
  <conditionalFormatting sqref="AI53">
    <cfRule type="expression" dxfId="17" priority="4">
      <formula>ROUND(AI52,2)&lt;&gt;ROUND(AI53,2)</formula>
    </cfRule>
  </conditionalFormatting>
  <conditionalFormatting sqref="AI63">
    <cfRule type="expression" dxfId="16" priority="3">
      <formula>ROUND(AI62,2)&lt;&gt;ROUND(AI63,2)</formula>
    </cfRule>
  </conditionalFormatting>
  <conditionalFormatting sqref="AI72">
    <cfRule type="expression" dxfId="15" priority="2">
      <formula>ROUND(AI71,2)&lt;&gt;ROUND(AI72,2)</formula>
    </cfRule>
  </conditionalFormatting>
  <conditionalFormatting sqref="AI78">
    <cfRule type="expression" dxfId="14" priority="1">
      <formula>ROUND(AI77,2)&lt;&gt;ROUND(AI78,2)</formula>
    </cfRule>
  </conditionalFormatting>
  <conditionalFormatting sqref="N43 N53 N63 N72 N78">
    <cfRule type="expression" dxfId="13" priority="11">
      <formula>$G44&lt;&gt;0</formula>
    </cfRule>
  </conditionalFormatting>
  <conditionalFormatting sqref="N79">
    <cfRule type="expression" dxfId="12" priority="12">
      <formula>#REF!&lt;&gt;0</formula>
    </cfRule>
  </conditionalFormatting>
  <dataValidations count="2">
    <dataValidation type="list" allowBlank="1" sqref="B29" xr:uid="{00000000-0002-0000-1A00-000000000000}">
      <formula1>"SELF,ALL,BAS,DEP,BASMEMBERS,MEMBERS,NOEXPAND,GDEP"</formula1>
    </dataValidation>
    <dataValidation type="list" allowBlank="1" sqref="B28" xr:uid="{00000000-0002-0000-1A00-000001000000}">
      <formula1>"ACCOUNT,BUSINESSUNIT,CATEGORY,DATASRC,DEPARTMENT,INTCO,MEASURES,RPTCURRENCY,TIME"</formula1>
    </dataValidation>
  </dataValidations>
  <pageMargins left="0.25" right="0.25" top="0.5" bottom="0.5" header="0.3" footer="0.3"/>
  <pageSetup scale="48"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7201"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7201" r:id="rId7" name="FPMExcelClientSheetOptionstb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4">
    <tabColor theme="6" tint="0.39997558519241921"/>
    <pageSetUpPr fitToPage="1"/>
  </sheetPr>
  <dimension ref="A1:AO171"/>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806</v>
      </c>
      <c r="C6" s="11" t="str">
        <f>IF(_epmOfflineCondition_,"Banquet CS Local",_xll.EVDES(B6,$B$1))</f>
        <v>Banquet CS Local</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IF(_epmOfflineCondition_,"'BCC_Local'!$B$2:$B$10",_xll.EVRNG($B$2:$B$10))</f>
        <v>'BCC_Local'!$B$2:$B$10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IF(_epmOfflineCondition_,"'BCC_Local'!$O$16:$AN$18",_xll.EVRNG($O$16:$AN$18))</f>
        <v>'BCC_Local'!$O$16:$AN$18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IF(_epmOfflineCondition_,"'BCC_Local'!$H$35:$H$56",_xll.EVRNG(H35:H56))</f>
        <v>'BCC_Local'!$H$35:$H$56</v>
      </c>
      <c r="C19" s="11"/>
      <c r="D19" s="11"/>
      <c r="E19" s="11"/>
      <c r="F19" s="11"/>
      <c r="G19" s="67" t="str">
        <f>$B$6</f>
        <v>D2348</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IF(_epmOfflineCondition_,37948.06,_xll.EVGTS($B$1,1,$B$3,$B$5,$B$7,$B$9,P$16,P$17,P$18,$G$19,$H$19))</f>
        <v>37948.06</v>
      </c>
      <c r="Q19" s="69">
        <f>IF(_epmOfflineCondition_,1926.22,_xll.EVGTS($B$1,1,$B$3,$B$5,$B$7,$B$9,Q$16,Q$17,Q$18,$G$19,$H$19))</f>
        <v>1926.22</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39874.28</v>
      </c>
      <c r="AB19" s="67"/>
      <c r="AC19" s="67"/>
      <c r="AD19" s="69">
        <f>IF(_epmOfflineCondition_,71794.9264,_xll.EVGTS($B$1,1,$B$3,$B$5,$B$7,$B$9,AD$16,AD$17,AD$18,$G$19,$H$19))</f>
        <v>71794.926399999997</v>
      </c>
      <c r="AE19" s="67"/>
      <c r="AF19" s="67"/>
      <c r="AG19" s="69">
        <f>IF(_epmOfflineCondition_,8651.46,_xll.EVGTS($B$1,1,$B$3,$B$5,$B$7,$B$9,AG$16,AG$17,AG$18,$G$19,$H$19))</f>
        <v>8651.4599999999991</v>
      </c>
      <c r="AH19" s="67"/>
      <c r="AI19" s="67"/>
      <c r="AJ19" s="11"/>
      <c r="AK19" s="11"/>
      <c r="AL19" s="11"/>
      <c r="AM19" s="11"/>
      <c r="AN19" s="11"/>
      <c r="AO19" s="11"/>
    </row>
    <row r="20" spans="1:41" hidden="1" outlineLevel="1" x14ac:dyDescent="0.25">
      <c r="A20" s="65" t="s">
        <v>5</v>
      </c>
      <c r="B20" s="66"/>
      <c r="C20" s="11"/>
      <c r="D20" s="11"/>
      <c r="E20" s="11"/>
      <c r="F20" s="11"/>
      <c r="G20" s="67" t="str">
        <f>$B$6</f>
        <v>D2348</v>
      </c>
      <c r="H20" s="67">
        <v>946000</v>
      </c>
      <c r="I20" s="68"/>
      <c r="J20" s="68"/>
      <c r="K20" s="67"/>
      <c r="L20" s="68"/>
      <c r="M20" s="68"/>
      <c r="N20" s="67" t="str">
        <f>IF(_epmOfflineCondition_,"Total Customers",_xll.EVDES(H20))</f>
        <v>Total Customers</v>
      </c>
      <c r="O20" s="69">
        <f>IF(_epmOfflineCondition_,0,_xll.EVGTS($B$1,1,$B$3,$B$5,$B$7,$B$9,O$16,O$17,O$18,$G$20,$H$20))</f>
        <v>0</v>
      </c>
      <c r="P20" s="69">
        <f>IF(_epmOfflineCondition_,296,_xll.EVGTS($B$1,1,$B$3,$B$5,$B$7,$B$9,P$16,P$17,P$18,$G$20,$H$20))</f>
        <v>296</v>
      </c>
      <c r="Q20" s="69">
        <f>IF(_epmOfflineCondition_,21,_xll.EVGTS($B$1,1,$B$3,$B$5,$B$7,$B$9,Q$16,Q$17,Q$18,$G$20,$H$20))</f>
        <v>21</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317</v>
      </c>
      <c r="AB20" s="67"/>
      <c r="AC20" s="67"/>
      <c r="AD20" s="69">
        <f>IF(_epmOfflineCondition_,639.54,_xll.EVGTS($B$1,1,$B$3,$B$5,$B$7,$B$9,AD$16,AD$17,AD$18,$G$20,$H$20))</f>
        <v>639.54</v>
      </c>
      <c r="AE20" s="67"/>
      <c r="AF20" s="67"/>
      <c r="AG20" s="69">
        <f>IF(_epmOfflineCondition_,89,_xll.EVGTS($B$1,1,$B$3,$B$5,$B$7,$B$9,AG$16,AG$17,AG$18,$G$20,$H$20))</f>
        <v>89</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IF(_epmOfflineCondition_,"'BCC_Local'!$A$36:$F$44",_xll.EVRNG(A36:F44))</f>
        <v>'BCC_Local'!$A$36:$F$44</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IF(_epmOfflineCondition_,"'BCC_Local'!$A$125:$B$146",_xll.EVRNG($A$125:$B$146))</f>
        <v>'BCC_Local'!$A$125:$B$146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IF(_epmOfflineCondition_,"Banquet CS Local Department",IF(_xll.EVDES(B6,$B$1)="#NODATA","",_xll.EVDES(B6,$B$1)&amp;" Department"))</f>
        <v>Banquet CS Local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"&amp;$E$6&amp;"=Y,REV_F,BEV,DEP(REV_BEV) AND "&amp;$E$6&amp;"=Y,REV_BEV,ALLOW_FB,REV_FB,OTHR_REV,DEP(REV_OTHR) AND "&amp;$E$6&amp;"=Y,REV_OTHR,400000"</f>
        <v>DEP(REV_F) AND D2148=Y,REV_F,BEV,DEP(REV_BEV) AND D2148=Y,REV_BEV,ALLOW_FB,REV_FB,OTHR_REV,DEP(REV_OTHR) AND D2148=Y,REV_OTHR,400000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751</v>
      </c>
      <c r="AK30" s="74"/>
      <c r="AL30" s="75"/>
      <c r="AM30" s="74" t="s">
        <v>750</v>
      </c>
      <c r="AN30" s="74"/>
      <c r="AO30" s="11"/>
    </row>
    <row r="31" spans="1:41" x14ac:dyDescent="0.25">
      <c r="A31" s="65" t="s">
        <v>15</v>
      </c>
      <c r="B31" s="66"/>
      <c r="C31" s="11"/>
      <c r="D31" s="11"/>
      <c r="E31" s="11"/>
      <c r="F31" s="11"/>
      <c r="G31" s="76"/>
      <c r="H31" s="11"/>
      <c r="I31" s="11"/>
      <c r="J31" s="11"/>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t="s">
        <v>259</v>
      </c>
      <c r="I34" s="59" t="str">
        <f>IF(_epmOfflineCondition_,"B1",_xll.EVPRO($B$1,$H34,"STYLE"))</f>
        <v>B1</v>
      </c>
      <c r="J34" s="59" t="str">
        <f>IF(_epmOfflineCondition_,"Y",_xll.EVPRO($B$1,$H34,"CALC"))</f>
        <v>Y</v>
      </c>
      <c r="K34" s="11"/>
      <c r="L34" s="133" t="s">
        <v>364</v>
      </c>
      <c r="M34" s="133" t="s">
        <v>782</v>
      </c>
      <c r="N34" s="53" t="str">
        <f>IF(_epmOfflineCondition_,"Food Revenue",IF(_xll.EVDES(H34,$B$1)="#NODATA","",_xll.EVDES(H34,$B$1)))</f>
        <v>Food Revenue</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260</v>
      </c>
      <c r="I35" s="122" t="str">
        <f>IF(_epmOfflineCondition_,"T5",_xll.EVPRO($B$1,$H35,"STYLE"))</f>
        <v>T5</v>
      </c>
      <c r="J35" s="122" t="str">
        <f>IF(_epmOfflineCondition_,"Y",_xll.EVPRO($B$1,$H35,"CALC"))</f>
        <v>Y</v>
      </c>
      <c r="K35" s="179" t="str">
        <f t="shared" ref="K35:K56" si="0">IF(AND(I35&gt;="T5"),"&gt;","")</f>
        <v>&gt;</v>
      </c>
      <c r="L35" s="90" t="str">
        <f>IF(_epmOfflineCondition_,"461100",_xll.EVPRO($B$1,H35,"JDEID"))</f>
        <v>461100</v>
      </c>
      <c r="M35" s="90" t="str">
        <f>IF(_epmOfflineCondition_,"",IF(AND(I35="N",J35="N"),_xll.EVPRO($B$1,H35,"PSFTID"),""))</f>
        <v/>
      </c>
      <c r="N35" s="90" t="str">
        <f>IF(_epmOfflineCondition_,"Breakfast Food",IF(_xll.EVDES(H35,$B$1)="#NODATA","",_xll.EVDES(H35,$B$1)))</f>
        <v>Breakfast Food</v>
      </c>
      <c r="O35" s="563"/>
      <c r="P35" s="564"/>
      <c r="Q35" s="564"/>
      <c r="R35" s="564"/>
      <c r="S35" s="564"/>
      <c r="T35" s="564"/>
      <c r="U35" s="564"/>
      <c r="V35" s="564"/>
      <c r="W35" s="564"/>
      <c r="X35" s="564"/>
      <c r="Y35" s="564"/>
      <c r="Z35" s="564"/>
      <c r="AA35" s="210">
        <f t="shared" ref="AA35:AA56" si="1">IF($I35="B1","",SUM(O35:Z35))</f>
        <v>0</v>
      </c>
      <c r="AB35" s="565" t="str">
        <f t="shared" ref="AB35:AB56" si="2">IF(AA35=0,"",IFERROR(AA35/AA$19,""))</f>
        <v/>
      </c>
      <c r="AC35" s="459"/>
      <c r="AD35" s="564"/>
      <c r="AE35" s="565" t="str">
        <f t="shared" ref="AE35:AE56" si="3">IF(AD35=0,"",IFERROR(AD35/AD$19,""))</f>
        <v/>
      </c>
      <c r="AF35" s="566">
        <f t="shared" ref="AF35:AF56" si="4">IF(AND($AA35="",AD35=""),"",$AA35-AD35)</f>
        <v>0</v>
      </c>
      <c r="AG35" s="564"/>
      <c r="AH35" s="565" t="str">
        <f t="shared" ref="AH35:AH56" si="5">IF(AG35=0,"",IFERROR(AG35/AG$19,""))</f>
        <v/>
      </c>
      <c r="AI35" s="567">
        <f t="shared" ref="AI35:AI56" si="6">IF(AND($AA35="",AG35=""),"",$AA35-AG35)</f>
        <v>0</v>
      </c>
      <c r="AJ35" s="462">
        <f t="shared" ref="AJ35:AJ56" si="7">IFERROR(AA35/AA$20,0)</f>
        <v>0</v>
      </c>
      <c r="AK35" s="463">
        <f t="shared" ref="AK35:AK56" si="8">IFERROR(AD35/AD$20,0)</f>
        <v>0</v>
      </c>
      <c r="AL35" s="464">
        <f t="shared" ref="AL35:AL56" si="9">IFERROR(AG35/AG$20,0)</f>
        <v>0</v>
      </c>
      <c r="AM35" s="465">
        <f t="shared" ref="AM35:AM56" si="10">+IFERROR(ROUND(($AB35-AE35)*100,2)&amp;" pts.",0)</f>
        <v>0</v>
      </c>
      <c r="AN35" s="466">
        <f t="shared" ref="AN35:AN56" si="11">+IFERROR(ROUND(($AB35-AH35)*100,2)&amp;" pts.",0)</f>
        <v>0</v>
      </c>
      <c r="AO35" s="11"/>
    </row>
    <row r="36" spans="1:41" x14ac:dyDescent="0.25">
      <c r="A36" s="11"/>
      <c r="B36" s="11"/>
      <c r="C36" s="11"/>
      <c r="D36" s="11"/>
      <c r="E36" s="11"/>
      <c r="F36" s="11"/>
      <c r="G36" s="11"/>
      <c r="H36" s="88" t="s">
        <v>261</v>
      </c>
      <c r="I36" s="122" t="str">
        <f>IF(_epmOfflineCondition_,"T5",_xll.EVPRO($B$1,$H36,"STYLE"))</f>
        <v>T5</v>
      </c>
      <c r="J36" s="122" t="str">
        <f>IF(_epmOfflineCondition_,"Y",_xll.EVPRO($B$1,$H36,"CALC"))</f>
        <v>Y</v>
      </c>
      <c r="K36" s="179" t="str">
        <f t="shared" si="0"/>
        <v>&gt;</v>
      </c>
      <c r="L36" s="90" t="str">
        <f>IF(_epmOfflineCondition_,"462100",_xll.EVPRO($B$1,H36,"JDEID"))</f>
        <v>462100</v>
      </c>
      <c r="M36" s="90" t="str">
        <f>IF(_epmOfflineCondition_,"",IF(AND(I36="N",J36="N"),_xll.EVPRO($B$1,H36,"PSFTID"),""))</f>
        <v/>
      </c>
      <c r="N36" s="90" t="str">
        <f>IF(_epmOfflineCondition_,"Lunch Food",IF(_xll.EVDES(H36,$B$1)="#NODATA","",_xll.EVDES(H36,$B$1)))</f>
        <v>Lunch Food</v>
      </c>
      <c r="O36" s="563"/>
      <c r="P36" s="564">
        <v>5189</v>
      </c>
      <c r="Q36" s="564"/>
      <c r="R36" s="564"/>
      <c r="S36" s="564"/>
      <c r="T36" s="564"/>
      <c r="U36" s="564"/>
      <c r="V36" s="564"/>
      <c r="W36" s="564"/>
      <c r="X36" s="564"/>
      <c r="Y36" s="564"/>
      <c r="Z36" s="564"/>
      <c r="AA36" s="210">
        <f t="shared" si="1"/>
        <v>5189</v>
      </c>
      <c r="AB36" s="565">
        <f t="shared" si="2"/>
        <v>0.13013401119719278</v>
      </c>
      <c r="AC36" s="459"/>
      <c r="AD36" s="564">
        <v>4300</v>
      </c>
      <c r="AE36" s="565">
        <f t="shared" si="3"/>
        <v>5.9892811590095872E-2</v>
      </c>
      <c r="AF36" s="566">
        <f t="shared" si="4"/>
        <v>889</v>
      </c>
      <c r="AG36" s="564">
        <v>1503</v>
      </c>
      <c r="AH36" s="565">
        <f t="shared" si="5"/>
        <v>0.17372790257366966</v>
      </c>
      <c r="AI36" s="567">
        <f t="shared" si="6"/>
        <v>3686</v>
      </c>
      <c r="AJ36" s="462">
        <f t="shared" si="7"/>
        <v>16.369085173501578</v>
      </c>
      <c r="AK36" s="463">
        <f t="shared" si="8"/>
        <v>6.7235825749757643</v>
      </c>
      <c r="AL36" s="464">
        <f t="shared" si="9"/>
        <v>16.887640449438202</v>
      </c>
      <c r="AM36" s="465" t="str">
        <f t="shared" si="10"/>
        <v>7.02 pts.</v>
      </c>
      <c r="AN36" s="466" t="str">
        <f t="shared" si="11"/>
        <v>-4.36 pts.</v>
      </c>
      <c r="AO36" s="11"/>
    </row>
    <row r="37" spans="1:41" x14ac:dyDescent="0.25">
      <c r="A37" s="11" t="s">
        <v>209</v>
      </c>
      <c r="B37" s="11" t="s">
        <v>21</v>
      </c>
      <c r="C37" s="395"/>
      <c r="D37" s="11" t="s">
        <v>590</v>
      </c>
      <c r="E37" s="11"/>
      <c r="F37" s="11" t="s">
        <v>99</v>
      </c>
      <c r="G37" s="11"/>
      <c r="H37" s="88" t="s">
        <v>262</v>
      </c>
      <c r="I37" s="122" t="str">
        <f>IF(_epmOfflineCondition_,"T5",_xll.EVPRO($B$1,$H37,"STYLE"))</f>
        <v>T5</v>
      </c>
      <c r="J37" s="122" t="str">
        <f>IF(_epmOfflineCondition_,"Y",_xll.EVPRO($B$1,$H37,"CALC"))</f>
        <v>Y</v>
      </c>
      <c r="K37" s="179" t="str">
        <f t="shared" si="0"/>
        <v>&gt;</v>
      </c>
      <c r="L37" s="90" t="str">
        <f>IF(_epmOfflineCondition_,"463100",_xll.EVPRO($B$1,H37,"JDEID"))</f>
        <v>463100</v>
      </c>
      <c r="M37" s="90" t="str">
        <f>IF(_epmOfflineCondition_,"",IF(AND(I37="N",J37="N"),_xll.EVPRO($B$1,H37,"PSFTID"),""))</f>
        <v/>
      </c>
      <c r="N37" s="90" t="str">
        <f>IF(_epmOfflineCondition_,"Dinner Food",IF(_xll.EVDES(H37,$B$1)="#NODATA","",_xll.EVDES(H37,$B$1)))</f>
        <v>Dinner Food</v>
      </c>
      <c r="O37" s="563"/>
      <c r="P37" s="564">
        <v>20834</v>
      </c>
      <c r="Q37" s="564">
        <v>621</v>
      </c>
      <c r="R37" s="564"/>
      <c r="S37" s="564"/>
      <c r="T37" s="564"/>
      <c r="U37" s="564"/>
      <c r="V37" s="564"/>
      <c r="W37" s="564"/>
      <c r="X37" s="564"/>
      <c r="Y37" s="564"/>
      <c r="Z37" s="564"/>
      <c r="AA37" s="210">
        <f t="shared" si="1"/>
        <v>21455</v>
      </c>
      <c r="AB37" s="565">
        <f t="shared" si="2"/>
        <v>0.5380661418839412</v>
      </c>
      <c r="AC37" s="459"/>
      <c r="AD37" s="564">
        <v>38619.235200000003</v>
      </c>
      <c r="AE37" s="565">
        <f t="shared" si="3"/>
        <v>0.5379103668807439</v>
      </c>
      <c r="AF37" s="566">
        <f t="shared" si="4"/>
        <v>-17164.235200000003</v>
      </c>
      <c r="AG37" s="564">
        <v>3990</v>
      </c>
      <c r="AH37" s="565">
        <f t="shared" si="5"/>
        <v>0.46119383317960211</v>
      </c>
      <c r="AI37" s="567">
        <f t="shared" si="6"/>
        <v>17465</v>
      </c>
      <c r="AJ37" s="462">
        <f t="shared" si="7"/>
        <v>67.681388012618299</v>
      </c>
      <c r="AK37" s="463">
        <f t="shared" si="8"/>
        <v>60.385957406886206</v>
      </c>
      <c r="AL37" s="464">
        <f t="shared" si="9"/>
        <v>44.831460674157306</v>
      </c>
      <c r="AM37" s="465" t="str">
        <f t="shared" si="10"/>
        <v>0.02 pts.</v>
      </c>
      <c r="AN37" s="466" t="str">
        <f t="shared" si="11"/>
        <v>7.69 pts.</v>
      </c>
      <c r="AO37" s="11"/>
    </row>
    <row r="38" spans="1:41" x14ac:dyDescent="0.25">
      <c r="A38" s="11" t="s">
        <v>105</v>
      </c>
      <c r="B38" s="11"/>
      <c r="C38" s="104" t="s">
        <v>101</v>
      </c>
      <c r="D38" s="11" t="s">
        <v>106</v>
      </c>
      <c r="E38" s="11"/>
      <c r="F38" s="11" t="s">
        <v>98</v>
      </c>
      <c r="G38" s="11"/>
      <c r="H38" s="88" t="s">
        <v>789</v>
      </c>
      <c r="I38" s="122" t="str">
        <f>IF(_epmOfflineCondition_,"N",_xll.EVPRO($B$1,$H38,"STYLE"))</f>
        <v>N</v>
      </c>
      <c r="J38" s="122" t="str">
        <f>IF(_epmOfflineCondition_,"N",_xll.EVPRO($B$1,$H38,"CALC"))</f>
        <v>N</v>
      </c>
      <c r="K38" s="179" t="str">
        <f t="shared" si="0"/>
        <v/>
      </c>
      <c r="L38" s="90" t="str">
        <f>IF(_epmOfflineCondition_,"470110",_xll.EVPRO($B$1,H38,"JDEID"))</f>
        <v>470110</v>
      </c>
      <c r="M38" s="90" t="str">
        <f>IF(_epmOfflineCondition_,"201016",IF(AND(I38="N",J38="N"),_xll.EVPRO($B$1,H38,"PSFTID"),""))</f>
        <v>201016</v>
      </c>
      <c r="N38" s="90" t="str">
        <f>IF(_epmOfflineCondition_,"Break Food",IF(_xll.EVDES(H38,$B$1)="#NODATA","",_xll.EVDES(H38,$B$1)))</f>
        <v>Break Food</v>
      </c>
      <c r="O38" s="563"/>
      <c r="P38" s="564"/>
      <c r="Q38" s="564"/>
      <c r="R38" s="564"/>
      <c r="S38" s="564"/>
      <c r="T38" s="564"/>
      <c r="U38" s="564"/>
      <c r="V38" s="564"/>
      <c r="W38" s="564"/>
      <c r="X38" s="564"/>
      <c r="Y38" s="564"/>
      <c r="Z38" s="564"/>
      <c r="AA38" s="210">
        <f t="shared" si="1"/>
        <v>0</v>
      </c>
      <c r="AB38" s="565" t="str">
        <f t="shared" si="2"/>
        <v/>
      </c>
      <c r="AC38" s="459"/>
      <c r="AD38" s="564"/>
      <c r="AE38" s="565" t="str">
        <f t="shared" si="3"/>
        <v/>
      </c>
      <c r="AF38" s="566">
        <f t="shared" si="4"/>
        <v>0</v>
      </c>
      <c r="AG38" s="564"/>
      <c r="AH38" s="565" t="str">
        <f t="shared" si="5"/>
        <v/>
      </c>
      <c r="AI38" s="567">
        <f t="shared" si="6"/>
        <v>0</v>
      </c>
      <c r="AJ38" s="462">
        <f t="shared" si="7"/>
        <v>0</v>
      </c>
      <c r="AK38" s="463">
        <f t="shared" si="8"/>
        <v>0</v>
      </c>
      <c r="AL38" s="464">
        <f t="shared" si="9"/>
        <v>0</v>
      </c>
      <c r="AM38" s="465">
        <f t="shared" si="10"/>
        <v>0</v>
      </c>
      <c r="AN38" s="466">
        <f t="shared" si="11"/>
        <v>0</v>
      </c>
      <c r="AO38" s="11"/>
    </row>
    <row r="39" spans="1:41" x14ac:dyDescent="0.25">
      <c r="A39" s="11" t="s">
        <v>104</v>
      </c>
      <c r="B39" s="11"/>
      <c r="C39" s="104" t="s">
        <v>101</v>
      </c>
      <c r="D39" s="11" t="s">
        <v>106</v>
      </c>
      <c r="E39" s="11"/>
      <c r="F39" s="11" t="s">
        <v>98</v>
      </c>
      <c r="G39" s="11"/>
      <c r="H39" s="88" t="s">
        <v>790</v>
      </c>
      <c r="I39" s="122" t="str">
        <f>IF(_epmOfflineCondition_,"N",_xll.EVPRO($B$1,$H39,"STYLE"))</f>
        <v>N</v>
      </c>
      <c r="J39" s="122" t="str">
        <f>IF(_epmOfflineCondition_,"N",_xll.EVPRO($B$1,$H39,"CALC"))</f>
        <v>N</v>
      </c>
      <c r="K39" s="179" t="str">
        <f t="shared" si="0"/>
        <v/>
      </c>
      <c r="L39" s="90" t="str">
        <f>IF(_epmOfflineCondition_,"471110",_xll.EVPRO($B$1,H39,"JDEID"))</f>
        <v>471110</v>
      </c>
      <c r="M39" s="90" t="str">
        <f>IF(_epmOfflineCondition_,"201017",IF(AND(I39="N",J39="N"),_xll.EVPRO($B$1,H39,"PSFTID"),""))</f>
        <v>201017</v>
      </c>
      <c r="N39" s="90" t="str">
        <f>IF(_epmOfflineCondition_,"Reception Food",IF(_xll.EVDES(H39,$B$1)="#NODATA","",_xll.EVDES(H39,$B$1)))</f>
        <v>Reception Food</v>
      </c>
      <c r="O39" s="467"/>
      <c r="P39" s="216"/>
      <c r="Q39" s="216"/>
      <c r="R39" s="216"/>
      <c r="S39" s="216"/>
      <c r="T39" s="216"/>
      <c r="U39" s="216"/>
      <c r="V39" s="216"/>
      <c r="W39" s="216"/>
      <c r="X39" s="216"/>
      <c r="Y39" s="216"/>
      <c r="Z39" s="216"/>
      <c r="AA39" s="216">
        <f t="shared" si="1"/>
        <v>0</v>
      </c>
      <c r="AB39" s="468" t="str">
        <f t="shared" si="2"/>
        <v/>
      </c>
      <c r="AC39" s="459"/>
      <c r="AD39" s="216"/>
      <c r="AE39" s="468" t="str">
        <f t="shared" si="3"/>
        <v/>
      </c>
      <c r="AF39" s="469">
        <f t="shared" si="4"/>
        <v>0</v>
      </c>
      <c r="AG39" s="216"/>
      <c r="AH39" s="468" t="str">
        <f t="shared" si="5"/>
        <v/>
      </c>
      <c r="AI39" s="470">
        <f t="shared" si="6"/>
        <v>0</v>
      </c>
      <c r="AJ39" s="471">
        <f t="shared" si="7"/>
        <v>0</v>
      </c>
      <c r="AK39" s="472">
        <f t="shared" si="8"/>
        <v>0</v>
      </c>
      <c r="AL39" s="473">
        <f t="shared" si="9"/>
        <v>0</v>
      </c>
      <c r="AM39" s="474">
        <f t="shared" si="10"/>
        <v>0</v>
      </c>
      <c r="AN39" s="475">
        <f t="shared" si="11"/>
        <v>0</v>
      </c>
      <c r="AO39" s="11"/>
    </row>
    <row r="40" spans="1:41" x14ac:dyDescent="0.25">
      <c r="A40" s="11" t="s">
        <v>100</v>
      </c>
      <c r="B40" s="11"/>
      <c r="C40" s="53" t="s">
        <v>101</v>
      </c>
      <c r="D40" s="11" t="s">
        <v>106</v>
      </c>
      <c r="E40" s="11"/>
      <c r="F40" s="11" t="s">
        <v>98</v>
      </c>
      <c r="G40" s="11"/>
      <c r="H40" s="88" t="s">
        <v>265</v>
      </c>
      <c r="I40" s="188" t="str">
        <f>IF(_epmOfflineCondition_,"T4",_xll.EVPRO($B$1,$H40,"STYLE"))</f>
        <v>T4</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Food Revenue",IF(_xll.EVDES(H40,$B$1)="#NODATA","",_xll.EVDES(H40,$B$1)))</f>
        <v>Total Food Revenue</v>
      </c>
      <c r="O40" s="476"/>
      <c r="P40" s="223">
        <v>26023</v>
      </c>
      <c r="Q40" s="223">
        <v>621</v>
      </c>
      <c r="R40" s="223"/>
      <c r="S40" s="223"/>
      <c r="T40" s="223"/>
      <c r="U40" s="223"/>
      <c r="V40" s="223"/>
      <c r="W40" s="223"/>
      <c r="X40" s="223"/>
      <c r="Y40" s="223"/>
      <c r="Z40" s="223"/>
      <c r="AA40" s="223">
        <f t="shared" si="1"/>
        <v>26644</v>
      </c>
      <c r="AB40" s="224">
        <f t="shared" si="2"/>
        <v>0.66820015308113401</v>
      </c>
      <c r="AC40" s="225"/>
      <c r="AD40" s="223">
        <v>42919.235200000003</v>
      </c>
      <c r="AE40" s="224">
        <f t="shared" si="3"/>
        <v>0.59780317847083975</v>
      </c>
      <c r="AF40" s="226">
        <f t="shared" si="4"/>
        <v>-16275.235200000003</v>
      </c>
      <c r="AG40" s="223">
        <v>5493</v>
      </c>
      <c r="AH40" s="224">
        <f t="shared" si="5"/>
        <v>0.63492173575327182</v>
      </c>
      <c r="AI40" s="477">
        <f t="shared" si="6"/>
        <v>21151</v>
      </c>
      <c r="AJ40" s="227">
        <f t="shared" si="7"/>
        <v>84.050473186119874</v>
      </c>
      <c r="AK40" s="228">
        <f t="shared" si="8"/>
        <v>67.109539981861971</v>
      </c>
      <c r="AL40" s="230">
        <f t="shared" si="9"/>
        <v>61.719101123595507</v>
      </c>
      <c r="AM40" s="427" t="str">
        <f t="shared" si="10"/>
        <v>7.04 pts.</v>
      </c>
      <c r="AN40" s="478" t="str">
        <f t="shared" si="11"/>
        <v>3.33 pts.</v>
      </c>
      <c r="AO40" s="11"/>
    </row>
    <row r="41" spans="1:41" x14ac:dyDescent="0.25">
      <c r="A41" s="11" t="s">
        <v>102</v>
      </c>
      <c r="B41" s="11"/>
      <c r="C41" s="106" t="s">
        <v>101</v>
      </c>
      <c r="D41" s="11" t="s">
        <v>106</v>
      </c>
      <c r="E41" s="11"/>
      <c r="F41" s="11" t="s">
        <v>98</v>
      </c>
      <c r="G41" s="11"/>
      <c r="H41" s="88" t="s">
        <v>266</v>
      </c>
      <c r="I41" s="188" t="str">
        <f>IF(_epmOfflineCondition_,"B1",_xll.EVPRO($B$1,$H41,"STYLE"))</f>
        <v>B1</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IF(_epmOfflineCondition_,"Beverage Revenue",IF(_xll.EVDES(H41,$B$1)="#NODATA","",_xll.EVDES(H41,$B$1)))</f>
        <v>Beverage Revenue</v>
      </c>
      <c r="O41" s="568"/>
      <c r="P41" s="231"/>
      <c r="Q41" s="231"/>
      <c r="R41" s="231"/>
      <c r="S41" s="231"/>
      <c r="T41" s="231"/>
      <c r="U41" s="231"/>
      <c r="V41" s="231"/>
      <c r="W41" s="231"/>
      <c r="X41" s="231"/>
      <c r="Y41" s="231"/>
      <c r="Z41" s="231"/>
      <c r="AA41" s="232" t="str">
        <f t="shared" si="1"/>
        <v/>
      </c>
      <c r="AB41" s="233" t="str">
        <f t="shared" si="2"/>
        <v/>
      </c>
      <c r="AC41" s="481"/>
      <c r="AD41" s="231"/>
      <c r="AE41" s="233" t="str">
        <f t="shared" si="3"/>
        <v/>
      </c>
      <c r="AF41" s="234" t="str">
        <f t="shared" si="4"/>
        <v/>
      </c>
      <c r="AG41" s="231"/>
      <c r="AH41" s="233" t="str">
        <f t="shared" si="5"/>
        <v/>
      </c>
      <c r="AI41" s="569" t="str">
        <f t="shared" si="6"/>
        <v/>
      </c>
      <c r="AJ41" s="235">
        <f t="shared" si="7"/>
        <v>0</v>
      </c>
      <c r="AK41" s="236">
        <f t="shared" si="8"/>
        <v>0</v>
      </c>
      <c r="AL41" s="238">
        <f t="shared" si="9"/>
        <v>0</v>
      </c>
      <c r="AM41" s="429">
        <f t="shared" si="10"/>
        <v>0</v>
      </c>
      <c r="AN41" s="484">
        <f t="shared" si="11"/>
        <v>0</v>
      </c>
      <c r="AO41" s="11"/>
    </row>
    <row r="42" spans="1:41" x14ac:dyDescent="0.25">
      <c r="A42" s="11" t="s">
        <v>102</v>
      </c>
      <c r="B42" s="11"/>
      <c r="C42" s="196" t="s">
        <v>101</v>
      </c>
      <c r="D42" s="11" t="s">
        <v>107</v>
      </c>
      <c r="E42" s="11"/>
      <c r="F42" s="11" t="s">
        <v>99</v>
      </c>
      <c r="G42" s="11"/>
      <c r="H42" s="88" t="s">
        <v>267</v>
      </c>
      <c r="I42" s="122" t="str">
        <f>IF(_epmOfflineCondition_,"T5",_xll.EVPRO($B$1,$H42,"STYLE"))</f>
        <v>T5</v>
      </c>
      <c r="J42" s="122" t="str">
        <f>IF(_epmOfflineCondition_,"Y",_xll.EVPRO($B$1,$H42,"CALC"))</f>
        <v>Y</v>
      </c>
      <c r="K42" s="179" t="str">
        <f t="shared" si="0"/>
        <v>&gt;</v>
      </c>
      <c r="L42" s="90" t="str">
        <f>IF(_epmOfflineCondition_,"",_xll.EVPRO($B$1,H42,"JDEID"))</f>
        <v/>
      </c>
      <c r="M42" s="90" t="str">
        <f>IF(_epmOfflineCondition_,"",IF(AND(I42="N",J42="N"),_xll.EVPRO($B$1,H42,"PSFTID"),""))</f>
        <v/>
      </c>
      <c r="N42" s="90" t="str">
        <f>IF(_epmOfflineCondition_,"Breakfast  Beverage Revenue",IF(_xll.EVDES(H42,$B$1)="#NODATA","",_xll.EVDES(H42,$B$1)))</f>
        <v>Breakfast  Beverage Revenue</v>
      </c>
      <c r="O42" s="563"/>
      <c r="P42" s="564"/>
      <c r="Q42" s="564"/>
      <c r="R42" s="564"/>
      <c r="S42" s="564"/>
      <c r="T42" s="564"/>
      <c r="U42" s="564"/>
      <c r="V42" s="564"/>
      <c r="W42" s="564"/>
      <c r="X42" s="564"/>
      <c r="Y42" s="564"/>
      <c r="Z42" s="564"/>
      <c r="AA42" s="210">
        <f t="shared" si="1"/>
        <v>0</v>
      </c>
      <c r="AB42" s="565" t="str">
        <f t="shared" si="2"/>
        <v/>
      </c>
      <c r="AC42" s="459"/>
      <c r="AD42" s="564"/>
      <c r="AE42" s="565" t="str">
        <f t="shared" si="3"/>
        <v/>
      </c>
      <c r="AF42" s="566">
        <f t="shared" si="4"/>
        <v>0</v>
      </c>
      <c r="AG42" s="564"/>
      <c r="AH42" s="565" t="str">
        <f t="shared" si="5"/>
        <v/>
      </c>
      <c r="AI42" s="567">
        <f t="shared" si="6"/>
        <v>0</v>
      </c>
      <c r="AJ42" s="462">
        <f t="shared" si="7"/>
        <v>0</v>
      </c>
      <c r="AK42" s="463">
        <f t="shared" si="8"/>
        <v>0</v>
      </c>
      <c r="AL42" s="464">
        <f t="shared" si="9"/>
        <v>0</v>
      </c>
      <c r="AM42" s="465">
        <f t="shared" si="10"/>
        <v>0</v>
      </c>
      <c r="AN42" s="466">
        <f t="shared" si="11"/>
        <v>0</v>
      </c>
      <c r="AO42" s="11"/>
    </row>
    <row r="43" spans="1:41" ht="15.75" thickBot="1" x14ac:dyDescent="0.3">
      <c r="A43" s="11" t="s">
        <v>108</v>
      </c>
      <c r="B43" s="11"/>
      <c r="C43" s="574" t="s">
        <v>101</v>
      </c>
      <c r="D43" s="11" t="s">
        <v>106</v>
      </c>
      <c r="E43" s="11"/>
      <c r="F43" s="11" t="s">
        <v>98</v>
      </c>
      <c r="G43" s="11"/>
      <c r="H43" s="88" t="s">
        <v>268</v>
      </c>
      <c r="I43" s="122" t="str">
        <f>IF(_epmOfflineCondition_,"T5",_xll.EVPRO($B$1,$H43,"STYLE"))</f>
        <v>T5</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IF(_epmOfflineCondition_,"Lunch Beverage Revenue",IF(_xll.EVDES(H43,$B$1)="#NODATA","",_xll.EVDES(H43,$B$1)))</f>
        <v>Lunch Beverage Revenue</v>
      </c>
      <c r="O43" s="563"/>
      <c r="P43" s="564"/>
      <c r="Q43" s="564"/>
      <c r="R43" s="564"/>
      <c r="S43" s="564"/>
      <c r="T43" s="564"/>
      <c r="U43" s="564"/>
      <c r="V43" s="564"/>
      <c r="W43" s="564"/>
      <c r="X43" s="564"/>
      <c r="Y43" s="564"/>
      <c r="Z43" s="564"/>
      <c r="AA43" s="210">
        <f t="shared" si="1"/>
        <v>0</v>
      </c>
      <c r="AB43" s="565" t="str">
        <f t="shared" si="2"/>
        <v/>
      </c>
      <c r="AC43" s="459"/>
      <c r="AD43" s="564"/>
      <c r="AE43" s="565" t="str">
        <f t="shared" si="3"/>
        <v/>
      </c>
      <c r="AF43" s="566">
        <f t="shared" si="4"/>
        <v>0</v>
      </c>
      <c r="AG43" s="564"/>
      <c r="AH43" s="565" t="str">
        <f t="shared" si="5"/>
        <v/>
      </c>
      <c r="AI43" s="567">
        <f t="shared" si="6"/>
        <v>0</v>
      </c>
      <c r="AJ43" s="462">
        <f t="shared" si="7"/>
        <v>0</v>
      </c>
      <c r="AK43" s="463">
        <f t="shared" si="8"/>
        <v>0</v>
      </c>
      <c r="AL43" s="464">
        <f t="shared" si="9"/>
        <v>0</v>
      </c>
      <c r="AM43" s="465">
        <f t="shared" si="10"/>
        <v>0</v>
      </c>
      <c r="AN43" s="466">
        <f t="shared" si="11"/>
        <v>0</v>
      </c>
      <c r="AO43" s="11"/>
    </row>
    <row r="44" spans="1:41" ht="16.5" thickTop="1" thickBot="1" x14ac:dyDescent="0.3">
      <c r="A44" s="11" t="s">
        <v>108</v>
      </c>
      <c r="B44" s="11"/>
      <c r="C44" s="574" t="s">
        <v>101</v>
      </c>
      <c r="D44" s="11" t="s">
        <v>107</v>
      </c>
      <c r="E44" s="11"/>
      <c r="F44" s="11" t="s">
        <v>99</v>
      </c>
      <c r="G44" s="11"/>
      <c r="H44" s="88" t="s">
        <v>269</v>
      </c>
      <c r="I44" s="122" t="str">
        <f>IF(_epmOfflineCondition_,"T5",_xll.EVPRO($B$1,$H44,"STYLE"))</f>
        <v>T5</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IF(_epmOfflineCondition_,"Dinner Beverage Revenue",IF(_xll.EVDES(H44,$B$1)="#NODATA","",_xll.EVDES(H44,$B$1)))</f>
        <v>Dinner Beverage Revenue</v>
      </c>
      <c r="O44" s="563"/>
      <c r="P44" s="564"/>
      <c r="Q44" s="564">
        <v>630</v>
      </c>
      <c r="R44" s="564"/>
      <c r="S44" s="564"/>
      <c r="T44" s="564"/>
      <c r="U44" s="564"/>
      <c r="V44" s="564"/>
      <c r="W44" s="564"/>
      <c r="X44" s="564"/>
      <c r="Y44" s="564"/>
      <c r="Z44" s="564"/>
      <c r="AA44" s="210">
        <f t="shared" si="1"/>
        <v>630</v>
      </c>
      <c r="AB44" s="565">
        <f t="shared" si="2"/>
        <v>1.5799658326118994E-2</v>
      </c>
      <c r="AC44" s="459"/>
      <c r="AD44" s="564">
        <v>2879.8847999999998</v>
      </c>
      <c r="AE44" s="565">
        <f t="shared" si="3"/>
        <v>4.0112650634321144E-2</v>
      </c>
      <c r="AF44" s="566">
        <f t="shared" si="4"/>
        <v>-2249.8847999999998</v>
      </c>
      <c r="AG44" s="564"/>
      <c r="AH44" s="565" t="str">
        <f t="shared" si="5"/>
        <v/>
      </c>
      <c r="AI44" s="567">
        <f t="shared" si="6"/>
        <v>630</v>
      </c>
      <c r="AJ44" s="462">
        <f t="shared" si="7"/>
        <v>1.9873817034700316</v>
      </c>
      <c r="AK44" s="463">
        <f t="shared" si="8"/>
        <v>4.5030565719110607</v>
      </c>
      <c r="AL44" s="464">
        <f t="shared" si="9"/>
        <v>0</v>
      </c>
      <c r="AM44" s="465" t="str">
        <f t="shared" si="10"/>
        <v>-2.43 pts.</v>
      </c>
      <c r="AN44" s="466">
        <f t="shared" si="11"/>
        <v>0</v>
      </c>
      <c r="AO44" s="11"/>
    </row>
    <row r="45" spans="1:41" ht="15.75" thickTop="1" x14ac:dyDescent="0.25">
      <c r="A45" s="11"/>
      <c r="B45" s="11"/>
      <c r="C45" s="11"/>
      <c r="D45" s="11"/>
      <c r="E45" s="11"/>
      <c r="F45" s="11"/>
      <c r="G45" s="11"/>
      <c r="H45" s="88" t="s">
        <v>791</v>
      </c>
      <c r="I45" s="122" t="str">
        <f>IF(_epmOfflineCondition_,"T5",_xll.EVPRO($B$1,$H45,"STYLE"))</f>
        <v>T5</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IF(_epmOfflineCondition_,"Reception Beverage Revenue",IF(_xll.EVDES(H45,$B$1)="#NODATA","",_xll.EVDES(H45,$B$1)))</f>
        <v>Reception Beverage Revenue</v>
      </c>
      <c r="O45" s="467"/>
      <c r="P45" s="216"/>
      <c r="Q45" s="216"/>
      <c r="R45" s="216"/>
      <c r="S45" s="216"/>
      <c r="T45" s="216"/>
      <c r="U45" s="216"/>
      <c r="V45" s="216"/>
      <c r="W45" s="216"/>
      <c r="X45" s="216"/>
      <c r="Y45" s="216"/>
      <c r="Z45" s="216"/>
      <c r="AA45" s="216">
        <f t="shared" si="1"/>
        <v>0</v>
      </c>
      <c r="AB45" s="468" t="str">
        <f t="shared" si="2"/>
        <v/>
      </c>
      <c r="AC45" s="459"/>
      <c r="AD45" s="216"/>
      <c r="AE45" s="468" t="str">
        <f t="shared" si="3"/>
        <v/>
      </c>
      <c r="AF45" s="469">
        <f t="shared" si="4"/>
        <v>0</v>
      </c>
      <c r="AG45" s="216"/>
      <c r="AH45" s="468" t="str">
        <f t="shared" si="5"/>
        <v/>
      </c>
      <c r="AI45" s="470">
        <f t="shared" si="6"/>
        <v>0</v>
      </c>
      <c r="AJ45" s="471">
        <f t="shared" si="7"/>
        <v>0</v>
      </c>
      <c r="AK45" s="472">
        <f t="shared" si="8"/>
        <v>0</v>
      </c>
      <c r="AL45" s="473">
        <f t="shared" si="9"/>
        <v>0</v>
      </c>
      <c r="AM45" s="474">
        <f t="shared" si="10"/>
        <v>0</v>
      </c>
      <c r="AN45" s="475">
        <f t="shared" si="11"/>
        <v>0</v>
      </c>
      <c r="AO45" s="11"/>
    </row>
    <row r="46" spans="1:41" x14ac:dyDescent="0.25">
      <c r="A46" s="11"/>
      <c r="B46" s="11"/>
      <c r="C46" s="11"/>
      <c r="D46" s="11"/>
      <c r="E46" s="11"/>
      <c r="F46" s="11"/>
      <c r="G46" s="11"/>
      <c r="H46" s="88" t="s">
        <v>272</v>
      </c>
      <c r="I46" s="188" t="str">
        <f>IF(_epmOfflineCondition_,"T4",_xll.EVPRO($B$1,$H46,"STYLE"))</f>
        <v>T4</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Beverage Revenue",IF(_xll.EVDES(H46,$B$1)="#NODATA","",_xll.EVDES(H46,$B$1)))</f>
        <v>Total Beverage Revenue</v>
      </c>
      <c r="O46" s="476"/>
      <c r="P46" s="223"/>
      <c r="Q46" s="223">
        <v>630</v>
      </c>
      <c r="R46" s="223"/>
      <c r="S46" s="223"/>
      <c r="T46" s="223"/>
      <c r="U46" s="223"/>
      <c r="V46" s="223"/>
      <c r="W46" s="223"/>
      <c r="X46" s="223"/>
      <c r="Y46" s="223"/>
      <c r="Z46" s="223"/>
      <c r="AA46" s="223">
        <f t="shared" si="1"/>
        <v>630</v>
      </c>
      <c r="AB46" s="224">
        <f t="shared" si="2"/>
        <v>1.5799658326118994E-2</v>
      </c>
      <c r="AC46" s="225"/>
      <c r="AD46" s="223">
        <v>2879.8847999999998</v>
      </c>
      <c r="AE46" s="224">
        <f t="shared" si="3"/>
        <v>4.0112650634321144E-2</v>
      </c>
      <c r="AF46" s="226">
        <f t="shared" si="4"/>
        <v>-2249.8847999999998</v>
      </c>
      <c r="AG46" s="223"/>
      <c r="AH46" s="224" t="str">
        <f t="shared" si="5"/>
        <v/>
      </c>
      <c r="AI46" s="477">
        <f t="shared" si="6"/>
        <v>630</v>
      </c>
      <c r="AJ46" s="227">
        <f t="shared" si="7"/>
        <v>1.9873817034700316</v>
      </c>
      <c r="AK46" s="228">
        <f t="shared" si="8"/>
        <v>4.5030565719110607</v>
      </c>
      <c r="AL46" s="230">
        <f t="shared" si="9"/>
        <v>0</v>
      </c>
      <c r="AM46" s="427" t="str">
        <f t="shared" si="10"/>
        <v>-2.43 pts.</v>
      </c>
      <c r="AN46" s="478">
        <f t="shared" si="11"/>
        <v>0</v>
      </c>
      <c r="AO46" s="11"/>
    </row>
    <row r="47" spans="1:41" x14ac:dyDescent="0.25">
      <c r="A47" s="61"/>
      <c r="B47" s="11" t="s">
        <v>821</v>
      </c>
      <c r="C47" s="11"/>
      <c r="D47" s="11"/>
      <c r="E47" s="11"/>
      <c r="F47" s="11"/>
      <c r="G47" s="11"/>
      <c r="H47" s="88" t="s">
        <v>486</v>
      </c>
      <c r="I47" s="122" t="str">
        <f>IF(_epmOfflineCondition_,"T5",_xll.EVPRO($B$1,$H47,"STYLE"))</f>
        <v>T5</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IF(_epmOfflineCondition_,"Food &amp; Beverage: Allowances",IF(_xll.EVDES(H47,$B$1)="#NODATA","",_xll.EVDES(H47,$B$1)))</f>
        <v>Food &amp; Beverage: Allowances</v>
      </c>
      <c r="O47" s="530"/>
      <c r="P47" s="239"/>
      <c r="Q47" s="239"/>
      <c r="R47" s="239"/>
      <c r="S47" s="239"/>
      <c r="T47" s="239"/>
      <c r="U47" s="239"/>
      <c r="V47" s="239"/>
      <c r="W47" s="239"/>
      <c r="X47" s="239"/>
      <c r="Y47" s="239"/>
      <c r="Z47" s="239"/>
      <c r="AA47" s="239">
        <f t="shared" si="1"/>
        <v>0</v>
      </c>
      <c r="AB47" s="240" t="str">
        <f t="shared" si="2"/>
        <v/>
      </c>
      <c r="AC47" s="481"/>
      <c r="AD47" s="239"/>
      <c r="AE47" s="240" t="str">
        <f t="shared" si="3"/>
        <v/>
      </c>
      <c r="AF47" s="241">
        <f t="shared" si="4"/>
        <v>0</v>
      </c>
      <c r="AG47" s="239"/>
      <c r="AH47" s="240" t="str">
        <f t="shared" si="5"/>
        <v/>
      </c>
      <c r="AI47" s="531">
        <f t="shared" si="6"/>
        <v>0</v>
      </c>
      <c r="AJ47" s="532">
        <f t="shared" si="7"/>
        <v>0</v>
      </c>
      <c r="AK47" s="533">
        <f t="shared" si="8"/>
        <v>0</v>
      </c>
      <c r="AL47" s="534">
        <f t="shared" si="9"/>
        <v>0</v>
      </c>
      <c r="AM47" s="535">
        <f t="shared" si="10"/>
        <v>0</v>
      </c>
      <c r="AN47" s="536">
        <f t="shared" si="11"/>
        <v>0</v>
      </c>
      <c r="AO47" s="11"/>
    </row>
    <row r="48" spans="1:41" x14ac:dyDescent="0.25">
      <c r="A48" s="11"/>
      <c r="B48" s="11"/>
      <c r="C48" s="11"/>
      <c r="D48" s="11"/>
      <c r="E48" s="11"/>
      <c r="F48" s="11"/>
      <c r="G48" s="11"/>
      <c r="H48" s="88" t="s">
        <v>273</v>
      </c>
      <c r="I48" s="188" t="str">
        <f>IF(_epmOfflineCondition_,"T4",_xll.EVPRO($B$1,$H48,"STYLE"))</f>
        <v>T4</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Food &amp; Beverage Revenue",IF(_xll.EVDES(H48,$B$1)="#NODATA","",_xll.EVDES(H48,$B$1)))</f>
        <v>Total Food &amp; Beverage Revenue</v>
      </c>
      <c r="O48" s="476"/>
      <c r="P48" s="223">
        <v>26023</v>
      </c>
      <c r="Q48" s="223">
        <v>1251</v>
      </c>
      <c r="R48" s="223"/>
      <c r="S48" s="223"/>
      <c r="T48" s="223"/>
      <c r="U48" s="223"/>
      <c r="V48" s="223"/>
      <c r="W48" s="223"/>
      <c r="X48" s="223"/>
      <c r="Y48" s="223"/>
      <c r="Z48" s="223"/>
      <c r="AA48" s="223">
        <f t="shared" si="1"/>
        <v>27274</v>
      </c>
      <c r="AB48" s="224">
        <f t="shared" si="2"/>
        <v>0.68399981140725297</v>
      </c>
      <c r="AC48" s="225"/>
      <c r="AD48" s="223">
        <v>45799.12</v>
      </c>
      <c r="AE48" s="224">
        <f t="shared" si="3"/>
        <v>0.63791582910516087</v>
      </c>
      <c r="AF48" s="226">
        <f t="shared" si="4"/>
        <v>-18525.120000000003</v>
      </c>
      <c r="AG48" s="223">
        <v>5493</v>
      </c>
      <c r="AH48" s="224">
        <f t="shared" si="5"/>
        <v>0.63492173575327182</v>
      </c>
      <c r="AI48" s="477">
        <f t="shared" si="6"/>
        <v>21781</v>
      </c>
      <c r="AJ48" s="227">
        <f t="shared" si="7"/>
        <v>86.037854889589909</v>
      </c>
      <c r="AK48" s="228">
        <f t="shared" si="8"/>
        <v>71.612596553773031</v>
      </c>
      <c r="AL48" s="230">
        <f t="shared" si="9"/>
        <v>61.719101123595507</v>
      </c>
      <c r="AM48" s="427" t="str">
        <f t="shared" si="10"/>
        <v>4.61 pts.</v>
      </c>
      <c r="AN48" s="478" t="str">
        <f t="shared" si="11"/>
        <v>4.91 pts.</v>
      </c>
      <c r="AO48" s="11"/>
    </row>
    <row r="49" spans="1:41" x14ac:dyDescent="0.25">
      <c r="A49" s="62" t="s">
        <v>0</v>
      </c>
      <c r="B49" s="63" t="s">
        <v>1</v>
      </c>
      <c r="C49" s="11"/>
      <c r="D49" s="11"/>
      <c r="E49" s="11"/>
      <c r="F49" s="11"/>
      <c r="G49" s="11"/>
      <c r="H49" s="88" t="s">
        <v>279</v>
      </c>
      <c r="I49" s="188" t="str">
        <f>IF(_epmOfflineCondition_,"B1",_xll.EVPRO($B$1,$H49,"STYLE"))</f>
        <v>B1</v>
      </c>
      <c r="J49" s="188" t="str">
        <f>IF(_epmOfflineCondition_,"Y",_xll.EVPRO($B$1,$H49,"CALC"))</f>
        <v>Y</v>
      </c>
      <c r="K49" s="189" t="str">
        <f t="shared" si="0"/>
        <v/>
      </c>
      <c r="L49" s="190" t="str">
        <f>IF(_epmOfflineCondition_,"",_xll.EVPRO($B$1,H49,"JDEID"))</f>
        <v/>
      </c>
      <c r="M49" s="190" t="str">
        <f>IF(_epmOfflineCondition_,"",IF(AND(I49="N",J49="N"),_xll.EVPRO($B$1,H49,"PSFTID"),""))</f>
        <v/>
      </c>
      <c r="N49" s="190" t="str">
        <f>IF(_epmOfflineCondition_,"Other Revenue",IF(_xll.EVDES(H49,$B$1)="#NODATA","",_xll.EVDES(H49,$B$1)))</f>
        <v>Other Revenue</v>
      </c>
      <c r="O49" s="568"/>
      <c r="P49" s="231"/>
      <c r="Q49" s="231"/>
      <c r="R49" s="231"/>
      <c r="S49" s="231"/>
      <c r="T49" s="231"/>
      <c r="U49" s="231"/>
      <c r="V49" s="231"/>
      <c r="W49" s="231"/>
      <c r="X49" s="231"/>
      <c r="Y49" s="231"/>
      <c r="Z49" s="231"/>
      <c r="AA49" s="232" t="str">
        <f t="shared" si="1"/>
        <v/>
      </c>
      <c r="AB49" s="233" t="str">
        <f t="shared" si="2"/>
        <v/>
      </c>
      <c r="AC49" s="481"/>
      <c r="AD49" s="231"/>
      <c r="AE49" s="233" t="str">
        <f t="shared" si="3"/>
        <v/>
      </c>
      <c r="AF49" s="234" t="str">
        <f t="shared" si="4"/>
        <v/>
      </c>
      <c r="AG49" s="231"/>
      <c r="AH49" s="233" t="str">
        <f t="shared" si="5"/>
        <v/>
      </c>
      <c r="AI49" s="569" t="str">
        <f t="shared" si="6"/>
        <v/>
      </c>
      <c r="AJ49" s="235">
        <f t="shared" si="7"/>
        <v>0</v>
      </c>
      <c r="AK49" s="236">
        <f t="shared" si="8"/>
        <v>0</v>
      </c>
      <c r="AL49" s="238">
        <f t="shared" si="9"/>
        <v>0</v>
      </c>
      <c r="AM49" s="429">
        <f t="shared" si="10"/>
        <v>0</v>
      </c>
      <c r="AN49" s="484">
        <f t="shared" si="11"/>
        <v>0</v>
      </c>
      <c r="AO49" s="11"/>
    </row>
    <row r="50" spans="1:41" x14ac:dyDescent="0.25">
      <c r="A50" s="65" t="s">
        <v>2</v>
      </c>
      <c r="B50" s="66" t="str">
        <f>IF(_epmOfflineCondition_,"'BCC_Local'!$B$2:$B$10",_xll.EVRNG($B$2:$B$10))</f>
        <v>'BCC_Local'!$B$2:$B$10</v>
      </c>
      <c r="C50" s="11"/>
      <c r="D50" s="11"/>
      <c r="E50" s="11"/>
      <c r="F50" s="11"/>
      <c r="G50" s="11"/>
      <c r="H50" s="88" t="s">
        <v>274</v>
      </c>
      <c r="I50" s="122" t="str">
        <f>IF(_epmOfflineCondition_,"T5",_xll.EVPRO($B$1,$H50,"STYLE"))</f>
        <v>T5</v>
      </c>
      <c r="J50" s="122" t="str">
        <f>IF(_epmOfflineCondition_,"Y",_xll.EVPRO($B$1,$H50,"CALC"))</f>
        <v>Y</v>
      </c>
      <c r="K50" s="179" t="str">
        <f t="shared" si="0"/>
        <v>&gt;</v>
      </c>
      <c r="L50" s="90" t="str">
        <f>IF(_epmOfflineCondition_,"468300",_xll.EVPRO($B$1,H50,"JDEID"))</f>
        <v>468300</v>
      </c>
      <c r="M50" s="90" t="str">
        <f>IF(_epmOfflineCondition_,"",IF(AND(I50="N",J50="N"),_xll.EVPRO($B$1,H50,"PSFTID"),""))</f>
        <v/>
      </c>
      <c r="N50" s="90" t="str">
        <f>IF(_epmOfflineCondition_,"Audio/Visual Rentals",IF(_xll.EVDES(H50,$B$1)="#NODATA","",_xll.EVDES(H50,$B$1)))</f>
        <v>Audio/Visual Rentals</v>
      </c>
      <c r="O50" s="563"/>
      <c r="P50" s="564"/>
      <c r="Q50" s="564"/>
      <c r="R50" s="564"/>
      <c r="S50" s="564"/>
      <c r="T50" s="564"/>
      <c r="U50" s="564"/>
      <c r="V50" s="564"/>
      <c r="W50" s="564"/>
      <c r="X50" s="564"/>
      <c r="Y50" s="564"/>
      <c r="Z50" s="564"/>
      <c r="AA50" s="210">
        <f t="shared" si="1"/>
        <v>0</v>
      </c>
      <c r="AB50" s="565" t="str">
        <f t="shared" si="2"/>
        <v/>
      </c>
      <c r="AC50" s="459"/>
      <c r="AD50" s="564">
        <v>4320</v>
      </c>
      <c r="AE50" s="565">
        <f t="shared" si="3"/>
        <v>6.0171382806793995E-2</v>
      </c>
      <c r="AF50" s="566">
        <f t="shared" si="4"/>
        <v>-4320</v>
      </c>
      <c r="AG50" s="564"/>
      <c r="AH50" s="565" t="str">
        <f t="shared" si="5"/>
        <v/>
      </c>
      <c r="AI50" s="567">
        <f t="shared" si="6"/>
        <v>0</v>
      </c>
      <c r="AJ50" s="462">
        <f t="shared" si="7"/>
        <v>0</v>
      </c>
      <c r="AK50" s="463">
        <f t="shared" si="8"/>
        <v>6.7548550520686748</v>
      </c>
      <c r="AL50" s="464">
        <f t="shared" si="9"/>
        <v>0</v>
      </c>
      <c r="AM50" s="465">
        <f t="shared" si="10"/>
        <v>0</v>
      </c>
      <c r="AN50" s="466">
        <f t="shared" si="11"/>
        <v>0</v>
      </c>
      <c r="AO50" s="11"/>
    </row>
    <row r="51" spans="1:41" x14ac:dyDescent="0.25">
      <c r="A51" s="65" t="s">
        <v>3</v>
      </c>
      <c r="B51" s="66" t="str">
        <f>IF(_epmOfflineCondition_,"'BCC_Local'!$O$16:$AN$18",_xll.EVRNG($O$16:$AN$18))</f>
        <v>'BCC_Local'!$O$16:$AN$18</v>
      </c>
      <c r="C51" s="11"/>
      <c r="D51" s="11"/>
      <c r="E51" s="11"/>
      <c r="F51" s="11"/>
      <c r="G51" s="11"/>
      <c r="H51" s="88" t="s">
        <v>275</v>
      </c>
      <c r="I51" s="122" t="str">
        <f>IF(_epmOfflineCondition_,"T5",_xll.EVPRO($B$1,$H51,"STYLE"))</f>
        <v>T5</v>
      </c>
      <c r="J51" s="122" t="str">
        <f>IF(_epmOfflineCondition_,"Y",_xll.EVPRO($B$1,$H51,"CALC"))</f>
        <v>Y</v>
      </c>
      <c r="K51" s="179" t="str">
        <f t="shared" si="0"/>
        <v>&gt;</v>
      </c>
      <c r="L51" s="90" t="str">
        <f>IF(_epmOfflineCondition_,"468350",_xll.EVPRO($B$1,H51,"JDEID"))</f>
        <v>468350</v>
      </c>
      <c r="M51" s="90" t="str">
        <f>IF(_epmOfflineCondition_,"",IF(AND(I51="N",J51="N"),_xll.EVPRO($B$1,H51,"PSFTID"),""))</f>
        <v/>
      </c>
      <c r="N51" s="90" t="str">
        <f>IF(_epmOfflineCondition_,"Public Room Rental",IF(_xll.EVDES(H51,$B$1)="#NODATA","",_xll.EVDES(H51,$B$1)))</f>
        <v>Public Room Rental</v>
      </c>
      <c r="O51" s="563"/>
      <c r="P51" s="564">
        <v>5150</v>
      </c>
      <c r="Q51" s="564">
        <v>250</v>
      </c>
      <c r="R51" s="564"/>
      <c r="S51" s="564"/>
      <c r="T51" s="564"/>
      <c r="U51" s="564"/>
      <c r="V51" s="564"/>
      <c r="W51" s="564"/>
      <c r="X51" s="564"/>
      <c r="Y51" s="564"/>
      <c r="Z51" s="564"/>
      <c r="AA51" s="210">
        <f t="shared" si="1"/>
        <v>5400</v>
      </c>
      <c r="AB51" s="565">
        <f t="shared" si="2"/>
        <v>0.13542564279530564</v>
      </c>
      <c r="AC51" s="459"/>
      <c r="AD51" s="564">
        <v>11600</v>
      </c>
      <c r="AE51" s="565">
        <f t="shared" si="3"/>
        <v>0.16157130568490979</v>
      </c>
      <c r="AF51" s="566">
        <f t="shared" si="4"/>
        <v>-6200</v>
      </c>
      <c r="AG51" s="564">
        <v>1800</v>
      </c>
      <c r="AH51" s="565">
        <f t="shared" si="5"/>
        <v>0.20805736835170019</v>
      </c>
      <c r="AI51" s="567">
        <f t="shared" si="6"/>
        <v>3600</v>
      </c>
      <c r="AJ51" s="462">
        <f t="shared" si="7"/>
        <v>17.034700315457414</v>
      </c>
      <c r="AK51" s="463">
        <f t="shared" si="8"/>
        <v>18.138036713888109</v>
      </c>
      <c r="AL51" s="464">
        <f t="shared" si="9"/>
        <v>20.224719101123597</v>
      </c>
      <c r="AM51" s="465" t="str">
        <f t="shared" si="10"/>
        <v>-2.61 pts.</v>
      </c>
      <c r="AN51" s="466" t="str">
        <f t="shared" si="11"/>
        <v>-7.26 pts.</v>
      </c>
      <c r="AO51" s="11"/>
    </row>
    <row r="52" spans="1:41" x14ac:dyDescent="0.25">
      <c r="A52" s="65" t="s">
        <v>4</v>
      </c>
      <c r="B52" s="66" t="str">
        <f>IF(_epmOfflineCondition_,"",_xll.EVRNG(#REF!))</f>
        <v/>
      </c>
      <c r="C52" s="11"/>
      <c r="D52" s="11"/>
      <c r="E52" s="11"/>
      <c r="F52" s="11"/>
      <c r="G52" s="11"/>
      <c r="H52" s="88" t="s">
        <v>282</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IF(_epmOfflineCondition_,"Surcharges &amp; Services Charges",IF(_xll.EVDES(H52,$B$1)="#NODATA","",_xll.EVDES(H52,$B$1)))</f>
        <v>Surcharges &amp; Services Charges</v>
      </c>
      <c r="O52" s="563"/>
      <c r="P52" s="564">
        <v>5725.06</v>
      </c>
      <c r="Q52" s="564">
        <v>275.22000000000003</v>
      </c>
      <c r="R52" s="564"/>
      <c r="S52" s="564"/>
      <c r="T52" s="564"/>
      <c r="U52" s="564"/>
      <c r="V52" s="564"/>
      <c r="W52" s="564"/>
      <c r="X52" s="564"/>
      <c r="Y52" s="564"/>
      <c r="Z52" s="564"/>
      <c r="AA52" s="210">
        <f t="shared" si="1"/>
        <v>6000.2800000000007</v>
      </c>
      <c r="AB52" s="565">
        <f t="shared" si="2"/>
        <v>0.15047995850959567</v>
      </c>
      <c r="AC52" s="459"/>
      <c r="AD52" s="564">
        <v>10075.806399999999</v>
      </c>
      <c r="AE52" s="565">
        <f t="shared" si="3"/>
        <v>0.14034148240313538</v>
      </c>
      <c r="AF52" s="566">
        <f t="shared" si="4"/>
        <v>-4075.5263999999988</v>
      </c>
      <c r="AG52" s="564">
        <v>1208.46</v>
      </c>
      <c r="AH52" s="565">
        <f t="shared" si="5"/>
        <v>0.13968278186571978</v>
      </c>
      <c r="AI52" s="567">
        <f t="shared" si="6"/>
        <v>4791.8200000000006</v>
      </c>
      <c r="AJ52" s="462">
        <f t="shared" si="7"/>
        <v>18.928328075709782</v>
      </c>
      <c r="AK52" s="463">
        <f t="shared" si="8"/>
        <v>15.754771241830065</v>
      </c>
      <c r="AL52" s="464">
        <f t="shared" si="9"/>
        <v>13.578202247191012</v>
      </c>
      <c r="AM52" s="465" t="str">
        <f t="shared" si="10"/>
        <v>1.01 pts.</v>
      </c>
      <c r="AN52" s="466" t="str">
        <f t="shared" si="11"/>
        <v>1.08 pts.</v>
      </c>
      <c r="AO52" s="11"/>
    </row>
    <row r="53" spans="1:41" x14ac:dyDescent="0.25">
      <c r="A53" s="65" t="s">
        <v>5</v>
      </c>
      <c r="B53" s="66"/>
      <c r="C53" s="11"/>
      <c r="D53" s="11"/>
      <c r="E53" s="11"/>
      <c r="F53" s="384"/>
      <c r="G53" s="11"/>
      <c r="H53" s="88" t="s">
        <v>283</v>
      </c>
      <c r="I53" s="122" t="str">
        <f>IF(_epmOfflineCondition_,"T5",_xll.EVPRO($B$1,$H53,"STYLE"))</f>
        <v>T5</v>
      </c>
      <c r="J53" s="122" t="str">
        <f>IF(_epmOfflineCondition_,"Y",_xll.EVPRO($B$1,$H53,"CALC"))</f>
        <v>Y</v>
      </c>
      <c r="K53" s="179" t="str">
        <f t="shared" si="0"/>
        <v>&gt;</v>
      </c>
      <c r="L53" s="90" t="str">
        <f>IF(_epmOfflineCondition_,"",_xll.EVPRO($B$1,H53,"JDEID"))</f>
        <v/>
      </c>
      <c r="M53" s="90" t="str">
        <f>IF(_epmOfflineCondition_,"",IF(AND(I53="N",J53="N"),_xll.EVPRO($B$1,H53,"PSFTID"),""))</f>
        <v/>
      </c>
      <c r="N53" s="90" t="str">
        <f>IF(_epmOfflineCondition_,"Miscellaneous Other Revenue",IF(_xll.EVDES(H53,$B$1)="#NODATA","",_xll.EVDES(H53,$B$1)))</f>
        <v>Miscellaneous Other Revenue</v>
      </c>
      <c r="O53" s="563"/>
      <c r="P53" s="564">
        <v>1050</v>
      </c>
      <c r="Q53" s="564">
        <v>150</v>
      </c>
      <c r="R53" s="564"/>
      <c r="S53" s="564"/>
      <c r="T53" s="564"/>
      <c r="U53" s="564"/>
      <c r="V53" s="564"/>
      <c r="W53" s="564"/>
      <c r="X53" s="564"/>
      <c r="Y53" s="564"/>
      <c r="Z53" s="564"/>
      <c r="AA53" s="210">
        <f t="shared" si="1"/>
        <v>1200</v>
      </c>
      <c r="AB53" s="565">
        <f t="shared" si="2"/>
        <v>3.0094587287845701E-2</v>
      </c>
      <c r="AC53" s="459"/>
      <c r="AD53" s="564"/>
      <c r="AE53" s="565" t="str">
        <f t="shared" si="3"/>
        <v/>
      </c>
      <c r="AF53" s="566">
        <f t="shared" si="4"/>
        <v>1200</v>
      </c>
      <c r="AG53" s="564">
        <v>150</v>
      </c>
      <c r="AH53" s="565">
        <f t="shared" si="5"/>
        <v>1.7338114029308349E-2</v>
      </c>
      <c r="AI53" s="567">
        <f t="shared" si="6"/>
        <v>1050</v>
      </c>
      <c r="AJ53" s="462">
        <f t="shared" si="7"/>
        <v>3.7854889589905363</v>
      </c>
      <c r="AK53" s="463">
        <f t="shared" si="8"/>
        <v>0</v>
      </c>
      <c r="AL53" s="464">
        <f t="shared" si="9"/>
        <v>1.6853932584269662</v>
      </c>
      <c r="AM53" s="465">
        <f t="shared" si="10"/>
        <v>0</v>
      </c>
      <c r="AN53" s="466" t="str">
        <f t="shared" si="11"/>
        <v>1.28 pts.</v>
      </c>
      <c r="AO53" s="11"/>
    </row>
    <row r="54" spans="1:41" x14ac:dyDescent="0.25">
      <c r="A54" s="65" t="s">
        <v>6</v>
      </c>
      <c r="B54" s="66"/>
      <c r="C54" s="11"/>
      <c r="D54" s="11"/>
      <c r="E54" s="11"/>
      <c r="F54" s="384"/>
      <c r="G54" s="11"/>
      <c r="H54" s="88" t="s">
        <v>473</v>
      </c>
      <c r="I54" s="122" t="str">
        <f>IF(_epmOfflineCondition_,"N",_xll.EVPRO($B$1,$H54,"STYLE"))</f>
        <v>N</v>
      </c>
      <c r="J54" s="122" t="str">
        <f>IF(_epmOfflineCondition_,"N",_xll.EVPRO($B$1,$H54,"CALC"))</f>
        <v>N</v>
      </c>
      <c r="K54" s="179" t="str">
        <f t="shared" si="0"/>
        <v/>
      </c>
      <c r="L54" s="90" t="str">
        <f>IF(_epmOfflineCondition_,"468990",_xll.EVPRO($B$1,H54,"JDEID"))</f>
        <v>468990</v>
      </c>
      <c r="M54" s="90" t="str">
        <f>IF(_epmOfflineCondition_,"206022",IF(AND(I54="N",J54="N"),_xll.EVPRO($B$1,H54,"PSFTID"),""))</f>
        <v>206022</v>
      </c>
      <c r="N54" s="90" t="str">
        <f>IF(_epmOfflineCondition_,"Other Revenue: Allowances",IF(_xll.EVDES(H54,$B$1)="#NODATA","",_xll.EVDES(H54,$B$1)))</f>
        <v>Other Revenue: Allowances</v>
      </c>
      <c r="O54" s="467"/>
      <c r="P54" s="216"/>
      <c r="Q54" s="216"/>
      <c r="R54" s="216"/>
      <c r="S54" s="216"/>
      <c r="T54" s="216"/>
      <c r="U54" s="216"/>
      <c r="V54" s="216"/>
      <c r="W54" s="216"/>
      <c r="X54" s="216"/>
      <c r="Y54" s="216"/>
      <c r="Z54" s="216"/>
      <c r="AA54" s="216">
        <f t="shared" si="1"/>
        <v>0</v>
      </c>
      <c r="AB54" s="468" t="str">
        <f t="shared" si="2"/>
        <v/>
      </c>
      <c r="AC54" s="459"/>
      <c r="AD54" s="216"/>
      <c r="AE54" s="468" t="str">
        <f t="shared" si="3"/>
        <v/>
      </c>
      <c r="AF54" s="469">
        <f t="shared" si="4"/>
        <v>0</v>
      </c>
      <c r="AG54" s="216"/>
      <c r="AH54" s="468" t="str">
        <f t="shared" si="5"/>
        <v/>
      </c>
      <c r="AI54" s="470">
        <f t="shared" si="6"/>
        <v>0</v>
      </c>
      <c r="AJ54" s="471">
        <f t="shared" si="7"/>
        <v>0</v>
      </c>
      <c r="AK54" s="472">
        <f t="shared" si="8"/>
        <v>0</v>
      </c>
      <c r="AL54" s="473">
        <f t="shared" si="9"/>
        <v>0</v>
      </c>
      <c r="AM54" s="474">
        <f t="shared" si="10"/>
        <v>0</v>
      </c>
      <c r="AN54" s="475">
        <f t="shared" si="11"/>
        <v>0</v>
      </c>
      <c r="AO54" s="11"/>
    </row>
    <row r="55" spans="1:41" ht="15.75" thickBot="1" x14ac:dyDescent="0.3">
      <c r="A55" s="65" t="s">
        <v>7</v>
      </c>
      <c r="B55" s="66" t="str">
        <f>IF(_epmOfflineCondition_,"'BCC_Local'!$A$69:$F$77",_xll.EVRNG(A69:F77))</f>
        <v>'BCC_Local'!$A$69:$F$77</v>
      </c>
      <c r="C55" s="11"/>
      <c r="D55" s="11"/>
      <c r="E55" s="11"/>
      <c r="F55" s="384"/>
      <c r="G55" s="11"/>
      <c r="H55" s="88" t="s">
        <v>277</v>
      </c>
      <c r="I55" s="188" t="str">
        <f>IF(_epmOfflineCondition_,"T4",_xll.EVPRO($B$1,$H55,"STYLE"))</f>
        <v>T4</v>
      </c>
      <c r="J55" s="188" t="str">
        <f>IF(_epmOfflineCondition_,"Y",_xll.EVPRO($B$1,$H55,"CALC"))</f>
        <v>Y</v>
      </c>
      <c r="K55" s="189" t="str">
        <f t="shared" si="0"/>
        <v/>
      </c>
      <c r="L55" s="190" t="str">
        <f>IF(_epmOfflineCondition_,"",_xll.EVPRO($B$1,H55,"JDEID"))</f>
        <v/>
      </c>
      <c r="M55" s="190" t="str">
        <f>IF(_epmOfflineCondition_,"",IF(AND(I55="N",J55="N"),_xll.EVPRO($B$1,H55,"PSFTID"),""))</f>
        <v/>
      </c>
      <c r="N55" s="190" t="str">
        <f>IF(_epmOfflineCondition_,"Total Other Revenue",IF(_xll.EVDES(H55,$B$1)="#NODATA","",_xll.EVDES(H55,$B$1)))</f>
        <v>Total Other Revenue</v>
      </c>
      <c r="O55" s="485"/>
      <c r="P55" s="242">
        <v>11925.06</v>
      </c>
      <c r="Q55" s="242">
        <v>675.22</v>
      </c>
      <c r="R55" s="242"/>
      <c r="S55" s="242"/>
      <c r="T55" s="242"/>
      <c r="U55" s="242"/>
      <c r="V55" s="242"/>
      <c r="W55" s="242"/>
      <c r="X55" s="242"/>
      <c r="Y55" s="242"/>
      <c r="Z55" s="242"/>
      <c r="AA55" s="242">
        <f t="shared" si="1"/>
        <v>12600.279999999999</v>
      </c>
      <c r="AB55" s="243">
        <f t="shared" si="2"/>
        <v>0.31600018859274698</v>
      </c>
      <c r="AC55" s="244"/>
      <c r="AD55" s="242">
        <v>25995.806400000001</v>
      </c>
      <c r="AE55" s="243">
        <f t="shared" si="3"/>
        <v>0.36208417089483919</v>
      </c>
      <c r="AF55" s="245">
        <f t="shared" si="4"/>
        <v>-13395.526400000002</v>
      </c>
      <c r="AG55" s="242">
        <v>3158.46</v>
      </c>
      <c r="AH55" s="243">
        <f t="shared" si="5"/>
        <v>0.36507826424672835</v>
      </c>
      <c r="AI55" s="486">
        <f t="shared" si="6"/>
        <v>9441.82</v>
      </c>
      <c r="AJ55" s="246">
        <f t="shared" si="7"/>
        <v>39.748517350157726</v>
      </c>
      <c r="AK55" s="247">
        <f t="shared" si="8"/>
        <v>40.647663007786853</v>
      </c>
      <c r="AL55" s="249">
        <f t="shared" si="9"/>
        <v>35.488314606741575</v>
      </c>
      <c r="AM55" s="431" t="str">
        <f t="shared" si="10"/>
        <v>-4.61 pts.</v>
      </c>
      <c r="AN55" s="487" t="str">
        <f t="shared" si="11"/>
        <v>-4.91 pts.</v>
      </c>
      <c r="AO55" s="11"/>
    </row>
    <row r="56" spans="1:41" ht="16.5" thickTop="1" thickBot="1" x14ac:dyDescent="0.3">
      <c r="A56" s="65" t="s">
        <v>47</v>
      </c>
      <c r="B56" s="66" t="str">
        <f>IF(_epmOfflineCondition_,"'BCC_Local'!$A$125:$B$146",_xll.EVRNG($A$125:$B$146))</f>
        <v>'BCC_Local'!$A$125:$B$146</v>
      </c>
      <c r="C56" s="11"/>
      <c r="D56" s="11"/>
      <c r="E56" s="11"/>
      <c r="F56" s="11"/>
      <c r="G56" s="11"/>
      <c r="H56" s="88" t="s">
        <v>280</v>
      </c>
      <c r="I56" s="188" t="str">
        <f>IF(_epmOfflineCondition_,"T3",_xll.EVPRO($B$1,$H56,"STYLE"))</f>
        <v>T3</v>
      </c>
      <c r="J56" s="188" t="str">
        <f>IF(_epmOfflineCondition_,"Y",_xll.EVPRO($B$1,$H56,"CALC"))</f>
        <v>Y</v>
      </c>
      <c r="K56" s="189" t="str">
        <f t="shared" si="0"/>
        <v/>
      </c>
      <c r="L56" s="190" t="str">
        <f>IF(_epmOfflineCondition_,"400000",_xll.EVPRO($B$1,H56,"JDEID"))</f>
        <v>400000</v>
      </c>
      <c r="M56" s="190" t="str">
        <f>IF(_epmOfflineCondition_,"",IF(AND(I56="N",J56="N"),_xll.EVPRO($B$1,H56,"PSFTID"),""))</f>
        <v/>
      </c>
      <c r="N56" s="190" t="str">
        <f>IF(_epmOfflineCondition_,"Total Revenue",IF(_xll.EVDES(H56,$B$1)="#NODATA","",_xll.EVDES(H56,$B$1)))</f>
        <v>Total Revenue</v>
      </c>
      <c r="O56" s="575"/>
      <c r="P56" s="576">
        <v>37948.06</v>
      </c>
      <c r="Q56" s="576">
        <v>1926.22</v>
      </c>
      <c r="R56" s="576"/>
      <c r="S56" s="576"/>
      <c r="T56" s="576"/>
      <c r="U56" s="576"/>
      <c r="V56" s="576"/>
      <c r="W56" s="576"/>
      <c r="X56" s="576"/>
      <c r="Y56" s="576"/>
      <c r="Z56" s="576"/>
      <c r="AA56" s="576">
        <f t="shared" si="1"/>
        <v>39874.28</v>
      </c>
      <c r="AB56" s="577">
        <f t="shared" si="2"/>
        <v>1</v>
      </c>
      <c r="AC56" s="578"/>
      <c r="AD56" s="576">
        <v>71794.926399999997</v>
      </c>
      <c r="AE56" s="577">
        <f t="shared" si="3"/>
        <v>1</v>
      </c>
      <c r="AF56" s="579">
        <f t="shared" si="4"/>
        <v>-31920.646399999998</v>
      </c>
      <c r="AG56" s="576">
        <v>8651.4599999999991</v>
      </c>
      <c r="AH56" s="577">
        <f t="shared" si="5"/>
        <v>1</v>
      </c>
      <c r="AI56" s="580">
        <f t="shared" si="6"/>
        <v>31222.82</v>
      </c>
      <c r="AJ56" s="581">
        <f t="shared" si="7"/>
        <v>125.78637223974764</v>
      </c>
      <c r="AK56" s="582">
        <f t="shared" si="8"/>
        <v>112.26025956155988</v>
      </c>
      <c r="AL56" s="583">
        <f t="shared" si="9"/>
        <v>97.207415730337075</v>
      </c>
      <c r="AM56" s="584" t="str">
        <f t="shared" si="10"/>
        <v>0 pts.</v>
      </c>
      <c r="AN56" s="585" t="str">
        <f t="shared" si="11"/>
        <v>0 pts.</v>
      </c>
      <c r="AO56" s="11"/>
    </row>
    <row r="57" spans="1:41" ht="15.75" thickTop="1" x14ac:dyDescent="0.25">
      <c r="A57" s="65" t="s">
        <v>8</v>
      </c>
      <c r="B57" s="66"/>
      <c r="C57" s="11"/>
      <c r="D57" s="11"/>
      <c r="E57" s="11"/>
      <c r="F57" s="11"/>
      <c r="G57" s="11"/>
      <c r="H57" s="11"/>
      <c r="I57" s="59"/>
      <c r="J57" s="59"/>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25">
      <c r="A58" s="11"/>
      <c r="B58" s="11"/>
      <c r="C58" s="11"/>
      <c r="D58" s="11"/>
      <c r="E58" s="11"/>
      <c r="F58" s="11"/>
      <c r="G58" s="76"/>
      <c r="H58" s="11"/>
      <c r="I58" s="59"/>
      <c r="J58" s="59"/>
      <c r="K58" s="11"/>
      <c r="L58" s="11"/>
      <c r="M58" s="11"/>
      <c r="N58" s="11"/>
      <c r="O58" s="137"/>
      <c r="P58" s="137"/>
      <c r="Q58" s="137"/>
      <c r="R58" s="137"/>
      <c r="S58" s="137"/>
      <c r="T58" s="137"/>
      <c r="U58" s="137"/>
      <c r="V58" s="137"/>
      <c r="W58" s="137"/>
      <c r="X58" s="137"/>
      <c r="Y58" s="137"/>
      <c r="Z58" s="137"/>
      <c r="AA58" s="137"/>
      <c r="AB58" s="11"/>
      <c r="AC58" s="11"/>
      <c r="AD58" s="137"/>
      <c r="AE58" s="11"/>
      <c r="AF58" s="11"/>
      <c r="AG58" s="137"/>
      <c r="AH58" s="11"/>
      <c r="AI58" s="11"/>
      <c r="AJ58" s="11"/>
      <c r="AK58" s="11"/>
      <c r="AL58" s="11"/>
      <c r="AM58" s="11"/>
      <c r="AN58" s="11"/>
      <c r="AO58" s="11"/>
    </row>
    <row r="59" spans="1:41" x14ac:dyDescent="0.25">
      <c r="A59" s="62" t="s">
        <v>9</v>
      </c>
      <c r="B59" s="63" t="s">
        <v>10</v>
      </c>
      <c r="C59" s="11"/>
      <c r="D59" s="11"/>
      <c r="E59" s="11"/>
      <c r="F59" s="11"/>
      <c r="G59" s="11"/>
      <c r="H59" s="11"/>
      <c r="I59" s="59"/>
      <c r="J59" s="59"/>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25">
      <c r="A60" s="65" t="s">
        <v>11</v>
      </c>
      <c r="B60" s="66" t="s">
        <v>21</v>
      </c>
      <c r="C60" s="11"/>
      <c r="D60" s="11"/>
      <c r="E60" s="11"/>
      <c r="F60" s="11"/>
      <c r="G60" s="11"/>
      <c r="H60" s="11"/>
      <c r="I60" s="59"/>
      <c r="J60" s="59"/>
      <c r="K60" s="11"/>
      <c r="L60" s="11"/>
      <c r="M60" s="11"/>
      <c r="N60" s="11"/>
      <c r="O60" s="137"/>
      <c r="P60" s="137"/>
      <c r="Q60" s="137"/>
      <c r="R60" s="137"/>
      <c r="S60" s="137"/>
      <c r="T60" s="137"/>
      <c r="U60" s="137"/>
      <c r="V60" s="137"/>
      <c r="W60" s="137"/>
      <c r="X60" s="137"/>
      <c r="Y60" s="137"/>
      <c r="Z60" s="137"/>
      <c r="AA60" s="137"/>
      <c r="AB60" s="11"/>
      <c r="AC60" s="11"/>
      <c r="AD60" s="137"/>
      <c r="AE60" s="11"/>
      <c r="AF60" s="11"/>
      <c r="AG60" s="137"/>
      <c r="AH60" s="11"/>
      <c r="AI60" s="11"/>
      <c r="AJ60" s="11"/>
      <c r="AK60" s="11"/>
      <c r="AL60" s="11"/>
      <c r="AM60" s="11"/>
      <c r="AN60" s="11"/>
      <c r="AO60" s="11"/>
    </row>
    <row r="61" spans="1:41" x14ac:dyDescent="0.25">
      <c r="A61" s="65" t="s">
        <v>12</v>
      </c>
      <c r="B61" s="66" t="s">
        <v>22</v>
      </c>
      <c r="C61" s="11"/>
      <c r="D61" s="11"/>
      <c r="E61" s="11"/>
      <c r="F61" s="11"/>
      <c r="G61" s="11"/>
      <c r="H61" s="11"/>
      <c r="I61" s="59"/>
      <c r="J61" s="59"/>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25">
      <c r="A62" s="65" t="s">
        <v>13</v>
      </c>
      <c r="B62" s="66" t="str">
        <f>"DEP(COS_FB) AND "&amp;$E$6&amp;"=Y,COS_FB,COSOTH,DEP(COS_OTHR) AND "&amp;$E$6&amp;"=Y,COS_OTHR,500001"</f>
        <v>DEP(COS_FB) AND D2148=Y,COS_FB,COSOTH,DEP(COS_OTHR) AND D2148=Y,COS_OTHR,500001</v>
      </c>
      <c r="C62" s="11"/>
      <c r="D62" s="11"/>
      <c r="E62" s="11"/>
      <c r="F62" s="11"/>
      <c r="G62" s="11"/>
      <c r="H62" s="11"/>
      <c r="I62" s="59"/>
      <c r="J62" s="59"/>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25">
      <c r="A63" s="65" t="s">
        <v>14</v>
      </c>
      <c r="B63" s="66"/>
      <c r="C63" s="11"/>
      <c r="D63" s="11"/>
      <c r="E63" s="11"/>
      <c r="F63" s="11"/>
      <c r="G63" s="11"/>
      <c r="H63" s="59"/>
      <c r="I63" s="59"/>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25">
      <c r="A64" s="65" t="s">
        <v>15</v>
      </c>
      <c r="B64" s="66"/>
      <c r="C64" s="11"/>
      <c r="D64" s="11"/>
      <c r="E64" s="11"/>
      <c r="F64" s="11"/>
      <c r="G64" s="11"/>
      <c r="H64" s="59"/>
      <c r="I64" s="59"/>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25">
      <c r="A65" s="65" t="s">
        <v>16</v>
      </c>
      <c r="B65" s="66"/>
      <c r="C65" s="11"/>
      <c r="D65" s="11"/>
      <c r="E65" s="11"/>
      <c r="F65" s="11"/>
      <c r="G65" s="11"/>
      <c r="H65" s="59"/>
      <c r="I65" s="59"/>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25">
      <c r="A66" s="65" t="s">
        <v>17</v>
      </c>
      <c r="B66" s="66"/>
      <c r="C66" s="11"/>
      <c r="D66" s="11"/>
      <c r="E66" s="11"/>
      <c r="F66" s="11"/>
      <c r="G66" s="11"/>
      <c r="H66" s="59"/>
      <c r="I66" s="59"/>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25">
      <c r="A67" s="11"/>
      <c r="B67" s="11"/>
      <c r="C67" s="11"/>
      <c r="D67" s="11"/>
      <c r="E67" s="11"/>
      <c r="F67" s="11"/>
      <c r="G67" s="11"/>
      <c r="H67" s="59"/>
      <c r="I67" s="59"/>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25">
      <c r="A68" s="97" t="s">
        <v>92</v>
      </c>
      <c r="B68" s="98" t="s">
        <v>93</v>
      </c>
      <c r="C68" s="98" t="s">
        <v>94</v>
      </c>
      <c r="D68" s="98" t="s">
        <v>95</v>
      </c>
      <c r="E68" s="98" t="s">
        <v>96</v>
      </c>
      <c r="F68" s="99" t="s">
        <v>97</v>
      </c>
      <c r="G68" s="11"/>
      <c r="H68" s="59"/>
      <c r="I68" s="59"/>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25">
      <c r="A70" s="11" t="s">
        <v>209</v>
      </c>
      <c r="B70" s="11" t="s">
        <v>21</v>
      </c>
      <c r="C70" s="395"/>
      <c r="D70" s="11" t="s">
        <v>590</v>
      </c>
      <c r="E70" s="11"/>
      <c r="F70" s="11" t="s">
        <v>99</v>
      </c>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25">
      <c r="A71" s="11" t="s">
        <v>105</v>
      </c>
      <c r="B71" s="11"/>
      <c r="C71" s="104" t="s">
        <v>101</v>
      </c>
      <c r="D71" s="11" t="s">
        <v>106</v>
      </c>
      <c r="E71" s="11"/>
      <c r="F71" s="11" t="s">
        <v>98</v>
      </c>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11" t="s">
        <v>104</v>
      </c>
      <c r="B72" s="11"/>
      <c r="C72" s="104" t="s">
        <v>101</v>
      </c>
      <c r="D72" s="11" t="s">
        <v>106</v>
      </c>
      <c r="E72" s="11"/>
      <c r="F72" s="11" t="s">
        <v>98</v>
      </c>
      <c r="G72" s="11"/>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11" t="s">
        <v>100</v>
      </c>
      <c r="B73" s="11"/>
      <c r="C73" s="53" t="s">
        <v>101</v>
      </c>
      <c r="D73" s="11" t="s">
        <v>106</v>
      </c>
      <c r="E73" s="11"/>
      <c r="F73" s="11" t="s">
        <v>98</v>
      </c>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hidden="1" x14ac:dyDescent="0.25">
      <c r="A74" s="11" t="s">
        <v>102</v>
      </c>
      <c r="B74" s="11"/>
      <c r="C74" s="106" t="s">
        <v>101</v>
      </c>
      <c r="D74" s="11" t="s">
        <v>106</v>
      </c>
      <c r="E74" s="11"/>
      <c r="F74" s="11" t="s">
        <v>98</v>
      </c>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hidden="1" x14ac:dyDescent="0.25">
      <c r="A75" s="11" t="s">
        <v>102</v>
      </c>
      <c r="B75" s="11"/>
      <c r="C75" s="196" t="s">
        <v>101</v>
      </c>
      <c r="D75" s="11" t="s">
        <v>107</v>
      </c>
      <c r="E75" s="11"/>
      <c r="F75" s="11" t="s">
        <v>99</v>
      </c>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11" t="s">
        <v>108</v>
      </c>
      <c r="B76" s="11"/>
      <c r="C76" s="106" t="s">
        <v>101</v>
      </c>
      <c r="D76" s="11" t="s">
        <v>106</v>
      </c>
      <c r="E76" s="11"/>
      <c r="F76" s="11" t="s">
        <v>98</v>
      </c>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hidden="1" x14ac:dyDescent="0.25">
      <c r="A77" s="11" t="s">
        <v>108</v>
      </c>
      <c r="B77" s="11"/>
      <c r="C77" s="196" t="s">
        <v>101</v>
      </c>
      <c r="D77" s="11" t="s">
        <v>107</v>
      </c>
      <c r="E77" s="11"/>
      <c r="F77" s="11" t="s">
        <v>99</v>
      </c>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hidden="1" x14ac:dyDescent="0.2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11"/>
      <c r="B79" s="11"/>
      <c r="C79" s="208"/>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61"/>
      <c r="B80" s="11" t="s">
        <v>822</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hidden="1" x14ac:dyDescent="0.2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hidden="1" x14ac:dyDescent="0.25">
      <c r="A82" s="62" t="s">
        <v>0</v>
      </c>
      <c r="B82" s="63" t="s">
        <v>1</v>
      </c>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65" t="s">
        <v>2</v>
      </c>
      <c r="B83" s="66" t="str">
        <f>IF(_epmOfflineCondition_,"'BCC_Local'!$B$2:$B$10",_xll.EVRNG($B$2:$B$10))</f>
        <v>'BCC_Local'!$B$2:$B$10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3</v>
      </c>
      <c r="B84" s="66" t="str">
        <f>IF(_epmOfflineCondition_,"'BCC_Local'!$O$16:$AN$18",_xll.EVRNG($O$16:$AN$18))</f>
        <v>'BCC_Local'!$O$16:$AN$18</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65" t="s">
        <v>4</v>
      </c>
      <c r="B85" s="66" t="str">
        <f>IF(_epmOfflineCondition_,"",_xll.EVRNG(#REF!,#REF!,#REF!))</f>
        <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5</v>
      </c>
      <c r="B86" s="66"/>
      <c r="C86" s="11"/>
      <c r="D86" s="11"/>
      <c r="E86" s="11"/>
      <c r="F86" s="11"/>
      <c r="G86" s="11"/>
      <c r="H86" s="11"/>
      <c r="I86" s="59"/>
      <c r="J86" s="59"/>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6</v>
      </c>
      <c r="B87" s="66"/>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7</v>
      </c>
      <c r="B88" s="66" t="str">
        <f>IF(_epmOfflineCondition_,"'BCC_Local'!$A$102:$F$108",_xll.EVRNG(A102:F108))</f>
        <v>'BCC_Local'!$A$102:$F$108</v>
      </c>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65" t="s">
        <v>47</v>
      </c>
      <c r="B89" s="66" t="str">
        <f>IF(_epmOfflineCondition_,"'BCC_Local'!$A$125:$B$146",_xll.EVRNG($A$125:$B$146))</f>
        <v>'BCC_Local'!$A$125:$B$146</v>
      </c>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8</v>
      </c>
      <c r="B90" s="66"/>
      <c r="C90" s="11"/>
      <c r="D90" s="11"/>
      <c r="E90" s="11"/>
      <c r="F90" s="11"/>
      <c r="G90" s="11"/>
      <c r="H90" s="11"/>
      <c r="I90" s="59"/>
      <c r="J90" s="59"/>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76"/>
      <c r="H91" s="11"/>
      <c r="I91" s="59"/>
      <c r="J91" s="59"/>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62" t="s">
        <v>9</v>
      </c>
      <c r="B92" s="63" t="s">
        <v>10</v>
      </c>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5" t="s">
        <v>11</v>
      </c>
      <c r="B93" s="66" t="s">
        <v>21</v>
      </c>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65" t="s">
        <v>12</v>
      </c>
      <c r="B94" s="66" t="s">
        <v>22</v>
      </c>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13</v>
      </c>
      <c r="B95" s="66" t="s">
        <v>737</v>
      </c>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65" t="s">
        <v>14</v>
      </c>
      <c r="B96" s="66"/>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15</v>
      </c>
      <c r="B97" s="66"/>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65" t="s">
        <v>16</v>
      </c>
      <c r="B98" s="66" t="s">
        <v>78</v>
      </c>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17</v>
      </c>
      <c r="B99" s="66"/>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97" t="s">
        <v>92</v>
      </c>
      <c r="B101" s="98" t="s">
        <v>93</v>
      </c>
      <c r="C101" s="98" t="s">
        <v>94</v>
      </c>
      <c r="D101" s="98" t="s">
        <v>95</v>
      </c>
      <c r="E101" s="98" t="s">
        <v>96</v>
      </c>
      <c r="F101" s="99" t="s">
        <v>97</v>
      </c>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t="s">
        <v>108</v>
      </c>
      <c r="B103" s="11"/>
      <c r="C103" s="104" t="s">
        <v>101</v>
      </c>
      <c r="D103" s="11" t="s">
        <v>106</v>
      </c>
      <c r="E103" s="11"/>
      <c r="F103" s="11" t="s">
        <v>98</v>
      </c>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t="s">
        <v>100</v>
      </c>
      <c r="B104" s="11"/>
      <c r="C104" s="53" t="s">
        <v>101</v>
      </c>
      <c r="D104" s="11" t="s">
        <v>106</v>
      </c>
      <c r="E104" s="11"/>
      <c r="F104" s="11" t="s">
        <v>98</v>
      </c>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t="s">
        <v>109</v>
      </c>
      <c r="B105" s="11"/>
      <c r="C105" s="106" t="s">
        <v>101</v>
      </c>
      <c r="D105" s="11" t="s">
        <v>106</v>
      </c>
      <c r="E105" s="11"/>
      <c r="F105" s="11" t="s">
        <v>98</v>
      </c>
      <c r="G105" s="76"/>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t="s">
        <v>109</v>
      </c>
      <c r="B106" s="11"/>
      <c r="C106" s="196" t="s">
        <v>101</v>
      </c>
      <c r="D106" s="11" t="s">
        <v>107</v>
      </c>
      <c r="E106" s="11"/>
      <c r="F106" s="11" t="s">
        <v>99</v>
      </c>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t="s">
        <v>110</v>
      </c>
      <c r="B107" s="11"/>
      <c r="C107" s="106" t="s">
        <v>101</v>
      </c>
      <c r="D107" s="11" t="s">
        <v>106</v>
      </c>
      <c r="E107" s="11"/>
      <c r="F107" s="11" t="s">
        <v>98</v>
      </c>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t="s">
        <v>110</v>
      </c>
      <c r="B108" s="11"/>
      <c r="C108" s="109" t="s">
        <v>101</v>
      </c>
      <c r="D108" s="11" t="s">
        <v>107</v>
      </c>
      <c r="E108" s="11"/>
      <c r="F108" s="11" t="s">
        <v>99</v>
      </c>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208"/>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1"/>
      <c r="B111" s="11" t="s">
        <v>736</v>
      </c>
      <c r="C111" s="11" t="s">
        <v>823</v>
      </c>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2" t="s">
        <v>0</v>
      </c>
      <c r="B113" s="63" t="s">
        <v>1</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5" t="s">
        <v>2</v>
      </c>
      <c r="B114" s="66" t="str">
        <f>IF(_epmOfflineCondition_,"'BCC_Local'!$B$2:$B$10",_xll.EVRNG($B$2:$B$10))</f>
        <v>'BCC_Local'!$B$2:$B$10</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3</v>
      </c>
      <c r="B115" s="66" t="str">
        <f>IF(_epmOfflineCondition_,"'BCC_Local'!$O$16:$AN$18",_xll.EVRNG($O$16:$AN$18))</f>
        <v>'BCC_Local'!$O$16:$AN$18</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4</v>
      </c>
      <c r="B116" s="66" t="str">
        <f>IF(_epmOfflineCondition_,"",_xll.EVRNG(#REF!))</f>
        <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47</v>
      </c>
      <c r="B120" s="66" t="str">
        <f>IF(_epmOfflineCondition_,"'BCC_Local'!$A$125:$B$146",_xll.EVRNG($A$125:$B$146))</f>
        <v>'BCC_Local'!$A$125:$B$146</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8</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2" t="s">
        <v>23</v>
      </c>
      <c r="B124" s="63" t="s">
        <v>24</v>
      </c>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26</v>
      </c>
      <c r="B126" s="66"/>
      <c r="C126" s="11"/>
      <c r="D126" s="11"/>
      <c r="E126" s="11"/>
      <c r="F126" s="11"/>
      <c r="G126" s="11"/>
      <c r="H126" s="11"/>
      <c r="I126" s="267"/>
      <c r="J126" s="11"/>
      <c r="K126" s="267"/>
      <c r="L126" s="267"/>
      <c r="M126" s="267"/>
      <c r="N126" s="11"/>
      <c r="O126" s="267"/>
      <c r="P126" s="267"/>
      <c r="Q126" s="267"/>
      <c r="R126" s="267"/>
      <c r="S126" s="267"/>
      <c r="T126" s="267"/>
      <c r="U126" s="267"/>
      <c r="V126" s="267"/>
      <c r="W126" s="267"/>
      <c r="X126" s="267"/>
      <c r="Y126" s="267"/>
      <c r="Z126" s="267"/>
      <c r="AA126" s="267"/>
      <c r="AB126" s="11"/>
      <c r="AC126" s="11"/>
      <c r="AD126" s="267"/>
      <c r="AE126" s="11"/>
      <c r="AF126" s="267"/>
      <c r="AG126" s="11"/>
      <c r="AH126" s="267"/>
      <c r="AI126" s="11"/>
      <c r="AJ126" s="11"/>
      <c r="AK126" s="11"/>
      <c r="AL126" s="11"/>
      <c r="AM126" s="11"/>
      <c r="AN126" s="11"/>
      <c r="AO126" s="11"/>
    </row>
    <row r="127" spans="1:41" x14ac:dyDescent="0.25">
      <c r="A127" s="65" t="s">
        <v>27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28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29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30</v>
      </c>
      <c r="B130" s="66" t="s">
        <v>78</v>
      </c>
      <c r="C130" s="11"/>
      <c r="D130" s="11"/>
      <c r="E130" s="11"/>
      <c r="F130" s="11"/>
      <c r="G130" s="11"/>
      <c r="H130" s="11"/>
      <c r="I130" s="267"/>
      <c r="J130" s="11"/>
      <c r="K130" s="267"/>
      <c r="L130" s="267"/>
      <c r="M130" s="267"/>
      <c r="N130" s="11"/>
      <c r="O130" s="267"/>
      <c r="P130" s="267"/>
      <c r="Q130" s="267"/>
      <c r="R130" s="267"/>
      <c r="S130" s="267"/>
      <c r="T130" s="267"/>
      <c r="U130" s="267"/>
      <c r="V130" s="267"/>
      <c r="W130" s="267"/>
      <c r="X130" s="267"/>
      <c r="Y130" s="267"/>
      <c r="Z130" s="267"/>
      <c r="AA130" s="267"/>
      <c r="AB130" s="11"/>
      <c r="AC130" s="11"/>
      <c r="AD130" s="267"/>
      <c r="AE130" s="11"/>
      <c r="AF130" s="267"/>
      <c r="AG130" s="11"/>
      <c r="AH130" s="267"/>
      <c r="AI130" s="11"/>
      <c r="AJ130" s="11"/>
      <c r="AK130" s="11"/>
      <c r="AL130" s="11"/>
      <c r="AM130" s="11"/>
      <c r="AN130" s="11"/>
      <c r="AO130" s="11"/>
    </row>
    <row r="131" spans="1:41" x14ac:dyDescent="0.25">
      <c r="A131" s="65" t="s">
        <v>31</v>
      </c>
      <c r="B131" s="66" t="s">
        <v>78</v>
      </c>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32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37</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38</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39</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40</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41</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42</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43</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44</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65" t="s">
        <v>45</v>
      </c>
      <c r="B145" s="66"/>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65" t="s">
        <v>46</v>
      </c>
      <c r="B146" s="66"/>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267"/>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267"/>
      <c r="F167" s="11"/>
      <c r="G167" s="267"/>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267"/>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sheetData>
  <sheetProtection algorithmName="SHA-512" hashValue="zOp5gzsu7sDO1YfL+kGrzHZyvKNVslmrLW4TOd05rSC1Lqhz7vBjN1NLwf2YhGco0pSCleVDA15K3M/BupDa3A==" saltValue="WzkgoU/RFGmPRnsLC+M24A==" spinCount="100000" sheet="1" scenarios="1"/>
  <mergeCells count="2">
    <mergeCell ref="AD31:AE31"/>
    <mergeCell ref="AG31:AH31"/>
  </mergeCells>
  <dataValidations count="2">
    <dataValidation type="list" allowBlank="1" sqref="B94 B28 B61" xr:uid="{00000000-0002-0000-1B00-000000000000}">
      <formula1>"ACCOUNT,BUSINESSUNIT,CATEGORY,DATASRC,DEPARTMENT,INTCO,MEASURES,RPTCURRENCY,TIME"</formula1>
    </dataValidation>
    <dataValidation type="list" allowBlank="1" sqref="B95 B29 B62" xr:uid="{00000000-0002-0000-1B00-000001000000}">
      <formula1>"SELF,ALL,BAS,DEP,BASMEMBERS,MEMBERS,NOEXPAND,GDEP"</formula1>
    </dataValidation>
  </dataValidations>
  <pageMargins left="0.25" right="0.25" top="0.5" bottom="0.5" header="0.3" footer="0.3"/>
  <pageSetup scale="50" fitToHeight="0" orientation="landscape" r:id="rId1"/>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8225"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308225" r:id="rId7" name="FPMExcelClientSheetOptionstb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57">
    <tabColor theme="6" tint="0.39997558519241921"/>
    <pageSetUpPr fitToPage="1"/>
  </sheetPr>
  <dimension ref="A1:AI206"/>
  <sheetViews>
    <sheetView topLeftCell="K25" zoomScale="85" zoomScaleNormal="85" workbookViewId="0">
      <pane xSplit="4" ySplit="8" topLeftCell="O33" activePane="bottomRight" state="frozen"/>
      <selection activeCell="R42" sqref="R42"/>
      <selection pane="topRight" activeCell="R42" sqref="R42"/>
      <selection pane="bottomLeft" activeCell="R42" sqref="R42"/>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8"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67"/>
      <c r="O1" s="11"/>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806</v>
      </c>
      <c r="C6" s="11" t="str">
        <f>IF(_epmOfflineCondition_,"Banquet CS Local",_xll.EVDES(B6,$B$1))</f>
        <v>Banquet CS Local</v>
      </c>
      <c r="D6" s="11"/>
      <c r="E6" s="58" t="str">
        <f>IF(_epmOfflineCondition_,"D2148",_xll.EVPRO($B$1,$B$6,$F$6))</f>
        <v>D2148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IF(_epmOfflineCondition_,"'BCC_KPI_Local'!$B$2:$B$10",_xll.EVRNG($B$2:$B$10))</f>
        <v>'BCC_KPI_Local'!$B$2:$B$10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IF(_epmOfflineCondition_,"'BCC_KPI_Local'!$O$16:$AI$18",_xll.EVRNG(O16:AI18))</f>
        <v>'BCC_KPI_Local'!$O$16:$AI$18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AA11</f>
        <v>PERIODIC</v>
      </c>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IF(_epmOfflineCondition_,"'BCC_KPI_Local'!$H$35:$H$118",_xll.EVRNG(H35:H118))</f>
        <v>'BCC_KPI_Local'!$H$35:$H$118</v>
      </c>
      <c r="C19" s="11"/>
      <c r="D19" s="11"/>
      <c r="E19" s="11"/>
      <c r="F19" s="11"/>
      <c r="G19" s="67" t="str">
        <f>$B$6</f>
        <v>D2348</v>
      </c>
      <c r="H19" s="67" t="s">
        <v>273</v>
      </c>
      <c r="I19" s="68"/>
      <c r="J19" s="68"/>
      <c r="K19" s="67"/>
      <c r="L19" s="67"/>
      <c r="M19" s="67"/>
      <c r="N19" s="67" t="str">
        <f>IF(_epmOfflineCondition_,"Total Food &amp; Beverage Revenue",_xll.EVDES(H19))</f>
        <v>Total Food &amp; Beverage Revenue</v>
      </c>
      <c r="O19" s="69">
        <f>IF(_epmOfflineCondition_,0,_xll.EVGTS($B$1,1,$B$3,$B$5,$B$7,$B$9,O$16,O$17,O$18,$G$19,$H$19))</f>
        <v>0</v>
      </c>
      <c r="P19" s="69">
        <f>IF(_epmOfflineCondition_,26023,_xll.EVGTS($B$1,1,$B$3,$B$5,$B$7,$B$9,P$16,P$17,P$18,$G$19,$H$19))</f>
        <v>26023</v>
      </c>
      <c r="Q19" s="69">
        <f>IF(_epmOfflineCondition_,1251,_xll.EVGTS($B$1,1,$B$3,$B$5,$B$7,$B$9,Q$16,Q$17,Q$18,$G$19,$H$19))</f>
        <v>1251</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27274</v>
      </c>
      <c r="AB19" s="67"/>
      <c r="AC19" s="67"/>
      <c r="AD19" s="69">
        <f>IF(_epmOfflineCondition_,45799.12,_xll.EVGTS($B$1,1,$B$3,$B$5,$B$7,$B$9,AD$16,AD$17,AD$18,$G$19,$H$19))</f>
        <v>45799.12</v>
      </c>
      <c r="AE19" s="67"/>
      <c r="AF19" s="67"/>
      <c r="AG19" s="69">
        <f>IF(_epmOfflineCondition_,5493,_xll.EVGTS($B$1,1,$B$3,$B$5,$B$7,$B$9,AG$16,AG$17,AG$18,$G$19,$H$19))</f>
        <v>5493</v>
      </c>
      <c r="AH19" s="67"/>
      <c r="AI19" s="67"/>
    </row>
    <row r="20" spans="1:35" hidden="1" outlineLevel="1" x14ac:dyDescent="0.25">
      <c r="A20" s="65" t="s">
        <v>5</v>
      </c>
      <c r="B20" s="66"/>
      <c r="C20" s="11"/>
      <c r="D20" s="11"/>
      <c r="E20" s="11"/>
      <c r="F20" s="11"/>
      <c r="G20" s="67" t="str">
        <f>$B$6</f>
        <v>D2348</v>
      </c>
      <c r="H20" s="67">
        <v>946000</v>
      </c>
      <c r="I20" s="68"/>
      <c r="J20" s="68"/>
      <c r="K20" s="67"/>
      <c r="L20" s="67"/>
      <c r="M20" s="67"/>
      <c r="N20" s="67" t="str">
        <f>IF(_epmOfflineCondition_,"Total Customers",_xll.EVDES(H20))</f>
        <v>Total Customers</v>
      </c>
      <c r="O20" s="69">
        <f>IF(_epmOfflineCondition_,0,_xll.EVGTS($B$1,1,$B$3,$B$5,$B$7,$B$9,O$16,O$17,O$18,$G$20,$H$20))</f>
        <v>0</v>
      </c>
      <c r="P20" s="69">
        <f>IF(_epmOfflineCondition_,296,_xll.EVGTS($B$1,1,$B$3,$B$5,$B$7,$B$9,P$16,P$17,P$18,$G$20,$H$20))</f>
        <v>296</v>
      </c>
      <c r="Q20" s="69">
        <f>IF(_epmOfflineCondition_,21,_xll.EVGTS($B$1,1,$B$3,$B$5,$B$7,$B$9,Q$16,Q$17,Q$18,$G$20,$H$20))</f>
        <v>21</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317</v>
      </c>
      <c r="AB20" s="67"/>
      <c r="AC20" s="67"/>
      <c r="AD20" s="69">
        <f>IF(_epmOfflineCondition_,639.54,_xll.EVGTS($B$1,1,$B$3,$B$5,$B$7,$B$9,AD$16,AD$17,AD$18,$G$20,$H$20))</f>
        <v>639.54</v>
      </c>
      <c r="AE20" s="67"/>
      <c r="AF20" s="67"/>
      <c r="AG20" s="69">
        <f>IF(_epmOfflineCondition_,89,_xll.EVGTS($B$1,1,$B$3,$B$5,$B$7,$B$9,AG$16,AG$17,AG$18,$G$20,$H$20))</f>
        <v>89</v>
      </c>
      <c r="AH20" s="67"/>
      <c r="AI20" s="67"/>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IF(_epmOfflineCondition_,"'BCC_KPI_Local'!$A$37:$B$58",_xll.EVRNG($A$37:$B$58))</f>
        <v>'BCC_KPI_Local'!$A$37:$B$58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IF(_epmOfflineCondition_,"Banquet CS Local Department",IF($N$1="",IF(_xll.EVDES(B6,$B$1)="#NODATA","",_xll.EVDES(B6,$B$1)&amp;" Department"),$N$1))</f>
        <v>Banquet CS Local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
        <v>293</v>
      </c>
      <c r="C29" s="11"/>
      <c r="D29" s="11"/>
      <c r="E29" s="11"/>
      <c r="F29" s="11"/>
      <c r="G29" s="11"/>
      <c r="H29" s="11"/>
      <c r="I29" s="59"/>
      <c r="J29" s="59"/>
      <c r="K29" s="11"/>
      <c r="L29" s="11"/>
      <c r="M29" s="11"/>
      <c r="N29" s="72" t="str">
        <f>IF(_epmOfflineCondition_,"Local Currency",_xll.EVDES(B9,B1))</f>
        <v>Local Currency</v>
      </c>
      <c r="O29" s="488" t="s">
        <v>344</v>
      </c>
      <c r="P29" s="488"/>
      <c r="Q29" s="488"/>
      <c r="R29" s="488"/>
      <c r="S29" s="488"/>
      <c r="T29" s="488"/>
      <c r="U29" s="488"/>
      <c r="V29" s="488"/>
      <c r="W29" s="488"/>
      <c r="X29" s="488"/>
      <c r="Y29" s="488"/>
      <c r="Z29" s="488"/>
      <c r="AA29" s="488"/>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11"/>
      <c r="H31" s="11"/>
      <c r="I31" s="59"/>
      <c r="J31" s="59"/>
      <c r="K31" s="11"/>
      <c r="L31" s="11"/>
      <c r="M31" s="11"/>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11"/>
      <c r="F32" s="83"/>
      <c r="G32" s="83"/>
      <c r="H32" s="84"/>
      <c r="I32" s="85"/>
      <c r="J32" s="85"/>
      <c r="K32" s="83"/>
      <c r="L32" s="83"/>
      <c r="M32" s="83"/>
      <c r="N32" s="83"/>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ht="15.75" x14ac:dyDescent="0.25">
      <c r="A33" s="65" t="s">
        <v>17</v>
      </c>
      <c r="B33" s="66"/>
      <c r="C33" s="11"/>
      <c r="D33" s="11"/>
      <c r="E33" s="11"/>
      <c r="F33" s="11"/>
      <c r="G33" s="11"/>
      <c r="H33" s="11"/>
      <c r="I33" s="59"/>
      <c r="J33" s="59"/>
      <c r="K33" s="11"/>
      <c r="L33" s="11"/>
      <c r="M33" s="11"/>
      <c r="N33" s="489" t="s">
        <v>330</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11"/>
      <c r="I34" s="59"/>
      <c r="J34" s="59"/>
      <c r="K34" s="11"/>
      <c r="L34" s="133" t="s">
        <v>364</v>
      </c>
      <c r="M34" s="133" t="s">
        <v>782</v>
      </c>
      <c r="N34" s="53" t="s">
        <v>312</v>
      </c>
      <c r="O34" s="203"/>
      <c r="P34" s="204"/>
      <c r="Q34" s="204"/>
      <c r="R34" s="204"/>
      <c r="S34" s="204"/>
      <c r="T34" s="204"/>
      <c r="U34" s="204"/>
      <c r="V34" s="204"/>
      <c r="W34" s="204"/>
      <c r="X34" s="204"/>
      <c r="Y34" s="204"/>
      <c r="Z34" s="204"/>
      <c r="AA34" s="204"/>
      <c r="AB34" s="118"/>
      <c r="AC34" s="11"/>
      <c r="AD34" s="203"/>
      <c r="AE34" s="204"/>
      <c r="AF34" s="118"/>
      <c r="AG34" s="203"/>
      <c r="AH34" s="204"/>
      <c r="AI34" s="118"/>
    </row>
    <row r="35" spans="1:35" x14ac:dyDescent="0.25">
      <c r="A35" s="11"/>
      <c r="B35" s="11"/>
      <c r="C35" s="11"/>
      <c r="D35" s="11"/>
      <c r="E35" s="11"/>
      <c r="F35" s="11"/>
      <c r="G35" s="11"/>
      <c r="H35" s="88" t="s">
        <v>260</v>
      </c>
      <c r="I35" s="122" t="str">
        <f>IF(_epmOfflineCondition_,"T5",_xll.EVPRO($B$1,$H35,"STYLE"))</f>
        <v>T5</v>
      </c>
      <c r="J35" s="122" t="str">
        <f>IF(_epmOfflineCondition_,"Y",_xll.EVPRO($B$1,$H35,"CALC"))</f>
        <v>Y</v>
      </c>
      <c r="K35" s="90"/>
      <c r="L35" s="90" t="str">
        <f>IF(_epmOfflineCondition_,"461100",_xll.EVPRO($B$1,H35,"JDEID"))</f>
        <v>461100</v>
      </c>
      <c r="M35" s="90" t="str">
        <f>IF(_epmOfflineCondition_,"",IF(AND(I35="N",J35="N"),_xll.EVPRO($B$1,H35,"PSFTID"),""))</f>
        <v/>
      </c>
      <c r="N35" s="90" t="str">
        <f>IF(_epmOfflineCondition_,"Breakfast Food",IF(_xll.EVDES(H35,$B$1)="#NODATA","",_xll.EVDES(H35,$B$1)))</f>
        <v>Breakfast Food</v>
      </c>
      <c r="O35" s="138"/>
      <c r="P35" s="138"/>
      <c r="Q35" s="138"/>
      <c r="R35" s="138"/>
      <c r="S35" s="138"/>
      <c r="T35" s="138"/>
      <c r="U35" s="138"/>
      <c r="V35" s="138"/>
      <c r="W35" s="138"/>
      <c r="X35" s="138"/>
      <c r="Y35" s="138"/>
      <c r="Z35" s="138"/>
      <c r="AA35" s="138">
        <f t="shared" ref="AA35:AA41" si="0">SUM(O35:Z35)</f>
        <v>0</v>
      </c>
      <c r="AB35" s="142" t="str">
        <f>IF(AA35=0,"",IFERROR(AA35/AA$19,""))</f>
        <v/>
      </c>
      <c r="AC35" s="140"/>
      <c r="AD35" s="138"/>
      <c r="AE35" s="142" t="str">
        <f>IF(AD35=0,"",IFERROR(AD35/AD$19,""))</f>
        <v/>
      </c>
      <c r="AF35" s="141">
        <f t="shared" ref="AF35:AF42" si="1">IF(AND($AA35="",AD35=""),"",$AA35-AD35)</f>
        <v>0</v>
      </c>
      <c r="AG35" s="138"/>
      <c r="AH35" s="142" t="str">
        <f>IF(AG35=0,"",IFERROR(AG35/AG$19,""))</f>
        <v/>
      </c>
      <c r="AI35" s="141">
        <f t="shared" ref="AI35:AI42" si="2">IF(AND($AA35="",AG35=""),"",$AA35-AG35)</f>
        <v>0</v>
      </c>
    </row>
    <row r="36" spans="1:35" x14ac:dyDescent="0.25">
      <c r="A36" s="62" t="s">
        <v>23</v>
      </c>
      <c r="B36" s="63" t="s">
        <v>24</v>
      </c>
      <c r="C36" s="11"/>
      <c r="D36" s="11"/>
      <c r="E36" s="11"/>
      <c r="F36" s="11"/>
      <c r="G36" s="11"/>
      <c r="H36" s="88" t="s">
        <v>294</v>
      </c>
      <c r="I36" s="122" t="str">
        <f>IF(_epmOfflineCondition_,"T6",_xll.EVPRO($B$1,$H36,"STYLE"))</f>
        <v>T6</v>
      </c>
      <c r="J36" s="122" t="str">
        <f>IF(_epmOfflineCondition_,"Y",_xll.EVPRO($B$1,$H36,"CALC"))</f>
        <v>Y</v>
      </c>
      <c r="K36" s="90"/>
      <c r="L36" s="90" t="str">
        <f>IF(_epmOfflineCondition_,"461200",_xll.EVPRO($B$1,H36,"JDEID"))</f>
        <v>461200</v>
      </c>
      <c r="M36" s="90" t="str">
        <f>IF(_epmOfflineCondition_,"",IF(AND(I36="N",J36="N"),_xll.EVPRO($B$1,H36,"PSFTID"),""))</f>
        <v/>
      </c>
      <c r="N36" s="90" t="str">
        <f>IF(_epmOfflineCondition_,"Breakfast Liquor",IF(_xll.EVDES(H36,$B$1)="#NODATA","",_xll.EVDES(H36,$B$1)))</f>
        <v>Breakfast Liquor</v>
      </c>
      <c r="O36" s="138"/>
      <c r="P36" s="138"/>
      <c r="Q36" s="138"/>
      <c r="R36" s="138"/>
      <c r="S36" s="138"/>
      <c r="T36" s="138"/>
      <c r="U36" s="138"/>
      <c r="V36" s="138"/>
      <c r="W36" s="138"/>
      <c r="X36" s="138"/>
      <c r="Y36" s="138"/>
      <c r="Z36" s="138"/>
      <c r="AA36" s="138">
        <f t="shared" si="0"/>
        <v>0</v>
      </c>
      <c r="AB36" s="142" t="str">
        <f>IF(AA36=0,"",IFERROR(AA36/AA$19,""))</f>
        <v/>
      </c>
      <c r="AC36" s="140"/>
      <c r="AD36" s="138"/>
      <c r="AE36" s="142" t="str">
        <f>IF(AD36=0,"",IFERROR(AD36/AD$19,""))</f>
        <v/>
      </c>
      <c r="AF36" s="141">
        <f t="shared" si="1"/>
        <v>0</v>
      </c>
      <c r="AG36" s="138"/>
      <c r="AH36" s="142" t="str">
        <f>IF(AG36=0,"",IFERROR(AG36/AG$19,""))</f>
        <v/>
      </c>
      <c r="AI36" s="141">
        <f t="shared" si="2"/>
        <v>0</v>
      </c>
    </row>
    <row r="37" spans="1:35" x14ac:dyDescent="0.25">
      <c r="A37" s="65" t="s">
        <v>25</v>
      </c>
      <c r="B37" s="66"/>
      <c r="C37" s="11"/>
      <c r="D37" s="11"/>
      <c r="E37" s="11"/>
      <c r="F37" s="11"/>
      <c r="G37" s="11"/>
      <c r="H37" s="88" t="s">
        <v>295</v>
      </c>
      <c r="I37" s="122" t="str">
        <f>IF(_epmOfflineCondition_,"T6",_xll.EVPRO($B$1,$H37,"STYLE"))</f>
        <v>T6</v>
      </c>
      <c r="J37" s="122" t="str">
        <f>IF(_epmOfflineCondition_,"Y",_xll.EVPRO($B$1,$H37,"CALC"))</f>
        <v>Y</v>
      </c>
      <c r="K37" s="90"/>
      <c r="L37" s="90" t="str">
        <f>IF(_epmOfflineCondition_,"461300",_xll.EVPRO($B$1,H37,"JDEID"))</f>
        <v>461300</v>
      </c>
      <c r="M37" s="90" t="str">
        <f>IF(_epmOfflineCondition_,"",IF(AND(I37="N",J37="N"),_xll.EVPRO($B$1,H37,"PSFTID"),""))</f>
        <v/>
      </c>
      <c r="N37" s="90" t="str">
        <f>IF(_epmOfflineCondition_,"Breakfast Beer",IF(_xll.EVDES(H37,$B$1)="#NODATA","",_xll.EVDES(H37,$B$1)))</f>
        <v>Breakfast Beer</v>
      </c>
      <c r="O37" s="138"/>
      <c r="P37" s="138"/>
      <c r="Q37" s="138"/>
      <c r="R37" s="138"/>
      <c r="S37" s="138"/>
      <c r="T37" s="138"/>
      <c r="U37" s="138"/>
      <c r="V37" s="138"/>
      <c r="W37" s="138"/>
      <c r="X37" s="138"/>
      <c r="Y37" s="138"/>
      <c r="Z37" s="138"/>
      <c r="AA37" s="138">
        <f t="shared" si="0"/>
        <v>0</v>
      </c>
      <c r="AB37" s="142" t="str">
        <f>IF(AA37=0,"",IFERROR(AA37/AA$19,""))</f>
        <v/>
      </c>
      <c r="AC37" s="140"/>
      <c r="AD37" s="138"/>
      <c r="AE37" s="142" t="str">
        <f>IF(AD37=0,"",IFERROR(AD37/AD$19,""))</f>
        <v/>
      </c>
      <c r="AF37" s="141">
        <f t="shared" si="1"/>
        <v>0</v>
      </c>
      <c r="AG37" s="138"/>
      <c r="AH37" s="142" t="str">
        <f>IF(AG37=0,"",IFERROR(AG37/AG$19,""))</f>
        <v/>
      </c>
      <c r="AI37" s="141">
        <f t="shared" si="2"/>
        <v>0</v>
      </c>
    </row>
    <row r="38" spans="1:35" x14ac:dyDescent="0.25">
      <c r="A38" s="65" t="s">
        <v>26</v>
      </c>
      <c r="B38" s="66"/>
      <c r="C38" s="11"/>
      <c r="D38" s="11"/>
      <c r="E38" s="11"/>
      <c r="F38" s="11"/>
      <c r="G38" s="11"/>
      <c r="H38" s="88" t="s">
        <v>296</v>
      </c>
      <c r="I38" s="122" t="str">
        <f>IF(_epmOfflineCondition_,"T6",_xll.EVPRO($B$1,$H38,"STYLE"))</f>
        <v>T6</v>
      </c>
      <c r="J38" s="122" t="str">
        <f>IF(_epmOfflineCondition_,"Y",_xll.EVPRO($B$1,$H38,"CALC"))</f>
        <v>Y</v>
      </c>
      <c r="K38" s="90"/>
      <c r="L38" s="90" t="str">
        <f>IF(_epmOfflineCondition_,"461400",_xll.EVPRO($B$1,H38,"JDEID"))</f>
        <v>461400</v>
      </c>
      <c r="M38" s="90" t="str">
        <f>IF(_epmOfflineCondition_,"",IF(AND(I38="N",J38="N"),_xll.EVPRO($B$1,H38,"PSFTID"),""))</f>
        <v/>
      </c>
      <c r="N38" s="90" t="str">
        <f>IF(_epmOfflineCondition_,"Breakfast Wine",IF(_xll.EVDES(H38,$B$1)="#NODATA","",_xll.EVDES(H38,$B$1)))</f>
        <v>Breakfast Wine</v>
      </c>
      <c r="O38" s="215"/>
      <c r="P38" s="215"/>
      <c r="Q38" s="215"/>
      <c r="R38" s="215"/>
      <c r="S38" s="215"/>
      <c r="T38" s="215"/>
      <c r="U38" s="215"/>
      <c r="V38" s="215"/>
      <c r="W38" s="215"/>
      <c r="X38" s="215"/>
      <c r="Y38" s="215"/>
      <c r="Z38" s="215"/>
      <c r="AA38" s="215">
        <f t="shared" si="0"/>
        <v>0</v>
      </c>
      <c r="AB38" s="217" t="str">
        <f>IF(AA38=0,"",IFERROR(AA38/AA$19,""))</f>
        <v/>
      </c>
      <c r="AC38" s="140"/>
      <c r="AD38" s="215"/>
      <c r="AE38" s="217" t="str">
        <f>IF(AD38=0,"",IFERROR(AD38/AD$19,""))</f>
        <v/>
      </c>
      <c r="AF38" s="218">
        <f t="shared" si="1"/>
        <v>0</v>
      </c>
      <c r="AG38" s="215"/>
      <c r="AH38" s="217" t="str">
        <f>IF(AG38=0,"",IFERROR(AG38/AG$19,""))</f>
        <v/>
      </c>
      <c r="AI38" s="218">
        <f t="shared" si="2"/>
        <v>0</v>
      </c>
    </row>
    <row r="39" spans="1:35" x14ac:dyDescent="0.25">
      <c r="A39" s="65" t="s">
        <v>27</v>
      </c>
      <c r="B39" s="66"/>
      <c r="C39" s="11"/>
      <c r="D39" s="11"/>
      <c r="E39" s="11"/>
      <c r="F39" s="11"/>
      <c r="G39" s="11"/>
      <c r="H39" s="88" t="s">
        <v>318</v>
      </c>
      <c r="I39" s="122" t="str">
        <f>IF(_epmOfflineCondition_,"N",_xll.EVPRO($B$1,$H39,"STYLE"))</f>
        <v>N</v>
      </c>
      <c r="J39" s="122" t="str">
        <f>IF(_epmOfflineCondition_,"Y",_xll.EVPRO($B$1,$H39,"CALC"))</f>
        <v>Y</v>
      </c>
      <c r="K39" s="90"/>
      <c r="L39" s="90" t="str">
        <f>IF(_epmOfflineCondition_,"",_xll.EVPRO($B$1,H39,"JDEID"))</f>
        <v/>
      </c>
      <c r="M39" s="90" t="str">
        <f>IF(_epmOfflineCondition_,"",IF(AND(I39="N",J39="N"),_xll.EVPRO($B$1,H39,"PSFTID"),""))</f>
        <v/>
      </c>
      <c r="N39" s="106" t="str">
        <f>IF(_epmOfflineCondition_,"Breakfast Revenue",IF(_xll.EVDES(H39,$B$1)="#NODATA","",_xll.EVDES(H39,$B$1)))</f>
        <v>Breakfast Revenue</v>
      </c>
      <c r="O39" s="162"/>
      <c r="P39" s="162"/>
      <c r="Q39" s="162"/>
      <c r="R39" s="162"/>
      <c r="S39" s="162"/>
      <c r="T39" s="162"/>
      <c r="U39" s="162"/>
      <c r="V39" s="162"/>
      <c r="W39" s="162"/>
      <c r="X39" s="162"/>
      <c r="Y39" s="162"/>
      <c r="Z39" s="162"/>
      <c r="AA39" s="162">
        <f t="shared" si="0"/>
        <v>0</v>
      </c>
      <c r="AB39" s="163" t="str">
        <f>IF(AA39=0,"",IFERROR(AA39/AA$19,""))</f>
        <v/>
      </c>
      <c r="AC39" s="140"/>
      <c r="AD39" s="162"/>
      <c r="AE39" s="163" t="str">
        <f>IF(AD39=0,"",IFERROR(AD39/AD$19,""))</f>
        <v/>
      </c>
      <c r="AF39" s="164">
        <f t="shared" si="1"/>
        <v>0</v>
      </c>
      <c r="AG39" s="162"/>
      <c r="AH39" s="163" t="str">
        <f>IF(AG39=0,"",IFERROR(AG39/AG$19,""))</f>
        <v/>
      </c>
      <c r="AI39" s="164">
        <f t="shared" si="2"/>
        <v>0</v>
      </c>
    </row>
    <row r="40" spans="1:35" x14ac:dyDescent="0.25">
      <c r="A40" s="65" t="s">
        <v>28</v>
      </c>
      <c r="B40" s="66"/>
      <c r="C40" s="11"/>
      <c r="D40" s="11"/>
      <c r="E40" s="11"/>
      <c r="F40" s="11"/>
      <c r="G40" s="11"/>
      <c r="H40" s="88" t="s">
        <v>763</v>
      </c>
      <c r="I40" s="122" t="str">
        <f>IF(_epmOfflineCondition_,"N",_xll.EVPRO($B$1,$H40,"STYLE"))</f>
        <v>N</v>
      </c>
      <c r="J40" s="122" t="str">
        <f>IF(_epmOfflineCondition_,"N",_xll.EVPRO($B$1,$H40,"CALC"))</f>
        <v>N</v>
      </c>
      <c r="K40" s="90"/>
      <c r="L40" s="90" t="str">
        <f>IF(_epmOfflineCondition_,"947100",_xll.EVPRO($B$1,H40,"JDEID"))</f>
        <v>947100</v>
      </c>
      <c r="M40" s="90" t="str">
        <f>IF(_epmOfflineCondition_,"999991",IF(AND(I40="N",J40="N"),_xll.EVPRO($B$1,H40,"PSFTID"),""))</f>
        <v>999991</v>
      </c>
      <c r="N40" s="90" t="str">
        <f>IF(_epmOfflineCondition_,"# of Operating Days - Breakfast",IF(_xll.EVDES(H40,$B$1)="#NODATA","",_xll.EVDES(H40,$B$1)))</f>
        <v># of Operating Days - Breakfast</v>
      </c>
      <c r="O40" s="231"/>
      <c r="P40" s="231"/>
      <c r="Q40" s="231"/>
      <c r="R40" s="231"/>
      <c r="S40" s="231"/>
      <c r="T40" s="231"/>
      <c r="U40" s="231"/>
      <c r="V40" s="231"/>
      <c r="W40" s="231"/>
      <c r="X40" s="231"/>
      <c r="Y40" s="231"/>
      <c r="Z40" s="231"/>
      <c r="AA40" s="231">
        <f t="shared" si="0"/>
        <v>0</v>
      </c>
      <c r="AB40" s="233"/>
      <c r="AC40" s="140"/>
      <c r="AD40" s="231"/>
      <c r="AE40" s="233"/>
      <c r="AF40" s="234">
        <f t="shared" si="1"/>
        <v>0</v>
      </c>
      <c r="AG40" s="231"/>
      <c r="AH40" s="233"/>
      <c r="AI40" s="234">
        <f t="shared" si="2"/>
        <v>0</v>
      </c>
    </row>
    <row r="41" spans="1:35" x14ac:dyDescent="0.25">
      <c r="A41" s="65" t="s">
        <v>29</v>
      </c>
      <c r="B41" s="66"/>
      <c r="C41" s="11"/>
      <c r="D41" s="11"/>
      <c r="E41" s="11"/>
      <c r="F41" s="11"/>
      <c r="G41" s="11"/>
      <c r="H41" s="88" t="s">
        <v>297</v>
      </c>
      <c r="I41" s="122" t="str">
        <f>IF(_epmOfflineCondition_,"N",_xll.EVPRO($B$1,$H41,"STYLE"))</f>
        <v>N</v>
      </c>
      <c r="J41" s="122" t="str">
        <f>IF(_epmOfflineCondition_,"N",_xll.EVPRO($B$1,$H41,"CALC"))</f>
        <v>N</v>
      </c>
      <c r="K41" s="90"/>
      <c r="L41" s="90" t="str">
        <f>IF(_epmOfflineCondition_,"946100",_xll.EVPRO($B$1,H41,"JDEID"))</f>
        <v>946100</v>
      </c>
      <c r="M41" s="90" t="str">
        <f>IF(_epmOfflineCondition_,"991501",IF(AND(I41="N",J41="N"),_xll.EVPRO($B$1,H41,"PSFTID"),""))</f>
        <v>991501</v>
      </c>
      <c r="N41" s="90" t="str">
        <f>IF(_epmOfflineCondition_,"Breakfast Customers",IF(_xll.EVDES(H41,$B$1)="#NODATA","",_xll.EVDES(H41,$B$1)))</f>
        <v>Breakfast Customers</v>
      </c>
      <c r="O41" s="231"/>
      <c r="P41" s="231"/>
      <c r="Q41" s="231"/>
      <c r="R41" s="231"/>
      <c r="S41" s="231"/>
      <c r="T41" s="231"/>
      <c r="U41" s="231"/>
      <c r="V41" s="231"/>
      <c r="W41" s="231"/>
      <c r="X41" s="231"/>
      <c r="Y41" s="231"/>
      <c r="Z41" s="231"/>
      <c r="AA41" s="231">
        <f t="shared" si="0"/>
        <v>0</v>
      </c>
      <c r="AB41" s="233" t="str">
        <f>IF(AA41=0,"",IFERROR(AA41/AA$83,""))</f>
        <v/>
      </c>
      <c r="AC41" s="140"/>
      <c r="AD41" s="231"/>
      <c r="AE41" s="233" t="str">
        <f>IF(AD41=0,"",IFERROR(AD41/AD$83,""))</f>
        <v/>
      </c>
      <c r="AF41" s="234">
        <f t="shared" si="1"/>
        <v>0</v>
      </c>
      <c r="AG41" s="231"/>
      <c r="AH41" s="233" t="str">
        <f>IF(AG41=0,"",IFERROR(AG41/AG$83,""))</f>
        <v/>
      </c>
      <c r="AI41" s="234">
        <f t="shared" si="2"/>
        <v>0</v>
      </c>
    </row>
    <row r="42" spans="1:35" x14ac:dyDescent="0.25">
      <c r="A42" s="65" t="s">
        <v>30</v>
      </c>
      <c r="B42" s="66" t="s">
        <v>78</v>
      </c>
      <c r="C42" s="11"/>
      <c r="D42" s="11"/>
      <c r="E42" s="11"/>
      <c r="F42" s="11"/>
      <c r="G42" s="11"/>
      <c r="H42" s="88" t="s">
        <v>313</v>
      </c>
      <c r="I42" s="122" t="str">
        <f>IF(_epmOfflineCondition_,"N",_xll.EVPRO($B$1,$H42,"STYLE"))</f>
        <v>N</v>
      </c>
      <c r="J42" s="122" t="str">
        <f>IF(_epmOfflineCondition_,"Y",_xll.EVPRO($B$1,$H42,"CALC"))</f>
        <v>Y</v>
      </c>
      <c r="K42" s="90"/>
      <c r="L42" s="90" t="str">
        <f>IF(_epmOfflineCondition_,"",_xll.EVPRO($B$1,H42,"JDEID"))</f>
        <v/>
      </c>
      <c r="M42" s="90" t="str">
        <f>IF(_epmOfflineCondition_,"",IF(AND(I42="N",J42="N"),_xll.EVPRO($B$1,H42,"PSFTID"),""))</f>
        <v/>
      </c>
      <c r="N42" s="190" t="str">
        <f>IF(_epmOfflineCondition_,"Breakfast - Average Check",IF(_xll.EVDES(H42,$B$1)="#NODATA","",_xll.EVDES(H42,$B$1)))</f>
        <v>Breakfast - Average Check</v>
      </c>
      <c r="O42" s="495"/>
      <c r="P42" s="495"/>
      <c r="Q42" s="495"/>
      <c r="R42" s="495"/>
      <c r="S42" s="495"/>
      <c r="T42" s="495"/>
      <c r="U42" s="495"/>
      <c r="V42" s="495"/>
      <c r="W42" s="495"/>
      <c r="X42" s="495"/>
      <c r="Y42" s="495"/>
      <c r="Z42" s="495"/>
      <c r="AA42" s="495" t="str">
        <f>IFERROR(AA39/AA41,"")</f>
        <v/>
      </c>
      <c r="AB42" s="495"/>
      <c r="AC42" s="140"/>
      <c r="AD42" s="495"/>
      <c r="AE42" s="495"/>
      <c r="AF42" s="496" t="str">
        <f t="shared" si="1"/>
        <v/>
      </c>
      <c r="AG42" s="495"/>
      <c r="AH42" s="495"/>
      <c r="AI42" s="496" t="str">
        <f t="shared" si="2"/>
        <v/>
      </c>
    </row>
    <row r="43" spans="1:35" x14ac:dyDescent="0.25">
      <c r="A43" s="65" t="s">
        <v>31</v>
      </c>
      <c r="B43" s="66" t="s">
        <v>78</v>
      </c>
      <c r="C43" s="11"/>
      <c r="D43" s="11"/>
      <c r="E43" s="11"/>
      <c r="F43" s="11"/>
      <c r="G43" s="11"/>
      <c r="H43" s="88"/>
      <c r="I43" s="122"/>
      <c r="J43" s="122"/>
      <c r="K43" s="90"/>
      <c r="L43" s="90"/>
      <c r="M43" s="90"/>
      <c r="N43" s="491" t="s">
        <v>345</v>
      </c>
      <c r="O43" s="497">
        <f t="shared" ref="O43:AA43" si="3">ROUND(IFERROR(O39/O41,0),2)</f>
        <v>0</v>
      </c>
      <c r="P43" s="498">
        <f t="shared" si="3"/>
        <v>0</v>
      </c>
      <c r="Q43" s="498">
        <f t="shared" si="3"/>
        <v>0</v>
      </c>
      <c r="R43" s="498">
        <f t="shared" si="3"/>
        <v>0</v>
      </c>
      <c r="S43" s="498">
        <f t="shared" si="3"/>
        <v>0</v>
      </c>
      <c r="T43" s="498">
        <f t="shared" si="3"/>
        <v>0</v>
      </c>
      <c r="U43" s="498">
        <f t="shared" si="3"/>
        <v>0</v>
      </c>
      <c r="V43" s="498">
        <f t="shared" si="3"/>
        <v>0</v>
      </c>
      <c r="W43" s="498">
        <f t="shared" si="3"/>
        <v>0</v>
      </c>
      <c r="X43" s="498">
        <f t="shared" si="3"/>
        <v>0</v>
      </c>
      <c r="Y43" s="498">
        <f t="shared" si="3"/>
        <v>0</v>
      </c>
      <c r="Z43" s="498">
        <f t="shared" si="3"/>
        <v>0</v>
      </c>
      <c r="AA43" s="498">
        <f t="shared" si="3"/>
        <v>0</v>
      </c>
      <c r="AB43" s="499"/>
      <c r="AC43" s="140"/>
      <c r="AD43" s="497">
        <f>ROUND(IFERROR(AD39/AD41,0),2)</f>
        <v>0</v>
      </c>
      <c r="AE43" s="498"/>
      <c r="AF43" s="155"/>
      <c r="AG43" s="497">
        <f>ROUND(IFERROR(AG39/AG41,0),2)</f>
        <v>0</v>
      </c>
      <c r="AH43" s="498"/>
      <c r="AI43" s="155"/>
    </row>
    <row r="44" spans="1:35" x14ac:dyDescent="0.25">
      <c r="A44" s="65" t="s">
        <v>32</v>
      </c>
      <c r="B44" s="66"/>
      <c r="C44" s="11"/>
      <c r="D44" s="11"/>
      <c r="E44" s="11"/>
      <c r="F44" s="11"/>
      <c r="G44" s="490">
        <f>COUNTIF(O44:AI44,FALSE)</f>
        <v>0</v>
      </c>
      <c r="H44" s="88"/>
      <c r="I44" s="122"/>
      <c r="J44" s="122"/>
      <c r="K44" s="90"/>
      <c r="L44" s="90"/>
      <c r="M44" s="90"/>
      <c r="N44" s="53" t="s">
        <v>314</v>
      </c>
      <c r="O44" s="500" t="b">
        <f t="shared" ref="O44:AA44" si="4">ROUND(O42,2)=ROUND(O43,2)</f>
        <v>1</v>
      </c>
      <c r="P44" s="501" t="b">
        <f t="shared" si="4"/>
        <v>1</v>
      </c>
      <c r="Q44" s="501" t="b">
        <f t="shared" si="4"/>
        <v>1</v>
      </c>
      <c r="R44" s="501" t="b">
        <f t="shared" si="4"/>
        <v>1</v>
      </c>
      <c r="S44" s="501" t="b">
        <f t="shared" si="4"/>
        <v>1</v>
      </c>
      <c r="T44" s="501" t="b">
        <f t="shared" si="4"/>
        <v>1</v>
      </c>
      <c r="U44" s="501" t="b">
        <f t="shared" si="4"/>
        <v>1</v>
      </c>
      <c r="V44" s="501" t="b">
        <f t="shared" si="4"/>
        <v>1</v>
      </c>
      <c r="W44" s="501" t="b">
        <f t="shared" si="4"/>
        <v>1</v>
      </c>
      <c r="X44" s="501" t="b">
        <f t="shared" si="4"/>
        <v>1</v>
      </c>
      <c r="Y44" s="501" t="b">
        <f t="shared" si="4"/>
        <v>1</v>
      </c>
      <c r="Z44" s="501" t="b">
        <f t="shared" si="4"/>
        <v>1</v>
      </c>
      <c r="AA44" s="501" t="e">
        <f t="shared" si="4"/>
        <v>#VALUE!</v>
      </c>
      <c r="AB44" s="502"/>
      <c r="AC44" s="503"/>
      <c r="AD44" s="500"/>
      <c r="AE44" s="501" t="b">
        <f>ROUND(AD42,2)=ROUND(AD43,2)</f>
        <v>1</v>
      </c>
      <c r="AF44" s="502"/>
      <c r="AG44" s="500"/>
      <c r="AH44" s="501" t="b">
        <f>ROUND(AG42,2)=ROUND(AG43,2)</f>
        <v>1</v>
      </c>
      <c r="AI44" s="502"/>
    </row>
    <row r="45" spans="1:35" x14ac:dyDescent="0.25">
      <c r="A45" s="65" t="s">
        <v>33</v>
      </c>
      <c r="B45" s="66"/>
      <c r="C45" s="11"/>
      <c r="D45" s="11"/>
      <c r="E45" s="11"/>
      <c r="F45" s="11"/>
      <c r="G45" s="11"/>
      <c r="H45" s="88" t="s">
        <v>261</v>
      </c>
      <c r="I45" s="122" t="str">
        <f>IF(_epmOfflineCondition_,"T5",_xll.EVPRO($B$1,$H45,"STYLE"))</f>
        <v>T5</v>
      </c>
      <c r="J45" s="122" t="str">
        <f>IF(_epmOfflineCondition_,"Y",_xll.EVPRO($B$1,$H45,"CALC"))</f>
        <v>Y</v>
      </c>
      <c r="K45" s="90"/>
      <c r="L45" s="90" t="str">
        <f>IF(_epmOfflineCondition_,"462100",_xll.EVPRO($B$1,H45,"JDEID"))</f>
        <v>462100</v>
      </c>
      <c r="M45" s="90" t="str">
        <f>IF(_epmOfflineCondition_,"",IF(AND(I45="N",J45="N"),_xll.EVPRO($B$1,H45,"PSFTID"),""))</f>
        <v/>
      </c>
      <c r="N45" s="90" t="str">
        <f>IF(_epmOfflineCondition_,"Lunch Food",IF(_xll.EVDES(H45,$B$1)="#NODATA","",_xll.EVDES(H45,$B$1)))</f>
        <v>Lunch Food</v>
      </c>
      <c r="O45" s="138"/>
      <c r="P45" s="138">
        <v>5189</v>
      </c>
      <c r="Q45" s="138"/>
      <c r="R45" s="138"/>
      <c r="S45" s="138"/>
      <c r="T45" s="138"/>
      <c r="U45" s="138"/>
      <c r="V45" s="138"/>
      <c r="W45" s="138"/>
      <c r="X45" s="138"/>
      <c r="Y45" s="138"/>
      <c r="Z45" s="138"/>
      <c r="AA45" s="138">
        <f t="shared" ref="AA45:AA51" si="5">SUM(O45:Z45)</f>
        <v>5189</v>
      </c>
      <c r="AB45" s="142">
        <f>IF(AA45=0,"",IFERROR(AA45/AA$19,""))</f>
        <v>0.1902544547921097</v>
      </c>
      <c r="AC45" s="140"/>
      <c r="AD45" s="138">
        <v>4300</v>
      </c>
      <c r="AE45" s="142">
        <f>IF(AD45=0,"",IFERROR(AD45/AD$19,""))</f>
        <v>9.3888266848795338E-2</v>
      </c>
      <c r="AF45" s="141">
        <f t="shared" ref="AF45:AF52" si="6">IF(AND($AA45="",AD45=""),"",$AA45-AD45)</f>
        <v>889</v>
      </c>
      <c r="AG45" s="138">
        <v>1503</v>
      </c>
      <c r="AH45" s="142">
        <f>IF(AG45=0,"",IFERROR(AG45/AG$19,""))</f>
        <v>0.2736209721463681</v>
      </c>
      <c r="AI45" s="141">
        <f t="shared" ref="AI45:AI52" si="7">IF(AND($AA45="",AG45=""),"",$AA45-AG45)</f>
        <v>3686</v>
      </c>
    </row>
    <row r="46" spans="1:35" x14ac:dyDescent="0.25">
      <c r="A46" s="65" t="s">
        <v>34</v>
      </c>
      <c r="B46" s="66"/>
      <c r="C46" s="11"/>
      <c r="D46" s="11"/>
      <c r="E46" s="11"/>
      <c r="F46" s="11"/>
      <c r="G46" s="11"/>
      <c r="H46" s="185" t="s">
        <v>301</v>
      </c>
      <c r="I46" s="122" t="str">
        <f>IF(_epmOfflineCondition_,"T6",_xll.EVPRO($B$1,$H46,"STYLE"))</f>
        <v>T6</v>
      </c>
      <c r="J46" s="122" t="str">
        <f>IF(_epmOfflineCondition_,"Y",_xll.EVPRO($B$1,$H46,"CALC"))</f>
        <v>Y</v>
      </c>
      <c r="K46" s="90"/>
      <c r="L46" s="90" t="str">
        <f>IF(_epmOfflineCondition_,"462200",_xll.EVPRO($B$1,H46,"JDEID"))</f>
        <v>462200</v>
      </c>
      <c r="M46" s="90" t="str">
        <f>IF(_epmOfflineCondition_,"",IF(AND(I46="N",J46="N"),_xll.EVPRO($B$1,H46,"PSFTID"),""))</f>
        <v/>
      </c>
      <c r="N46" s="90" t="str">
        <f>IF(_epmOfflineCondition_,"Lunch Liquor",IF(_xll.EVDES(H46,$B$1)="#NODATA","",_xll.EVDES(H46,$B$1)))</f>
        <v>Lunch Liquor</v>
      </c>
      <c r="O46" s="138"/>
      <c r="P46" s="138"/>
      <c r="Q46" s="138"/>
      <c r="R46" s="138"/>
      <c r="S46" s="138"/>
      <c r="T46" s="138"/>
      <c r="U46" s="138"/>
      <c r="V46" s="138"/>
      <c r="W46" s="138"/>
      <c r="X46" s="138"/>
      <c r="Y46" s="138"/>
      <c r="Z46" s="138"/>
      <c r="AA46" s="138">
        <f t="shared" si="5"/>
        <v>0</v>
      </c>
      <c r="AB46" s="142" t="str">
        <f>IF(AA46=0,"",IFERROR(AA46/AA$19,""))</f>
        <v/>
      </c>
      <c r="AC46" s="140"/>
      <c r="AD46" s="138"/>
      <c r="AE46" s="142" t="str">
        <f>IF(AD46=0,"",IFERROR(AD46/AD$19,""))</f>
        <v/>
      </c>
      <c r="AF46" s="141">
        <f t="shared" si="6"/>
        <v>0</v>
      </c>
      <c r="AG46" s="138"/>
      <c r="AH46" s="142" t="str">
        <f>IF(AG46=0,"",IFERROR(AG46/AG$19,""))</f>
        <v/>
      </c>
      <c r="AI46" s="141">
        <f t="shared" si="7"/>
        <v>0</v>
      </c>
    </row>
    <row r="47" spans="1:35" x14ac:dyDescent="0.25">
      <c r="A47" s="65" t="s">
        <v>35</v>
      </c>
      <c r="B47" s="66"/>
      <c r="C47" s="11"/>
      <c r="D47" s="11"/>
      <c r="E47" s="11"/>
      <c r="F47" s="11"/>
      <c r="G47" s="11"/>
      <c r="H47" s="185" t="s">
        <v>305</v>
      </c>
      <c r="I47" s="122" t="str">
        <f>IF(_epmOfflineCondition_,"T6",_xll.EVPRO($B$1,$H47,"STYLE"))</f>
        <v>T6</v>
      </c>
      <c r="J47" s="122" t="str">
        <f>IF(_epmOfflineCondition_,"Y",_xll.EVPRO($B$1,$H47,"CALC"))</f>
        <v>Y</v>
      </c>
      <c r="K47" s="90"/>
      <c r="L47" s="90" t="str">
        <f>IF(_epmOfflineCondition_,"462300",_xll.EVPRO($B$1,H47,"JDEID"))</f>
        <v>462300</v>
      </c>
      <c r="M47" s="90" t="str">
        <f>IF(_epmOfflineCondition_,"",IF(AND(I47="N",J47="N"),_xll.EVPRO($B$1,H47,"PSFTID"),""))</f>
        <v/>
      </c>
      <c r="N47" s="90" t="str">
        <f>IF(_epmOfflineCondition_,"Lunch Beer",IF(_xll.EVDES(H47,$B$1)="#NODATA","",_xll.EVDES(H47,$B$1)))</f>
        <v>Lunch Beer</v>
      </c>
      <c r="O47" s="138"/>
      <c r="P47" s="138"/>
      <c r="Q47" s="138"/>
      <c r="R47" s="138"/>
      <c r="S47" s="138"/>
      <c r="T47" s="138"/>
      <c r="U47" s="138"/>
      <c r="V47" s="138"/>
      <c r="W47" s="138"/>
      <c r="X47" s="138"/>
      <c r="Y47" s="138"/>
      <c r="Z47" s="138"/>
      <c r="AA47" s="138">
        <f t="shared" si="5"/>
        <v>0</v>
      </c>
      <c r="AB47" s="142" t="str">
        <f>IF(AA47=0,"",IFERROR(AA47/AA$19,""))</f>
        <v/>
      </c>
      <c r="AC47" s="140"/>
      <c r="AD47" s="138"/>
      <c r="AE47" s="142" t="str">
        <f>IF(AD47=0,"",IFERROR(AD47/AD$19,""))</f>
        <v/>
      </c>
      <c r="AF47" s="141">
        <f t="shared" si="6"/>
        <v>0</v>
      </c>
      <c r="AG47" s="138"/>
      <c r="AH47" s="142" t="str">
        <f>IF(AG47=0,"",IFERROR(AG47/AG$19,""))</f>
        <v/>
      </c>
      <c r="AI47" s="141">
        <f t="shared" si="7"/>
        <v>0</v>
      </c>
    </row>
    <row r="48" spans="1:35" x14ac:dyDescent="0.25">
      <c r="A48" s="65" t="s">
        <v>36</v>
      </c>
      <c r="B48" s="66"/>
      <c r="C48" s="11"/>
      <c r="D48" s="11"/>
      <c r="E48" s="11"/>
      <c r="F48" s="11"/>
      <c r="G48" s="11"/>
      <c r="H48" s="185" t="s">
        <v>303</v>
      </c>
      <c r="I48" s="122" t="str">
        <f>IF(_epmOfflineCondition_,"T6",_xll.EVPRO($B$1,$H48,"STYLE"))</f>
        <v>T6</v>
      </c>
      <c r="J48" s="122" t="str">
        <f>IF(_epmOfflineCondition_,"Y",_xll.EVPRO($B$1,$H48,"CALC"))</f>
        <v>Y</v>
      </c>
      <c r="K48" s="90"/>
      <c r="L48" s="90" t="str">
        <f>IF(_epmOfflineCondition_,"462400",_xll.EVPRO($B$1,H48,"JDEID"))</f>
        <v>462400</v>
      </c>
      <c r="M48" s="90" t="str">
        <f>IF(_epmOfflineCondition_,"",IF(AND(I48="N",J48="N"),_xll.EVPRO($B$1,H48,"PSFTID"),""))</f>
        <v/>
      </c>
      <c r="N48" s="90" t="str">
        <f>IF(_epmOfflineCondition_,"Lunch Wine",IF(_xll.EVDES(H48,$B$1)="#NODATA","",_xll.EVDES(H48,$B$1)))</f>
        <v>Lunch Wine</v>
      </c>
      <c r="O48" s="215"/>
      <c r="P48" s="215"/>
      <c r="Q48" s="215"/>
      <c r="R48" s="215"/>
      <c r="S48" s="215"/>
      <c r="T48" s="215"/>
      <c r="U48" s="215"/>
      <c r="V48" s="215"/>
      <c r="W48" s="215"/>
      <c r="X48" s="215"/>
      <c r="Y48" s="215"/>
      <c r="Z48" s="215"/>
      <c r="AA48" s="215">
        <f t="shared" si="5"/>
        <v>0</v>
      </c>
      <c r="AB48" s="217" t="str">
        <f>IF(AA48=0,"",IFERROR(AA48/AA$19,""))</f>
        <v/>
      </c>
      <c r="AC48" s="140"/>
      <c r="AD48" s="215"/>
      <c r="AE48" s="217" t="str">
        <f>IF(AD48=0,"",IFERROR(AD48/AD$19,""))</f>
        <v/>
      </c>
      <c r="AF48" s="218">
        <f t="shared" si="6"/>
        <v>0</v>
      </c>
      <c r="AG48" s="215"/>
      <c r="AH48" s="217" t="str">
        <f>IF(AG48=0,"",IFERROR(AG48/AG$19,""))</f>
        <v/>
      </c>
      <c r="AI48" s="218">
        <f t="shared" si="7"/>
        <v>0</v>
      </c>
    </row>
    <row r="49" spans="1:35" x14ac:dyDescent="0.25">
      <c r="A49" s="65" t="s">
        <v>37</v>
      </c>
      <c r="B49" s="66"/>
      <c r="C49" s="11"/>
      <c r="D49" s="11"/>
      <c r="E49" s="11"/>
      <c r="F49" s="11"/>
      <c r="G49" s="11"/>
      <c r="H49" s="88" t="s">
        <v>319</v>
      </c>
      <c r="I49" s="122" t="str">
        <f>IF(_epmOfflineCondition_,"N",_xll.EVPRO($B$1,$H49,"STYLE"))</f>
        <v>N</v>
      </c>
      <c r="J49" s="122" t="str">
        <f>IF(_epmOfflineCondition_,"Y",_xll.EVPRO($B$1,$H49,"CALC"))</f>
        <v>Y</v>
      </c>
      <c r="K49" s="90"/>
      <c r="L49" s="90" t="str">
        <f>IF(_epmOfflineCondition_,"",_xll.EVPRO($B$1,H49,"JDEID"))</f>
        <v/>
      </c>
      <c r="M49" s="90" t="str">
        <f>IF(_epmOfflineCondition_,"",IF(AND(I49="N",J49="N"),_xll.EVPRO($B$1,H49,"PSFTID"),""))</f>
        <v/>
      </c>
      <c r="N49" s="106" t="str">
        <f>IF(_epmOfflineCondition_,"Lunch Revenue",IF(_xll.EVDES(H49,$B$1)="#NODATA","",_xll.EVDES(H49,$B$1)))</f>
        <v>Lunch Revenue</v>
      </c>
      <c r="O49" s="162"/>
      <c r="P49" s="162">
        <v>5189</v>
      </c>
      <c r="Q49" s="162"/>
      <c r="R49" s="162"/>
      <c r="S49" s="162"/>
      <c r="T49" s="162"/>
      <c r="U49" s="162"/>
      <c r="V49" s="162"/>
      <c r="W49" s="162"/>
      <c r="X49" s="162"/>
      <c r="Y49" s="162"/>
      <c r="Z49" s="162"/>
      <c r="AA49" s="162">
        <f t="shared" si="5"/>
        <v>5189</v>
      </c>
      <c r="AB49" s="163">
        <f>IF(AA49=0,"",IFERROR(AA49/AA$19,""))</f>
        <v>0.1902544547921097</v>
      </c>
      <c r="AC49" s="140"/>
      <c r="AD49" s="162">
        <v>4300</v>
      </c>
      <c r="AE49" s="163">
        <f>IF(AD49=0,"",IFERROR(AD49/AD$19,""))</f>
        <v>9.3888266848795338E-2</v>
      </c>
      <c r="AF49" s="164">
        <f t="shared" si="6"/>
        <v>889</v>
      </c>
      <c r="AG49" s="162">
        <v>1503</v>
      </c>
      <c r="AH49" s="163">
        <f>IF(AG49=0,"",IFERROR(AG49/AG$19,""))</f>
        <v>0.2736209721463681</v>
      </c>
      <c r="AI49" s="164">
        <f t="shared" si="7"/>
        <v>3686</v>
      </c>
    </row>
    <row r="50" spans="1:35" x14ac:dyDescent="0.25">
      <c r="A50" s="65" t="s">
        <v>38</v>
      </c>
      <c r="B50" s="66"/>
      <c r="C50" s="11"/>
      <c r="D50" s="11"/>
      <c r="E50" s="11"/>
      <c r="F50" s="11"/>
      <c r="G50" s="11"/>
      <c r="H50" s="88" t="s">
        <v>764</v>
      </c>
      <c r="I50" s="122" t="str">
        <f>IF(_epmOfflineCondition_,"N",_xll.EVPRO($B$1,$H50,"STYLE"))</f>
        <v>N</v>
      </c>
      <c r="J50" s="122" t="str">
        <f>IF(_epmOfflineCondition_,"N",_xll.EVPRO($B$1,$H50,"CALC"))</f>
        <v>N</v>
      </c>
      <c r="K50" s="90"/>
      <c r="L50" s="90" t="str">
        <f>IF(_epmOfflineCondition_,"947200",_xll.EVPRO($B$1,H50,"JDEID"))</f>
        <v>947200</v>
      </c>
      <c r="M50" s="90" t="str">
        <f>IF(_epmOfflineCondition_,"999992",IF(AND(I50="N",J50="N"),_xll.EVPRO($B$1,H50,"PSFTID"),""))</f>
        <v>999992</v>
      </c>
      <c r="N50" s="90" t="str">
        <f>IF(_epmOfflineCondition_,"# of Operating Days - Lunch",IF(_xll.EVDES(H50,$B$1)="#NODATA","",_xll.EVDES(H50,$B$1)))</f>
        <v># of Operating Days - Lunch</v>
      </c>
      <c r="O50" s="231"/>
      <c r="P50" s="231"/>
      <c r="Q50" s="231"/>
      <c r="R50" s="231"/>
      <c r="S50" s="231"/>
      <c r="T50" s="231"/>
      <c r="U50" s="231"/>
      <c r="V50" s="231"/>
      <c r="W50" s="231"/>
      <c r="X50" s="231"/>
      <c r="Y50" s="231"/>
      <c r="Z50" s="231"/>
      <c r="AA50" s="231">
        <f t="shared" si="5"/>
        <v>0</v>
      </c>
      <c r="AB50" s="233"/>
      <c r="AC50" s="140"/>
      <c r="AD50" s="231"/>
      <c r="AE50" s="233"/>
      <c r="AF50" s="234">
        <f t="shared" si="6"/>
        <v>0</v>
      </c>
      <c r="AG50" s="231"/>
      <c r="AH50" s="233"/>
      <c r="AI50" s="234">
        <f t="shared" si="7"/>
        <v>0</v>
      </c>
    </row>
    <row r="51" spans="1:35" x14ac:dyDescent="0.25">
      <c r="A51" s="65" t="s">
        <v>39</v>
      </c>
      <c r="B51" s="66"/>
      <c r="C51" s="11"/>
      <c r="D51" s="11"/>
      <c r="E51" s="11"/>
      <c r="F51" s="11"/>
      <c r="G51" s="11"/>
      <c r="H51" s="88" t="s">
        <v>298</v>
      </c>
      <c r="I51" s="122" t="str">
        <f>IF(_epmOfflineCondition_,"N",_xll.EVPRO($B$1,$H51,"STYLE"))</f>
        <v>N</v>
      </c>
      <c r="J51" s="122" t="str">
        <f>IF(_epmOfflineCondition_,"N",_xll.EVPRO($B$1,$H51,"CALC"))</f>
        <v>N</v>
      </c>
      <c r="K51" s="90"/>
      <c r="L51" s="90" t="str">
        <f>IF(_epmOfflineCondition_,"946200",_xll.EVPRO($B$1,H51,"JDEID"))</f>
        <v>946200</v>
      </c>
      <c r="M51" s="90" t="str">
        <f>IF(_epmOfflineCondition_,"991502",IF(AND(I51="N",J51="N"),_xll.EVPRO($B$1,H51,"PSFTID"),""))</f>
        <v>991502</v>
      </c>
      <c r="N51" s="90" t="str">
        <f>IF(_epmOfflineCondition_,"Lunch Customers",IF(_xll.EVDES(H51,$B$1)="#NODATA","",_xll.EVDES(H51,$B$1)))</f>
        <v>Lunch Customers</v>
      </c>
      <c r="O51" s="231"/>
      <c r="P51" s="231">
        <v>71</v>
      </c>
      <c r="Q51" s="231"/>
      <c r="R51" s="231"/>
      <c r="S51" s="231"/>
      <c r="T51" s="231"/>
      <c r="U51" s="231"/>
      <c r="V51" s="231"/>
      <c r="W51" s="231"/>
      <c r="X51" s="231"/>
      <c r="Y51" s="231"/>
      <c r="Z51" s="231"/>
      <c r="AA51" s="231">
        <f t="shared" si="5"/>
        <v>71</v>
      </c>
      <c r="AB51" s="233">
        <f>IF(AA51=0,"",IFERROR(AA51/AA$83,""))</f>
        <v>0.22397476340694006</v>
      </c>
      <c r="AC51" s="140"/>
      <c r="AD51" s="231">
        <v>107.5</v>
      </c>
      <c r="AE51" s="233">
        <f>IF(AD51=0,"",IFERROR(AD51/AD$83,""))</f>
        <v>0.1680895643743941</v>
      </c>
      <c r="AF51" s="234">
        <f t="shared" si="6"/>
        <v>-36.5</v>
      </c>
      <c r="AG51" s="231">
        <v>47</v>
      </c>
      <c r="AH51" s="233">
        <f>IF(AG51=0,"",IFERROR(AG51/AG$83,""))</f>
        <v>0.5280898876404494</v>
      </c>
      <c r="AI51" s="234">
        <f t="shared" si="7"/>
        <v>24</v>
      </c>
    </row>
    <row r="52" spans="1:35" x14ac:dyDescent="0.25">
      <c r="A52" s="65" t="s">
        <v>40</v>
      </c>
      <c r="B52" s="66"/>
      <c r="C52" s="11"/>
      <c r="D52" s="11"/>
      <c r="E52" s="11"/>
      <c r="F52" s="11"/>
      <c r="G52" s="11"/>
      <c r="H52" s="88" t="s">
        <v>315</v>
      </c>
      <c r="I52" s="122" t="str">
        <f>IF(_epmOfflineCondition_,"N",_xll.EVPRO($B$1,$H52,"STYLE"))</f>
        <v>N</v>
      </c>
      <c r="J52" s="122" t="str">
        <f>IF(_epmOfflineCondition_,"Y",_xll.EVPRO($B$1,$H52,"CALC"))</f>
        <v>Y</v>
      </c>
      <c r="K52" s="90"/>
      <c r="L52" s="90" t="str">
        <f>IF(_epmOfflineCondition_,"",_xll.EVPRO($B$1,H52,"JDEID"))</f>
        <v/>
      </c>
      <c r="M52" s="90" t="str">
        <f>IF(_epmOfflineCondition_,"",IF(AND(I52="N",J52="N"),_xll.EVPRO($B$1,H52,"PSFTID"),""))</f>
        <v/>
      </c>
      <c r="N52" s="190" t="str">
        <f>IF(_epmOfflineCondition_,"Lunch - Average Check",IF(_xll.EVDES(H52,$B$1)="#NODATA","",_xll.EVDES(H52,$B$1)))</f>
        <v>Lunch - Average Check</v>
      </c>
      <c r="O52" s="495"/>
      <c r="P52" s="495">
        <v>73.084507042253506</v>
      </c>
      <c r="Q52" s="495"/>
      <c r="R52" s="495"/>
      <c r="S52" s="495"/>
      <c r="T52" s="495"/>
      <c r="U52" s="495"/>
      <c r="V52" s="495"/>
      <c r="W52" s="495"/>
      <c r="X52" s="495"/>
      <c r="Y52" s="495"/>
      <c r="Z52" s="495"/>
      <c r="AA52" s="495">
        <f>IFERROR(AA49/AA51,"")</f>
        <v>73.08450704225352</v>
      </c>
      <c r="AB52" s="495"/>
      <c r="AC52" s="140"/>
      <c r="AD52" s="495">
        <v>40</v>
      </c>
      <c r="AE52" s="495"/>
      <c r="AF52" s="496">
        <f t="shared" si="6"/>
        <v>33.08450704225352</v>
      </c>
      <c r="AG52" s="495">
        <v>31.978723404255302</v>
      </c>
      <c r="AH52" s="495"/>
      <c r="AI52" s="496">
        <f t="shared" si="7"/>
        <v>41.105783637998215</v>
      </c>
    </row>
    <row r="53" spans="1:35" x14ac:dyDescent="0.25">
      <c r="A53" s="65" t="s">
        <v>41</v>
      </c>
      <c r="B53" s="66"/>
      <c r="C53" s="11"/>
      <c r="D53" s="11"/>
      <c r="E53" s="11"/>
      <c r="F53" s="11"/>
      <c r="G53" s="11"/>
      <c r="H53" s="88"/>
      <c r="I53" s="122"/>
      <c r="J53" s="122"/>
      <c r="K53" s="90"/>
      <c r="L53" s="90"/>
      <c r="M53" s="90"/>
      <c r="N53" s="491" t="s">
        <v>345</v>
      </c>
      <c r="O53" s="497">
        <f t="shared" ref="O53:AA53" si="8">ROUND(IFERROR(O49/O51,0),2)</f>
        <v>0</v>
      </c>
      <c r="P53" s="498">
        <f t="shared" si="8"/>
        <v>73.08</v>
      </c>
      <c r="Q53" s="498">
        <f t="shared" si="8"/>
        <v>0</v>
      </c>
      <c r="R53" s="498">
        <f t="shared" si="8"/>
        <v>0</v>
      </c>
      <c r="S53" s="498">
        <f t="shared" si="8"/>
        <v>0</v>
      </c>
      <c r="T53" s="498">
        <f t="shared" si="8"/>
        <v>0</v>
      </c>
      <c r="U53" s="498">
        <f t="shared" si="8"/>
        <v>0</v>
      </c>
      <c r="V53" s="498">
        <f t="shared" si="8"/>
        <v>0</v>
      </c>
      <c r="W53" s="498">
        <f t="shared" si="8"/>
        <v>0</v>
      </c>
      <c r="X53" s="498">
        <f t="shared" si="8"/>
        <v>0</v>
      </c>
      <c r="Y53" s="498">
        <f t="shared" si="8"/>
        <v>0</v>
      </c>
      <c r="Z53" s="498">
        <f t="shared" si="8"/>
        <v>0</v>
      </c>
      <c r="AA53" s="498">
        <f t="shared" si="8"/>
        <v>73.08</v>
      </c>
      <c r="AB53" s="499"/>
      <c r="AC53" s="140"/>
      <c r="AD53" s="497">
        <f>ROUND(IFERROR(AD49/AD51,0),2)</f>
        <v>40</v>
      </c>
      <c r="AE53" s="498"/>
      <c r="AF53" s="155"/>
      <c r="AG53" s="497">
        <f>ROUND(IFERROR(AG49/AG51,0),2)</f>
        <v>31.98</v>
      </c>
      <c r="AH53" s="498"/>
      <c r="AI53" s="155"/>
    </row>
    <row r="54" spans="1:35" x14ac:dyDescent="0.25">
      <c r="A54" s="65" t="s">
        <v>42</v>
      </c>
      <c r="B54" s="66"/>
      <c r="C54" s="11"/>
      <c r="D54" s="11"/>
      <c r="E54" s="11"/>
      <c r="F54" s="11"/>
      <c r="G54" s="490">
        <f>COUNTIF(O54:AI54,FALSE)</f>
        <v>0</v>
      </c>
      <c r="H54" s="88"/>
      <c r="I54" s="122"/>
      <c r="J54" s="122"/>
      <c r="K54" s="90"/>
      <c r="L54" s="90"/>
      <c r="M54" s="90"/>
      <c r="N54" s="53" t="s">
        <v>316</v>
      </c>
      <c r="O54" s="500" t="b">
        <f t="shared" ref="O54:AA54" si="9">ROUND(O52,2)=ROUND(O53,2)</f>
        <v>1</v>
      </c>
      <c r="P54" s="501" t="b">
        <f t="shared" si="9"/>
        <v>1</v>
      </c>
      <c r="Q54" s="501" t="b">
        <f t="shared" si="9"/>
        <v>1</v>
      </c>
      <c r="R54" s="501" t="b">
        <f t="shared" si="9"/>
        <v>1</v>
      </c>
      <c r="S54" s="501" t="b">
        <f t="shared" si="9"/>
        <v>1</v>
      </c>
      <c r="T54" s="501" t="b">
        <f t="shared" si="9"/>
        <v>1</v>
      </c>
      <c r="U54" s="501" t="b">
        <f t="shared" si="9"/>
        <v>1</v>
      </c>
      <c r="V54" s="501" t="b">
        <f t="shared" si="9"/>
        <v>1</v>
      </c>
      <c r="W54" s="501" t="b">
        <f t="shared" si="9"/>
        <v>1</v>
      </c>
      <c r="X54" s="501" t="b">
        <f t="shared" si="9"/>
        <v>1</v>
      </c>
      <c r="Y54" s="501" t="b">
        <f t="shared" si="9"/>
        <v>1</v>
      </c>
      <c r="Z54" s="501" t="b">
        <f t="shared" si="9"/>
        <v>1</v>
      </c>
      <c r="AA54" s="501" t="b">
        <f t="shared" si="9"/>
        <v>1</v>
      </c>
      <c r="AB54" s="502"/>
      <c r="AC54" s="503"/>
      <c r="AD54" s="500"/>
      <c r="AE54" s="501" t="b">
        <f>ROUND(AD52,2)=ROUND(AD53,2)</f>
        <v>1</v>
      </c>
      <c r="AF54" s="502"/>
      <c r="AG54" s="500"/>
      <c r="AH54" s="501" t="b">
        <f>ROUND(AG52,2)=ROUND(AG53,2)</f>
        <v>1</v>
      </c>
      <c r="AI54" s="502"/>
    </row>
    <row r="55" spans="1:35" x14ac:dyDescent="0.25">
      <c r="A55" s="65" t="s">
        <v>43</v>
      </c>
      <c r="B55" s="66"/>
      <c r="C55" s="11"/>
      <c r="D55" s="11"/>
      <c r="E55" s="11"/>
      <c r="F55" s="11"/>
      <c r="G55" s="11"/>
      <c r="H55" s="88" t="s">
        <v>262</v>
      </c>
      <c r="I55" s="122" t="str">
        <f>IF(_epmOfflineCondition_,"T5",_xll.EVPRO($B$1,$H55,"STYLE"))</f>
        <v>T5</v>
      </c>
      <c r="J55" s="122" t="str">
        <f>IF(_epmOfflineCondition_,"Y",_xll.EVPRO($B$1,$H55,"CALC"))</f>
        <v>Y</v>
      </c>
      <c r="K55" s="90"/>
      <c r="L55" s="90" t="str">
        <f>IF(_epmOfflineCondition_,"463100",_xll.EVPRO($B$1,H55,"JDEID"))</f>
        <v>463100</v>
      </c>
      <c r="M55" s="90" t="str">
        <f>IF(_epmOfflineCondition_,"",IF(AND(I55="N",J55="N"),_xll.EVPRO($B$1,H55,"PSFTID"),""))</f>
        <v/>
      </c>
      <c r="N55" s="90" t="str">
        <f>IF(_epmOfflineCondition_,"Dinner Food",IF(_xll.EVDES(H55,$B$1)="#NODATA","",_xll.EVDES(H55,$B$1)))</f>
        <v>Dinner Food</v>
      </c>
      <c r="O55" s="138"/>
      <c r="P55" s="138">
        <v>20834</v>
      </c>
      <c r="Q55" s="138">
        <v>621</v>
      </c>
      <c r="R55" s="138"/>
      <c r="S55" s="138"/>
      <c r="T55" s="138"/>
      <c r="U55" s="138"/>
      <c r="V55" s="138"/>
      <c r="W55" s="138"/>
      <c r="X55" s="138"/>
      <c r="Y55" s="138"/>
      <c r="Z55" s="138"/>
      <c r="AA55" s="138">
        <f t="shared" ref="AA55:AA61" si="10">SUM(O55:Z55)</f>
        <v>21455</v>
      </c>
      <c r="AB55" s="142">
        <f>IF(AA55=0,"",IFERROR(AA55/AA$19,""))</f>
        <v>0.78664662315758593</v>
      </c>
      <c r="AC55" s="140"/>
      <c r="AD55" s="138">
        <v>38619.235200000003</v>
      </c>
      <c r="AE55" s="142">
        <f>IF(AD55=0,"",IFERROR(AD55/AD$19,""))</f>
        <v>0.84323094417534661</v>
      </c>
      <c r="AF55" s="141">
        <f t="shared" ref="AF55:AF62" si="11">IF(AND($AA55="",AD55=""),"",$AA55-AD55)</f>
        <v>-17164.235200000003</v>
      </c>
      <c r="AG55" s="138">
        <v>3990</v>
      </c>
      <c r="AH55" s="142">
        <f>IF(AG55=0,"",IFERROR(AG55/AG$19,""))</f>
        <v>0.72637902785363184</v>
      </c>
      <c r="AI55" s="141">
        <f t="shared" ref="AI55:AI62" si="12">IF(AND($AA55="",AG55=""),"",$AA55-AG55)</f>
        <v>17465</v>
      </c>
    </row>
    <row r="56" spans="1:35" x14ac:dyDescent="0.25">
      <c r="A56" s="65" t="s">
        <v>44</v>
      </c>
      <c r="B56" s="66"/>
      <c r="C56" s="11"/>
      <c r="D56" s="11"/>
      <c r="E56" s="11"/>
      <c r="F56" s="11"/>
      <c r="G56" s="11"/>
      <c r="H56" s="88" t="s">
        <v>302</v>
      </c>
      <c r="I56" s="122" t="str">
        <f>IF(_epmOfflineCondition_,"T6",_xll.EVPRO($B$1,$H56,"STYLE"))</f>
        <v>T6</v>
      </c>
      <c r="J56" s="122" t="str">
        <f>IF(_epmOfflineCondition_,"Y",_xll.EVPRO($B$1,$H56,"CALC"))</f>
        <v>Y</v>
      </c>
      <c r="K56" s="90"/>
      <c r="L56" s="90" t="str">
        <f>IF(_epmOfflineCondition_,"463200",_xll.EVPRO($B$1,H56,"JDEID"))</f>
        <v>463200</v>
      </c>
      <c r="M56" s="90" t="str">
        <f>IF(_epmOfflineCondition_,"",IF(AND(I56="N",J56="N"),_xll.EVPRO($B$1,H56,"PSFTID"),""))</f>
        <v/>
      </c>
      <c r="N56" s="90" t="str">
        <f>IF(_epmOfflineCondition_,"Dinner Liquor",IF(_xll.EVDES(H56,$B$1)="#NODATA","",_xll.EVDES(H56,$B$1)))</f>
        <v>Dinner Liquor</v>
      </c>
      <c r="O56" s="138"/>
      <c r="P56" s="138"/>
      <c r="Q56" s="138">
        <v>630</v>
      </c>
      <c r="R56" s="138"/>
      <c r="S56" s="138"/>
      <c r="T56" s="138"/>
      <c r="U56" s="138"/>
      <c r="V56" s="138"/>
      <c r="W56" s="138"/>
      <c r="X56" s="138"/>
      <c r="Y56" s="138"/>
      <c r="Z56" s="138"/>
      <c r="AA56" s="138">
        <f t="shared" si="10"/>
        <v>630</v>
      </c>
      <c r="AB56" s="142">
        <f>IF(AA56=0,"",IFERROR(AA56/AA$19,""))</f>
        <v>2.3098922050304321E-2</v>
      </c>
      <c r="AC56" s="140"/>
      <c r="AD56" s="138">
        <v>1319.9472000000001</v>
      </c>
      <c r="AE56" s="142">
        <f>IF(AD56=0,"",IFERROR(AD56/AD$19,""))</f>
        <v>2.882036161393494E-2</v>
      </c>
      <c r="AF56" s="141">
        <f t="shared" si="11"/>
        <v>-689.94720000000007</v>
      </c>
      <c r="AG56" s="138"/>
      <c r="AH56" s="142" t="str">
        <f>IF(AG56=0,"",IFERROR(AG56/AG$19,""))</f>
        <v/>
      </c>
      <c r="AI56" s="141">
        <f t="shared" si="12"/>
        <v>630</v>
      </c>
    </row>
    <row r="57" spans="1:35" x14ac:dyDescent="0.25">
      <c r="A57" s="65" t="s">
        <v>45</v>
      </c>
      <c r="B57" s="66"/>
      <c r="C57" s="11"/>
      <c r="D57" s="11"/>
      <c r="E57" s="11"/>
      <c r="F57" s="11"/>
      <c r="G57" s="11"/>
      <c r="H57" s="88" t="s">
        <v>306</v>
      </c>
      <c r="I57" s="122" t="str">
        <f>IF(_epmOfflineCondition_,"T6",_xll.EVPRO($B$1,$H57,"STYLE"))</f>
        <v>T6</v>
      </c>
      <c r="J57" s="122" t="str">
        <f>IF(_epmOfflineCondition_,"Y",_xll.EVPRO($B$1,$H57,"CALC"))</f>
        <v>Y</v>
      </c>
      <c r="K57" s="90"/>
      <c r="L57" s="90" t="str">
        <f>IF(_epmOfflineCondition_,"463300",_xll.EVPRO($B$1,H57,"JDEID"))</f>
        <v>463300</v>
      </c>
      <c r="M57" s="90" t="str">
        <f>IF(_epmOfflineCondition_,"",IF(AND(I57="N",J57="N"),_xll.EVPRO($B$1,H57,"PSFTID"),""))</f>
        <v/>
      </c>
      <c r="N57" s="90" t="str">
        <f>IF(_epmOfflineCondition_,"Dinner Beer",IF(_xll.EVDES(H57,$B$1)="#NODATA","",_xll.EVDES(H57,$B$1)))</f>
        <v>Dinner Beer</v>
      </c>
      <c r="O57" s="138"/>
      <c r="P57" s="138"/>
      <c r="Q57" s="138"/>
      <c r="R57" s="138"/>
      <c r="S57" s="138"/>
      <c r="T57" s="138"/>
      <c r="U57" s="138"/>
      <c r="V57" s="138"/>
      <c r="W57" s="138"/>
      <c r="X57" s="138"/>
      <c r="Y57" s="138"/>
      <c r="Z57" s="138"/>
      <c r="AA57" s="138">
        <f t="shared" si="10"/>
        <v>0</v>
      </c>
      <c r="AB57" s="142" t="str">
        <f>IF(AA57=0,"",IFERROR(AA57/AA$19,""))</f>
        <v/>
      </c>
      <c r="AC57" s="140"/>
      <c r="AD57" s="138">
        <v>239.99039999999999</v>
      </c>
      <c r="AE57" s="142">
        <f>IF(AD57=0,"",IFERROR(AD57/AD$19,""))</f>
        <v>5.2400657479881709E-3</v>
      </c>
      <c r="AF57" s="141">
        <f t="shared" si="11"/>
        <v>-239.99039999999999</v>
      </c>
      <c r="AG57" s="138"/>
      <c r="AH57" s="142" t="str">
        <f>IF(AG57=0,"",IFERROR(AG57/AG$19,""))</f>
        <v/>
      </c>
      <c r="AI57" s="141">
        <f t="shared" si="12"/>
        <v>0</v>
      </c>
    </row>
    <row r="58" spans="1:35" x14ac:dyDescent="0.25">
      <c r="A58" s="65" t="s">
        <v>46</v>
      </c>
      <c r="B58" s="66"/>
      <c r="C58" s="11"/>
      <c r="D58" s="11"/>
      <c r="E58" s="11"/>
      <c r="F58" s="11"/>
      <c r="G58" s="11"/>
      <c r="H58" s="88" t="s">
        <v>304</v>
      </c>
      <c r="I58" s="122" t="str">
        <f>IF(_epmOfflineCondition_,"T6",_xll.EVPRO($B$1,$H58,"STYLE"))</f>
        <v>T6</v>
      </c>
      <c r="J58" s="122" t="str">
        <f>IF(_epmOfflineCondition_,"Y",_xll.EVPRO($B$1,$H58,"CALC"))</f>
        <v>Y</v>
      </c>
      <c r="K58" s="90"/>
      <c r="L58" s="90" t="str">
        <f>IF(_epmOfflineCondition_,"463400",_xll.EVPRO($B$1,H58,"JDEID"))</f>
        <v>463400</v>
      </c>
      <c r="M58" s="90" t="str">
        <f>IF(_epmOfflineCondition_,"",IF(AND(I58="N",J58="N"),_xll.EVPRO($B$1,H58,"PSFTID"),""))</f>
        <v/>
      </c>
      <c r="N58" s="90" t="str">
        <f>IF(_epmOfflineCondition_,"Dinner Wine",IF(_xll.EVDES(H58,$B$1)="#NODATA","",_xll.EVDES(H58,$B$1)))</f>
        <v>Dinner Wine</v>
      </c>
      <c r="O58" s="215"/>
      <c r="P58" s="215"/>
      <c r="Q58" s="215"/>
      <c r="R58" s="215"/>
      <c r="S58" s="215"/>
      <c r="T58" s="215"/>
      <c r="U58" s="215"/>
      <c r="V58" s="215"/>
      <c r="W58" s="215"/>
      <c r="X58" s="215"/>
      <c r="Y58" s="215"/>
      <c r="Z58" s="215"/>
      <c r="AA58" s="215">
        <f t="shared" si="10"/>
        <v>0</v>
      </c>
      <c r="AB58" s="217" t="str">
        <f>IF(AA58=0,"",IFERROR(AA58/AA$19,""))</f>
        <v/>
      </c>
      <c r="AC58" s="140"/>
      <c r="AD58" s="215">
        <v>1319.9472000000001</v>
      </c>
      <c r="AE58" s="217">
        <f>IF(AD58=0,"",IFERROR(AD58/AD$19,""))</f>
        <v>2.882036161393494E-2</v>
      </c>
      <c r="AF58" s="218">
        <f t="shared" si="11"/>
        <v>-1319.9472000000001</v>
      </c>
      <c r="AG58" s="215"/>
      <c r="AH58" s="217" t="str">
        <f>IF(AG58=0,"",IFERROR(AG58/AG$19,""))</f>
        <v/>
      </c>
      <c r="AI58" s="218">
        <f t="shared" si="12"/>
        <v>0</v>
      </c>
    </row>
    <row r="59" spans="1:35" x14ac:dyDescent="0.25">
      <c r="A59" s="11"/>
      <c r="B59" s="11"/>
      <c r="C59" s="11"/>
      <c r="D59" s="11"/>
      <c r="E59" s="11"/>
      <c r="F59" s="11"/>
      <c r="G59" s="11"/>
      <c r="H59" s="88" t="s">
        <v>320</v>
      </c>
      <c r="I59" s="122" t="str">
        <f>IF(_epmOfflineCondition_,"N",_xll.EVPRO($B$1,$H59,"STYLE"))</f>
        <v>N</v>
      </c>
      <c r="J59" s="122" t="str">
        <f>IF(_epmOfflineCondition_,"Y",_xll.EVPRO($B$1,$H59,"CALC"))</f>
        <v>Y</v>
      </c>
      <c r="K59" s="90"/>
      <c r="L59" s="90" t="str">
        <f>IF(_epmOfflineCondition_,"",_xll.EVPRO($B$1,H59,"JDEID"))</f>
        <v/>
      </c>
      <c r="M59" s="90" t="str">
        <f>IF(_epmOfflineCondition_,"",IF(AND(I59="N",J59="N"),_xll.EVPRO($B$1,H59,"PSFTID"),""))</f>
        <v/>
      </c>
      <c r="N59" s="106" t="str">
        <f>IF(_epmOfflineCondition_,"Dinner Revenue",IF(_xll.EVDES(H59,$B$1)="#NODATA","",_xll.EVDES(H59,$B$1)))</f>
        <v>Dinner Revenue</v>
      </c>
      <c r="O59" s="162"/>
      <c r="P59" s="162">
        <v>20834</v>
      </c>
      <c r="Q59" s="162">
        <v>1251</v>
      </c>
      <c r="R59" s="162"/>
      <c r="S59" s="162"/>
      <c r="T59" s="162"/>
      <c r="U59" s="162"/>
      <c r="V59" s="162"/>
      <c r="W59" s="162"/>
      <c r="X59" s="162"/>
      <c r="Y59" s="162"/>
      <c r="Z59" s="162"/>
      <c r="AA59" s="162">
        <f t="shared" si="10"/>
        <v>22085</v>
      </c>
      <c r="AB59" s="163">
        <f>IF(AA59=0,"",IFERROR(AA59/AA$19,""))</f>
        <v>0.80974554520789033</v>
      </c>
      <c r="AC59" s="140"/>
      <c r="AD59" s="162">
        <v>41499.120000000003</v>
      </c>
      <c r="AE59" s="163">
        <f>IF(AD59=0,"",IFERROR(AD59/AD$19,""))</f>
        <v>0.90611173315120463</v>
      </c>
      <c r="AF59" s="164">
        <f t="shared" si="11"/>
        <v>-19414.120000000003</v>
      </c>
      <c r="AG59" s="162">
        <v>3990</v>
      </c>
      <c r="AH59" s="163">
        <f>IF(AG59=0,"",IFERROR(AG59/AG$19,""))</f>
        <v>0.72637902785363184</v>
      </c>
      <c r="AI59" s="164">
        <f t="shared" si="12"/>
        <v>18095</v>
      </c>
    </row>
    <row r="60" spans="1:35" x14ac:dyDescent="0.25">
      <c r="A60" s="11"/>
      <c r="B60" s="11"/>
      <c r="C60" s="11"/>
      <c r="D60" s="11"/>
      <c r="E60" s="11"/>
      <c r="F60" s="11"/>
      <c r="G60" s="11"/>
      <c r="H60" s="88" t="s">
        <v>765</v>
      </c>
      <c r="I60" s="122" t="str">
        <f>IF(_epmOfflineCondition_,"N",_xll.EVPRO($B$1,$H60,"STYLE"))</f>
        <v>N</v>
      </c>
      <c r="J60" s="122" t="str">
        <f>IF(_epmOfflineCondition_,"N",_xll.EVPRO($B$1,$H60,"CALC"))</f>
        <v>N</v>
      </c>
      <c r="K60" s="90"/>
      <c r="L60" s="90" t="str">
        <f>IF(_epmOfflineCondition_,"947300",_xll.EVPRO($B$1,H60,"JDEID"))</f>
        <v>947300</v>
      </c>
      <c r="M60" s="90" t="str">
        <f>IF(_epmOfflineCondition_,"999993",IF(AND(I60="N",J60="N"),_xll.EVPRO($B$1,H60,"PSFTID"),""))</f>
        <v>999993</v>
      </c>
      <c r="N60" s="90" t="str">
        <f>IF(_epmOfflineCondition_,"# of Operating Days - Dinner",IF(_xll.EVDES(H60,$B$1)="#NODATA","",_xll.EVDES(H60,$B$1)))</f>
        <v># of Operating Days - Dinner</v>
      </c>
      <c r="O60" s="231"/>
      <c r="P60" s="231"/>
      <c r="Q60" s="231"/>
      <c r="R60" s="231"/>
      <c r="S60" s="231"/>
      <c r="T60" s="231"/>
      <c r="U60" s="231"/>
      <c r="V60" s="231"/>
      <c r="W60" s="231"/>
      <c r="X60" s="231"/>
      <c r="Y60" s="231"/>
      <c r="Z60" s="231"/>
      <c r="AA60" s="231">
        <f t="shared" si="10"/>
        <v>0</v>
      </c>
      <c r="AB60" s="233"/>
      <c r="AC60" s="140"/>
      <c r="AD60" s="231"/>
      <c r="AE60" s="233"/>
      <c r="AF60" s="234">
        <f t="shared" si="11"/>
        <v>0</v>
      </c>
      <c r="AG60" s="231"/>
      <c r="AH60" s="233"/>
      <c r="AI60" s="234">
        <f t="shared" si="12"/>
        <v>0</v>
      </c>
    </row>
    <row r="61" spans="1:35" x14ac:dyDescent="0.25">
      <c r="A61" s="11"/>
      <c r="B61" s="11"/>
      <c r="C61" s="11"/>
      <c r="D61" s="11"/>
      <c r="E61" s="11"/>
      <c r="F61" s="11"/>
      <c r="G61" s="11"/>
      <c r="H61" s="88" t="s">
        <v>299</v>
      </c>
      <c r="I61" s="122" t="str">
        <f>IF(_epmOfflineCondition_,"N",_xll.EVPRO($B$1,$H61,"STYLE"))</f>
        <v>N</v>
      </c>
      <c r="J61" s="122" t="str">
        <f>IF(_epmOfflineCondition_,"N",_xll.EVPRO($B$1,$H61,"CALC"))</f>
        <v>N</v>
      </c>
      <c r="K61" s="90"/>
      <c r="L61" s="90" t="str">
        <f>IF(_epmOfflineCondition_,"946300",_xll.EVPRO($B$1,H61,"JDEID"))</f>
        <v>946300</v>
      </c>
      <c r="M61" s="90" t="str">
        <f>IF(_epmOfflineCondition_,"991503",IF(AND(I61="N",J61="N"),_xll.EVPRO($B$1,H61,"PSFTID"),""))</f>
        <v>991503</v>
      </c>
      <c r="N61" s="90" t="str">
        <f>IF(_epmOfflineCondition_,"Dinner Customers",IF(_xll.EVDES(H61,$B$1)="#NODATA","",_xll.EVDES(H61,$B$1)))</f>
        <v>Dinner Customers</v>
      </c>
      <c r="O61" s="231"/>
      <c r="P61" s="231">
        <v>225</v>
      </c>
      <c r="Q61" s="231">
        <v>21</v>
      </c>
      <c r="R61" s="231"/>
      <c r="S61" s="231"/>
      <c r="T61" s="231"/>
      <c r="U61" s="231"/>
      <c r="V61" s="231"/>
      <c r="W61" s="231"/>
      <c r="X61" s="231"/>
      <c r="Y61" s="231"/>
      <c r="Z61" s="231"/>
      <c r="AA61" s="231">
        <f t="shared" si="10"/>
        <v>246</v>
      </c>
      <c r="AB61" s="233">
        <f>IF(AA61=0,"",IFERROR(AA61/AA$83,""))</f>
        <v>0.77602523659305989</v>
      </c>
      <c r="AC61" s="140"/>
      <c r="AD61" s="231">
        <v>532.04</v>
      </c>
      <c r="AE61" s="233">
        <f>IF(AD61=0,"",IFERROR(AD61/AD$83,""))</f>
        <v>0.83191043562560585</v>
      </c>
      <c r="AF61" s="234">
        <f t="shared" si="11"/>
        <v>-286.03999999999996</v>
      </c>
      <c r="AG61" s="231">
        <v>42</v>
      </c>
      <c r="AH61" s="233">
        <f>IF(AG61=0,"",IFERROR(AG61/AG$83,""))</f>
        <v>0.47191011235955055</v>
      </c>
      <c r="AI61" s="234">
        <f t="shared" si="12"/>
        <v>204</v>
      </c>
    </row>
    <row r="62" spans="1:35" x14ac:dyDescent="0.25">
      <c r="A62" s="11"/>
      <c r="B62" s="11"/>
      <c r="C62" s="11"/>
      <c r="D62" s="11"/>
      <c r="E62" s="11"/>
      <c r="F62" s="11"/>
      <c r="G62" s="11"/>
      <c r="H62" s="185" t="s">
        <v>317</v>
      </c>
      <c r="I62" s="122" t="str">
        <f>IF(_epmOfflineCondition_,"N",_xll.EVPRO($B$1,$H62,"STYLE"))</f>
        <v>N</v>
      </c>
      <c r="J62" s="122" t="str">
        <f>IF(_epmOfflineCondition_,"Y",_xll.EVPRO($B$1,$H62,"CALC"))</f>
        <v>Y</v>
      </c>
      <c r="K62" s="90"/>
      <c r="L62" s="90" t="str">
        <f>IF(_epmOfflineCondition_,"",_xll.EVPRO($B$1,H62,"JDEID"))</f>
        <v/>
      </c>
      <c r="M62" s="90" t="str">
        <f>IF(_epmOfflineCondition_,"",IF(AND(I62="N",J62="N"),_xll.EVPRO($B$1,H62,"PSFTID"),""))</f>
        <v/>
      </c>
      <c r="N62" s="190" t="str">
        <f>IF(_epmOfflineCondition_,"Dinner - Average Check",IF(_xll.EVDES(H62,$B$1)="#NODATA","",_xll.EVDES(H62,$B$1)))</f>
        <v>Dinner - Average Check</v>
      </c>
      <c r="O62" s="495"/>
      <c r="P62" s="495">
        <v>92.595555555555507</v>
      </c>
      <c r="Q62" s="495">
        <v>59.571428571428598</v>
      </c>
      <c r="R62" s="495"/>
      <c r="S62" s="495"/>
      <c r="T62" s="495"/>
      <c r="U62" s="495"/>
      <c r="V62" s="495"/>
      <c r="W62" s="495"/>
      <c r="X62" s="495"/>
      <c r="Y62" s="495"/>
      <c r="Z62" s="495"/>
      <c r="AA62" s="495">
        <f>IFERROR(AA59/AA61,"")</f>
        <v>89.776422764227647</v>
      </c>
      <c r="AB62" s="495"/>
      <c r="AC62" s="140"/>
      <c r="AD62" s="495">
        <v>78</v>
      </c>
      <c r="AE62" s="495"/>
      <c r="AF62" s="496">
        <f t="shared" si="11"/>
        <v>11.776422764227647</v>
      </c>
      <c r="AG62" s="495">
        <v>95</v>
      </c>
      <c r="AH62" s="495"/>
      <c r="AI62" s="496">
        <f t="shared" si="12"/>
        <v>-5.2235772357723533</v>
      </c>
    </row>
    <row r="63" spans="1:35" x14ac:dyDescent="0.25">
      <c r="A63" s="11"/>
      <c r="B63" s="11"/>
      <c r="C63" s="11"/>
      <c r="D63" s="11"/>
      <c r="E63" s="11"/>
      <c r="F63" s="11"/>
      <c r="G63" s="11"/>
      <c r="H63" s="88"/>
      <c r="I63" s="122"/>
      <c r="J63" s="122"/>
      <c r="K63" s="90"/>
      <c r="L63" s="90"/>
      <c r="M63" s="90"/>
      <c r="N63" s="491" t="s">
        <v>345</v>
      </c>
      <c r="O63" s="497">
        <f t="shared" ref="O63:AA63" si="13">ROUND(IFERROR(O59/O61,0),2)</f>
        <v>0</v>
      </c>
      <c r="P63" s="498">
        <f t="shared" si="13"/>
        <v>92.6</v>
      </c>
      <c r="Q63" s="498">
        <f t="shared" si="13"/>
        <v>59.57</v>
      </c>
      <c r="R63" s="498">
        <f t="shared" si="13"/>
        <v>0</v>
      </c>
      <c r="S63" s="498">
        <f t="shared" si="13"/>
        <v>0</v>
      </c>
      <c r="T63" s="498">
        <f t="shared" si="13"/>
        <v>0</v>
      </c>
      <c r="U63" s="498">
        <f t="shared" si="13"/>
        <v>0</v>
      </c>
      <c r="V63" s="498">
        <f t="shared" si="13"/>
        <v>0</v>
      </c>
      <c r="W63" s="498">
        <f t="shared" si="13"/>
        <v>0</v>
      </c>
      <c r="X63" s="498">
        <f t="shared" si="13"/>
        <v>0</v>
      </c>
      <c r="Y63" s="498">
        <f t="shared" si="13"/>
        <v>0</v>
      </c>
      <c r="Z63" s="498">
        <f t="shared" si="13"/>
        <v>0</v>
      </c>
      <c r="AA63" s="498">
        <f t="shared" si="13"/>
        <v>89.78</v>
      </c>
      <c r="AB63" s="499"/>
      <c r="AC63" s="140"/>
      <c r="AD63" s="497">
        <f>ROUND(IFERROR(AD59/AD61,0),2)</f>
        <v>78</v>
      </c>
      <c r="AE63" s="498"/>
      <c r="AF63" s="155"/>
      <c r="AG63" s="497">
        <f>ROUND(IFERROR(AG59/AG61,0),2)</f>
        <v>95</v>
      </c>
      <c r="AH63" s="498"/>
      <c r="AI63" s="155"/>
    </row>
    <row r="64" spans="1:35" x14ac:dyDescent="0.25">
      <c r="A64" s="11"/>
      <c r="B64" s="11"/>
      <c r="C64" s="11"/>
      <c r="D64" s="11"/>
      <c r="E64" s="11"/>
      <c r="F64" s="11"/>
      <c r="G64" s="490">
        <f>COUNTIF(O64:AI64,FALSE)</f>
        <v>0</v>
      </c>
      <c r="H64" s="185"/>
      <c r="I64" s="122"/>
      <c r="J64" s="122"/>
      <c r="K64" s="90"/>
      <c r="L64" s="90"/>
      <c r="M64" s="90"/>
      <c r="N64" s="53" t="s">
        <v>807</v>
      </c>
      <c r="O64" s="500" t="b">
        <f t="shared" ref="O64:AA64" si="14">ROUND(O62,2)=ROUND(O63,2)</f>
        <v>1</v>
      </c>
      <c r="P64" s="501" t="b">
        <f t="shared" si="14"/>
        <v>1</v>
      </c>
      <c r="Q64" s="501" t="b">
        <f t="shared" si="14"/>
        <v>1</v>
      </c>
      <c r="R64" s="501" t="b">
        <f t="shared" si="14"/>
        <v>1</v>
      </c>
      <c r="S64" s="501" t="b">
        <f t="shared" si="14"/>
        <v>1</v>
      </c>
      <c r="T64" s="501" t="b">
        <f t="shared" si="14"/>
        <v>1</v>
      </c>
      <c r="U64" s="501" t="b">
        <f t="shared" si="14"/>
        <v>1</v>
      </c>
      <c r="V64" s="501" t="b">
        <f t="shared" si="14"/>
        <v>1</v>
      </c>
      <c r="W64" s="501" t="b">
        <f t="shared" si="14"/>
        <v>1</v>
      </c>
      <c r="X64" s="501" t="b">
        <f t="shared" si="14"/>
        <v>1</v>
      </c>
      <c r="Y64" s="501" t="b">
        <f t="shared" si="14"/>
        <v>1</v>
      </c>
      <c r="Z64" s="501" t="b">
        <f t="shared" si="14"/>
        <v>1</v>
      </c>
      <c r="AA64" s="501" t="b">
        <f t="shared" si="14"/>
        <v>1</v>
      </c>
      <c r="AB64" s="502"/>
      <c r="AC64" s="503"/>
      <c r="AD64" s="500"/>
      <c r="AE64" s="501" t="b">
        <f>ROUND(AD62,2)=ROUND(AD63,2)</f>
        <v>1</v>
      </c>
      <c r="AF64" s="502"/>
      <c r="AG64" s="500"/>
      <c r="AH64" s="501" t="b">
        <f>ROUND(AG62,2)=ROUND(AG63,2)</f>
        <v>1</v>
      </c>
      <c r="AI64" s="502"/>
    </row>
    <row r="65" spans="1:35" x14ac:dyDescent="0.25">
      <c r="A65" s="11"/>
      <c r="B65" s="11"/>
      <c r="C65" s="11"/>
      <c r="D65" s="11"/>
      <c r="E65" s="11"/>
      <c r="F65" s="11"/>
      <c r="G65" s="11"/>
      <c r="H65" s="185" t="s">
        <v>790</v>
      </c>
      <c r="I65" s="122" t="str">
        <f>IF(_epmOfflineCondition_,"N",_xll.EVPRO($B$1,$H65,"STYLE"))</f>
        <v>N</v>
      </c>
      <c r="J65" s="122" t="str">
        <f>IF(_epmOfflineCondition_,"N",_xll.EVPRO($B$1,$H65,"CALC"))</f>
        <v>N</v>
      </c>
      <c r="K65" s="90"/>
      <c r="L65" s="90" t="str">
        <f>IF(_epmOfflineCondition_,"471110",_xll.EVPRO($B$1,H65,"JDEID"))</f>
        <v>471110</v>
      </c>
      <c r="M65" s="90" t="str">
        <f>IF(_epmOfflineCondition_,"201017",IF(AND(I65="N",J65="N"),_xll.EVPRO($B$1,H65,"PSFTID"),""))</f>
        <v>201017</v>
      </c>
      <c r="N65" s="90" t="str">
        <f>IF(_epmOfflineCondition_,"Reception Food",IF(_xll.EVDES(H65,$B$1)="#NODATA","",_xll.EVDES(H65,$B$1)))</f>
        <v>Reception Food</v>
      </c>
      <c r="O65" s="138"/>
      <c r="P65" s="138"/>
      <c r="Q65" s="138"/>
      <c r="R65" s="138"/>
      <c r="S65" s="138"/>
      <c r="T65" s="138"/>
      <c r="U65" s="138"/>
      <c r="V65" s="138"/>
      <c r="W65" s="138"/>
      <c r="X65" s="138"/>
      <c r="Y65" s="138"/>
      <c r="Z65" s="138"/>
      <c r="AA65" s="138">
        <f t="shared" ref="AA65:AA70" si="15">SUM(O65:Z65)</f>
        <v>0</v>
      </c>
      <c r="AB65" s="142" t="str">
        <f>IF(AA65=0,"",IFERROR(AA65/AA$19,""))</f>
        <v/>
      </c>
      <c r="AC65" s="140"/>
      <c r="AD65" s="138"/>
      <c r="AE65" s="142" t="str">
        <f>IF(AD65=0,"",IFERROR(AD65/AD$19,""))</f>
        <v/>
      </c>
      <c r="AF65" s="141">
        <f t="shared" ref="AF65:AF71" si="16">IF(AND($AA65="",AD65=""),"",$AA65-AD65)</f>
        <v>0</v>
      </c>
      <c r="AG65" s="138"/>
      <c r="AH65" s="142" t="str">
        <f>IF(AG65=0,"",IFERROR(AG65/AG$19,""))</f>
        <v/>
      </c>
      <c r="AI65" s="141">
        <f t="shared" ref="AI65:AI71" si="17">IF(AND($AA65="",AG65=""),"",$AA65-AG65)</f>
        <v>0</v>
      </c>
    </row>
    <row r="66" spans="1:35" x14ac:dyDescent="0.25">
      <c r="A66" s="11"/>
      <c r="B66" s="11"/>
      <c r="C66" s="11"/>
      <c r="D66" s="11"/>
      <c r="E66" s="11"/>
      <c r="F66" s="11"/>
      <c r="G66" s="11"/>
      <c r="H66" s="185" t="s">
        <v>808</v>
      </c>
      <c r="I66" s="122" t="str">
        <f>IF(_epmOfflineCondition_,"N",_xll.EVPRO($B$1,$H66,"STYLE"))</f>
        <v>N</v>
      </c>
      <c r="J66" s="122" t="str">
        <f>IF(_epmOfflineCondition_,"N",_xll.EVPRO($B$1,$H66,"CALC"))</f>
        <v>N</v>
      </c>
      <c r="K66" s="90"/>
      <c r="L66" s="90" t="str">
        <f>IF(_epmOfflineCondition_,"471210",_xll.EVPRO($B$1,H66,"JDEID"))</f>
        <v>471210</v>
      </c>
      <c r="M66" s="90" t="str">
        <f>IF(_epmOfflineCondition_,"NA",IF(AND(I66="N",J66="N"),_xll.EVPRO($B$1,H66,"PSFTID"),""))</f>
        <v>NA</v>
      </c>
      <c r="N66" s="90" t="str">
        <f>IF(_epmOfflineCondition_,"Reception Liquor",IF(_xll.EVDES(H66,$B$1)="#NODATA","",_xll.EVDES(H66,$B$1)))</f>
        <v>Reception Liquor</v>
      </c>
      <c r="O66" s="138"/>
      <c r="P66" s="138"/>
      <c r="Q66" s="138"/>
      <c r="R66" s="138"/>
      <c r="S66" s="138"/>
      <c r="T66" s="138"/>
      <c r="U66" s="138"/>
      <c r="V66" s="138"/>
      <c r="W66" s="138"/>
      <c r="X66" s="138"/>
      <c r="Y66" s="138"/>
      <c r="Z66" s="138"/>
      <c r="AA66" s="138">
        <f t="shared" si="15"/>
        <v>0</v>
      </c>
      <c r="AB66" s="142" t="str">
        <f>IF(AA66=0,"",IFERROR(AA66/AA$19,""))</f>
        <v/>
      </c>
      <c r="AC66" s="140"/>
      <c r="AD66" s="138"/>
      <c r="AE66" s="142" t="str">
        <f>IF(AD66=0,"",IFERROR(AD66/AD$19,""))</f>
        <v/>
      </c>
      <c r="AF66" s="141">
        <f t="shared" si="16"/>
        <v>0</v>
      </c>
      <c r="AG66" s="138"/>
      <c r="AH66" s="142" t="str">
        <f>IF(AG66=0,"",IFERROR(AG66/AG$19,""))</f>
        <v/>
      </c>
      <c r="AI66" s="141">
        <f t="shared" si="17"/>
        <v>0</v>
      </c>
    </row>
    <row r="67" spans="1:35" x14ac:dyDescent="0.25">
      <c r="A67" s="11"/>
      <c r="B67" s="11"/>
      <c r="C67" s="11"/>
      <c r="D67" s="11"/>
      <c r="E67" s="11"/>
      <c r="F67" s="11"/>
      <c r="G67" s="11"/>
      <c r="H67" s="185" t="s">
        <v>809</v>
      </c>
      <c r="I67" s="122" t="str">
        <f>IF(_epmOfflineCondition_,"N",_xll.EVPRO($B$1,$H67,"STYLE"))</f>
        <v>N</v>
      </c>
      <c r="J67" s="122" t="str">
        <f>IF(_epmOfflineCondition_,"N",_xll.EVPRO($B$1,$H67,"CALC"))</f>
        <v>N</v>
      </c>
      <c r="K67" s="90"/>
      <c r="L67" s="90" t="str">
        <f>IF(_epmOfflineCondition_,"471310",_xll.EVPRO($B$1,H67,"JDEID"))</f>
        <v>471310</v>
      </c>
      <c r="M67" s="90" t="str">
        <f>IF(_epmOfflineCondition_,"NA",IF(AND(I67="N",J67="N"),_xll.EVPRO($B$1,H67,"PSFTID"),""))</f>
        <v>NA</v>
      </c>
      <c r="N67" s="90" t="str">
        <f>IF(_epmOfflineCondition_,"Reception Beer",IF(_xll.EVDES(H67,$B$1)="#NODATA","",_xll.EVDES(H67,$B$1)))</f>
        <v>Reception Beer</v>
      </c>
      <c r="O67" s="138"/>
      <c r="P67" s="138"/>
      <c r="Q67" s="138"/>
      <c r="R67" s="138"/>
      <c r="S67" s="138"/>
      <c r="T67" s="138"/>
      <c r="U67" s="138"/>
      <c r="V67" s="138"/>
      <c r="W67" s="138"/>
      <c r="X67" s="138"/>
      <c r="Y67" s="138"/>
      <c r="Z67" s="138"/>
      <c r="AA67" s="138">
        <f t="shared" si="15"/>
        <v>0</v>
      </c>
      <c r="AB67" s="142" t="str">
        <f>IF(AA67=0,"",IFERROR(AA67/AA$19,""))</f>
        <v/>
      </c>
      <c r="AC67" s="140"/>
      <c r="AD67" s="138"/>
      <c r="AE67" s="142" t="str">
        <f>IF(AD67=0,"",IFERROR(AD67/AD$19,""))</f>
        <v/>
      </c>
      <c r="AF67" s="141">
        <f t="shared" si="16"/>
        <v>0</v>
      </c>
      <c r="AG67" s="138"/>
      <c r="AH67" s="142" t="str">
        <f>IF(AG67=0,"",IFERROR(AG67/AG$19,""))</f>
        <v/>
      </c>
      <c r="AI67" s="141">
        <f t="shared" si="17"/>
        <v>0</v>
      </c>
    </row>
    <row r="68" spans="1:35" x14ac:dyDescent="0.25">
      <c r="A68" s="11"/>
      <c r="B68" s="11"/>
      <c r="C68" s="11"/>
      <c r="D68" s="11"/>
      <c r="E68" s="11"/>
      <c r="F68" s="11"/>
      <c r="G68" s="11"/>
      <c r="H68" s="185" t="s">
        <v>810</v>
      </c>
      <c r="I68" s="122" t="str">
        <f>IF(_epmOfflineCondition_,"N",_xll.EVPRO($B$1,$H68,"STYLE"))</f>
        <v>N</v>
      </c>
      <c r="J68" s="122" t="str">
        <f>IF(_epmOfflineCondition_,"N",_xll.EVPRO($B$1,$H68,"CALC"))</f>
        <v>N</v>
      </c>
      <c r="K68" s="90"/>
      <c r="L68" s="90" t="str">
        <f>IF(_epmOfflineCondition_,"471410",_xll.EVPRO($B$1,H68,"JDEID"))</f>
        <v>471410</v>
      </c>
      <c r="M68" s="90" t="str">
        <f>IF(_epmOfflineCondition_,"NA",IF(AND(I68="N",J68="N"),_xll.EVPRO($B$1,H68,"PSFTID"),""))</f>
        <v>NA</v>
      </c>
      <c r="N68" s="90" t="str">
        <f>IF(_epmOfflineCondition_,"Reception Wine",IF(_xll.EVDES(H68,$B$1)="#NODATA","",_xll.EVDES(H68,$B$1)))</f>
        <v>Reception Wine</v>
      </c>
      <c r="O68" s="215"/>
      <c r="P68" s="215"/>
      <c r="Q68" s="215"/>
      <c r="R68" s="215"/>
      <c r="S68" s="215"/>
      <c r="T68" s="215"/>
      <c r="U68" s="215"/>
      <c r="V68" s="215"/>
      <c r="W68" s="215"/>
      <c r="X68" s="215"/>
      <c r="Y68" s="215"/>
      <c r="Z68" s="215"/>
      <c r="AA68" s="215">
        <f t="shared" si="15"/>
        <v>0</v>
      </c>
      <c r="AB68" s="217" t="str">
        <f>IF(AA68=0,"",IFERROR(AA68/AA$19,""))</f>
        <v/>
      </c>
      <c r="AC68" s="140"/>
      <c r="AD68" s="215"/>
      <c r="AE68" s="217" t="str">
        <f>IF(AD68=0,"",IFERROR(AD68/AD$19,""))</f>
        <v/>
      </c>
      <c r="AF68" s="218">
        <f t="shared" si="16"/>
        <v>0</v>
      </c>
      <c r="AG68" s="215"/>
      <c r="AH68" s="217" t="str">
        <f>IF(AG68=0,"",IFERROR(AG68/AG$19,""))</f>
        <v/>
      </c>
      <c r="AI68" s="218">
        <f t="shared" si="17"/>
        <v>0</v>
      </c>
    </row>
    <row r="69" spans="1:35" x14ac:dyDescent="0.25">
      <c r="A69" s="11"/>
      <c r="B69" s="11"/>
      <c r="C69" s="11"/>
      <c r="D69" s="11"/>
      <c r="E69" s="11"/>
      <c r="F69" s="11"/>
      <c r="G69" s="11"/>
      <c r="H69" s="185" t="s">
        <v>811</v>
      </c>
      <c r="I69" s="122" t="str">
        <f>IF(_epmOfflineCondition_,"N",_xll.EVPRO($B$1,$H69,"STYLE"))</f>
        <v>N</v>
      </c>
      <c r="J69" s="122" t="str">
        <f>IF(_epmOfflineCondition_,"Y",_xll.EVPRO($B$1,$H69,"CALC"))</f>
        <v>Y</v>
      </c>
      <c r="K69" s="90"/>
      <c r="L69" s="90" t="str">
        <f>IF(_epmOfflineCondition_,"",_xll.EVPRO($B$1,H69,"JDEID"))</f>
        <v/>
      </c>
      <c r="M69" s="90" t="str">
        <f>IF(_epmOfflineCondition_,"",IF(AND(I69="N",J69="N"),_xll.EVPRO($B$1,H69,"PSFTID"),""))</f>
        <v/>
      </c>
      <c r="N69" s="106" t="str">
        <f>IF(_epmOfflineCondition_,"Reception Revenue",IF(_xll.EVDES(H69,$B$1)="#NODATA","",_xll.EVDES(H69,$B$1)))</f>
        <v>Reception Revenue</v>
      </c>
      <c r="O69" s="162"/>
      <c r="P69" s="162"/>
      <c r="Q69" s="162"/>
      <c r="R69" s="162"/>
      <c r="S69" s="162"/>
      <c r="T69" s="162"/>
      <c r="U69" s="162"/>
      <c r="V69" s="162"/>
      <c r="W69" s="162"/>
      <c r="X69" s="162"/>
      <c r="Y69" s="162"/>
      <c r="Z69" s="162"/>
      <c r="AA69" s="162">
        <f t="shared" si="15"/>
        <v>0</v>
      </c>
      <c r="AB69" s="163" t="str">
        <f>IF(AA69=0,"",IFERROR(AA69/AA$19,""))</f>
        <v/>
      </c>
      <c r="AC69" s="140"/>
      <c r="AD69" s="162"/>
      <c r="AE69" s="163" t="str">
        <f>IF(AD69=0,"",IFERROR(AD69/AD$19,""))</f>
        <v/>
      </c>
      <c r="AF69" s="164">
        <f t="shared" si="16"/>
        <v>0</v>
      </c>
      <c r="AG69" s="162"/>
      <c r="AH69" s="163" t="str">
        <f>IF(AG69=0,"",IFERROR(AG69/AG$19,""))</f>
        <v/>
      </c>
      <c r="AI69" s="164">
        <f t="shared" si="17"/>
        <v>0</v>
      </c>
    </row>
    <row r="70" spans="1:35" x14ac:dyDescent="0.25">
      <c r="A70" s="11"/>
      <c r="B70" s="11"/>
      <c r="C70" s="11"/>
      <c r="D70" s="11"/>
      <c r="E70" s="11"/>
      <c r="F70" s="11"/>
      <c r="G70" s="11"/>
      <c r="H70" s="185" t="s">
        <v>812</v>
      </c>
      <c r="I70" s="122" t="str">
        <f>IF(_epmOfflineCondition_,"N",_xll.EVPRO($B$1,$H70,"STYLE"))</f>
        <v>N</v>
      </c>
      <c r="J70" s="122" t="str">
        <f>IF(_epmOfflineCondition_,"N",_xll.EVPRO($B$1,$H70,"CALC"))</f>
        <v>N</v>
      </c>
      <c r="K70" s="90"/>
      <c r="L70" s="90" t="str">
        <f>IF(_epmOfflineCondition_,"946700",_xll.EVPRO($B$1,H70,"JDEID"))</f>
        <v>946700</v>
      </c>
      <c r="M70" s="90" t="str">
        <f>IF(_epmOfflineCondition_,"991508",IF(AND(I70="N",J70="N"),_xll.EVPRO($B$1,H70,"PSFTID"),""))</f>
        <v>991508</v>
      </c>
      <c r="N70" s="90" t="str">
        <f>IF(_epmOfflineCondition_,"Reception Customers",IF(_xll.EVDES(H70,$B$1)="#NODATA","",_xll.EVDES(H70,$B$1)))</f>
        <v>Reception Customers</v>
      </c>
      <c r="O70" s="231"/>
      <c r="P70" s="231"/>
      <c r="Q70" s="231"/>
      <c r="R70" s="231"/>
      <c r="S70" s="231"/>
      <c r="T70" s="231"/>
      <c r="U70" s="231"/>
      <c r="V70" s="231"/>
      <c r="W70" s="231"/>
      <c r="X70" s="231"/>
      <c r="Y70" s="231"/>
      <c r="Z70" s="231"/>
      <c r="AA70" s="231">
        <f t="shared" si="15"/>
        <v>0</v>
      </c>
      <c r="AB70" s="233" t="str">
        <f>IF(AA70=0,"",IFERROR(AA70/AA$83,""))</f>
        <v/>
      </c>
      <c r="AC70" s="140"/>
      <c r="AD70" s="231"/>
      <c r="AE70" s="233" t="str">
        <f>IF(AD70=0,"",IFERROR(AD70/AD$83,""))</f>
        <v/>
      </c>
      <c r="AF70" s="234">
        <f t="shared" si="16"/>
        <v>0</v>
      </c>
      <c r="AG70" s="231"/>
      <c r="AH70" s="233" t="str">
        <f>IF(AG70=0,"",IFERROR(AG70/AG$83,""))</f>
        <v/>
      </c>
      <c r="AI70" s="234">
        <f t="shared" si="17"/>
        <v>0</v>
      </c>
    </row>
    <row r="71" spans="1:35" x14ac:dyDescent="0.25">
      <c r="A71" s="11"/>
      <c r="B71" s="11"/>
      <c r="C71" s="11"/>
      <c r="D71" s="11"/>
      <c r="E71" s="11"/>
      <c r="F71" s="11"/>
      <c r="G71" s="11"/>
      <c r="H71" s="185" t="s">
        <v>813</v>
      </c>
      <c r="I71" s="122" t="str">
        <f>IF(_epmOfflineCondition_,"N",_xll.EVPRO($B$1,$H71,"STYLE"))</f>
        <v>N</v>
      </c>
      <c r="J71" s="122" t="str">
        <f>IF(_epmOfflineCondition_,"Y",_xll.EVPRO($B$1,$H71,"CALC"))</f>
        <v>Y</v>
      </c>
      <c r="K71" s="90"/>
      <c r="L71" s="90" t="str">
        <f>IF(_epmOfflineCondition_,"",_xll.EVPRO($B$1,H71,"JDEID"))</f>
        <v/>
      </c>
      <c r="M71" s="90" t="str">
        <f>IF(_epmOfflineCondition_,"",IF(AND(I71="N",J71="N"),_xll.EVPRO($B$1,H71,"PSFTID"),""))</f>
        <v/>
      </c>
      <c r="N71" s="190" t="str">
        <f>IF(_epmOfflineCondition_,"Reception Average Check",IF(_xll.EVDES(H71,$B$1)="#NODATA","",_xll.EVDES(H71,$B$1)))</f>
        <v>Reception Average Check</v>
      </c>
      <c r="O71" s="495"/>
      <c r="P71" s="495"/>
      <c r="Q71" s="495"/>
      <c r="R71" s="495"/>
      <c r="S71" s="495"/>
      <c r="T71" s="495"/>
      <c r="U71" s="495"/>
      <c r="V71" s="495"/>
      <c r="W71" s="495"/>
      <c r="X71" s="495"/>
      <c r="Y71" s="495"/>
      <c r="Z71" s="495"/>
      <c r="AA71" s="495" t="str">
        <f>IFERROR(AA69/AA70,"")</f>
        <v/>
      </c>
      <c r="AB71" s="495"/>
      <c r="AC71" s="140"/>
      <c r="AD71" s="495"/>
      <c r="AE71" s="495"/>
      <c r="AF71" s="496" t="str">
        <f t="shared" si="16"/>
        <v/>
      </c>
      <c r="AG71" s="495"/>
      <c r="AH71" s="495"/>
      <c r="AI71" s="496" t="str">
        <f t="shared" si="17"/>
        <v/>
      </c>
    </row>
    <row r="72" spans="1:35" x14ac:dyDescent="0.25">
      <c r="A72" s="11"/>
      <c r="B72" s="11"/>
      <c r="C72" s="11"/>
      <c r="D72" s="11"/>
      <c r="E72" s="11"/>
      <c r="F72" s="11"/>
      <c r="G72" s="11"/>
      <c r="H72" s="88"/>
      <c r="I72" s="122"/>
      <c r="J72" s="122"/>
      <c r="K72" s="90"/>
      <c r="L72" s="90"/>
      <c r="M72" s="90"/>
      <c r="N72" s="491" t="s">
        <v>345</v>
      </c>
      <c r="O72" s="497">
        <f t="shared" ref="O72:AA72" si="18">ROUND(IFERROR(O69/O70,0),2)</f>
        <v>0</v>
      </c>
      <c r="P72" s="498">
        <f t="shared" si="18"/>
        <v>0</v>
      </c>
      <c r="Q72" s="498">
        <f t="shared" si="18"/>
        <v>0</v>
      </c>
      <c r="R72" s="498">
        <f t="shared" si="18"/>
        <v>0</v>
      </c>
      <c r="S72" s="498">
        <f t="shared" si="18"/>
        <v>0</v>
      </c>
      <c r="T72" s="498">
        <f t="shared" si="18"/>
        <v>0</v>
      </c>
      <c r="U72" s="498">
        <f t="shared" si="18"/>
        <v>0</v>
      </c>
      <c r="V72" s="498">
        <f t="shared" si="18"/>
        <v>0</v>
      </c>
      <c r="W72" s="498">
        <f t="shared" si="18"/>
        <v>0</v>
      </c>
      <c r="X72" s="498">
        <f t="shared" si="18"/>
        <v>0</v>
      </c>
      <c r="Y72" s="498">
        <f t="shared" si="18"/>
        <v>0</v>
      </c>
      <c r="Z72" s="498">
        <f t="shared" si="18"/>
        <v>0</v>
      </c>
      <c r="AA72" s="498">
        <f t="shared" si="18"/>
        <v>0</v>
      </c>
      <c r="AB72" s="499"/>
      <c r="AC72" s="140"/>
      <c r="AD72" s="497">
        <f>ROUND(IFERROR(AD69/AD70,0),2)</f>
        <v>0</v>
      </c>
      <c r="AE72" s="498"/>
      <c r="AF72" s="155"/>
      <c r="AG72" s="497">
        <f>ROUND(IFERROR(AG69/AG70,0),2)</f>
        <v>0</v>
      </c>
      <c r="AH72" s="498"/>
      <c r="AI72" s="155"/>
    </row>
    <row r="73" spans="1:35" x14ac:dyDescent="0.25">
      <c r="A73" s="11"/>
      <c r="B73" s="11"/>
      <c r="C73" s="11"/>
      <c r="D73" s="11"/>
      <c r="E73" s="11"/>
      <c r="F73" s="11"/>
      <c r="G73" s="490">
        <f>COUNTIF(O73:AI73,FALSE)</f>
        <v>0</v>
      </c>
      <c r="H73" s="185"/>
      <c r="I73" s="122"/>
      <c r="J73" s="122"/>
      <c r="K73" s="90"/>
      <c r="L73" s="90"/>
      <c r="M73" s="90"/>
      <c r="N73" s="53" t="s">
        <v>814</v>
      </c>
      <c r="O73" s="500" t="b">
        <f t="shared" ref="O73:AA73" si="19">ROUND(O71,2)=ROUND(O72,2)</f>
        <v>1</v>
      </c>
      <c r="P73" s="501" t="b">
        <f t="shared" si="19"/>
        <v>1</v>
      </c>
      <c r="Q73" s="501" t="b">
        <f t="shared" si="19"/>
        <v>1</v>
      </c>
      <c r="R73" s="501" t="b">
        <f t="shared" si="19"/>
        <v>1</v>
      </c>
      <c r="S73" s="501" t="b">
        <f t="shared" si="19"/>
        <v>1</v>
      </c>
      <c r="T73" s="501" t="b">
        <f t="shared" si="19"/>
        <v>1</v>
      </c>
      <c r="U73" s="501" t="b">
        <f t="shared" si="19"/>
        <v>1</v>
      </c>
      <c r="V73" s="501" t="b">
        <f t="shared" si="19"/>
        <v>1</v>
      </c>
      <c r="W73" s="501" t="b">
        <f t="shared" si="19"/>
        <v>1</v>
      </c>
      <c r="X73" s="501" t="b">
        <f t="shared" si="19"/>
        <v>1</v>
      </c>
      <c r="Y73" s="501" t="b">
        <f t="shared" si="19"/>
        <v>1</v>
      </c>
      <c r="Z73" s="501" t="b">
        <f t="shared" si="19"/>
        <v>1</v>
      </c>
      <c r="AA73" s="501" t="e">
        <f t="shared" si="19"/>
        <v>#VALUE!</v>
      </c>
      <c r="AB73" s="502"/>
      <c r="AC73" s="503"/>
      <c r="AD73" s="500"/>
      <c r="AE73" s="501" t="b">
        <f>ROUND(AD71,2)=ROUND(AD72,2)</f>
        <v>1</v>
      </c>
      <c r="AF73" s="502"/>
      <c r="AG73" s="500"/>
      <c r="AH73" s="501" t="b">
        <f>ROUND(AG71,2)=ROUND(AG72,2)</f>
        <v>1</v>
      </c>
      <c r="AI73" s="502"/>
    </row>
    <row r="74" spans="1:35" x14ac:dyDescent="0.25">
      <c r="A74" s="11"/>
      <c r="B74" s="11"/>
      <c r="C74" s="11"/>
      <c r="D74" s="11"/>
      <c r="E74" s="11"/>
      <c r="F74" s="11"/>
      <c r="G74" s="11"/>
      <c r="H74" s="185" t="s">
        <v>789</v>
      </c>
      <c r="I74" s="122" t="str">
        <f>IF(_epmOfflineCondition_,"N",_xll.EVPRO($B$1,$H74,"STYLE"))</f>
        <v>N</v>
      </c>
      <c r="J74" s="122" t="str">
        <f>IF(_epmOfflineCondition_,"N",_xll.EVPRO($B$1,$H74,"CALC"))</f>
        <v>N</v>
      </c>
      <c r="K74" s="90"/>
      <c r="L74" s="90" t="str">
        <f>IF(_epmOfflineCondition_,"470110",_xll.EVPRO($B$1,H74,"JDEID"))</f>
        <v>470110</v>
      </c>
      <c r="M74" s="90" t="str">
        <f>IF(_epmOfflineCondition_,"201016",IF(AND(I74="N",J74="N"),_xll.EVPRO($B$1,H74,"PSFTID"),""))</f>
        <v>201016</v>
      </c>
      <c r="N74" s="90" t="str">
        <f>IF(_epmOfflineCondition_,"Break Food",IF(_xll.EVDES(H74,$B$1)="#NODATA","",_xll.EVDES(H74,$B$1)))</f>
        <v>Break Food</v>
      </c>
      <c r="O74" s="138"/>
      <c r="P74" s="138"/>
      <c r="Q74" s="138"/>
      <c r="R74" s="138"/>
      <c r="S74" s="138"/>
      <c r="T74" s="138"/>
      <c r="U74" s="138"/>
      <c r="V74" s="138"/>
      <c r="W74" s="138"/>
      <c r="X74" s="138"/>
      <c r="Y74" s="138"/>
      <c r="Z74" s="138"/>
      <c r="AA74" s="138">
        <f>SUM(O74:Z74)</f>
        <v>0</v>
      </c>
      <c r="AB74" s="142" t="str">
        <f>IF(AA74=0,"",IFERROR(AA74/AA$19,""))</f>
        <v/>
      </c>
      <c r="AC74" s="140"/>
      <c r="AD74" s="138"/>
      <c r="AE74" s="142" t="str">
        <f>IF(AD74=0,"",IFERROR(AD74/AD$19,""))</f>
        <v/>
      </c>
      <c r="AF74" s="141">
        <f>IF(AND($AA74="",AD74=""),"",$AA74-AD74)</f>
        <v>0</v>
      </c>
      <c r="AG74" s="138"/>
      <c r="AH74" s="142" t="str">
        <f>IF(AG74=0,"",IFERROR(AG74/AG$19,""))</f>
        <v/>
      </c>
      <c r="AI74" s="141">
        <f>IF(AND($AA74="",AG74=""),"",$AA74-AG74)</f>
        <v>0</v>
      </c>
    </row>
    <row r="75" spans="1:35" x14ac:dyDescent="0.25">
      <c r="A75" s="11"/>
      <c r="B75" s="11"/>
      <c r="C75" s="208"/>
      <c r="D75" s="11"/>
      <c r="E75" s="11"/>
      <c r="F75" s="11"/>
      <c r="G75" s="11"/>
      <c r="H75" s="185" t="s">
        <v>815</v>
      </c>
      <c r="I75" s="122" t="str">
        <f>IF(_epmOfflineCondition_,"N",_xll.EVPRO($B$1,$H75,"STYLE"))</f>
        <v>N</v>
      </c>
      <c r="J75" s="122" t="str">
        <f>IF(_epmOfflineCondition_,"Y",_xll.EVPRO($B$1,$H75,"CALC"))</f>
        <v>Y</v>
      </c>
      <c r="K75" s="90"/>
      <c r="L75" s="90" t="str">
        <f>IF(_epmOfflineCondition_,"",_xll.EVPRO($B$1,H75,"JDEID"))</f>
        <v/>
      </c>
      <c r="M75" s="90" t="str">
        <f>IF(_epmOfflineCondition_,"",IF(AND(I75="N",J75="N"),_xll.EVPRO($B$1,H75,"PSFTID"),""))</f>
        <v/>
      </c>
      <c r="N75" s="106" t="str">
        <f>IF(_epmOfflineCondition_,"Break Revenue",IF(_xll.EVDES(H75,$B$1)="#NODATA","",_xll.EVDES(H75,$B$1)))</f>
        <v>Break Revenue</v>
      </c>
      <c r="O75" s="162"/>
      <c r="P75" s="162"/>
      <c r="Q75" s="162"/>
      <c r="R75" s="162"/>
      <c r="S75" s="162"/>
      <c r="T75" s="162"/>
      <c r="U75" s="162"/>
      <c r="V75" s="162"/>
      <c r="W75" s="162"/>
      <c r="X75" s="162"/>
      <c r="Y75" s="162"/>
      <c r="Z75" s="162"/>
      <c r="AA75" s="162">
        <f>SUM(O75:Z75)</f>
        <v>0</v>
      </c>
      <c r="AB75" s="163" t="str">
        <f>IF(AA75=0,"",IFERROR(AA75/AA$19,""))</f>
        <v/>
      </c>
      <c r="AC75" s="140"/>
      <c r="AD75" s="162"/>
      <c r="AE75" s="163" t="str">
        <f>IF(AD75=0,"",IFERROR(AD75/AD$19,""))</f>
        <v/>
      </c>
      <c r="AF75" s="164">
        <f>IF(AND($AA75="",AD75=""),"",$AA75-AD75)</f>
        <v>0</v>
      </c>
      <c r="AG75" s="162"/>
      <c r="AH75" s="163" t="str">
        <f>IF(AG75=0,"",IFERROR(AG75/AG$19,""))</f>
        <v/>
      </c>
      <c r="AI75" s="164">
        <f>IF(AND($AA75="",AG75=""),"",$AA75-AG75)</f>
        <v>0</v>
      </c>
    </row>
    <row r="76" spans="1:35" x14ac:dyDescent="0.25">
      <c r="A76" s="11"/>
      <c r="B76" s="11"/>
      <c r="C76" s="208"/>
      <c r="D76" s="11"/>
      <c r="E76" s="11"/>
      <c r="F76" s="11"/>
      <c r="G76" s="11"/>
      <c r="H76" s="185" t="s">
        <v>816</v>
      </c>
      <c r="I76" s="122" t="str">
        <f>IF(_epmOfflineCondition_,"N",_xll.EVPRO($B$1,$H76,"STYLE"))</f>
        <v>N</v>
      </c>
      <c r="J76" s="122" t="str">
        <f>IF(_epmOfflineCondition_,"N",_xll.EVPRO($B$1,$H76,"CALC"))</f>
        <v>N</v>
      </c>
      <c r="K76" s="90"/>
      <c r="L76" s="90" t="str">
        <f>IF(_epmOfflineCondition_,"946600",_xll.EVPRO($B$1,H76,"JDEID"))</f>
        <v>946600</v>
      </c>
      <c r="M76" s="90" t="str">
        <f>IF(_epmOfflineCondition_,"991507",IF(AND(I76="N",J76="N"),_xll.EVPRO($B$1,H76,"PSFTID"),""))</f>
        <v>991507</v>
      </c>
      <c r="N76" s="90" t="str">
        <f>IF(_epmOfflineCondition_,"Break Customers",IF(_xll.EVDES(H76,$B$1)="#NODATA","",_xll.EVDES(H76,$B$1)))</f>
        <v>Break Customers</v>
      </c>
      <c r="O76" s="231"/>
      <c r="P76" s="231"/>
      <c r="Q76" s="231"/>
      <c r="R76" s="231"/>
      <c r="S76" s="231"/>
      <c r="T76" s="231"/>
      <c r="U76" s="231"/>
      <c r="V76" s="231"/>
      <c r="W76" s="231"/>
      <c r="X76" s="231"/>
      <c r="Y76" s="231"/>
      <c r="Z76" s="231"/>
      <c r="AA76" s="231">
        <f>SUM(O76:Z76)</f>
        <v>0</v>
      </c>
      <c r="AB76" s="233" t="str">
        <f>IF(AA76=0,"",IFERROR(AA76/AA$83,""))</f>
        <v/>
      </c>
      <c r="AC76" s="140"/>
      <c r="AD76" s="231"/>
      <c r="AE76" s="233" t="str">
        <f>IF(AD76=0,"",IFERROR(AD76/AD$83,""))</f>
        <v/>
      </c>
      <c r="AF76" s="234">
        <f>IF(AND($AA76="",AD76=""),"",$AA76-AD76)</f>
        <v>0</v>
      </c>
      <c r="AG76" s="231"/>
      <c r="AH76" s="233" t="str">
        <f>IF(AG76=0,"",IFERROR(AG76/AG$83,""))</f>
        <v/>
      </c>
      <c r="AI76" s="234">
        <f>IF(AND($AA76="",AG76=""),"",$AA76-AG76)</f>
        <v>0</v>
      </c>
    </row>
    <row r="77" spans="1:35" x14ac:dyDescent="0.25">
      <c r="A77" s="11"/>
      <c r="B77" s="11"/>
      <c r="C77" s="208"/>
      <c r="D77" s="11"/>
      <c r="E77" s="11"/>
      <c r="F77" s="11"/>
      <c r="G77" s="11"/>
      <c r="H77" s="185" t="s">
        <v>817</v>
      </c>
      <c r="I77" s="122" t="str">
        <f>IF(_epmOfflineCondition_,"N",_xll.EVPRO($B$1,$H77,"STYLE"))</f>
        <v>N</v>
      </c>
      <c r="J77" s="122" t="str">
        <f>IF(_epmOfflineCondition_,"Y",_xll.EVPRO($B$1,$H77,"CALC"))</f>
        <v>Y</v>
      </c>
      <c r="K77" s="90"/>
      <c r="L77" s="90" t="str">
        <f>IF(_epmOfflineCondition_,"",_xll.EVPRO($B$1,H77,"JDEID"))</f>
        <v/>
      </c>
      <c r="M77" s="90" t="str">
        <f>IF(_epmOfflineCondition_,"",IF(AND(I77="N",J77="N"),_xll.EVPRO($B$1,H77,"PSFTID"),""))</f>
        <v/>
      </c>
      <c r="N77" s="190" t="str">
        <f>IF(_epmOfflineCondition_,"Break Average Check",IF(_xll.EVDES(H77,$B$1)="#NODATA","",_xll.EVDES(H77,$B$1)))</f>
        <v>Break Average Check</v>
      </c>
      <c r="O77" s="495"/>
      <c r="P77" s="495"/>
      <c r="Q77" s="495"/>
      <c r="R77" s="495"/>
      <c r="S77" s="495"/>
      <c r="T77" s="495"/>
      <c r="U77" s="495"/>
      <c r="V77" s="495"/>
      <c r="W77" s="495"/>
      <c r="X77" s="495"/>
      <c r="Y77" s="495"/>
      <c r="Z77" s="495"/>
      <c r="AA77" s="495" t="str">
        <f>IFERROR(AA75/AA76,"")</f>
        <v/>
      </c>
      <c r="AB77" s="495"/>
      <c r="AC77" s="140"/>
      <c r="AD77" s="495"/>
      <c r="AE77" s="495"/>
      <c r="AF77" s="496" t="str">
        <f>IF(AND($AA77="",AD77=""),"",$AA77-AD77)</f>
        <v/>
      </c>
      <c r="AG77" s="495"/>
      <c r="AH77" s="495"/>
      <c r="AI77" s="496" t="str">
        <f>IF(AND($AA77="",AG77=""),"",$AA77-AG77)</f>
        <v/>
      </c>
    </row>
    <row r="78" spans="1:35" x14ac:dyDescent="0.25">
      <c r="A78" s="11"/>
      <c r="B78" s="11"/>
      <c r="C78" s="208"/>
      <c r="D78" s="11"/>
      <c r="E78" s="11"/>
      <c r="F78" s="11"/>
      <c r="G78" s="11"/>
      <c r="H78" s="88"/>
      <c r="I78" s="122"/>
      <c r="J78" s="122"/>
      <c r="K78" s="90"/>
      <c r="L78" s="90"/>
      <c r="M78" s="90"/>
      <c r="N78" s="491" t="s">
        <v>345</v>
      </c>
      <c r="O78" s="497">
        <f t="shared" ref="O78:AA78" si="20">ROUND(IFERROR(O75/O76,0),2)</f>
        <v>0</v>
      </c>
      <c r="P78" s="498">
        <f t="shared" si="20"/>
        <v>0</v>
      </c>
      <c r="Q78" s="498">
        <f t="shared" si="20"/>
        <v>0</v>
      </c>
      <c r="R78" s="498">
        <f t="shared" si="20"/>
        <v>0</v>
      </c>
      <c r="S78" s="498">
        <f t="shared" si="20"/>
        <v>0</v>
      </c>
      <c r="T78" s="498">
        <f t="shared" si="20"/>
        <v>0</v>
      </c>
      <c r="U78" s="498">
        <f t="shared" si="20"/>
        <v>0</v>
      </c>
      <c r="V78" s="498">
        <f t="shared" si="20"/>
        <v>0</v>
      </c>
      <c r="W78" s="498">
        <f t="shared" si="20"/>
        <v>0</v>
      </c>
      <c r="X78" s="498">
        <f t="shared" si="20"/>
        <v>0</v>
      </c>
      <c r="Y78" s="498">
        <f t="shared" si="20"/>
        <v>0</v>
      </c>
      <c r="Z78" s="498">
        <f t="shared" si="20"/>
        <v>0</v>
      </c>
      <c r="AA78" s="498">
        <f t="shared" si="20"/>
        <v>0</v>
      </c>
      <c r="AB78" s="499"/>
      <c r="AC78" s="140"/>
      <c r="AD78" s="497">
        <f>ROUND(IFERROR(AD75/AD76,0),2)</f>
        <v>0</v>
      </c>
      <c r="AE78" s="498"/>
      <c r="AF78" s="155"/>
      <c r="AG78" s="497">
        <f>ROUND(IFERROR(AG75/AG76,0),2)</f>
        <v>0</v>
      </c>
      <c r="AH78" s="498"/>
      <c r="AI78" s="155"/>
    </row>
    <row r="79" spans="1:35" x14ac:dyDescent="0.25">
      <c r="A79" s="11"/>
      <c r="B79" s="11"/>
      <c r="C79" s="208"/>
      <c r="D79" s="11"/>
      <c r="E79" s="11"/>
      <c r="F79" s="11"/>
      <c r="G79" s="490">
        <f>COUNTIF(O79:AI79,FALSE)</f>
        <v>0</v>
      </c>
      <c r="H79" s="88"/>
      <c r="I79" s="122"/>
      <c r="J79" s="122"/>
      <c r="K79" s="90"/>
      <c r="L79" s="90"/>
      <c r="M79" s="90"/>
      <c r="N79" s="491"/>
      <c r="O79" s="500" t="b">
        <f t="shared" ref="O79:AA79" si="21">ROUND(O77,2)=ROUND(O78,2)</f>
        <v>1</v>
      </c>
      <c r="P79" s="501" t="b">
        <f t="shared" si="21"/>
        <v>1</v>
      </c>
      <c r="Q79" s="501" t="b">
        <f t="shared" si="21"/>
        <v>1</v>
      </c>
      <c r="R79" s="501" t="b">
        <f t="shared" si="21"/>
        <v>1</v>
      </c>
      <c r="S79" s="501" t="b">
        <f t="shared" si="21"/>
        <v>1</v>
      </c>
      <c r="T79" s="501" t="b">
        <f t="shared" si="21"/>
        <v>1</v>
      </c>
      <c r="U79" s="501" t="b">
        <f t="shared" si="21"/>
        <v>1</v>
      </c>
      <c r="V79" s="501" t="b">
        <f t="shared" si="21"/>
        <v>1</v>
      </c>
      <c r="W79" s="501" t="b">
        <f t="shared" si="21"/>
        <v>1</v>
      </c>
      <c r="X79" s="501" t="b">
        <f t="shared" si="21"/>
        <v>1</v>
      </c>
      <c r="Y79" s="501" t="b">
        <f t="shared" si="21"/>
        <v>1</v>
      </c>
      <c r="Z79" s="501" t="b">
        <f t="shared" si="21"/>
        <v>1</v>
      </c>
      <c r="AA79" s="501" t="e">
        <f t="shared" si="21"/>
        <v>#VALUE!</v>
      </c>
      <c r="AB79" s="502"/>
      <c r="AC79" s="503"/>
      <c r="AD79" s="500"/>
      <c r="AE79" s="501" t="b">
        <f>ROUND(AD77,2)=ROUND(AD78,2)</f>
        <v>1</v>
      </c>
      <c r="AF79" s="502"/>
      <c r="AG79" s="500"/>
      <c r="AH79" s="501" t="b">
        <f>ROUND(AG77,2)=ROUND(AG78,2)</f>
        <v>1</v>
      </c>
      <c r="AI79" s="502"/>
    </row>
    <row r="80" spans="1:35" x14ac:dyDescent="0.25">
      <c r="A80" s="11"/>
      <c r="B80" s="11"/>
      <c r="C80" s="208"/>
      <c r="D80" s="11"/>
      <c r="E80" s="11"/>
      <c r="F80" s="11"/>
      <c r="G80" s="11"/>
      <c r="H80" s="88" t="s">
        <v>486</v>
      </c>
      <c r="I80" s="122" t="str">
        <f>IF(_epmOfflineCondition_,"T5",_xll.EVPRO($B$1,$H80,"STYLE"))</f>
        <v>T5</v>
      </c>
      <c r="J80" s="122" t="str">
        <f>IF(_epmOfflineCondition_,"Y",_xll.EVPRO($B$1,$H80,"CALC"))</f>
        <v>Y</v>
      </c>
      <c r="K80" s="90"/>
      <c r="L80" s="90" t="str">
        <f>IF(_epmOfflineCondition_,"",_xll.EVPRO($B$1,H80,"JDEID"))</f>
        <v/>
      </c>
      <c r="M80" s="90" t="str">
        <f>IF(_epmOfflineCondition_,"",IF(AND(I80="N",J80="N"),_xll.EVPRO($B$1,H80,"PSFTID"),""))</f>
        <v/>
      </c>
      <c r="N80" s="90" t="str">
        <f>IF(_epmOfflineCondition_,"Food &amp; Beverage: Allowances",IF(_xll.EVDES(H80,$B$1)="#NODATA","",_xll.EVDES(H80,$B$1)))</f>
        <v>Food &amp; Beverage: Allowances</v>
      </c>
      <c r="O80" s="138"/>
      <c r="P80" s="138"/>
      <c r="Q80" s="138"/>
      <c r="R80" s="138"/>
      <c r="S80" s="138"/>
      <c r="T80" s="138"/>
      <c r="U80" s="138"/>
      <c r="V80" s="138"/>
      <c r="W80" s="138"/>
      <c r="X80" s="138"/>
      <c r="Y80" s="138"/>
      <c r="Z80" s="138"/>
      <c r="AA80" s="138">
        <f>SUM(O80:Z80)</f>
        <v>0</v>
      </c>
      <c r="AB80" s="142" t="str">
        <f>IF(AA80=0,"",IFERROR(AA80/AA$19,""))</f>
        <v/>
      </c>
      <c r="AC80" s="140"/>
      <c r="AD80" s="138"/>
      <c r="AE80" s="142" t="str">
        <f>IF(AD80=0,"",IFERROR(AD80/AD$19,""))</f>
        <v/>
      </c>
      <c r="AF80" s="141">
        <f>IF(AND($AA80="",AD80=""),"",$AA80-AD80)</f>
        <v>0</v>
      </c>
      <c r="AG80" s="138"/>
      <c r="AH80" s="142" t="str">
        <f>IF(AG80=0,"",IFERROR(AG80/AG$19,""))</f>
        <v/>
      </c>
      <c r="AI80" s="141">
        <f>IF(AND($AA80="",AG80=""),"",$AA80-AG80)</f>
        <v>0</v>
      </c>
    </row>
    <row r="81" spans="1:35" x14ac:dyDescent="0.25">
      <c r="A81" s="11"/>
      <c r="B81" s="11"/>
      <c r="C81" s="208"/>
      <c r="D81" s="11"/>
      <c r="E81" s="11"/>
      <c r="F81" s="11"/>
      <c r="G81" s="11"/>
      <c r="H81" s="88"/>
      <c r="I81" s="122"/>
      <c r="J81" s="122"/>
      <c r="K81" s="90"/>
      <c r="L81" s="90"/>
      <c r="M81" s="90"/>
      <c r="N81" s="53" t="s">
        <v>348</v>
      </c>
      <c r="O81" s="500"/>
      <c r="P81" s="501"/>
      <c r="Q81" s="501"/>
      <c r="R81" s="501"/>
      <c r="S81" s="501"/>
      <c r="T81" s="501"/>
      <c r="U81" s="501"/>
      <c r="V81" s="501"/>
      <c r="W81" s="501"/>
      <c r="X81" s="501"/>
      <c r="Y81" s="501"/>
      <c r="Z81" s="501"/>
      <c r="AA81" s="501"/>
      <c r="AB81" s="502"/>
      <c r="AC81" s="503"/>
      <c r="AD81" s="500"/>
      <c r="AE81" s="501"/>
      <c r="AF81" s="502"/>
      <c r="AG81" s="500"/>
      <c r="AH81" s="501"/>
      <c r="AI81" s="502"/>
    </row>
    <row r="82" spans="1:35" x14ac:dyDescent="0.25">
      <c r="A82" s="11"/>
      <c r="B82" s="11"/>
      <c r="C82" s="208"/>
      <c r="D82" s="11"/>
      <c r="E82" s="11"/>
      <c r="F82" s="11"/>
      <c r="G82" s="11"/>
      <c r="H82" s="185" t="s">
        <v>273</v>
      </c>
      <c r="I82" s="122" t="str">
        <f>IF(_epmOfflineCondition_,"T4",_xll.EVPRO($B$1,$H82,"STYLE"))</f>
        <v>T4</v>
      </c>
      <c r="J82" s="122" t="str">
        <f>IF(_epmOfflineCondition_,"Y",_xll.EVPRO($B$1,$H82,"CALC"))</f>
        <v>Y</v>
      </c>
      <c r="K82" s="11"/>
      <c r="L82" s="90" t="str">
        <f>IF(_epmOfflineCondition_,"",_xll.EVPRO($B$1,H82,"JDEID"))</f>
        <v/>
      </c>
      <c r="M82" s="90" t="str">
        <f>IF(_epmOfflineCondition_,"",IF(AND(I82="N",J82="N"),_xll.EVPRO($B$1,H82,"PSFTID"),""))</f>
        <v/>
      </c>
      <c r="N82" s="90" t="str">
        <f>IF(_epmOfflineCondition_,"Total Food &amp; Beverage Revenue",IF(_xll.EVDES(H82,$B$1)="#NODATA","",_xll.EVDES(H82,$B$1)))</f>
        <v>Total Food &amp; Beverage Revenue</v>
      </c>
      <c r="O82" s="507"/>
      <c r="P82" s="507">
        <v>26023</v>
      </c>
      <c r="Q82" s="507">
        <v>1251</v>
      </c>
      <c r="R82" s="507"/>
      <c r="S82" s="507"/>
      <c r="T82" s="507"/>
      <c r="U82" s="507"/>
      <c r="V82" s="507"/>
      <c r="W82" s="507"/>
      <c r="X82" s="507"/>
      <c r="Y82" s="507"/>
      <c r="Z82" s="507"/>
      <c r="AA82" s="507">
        <f>SUM(O82:Z82)</f>
        <v>27274</v>
      </c>
      <c r="AB82" s="508">
        <f>IF(AA82=0,"",IFERROR(AA82/AA$19,""))</f>
        <v>1</v>
      </c>
      <c r="AC82" s="140"/>
      <c r="AD82" s="507">
        <v>45799.12</v>
      </c>
      <c r="AE82" s="508">
        <f>IF(AD82=0,"",IFERROR(AD82/AD$19,""))</f>
        <v>1</v>
      </c>
      <c r="AF82" s="509">
        <f>IF(AND($AA82="",AD82=""),"",$AA82-AD82)</f>
        <v>-18525.120000000003</v>
      </c>
      <c r="AG82" s="507">
        <v>5493</v>
      </c>
      <c r="AH82" s="508">
        <f>IF(AG82=0,"",IFERROR(AG82/AG$19,""))</f>
        <v>1</v>
      </c>
      <c r="AI82" s="509">
        <f>IF(AND($AA82="",AG82=""),"",$AA82-AG82)</f>
        <v>21781</v>
      </c>
    </row>
    <row r="83" spans="1:35" x14ac:dyDescent="0.25">
      <c r="A83" s="11"/>
      <c r="B83" s="11"/>
      <c r="C83" s="208"/>
      <c r="D83" s="11"/>
      <c r="E83" s="11"/>
      <c r="F83" s="11"/>
      <c r="G83" s="11"/>
      <c r="H83" s="185" t="s">
        <v>331</v>
      </c>
      <c r="I83" s="122" t="str">
        <f>IF(_epmOfflineCondition_,"T2",_xll.EVPRO($B$1,$H83,"STYLE"))</f>
        <v>T2</v>
      </c>
      <c r="J83" s="122" t="str">
        <f>IF(_epmOfflineCondition_,"Y",_xll.EVPRO($B$1,$H83,"CALC"))</f>
        <v>Y</v>
      </c>
      <c r="K83" s="11"/>
      <c r="L83" s="90" t="str">
        <f>IF(_epmOfflineCondition_,"946000",_xll.EVPRO($B$1,H83,"JDEID"))</f>
        <v>946000</v>
      </c>
      <c r="M83" s="90" t="str">
        <f>IF(_epmOfflineCondition_,"",IF(AND(I83="N",J83="N"),_xll.EVPRO($B$1,H83,"PSFTID"),""))</f>
        <v/>
      </c>
      <c r="N83" s="90" t="str">
        <f>IF(_epmOfflineCondition_,"Total Customers",IF(_xll.EVDES(H83,$B$1)="#NODATA","",_xll.EVDES(H83,$B$1)))</f>
        <v>Total Customers</v>
      </c>
      <c r="O83" s="507"/>
      <c r="P83" s="507">
        <v>296</v>
      </c>
      <c r="Q83" s="507">
        <v>21</v>
      </c>
      <c r="R83" s="507"/>
      <c r="S83" s="507"/>
      <c r="T83" s="507"/>
      <c r="U83" s="507"/>
      <c r="V83" s="507"/>
      <c r="W83" s="507"/>
      <c r="X83" s="507"/>
      <c r="Y83" s="507"/>
      <c r="Z83" s="507"/>
      <c r="AA83" s="507">
        <f>SUM(O83:Z83)</f>
        <v>317</v>
      </c>
      <c r="AB83" s="508">
        <f>IF(AA83=0,"",IFERROR(AA83/AA$20,""))</f>
        <v>1</v>
      </c>
      <c r="AC83" s="140"/>
      <c r="AD83" s="507">
        <v>639.54</v>
      </c>
      <c r="AE83" s="508">
        <f>IF(AD83=0,"",IFERROR(AD83/AD$20,""))</f>
        <v>1</v>
      </c>
      <c r="AF83" s="509">
        <f>IF(AND($AA83="",AD83=""),"",$AA83-AD83)</f>
        <v>-322.53999999999996</v>
      </c>
      <c r="AG83" s="507">
        <v>89</v>
      </c>
      <c r="AH83" s="508">
        <f>IF(AG83=0,"",IFERROR(AG83/AG$20,""))</f>
        <v>1</v>
      </c>
      <c r="AI83" s="509">
        <f>IF(AND($AA83="",AG83=""),"",$AA83-AG83)</f>
        <v>228</v>
      </c>
    </row>
    <row r="84" spans="1:35" x14ac:dyDescent="0.25">
      <c r="A84" s="11"/>
      <c r="B84" s="11"/>
      <c r="C84" s="208"/>
      <c r="D84" s="11"/>
      <c r="E84" s="11"/>
      <c r="F84" s="11"/>
      <c r="G84" s="11"/>
      <c r="H84" s="185" t="s">
        <v>311</v>
      </c>
      <c r="I84" s="122" t="str">
        <f>IF(_epmOfflineCondition_,"N",_xll.EVPRO($B$1,$H84,"STYLE"))</f>
        <v>N</v>
      </c>
      <c r="J84" s="122" t="str">
        <f>IF(_epmOfflineCondition_,"Y",_xll.EVPRO($B$1,$H84,"CALC"))</f>
        <v>Y</v>
      </c>
      <c r="K84" s="11"/>
      <c r="L84" s="90"/>
      <c r="M84" s="90"/>
      <c r="N84" s="90" t="str">
        <f>IF(_epmOfflineCondition_,"Total Average Check",IF(_xll.EVDES(H84,$B$1)="#NODATA","",_xll.EVDES(H84,$B$1)))</f>
        <v>Total Average Check</v>
      </c>
      <c r="O84" s="495"/>
      <c r="P84" s="495">
        <v>87.915540540540505</v>
      </c>
      <c r="Q84" s="495">
        <v>59.571428571428598</v>
      </c>
      <c r="R84" s="495"/>
      <c r="S84" s="495"/>
      <c r="T84" s="495"/>
      <c r="U84" s="495"/>
      <c r="V84" s="495"/>
      <c r="W84" s="495"/>
      <c r="X84" s="495"/>
      <c r="Y84" s="495"/>
      <c r="Z84" s="495"/>
      <c r="AA84" s="495">
        <f>IFERROR(AA82/AA83,"")</f>
        <v>86.037854889589909</v>
      </c>
      <c r="AB84" s="495"/>
      <c r="AC84" s="140"/>
      <c r="AD84" s="495">
        <v>71.612596553773002</v>
      </c>
      <c r="AE84" s="495"/>
      <c r="AF84" s="496">
        <f>IF(AND($AA84="",AD84=""),"",$AA84-AD84)</f>
        <v>14.425258335816906</v>
      </c>
      <c r="AG84" s="495">
        <v>61.7191011235955</v>
      </c>
      <c r="AH84" s="495"/>
      <c r="AI84" s="496">
        <f>IF(AND($AA84="",AG84=""),"",$AA84-AG84)</f>
        <v>24.318753765994408</v>
      </c>
    </row>
    <row r="85" spans="1:35" x14ac:dyDescent="0.25">
      <c r="A85" s="11"/>
      <c r="B85" s="11"/>
      <c r="C85" s="208"/>
      <c r="D85" s="11"/>
      <c r="E85" s="11"/>
      <c r="F85" s="11"/>
      <c r="G85" s="11"/>
      <c r="H85" s="185"/>
      <c r="I85" s="122"/>
      <c r="J85" s="122"/>
      <c r="K85" s="11"/>
      <c r="L85" s="90"/>
      <c r="M85" s="90"/>
      <c r="N85" s="90"/>
      <c r="O85" s="170"/>
      <c r="P85" s="171"/>
      <c r="Q85" s="171"/>
      <c r="R85" s="171"/>
      <c r="S85" s="171"/>
      <c r="T85" s="171"/>
      <c r="U85" s="171"/>
      <c r="V85" s="171"/>
      <c r="W85" s="171"/>
      <c r="X85" s="171"/>
      <c r="Y85" s="171"/>
      <c r="Z85" s="171"/>
      <c r="AA85" s="171"/>
      <c r="AB85" s="172"/>
      <c r="AC85" s="140"/>
      <c r="AD85" s="170"/>
      <c r="AE85" s="171"/>
      <c r="AF85" s="172"/>
      <c r="AG85" s="170"/>
      <c r="AH85" s="171"/>
      <c r="AI85" s="172"/>
    </row>
    <row r="86" spans="1:35" x14ac:dyDescent="0.25">
      <c r="A86" s="11"/>
      <c r="B86" s="11"/>
      <c r="C86" s="208"/>
      <c r="D86" s="11"/>
      <c r="E86" s="11"/>
      <c r="F86" s="11"/>
      <c r="G86" s="11"/>
      <c r="H86" s="185"/>
      <c r="I86" s="122"/>
      <c r="J86" s="122"/>
      <c r="K86" s="11"/>
      <c r="L86" s="90"/>
      <c r="M86" s="90"/>
      <c r="N86" s="53" t="s">
        <v>343</v>
      </c>
      <c r="O86" s="514"/>
      <c r="P86" s="481"/>
      <c r="Q86" s="481"/>
      <c r="R86" s="481"/>
      <c r="S86" s="481"/>
      <c r="T86" s="481"/>
      <c r="U86" s="481"/>
      <c r="V86" s="481"/>
      <c r="W86" s="481"/>
      <c r="X86" s="481"/>
      <c r="Y86" s="481"/>
      <c r="Z86" s="481"/>
      <c r="AA86" s="481"/>
      <c r="AB86" s="515"/>
      <c r="AC86" s="140"/>
      <c r="AD86" s="516"/>
      <c r="AE86" s="517"/>
      <c r="AF86" s="157"/>
      <c r="AG86" s="481"/>
      <c r="AH86" s="517"/>
      <c r="AI86" s="157"/>
    </row>
    <row r="87" spans="1:35" x14ac:dyDescent="0.25">
      <c r="A87" s="11"/>
      <c r="B87" s="11"/>
      <c r="C87" s="208"/>
      <c r="D87" s="11"/>
      <c r="E87" s="11"/>
      <c r="F87" s="11"/>
      <c r="G87" s="11"/>
      <c r="H87" s="185"/>
      <c r="I87" s="122"/>
      <c r="J87" s="122"/>
      <c r="K87" s="11"/>
      <c r="L87" s="90"/>
      <c r="M87" s="90"/>
      <c r="N87" s="53" t="s">
        <v>337</v>
      </c>
      <c r="O87" s="158"/>
      <c r="P87" s="159"/>
      <c r="Q87" s="159"/>
      <c r="R87" s="159"/>
      <c r="S87" s="159"/>
      <c r="T87" s="159"/>
      <c r="U87" s="159"/>
      <c r="V87" s="159"/>
      <c r="W87" s="159"/>
      <c r="X87" s="159"/>
      <c r="Y87" s="159"/>
      <c r="Z87" s="159"/>
      <c r="AA87" s="159"/>
      <c r="AB87" s="160"/>
      <c r="AC87" s="140"/>
      <c r="AD87" s="158"/>
      <c r="AE87" s="159"/>
      <c r="AF87" s="160"/>
      <c r="AG87" s="159"/>
      <c r="AH87" s="159"/>
      <c r="AI87" s="160"/>
    </row>
    <row r="88" spans="1:35" x14ac:dyDescent="0.25">
      <c r="A88" s="11"/>
      <c r="B88" s="11"/>
      <c r="C88" s="208"/>
      <c r="D88" s="11"/>
      <c r="E88" s="11"/>
      <c r="F88" s="11"/>
      <c r="G88" s="11"/>
      <c r="H88" s="185" t="s">
        <v>294</v>
      </c>
      <c r="I88" s="122"/>
      <c r="J88" s="122"/>
      <c r="K88" s="11"/>
      <c r="L88" s="90" t="str">
        <f>IF(_epmOfflineCondition_,"461200",_xll.EVPRO($B$1,H88,"JDEID"))</f>
        <v>461200</v>
      </c>
      <c r="M88" s="90" t="str">
        <f>IF(_epmOfflineCondition_,"",IF(AND(I88="N",J88="N"),_xll.EVPRO($B$1,H88,"PSFTID"),""))</f>
        <v/>
      </c>
      <c r="N88" s="90" t="str">
        <f>IF(_epmOfflineCondition_,"Breakfast Liquor",IF(_xll.EVDES(H88,$B$1)="#NODATA","",_xll.EVDES(H88,$B$1)))</f>
        <v>Breakfast Liquor</v>
      </c>
      <c r="O88" s="138"/>
      <c r="P88" s="138"/>
      <c r="Q88" s="138"/>
      <c r="R88" s="138"/>
      <c r="S88" s="138"/>
      <c r="T88" s="138"/>
      <c r="U88" s="138"/>
      <c r="V88" s="138"/>
      <c r="W88" s="138"/>
      <c r="X88" s="138"/>
      <c r="Y88" s="138"/>
      <c r="Z88" s="138"/>
      <c r="AA88" s="138">
        <f>SUM(O88:Z88)</f>
        <v>0</v>
      </c>
      <c r="AB88" s="142" t="str">
        <f>IF(AA88=0,"",IFERROR(AA88/AA$19,""))</f>
        <v/>
      </c>
      <c r="AC88" s="140"/>
      <c r="AD88" s="138"/>
      <c r="AE88" s="142" t="str">
        <f>IF(AD88=0,"",IFERROR(AD88/AD$19,""))</f>
        <v/>
      </c>
      <c r="AF88" s="141">
        <f>IF(AND($AA88="",AD88=""),"",$AA88-AD88)</f>
        <v>0</v>
      </c>
      <c r="AG88" s="138"/>
      <c r="AH88" s="142" t="str">
        <f>IF(AG88=0,"",IFERROR(AG88/AG$19,""))</f>
        <v/>
      </c>
      <c r="AI88" s="141">
        <f>IF(AND($AA88="",AG88=""),"",$AA88-AG88)</f>
        <v>0</v>
      </c>
    </row>
    <row r="89" spans="1:35" x14ac:dyDescent="0.25">
      <c r="A89" s="11"/>
      <c r="B89" s="11"/>
      <c r="C89" s="208"/>
      <c r="D89" s="11"/>
      <c r="E89" s="11"/>
      <c r="F89" s="11"/>
      <c r="G89" s="11"/>
      <c r="H89" s="185" t="s">
        <v>301</v>
      </c>
      <c r="I89" s="122"/>
      <c r="J89" s="122"/>
      <c r="K89" s="11"/>
      <c r="L89" s="90" t="str">
        <f>IF(_epmOfflineCondition_,"462200",_xll.EVPRO($B$1,H89,"JDEID"))</f>
        <v>462200</v>
      </c>
      <c r="M89" s="90" t="str">
        <f>IF(_epmOfflineCondition_,"",IF(AND(I89="N",J89="N"),_xll.EVPRO($B$1,H89,"PSFTID"),""))</f>
        <v/>
      </c>
      <c r="N89" s="90" t="str">
        <f>IF(_epmOfflineCondition_,"Lunch Liquor",IF(_xll.EVDES(H89,$B$1)="#NODATA","",_xll.EVDES(H89,$B$1)))</f>
        <v>Lunch Liquor</v>
      </c>
      <c r="O89" s="138"/>
      <c r="P89" s="138"/>
      <c r="Q89" s="138"/>
      <c r="R89" s="138"/>
      <c r="S89" s="138"/>
      <c r="T89" s="138"/>
      <c r="U89" s="138"/>
      <c r="V89" s="138"/>
      <c r="W89" s="138"/>
      <c r="X89" s="138"/>
      <c r="Y89" s="138"/>
      <c r="Z89" s="138"/>
      <c r="AA89" s="138">
        <f>SUM(O89:Z89)</f>
        <v>0</v>
      </c>
      <c r="AB89" s="142" t="str">
        <f>IF(AA89=0,"",IFERROR(AA89/AA$19,""))</f>
        <v/>
      </c>
      <c r="AC89" s="140"/>
      <c r="AD89" s="138"/>
      <c r="AE89" s="142" t="str">
        <f>IF(AD89=0,"",IFERROR(AD89/AD$19,""))</f>
        <v/>
      </c>
      <c r="AF89" s="141">
        <f>IF(AND($AA89="",AD89=""),"",$AA89-AD89)</f>
        <v>0</v>
      </c>
      <c r="AG89" s="138"/>
      <c r="AH89" s="142" t="str">
        <f>IF(AG89=0,"",IFERROR(AG89/AG$19,""))</f>
        <v/>
      </c>
      <c r="AI89" s="141">
        <f>IF(AND($AA89="",AG89=""),"",$AA89-AG89)</f>
        <v>0</v>
      </c>
    </row>
    <row r="90" spans="1:35" x14ac:dyDescent="0.25">
      <c r="A90" s="11"/>
      <c r="B90" s="11"/>
      <c r="C90" s="208"/>
      <c r="D90" s="11"/>
      <c r="E90" s="11"/>
      <c r="F90" s="11"/>
      <c r="G90" s="11"/>
      <c r="H90" s="185" t="s">
        <v>302</v>
      </c>
      <c r="I90" s="122"/>
      <c r="J90" s="122"/>
      <c r="K90" s="11"/>
      <c r="L90" s="90" t="str">
        <f>IF(_epmOfflineCondition_,"463200",_xll.EVPRO($B$1,H90,"JDEID"))</f>
        <v>463200</v>
      </c>
      <c r="M90" s="90" t="str">
        <f>IF(_epmOfflineCondition_,"",IF(AND(I90="N",J90="N"),_xll.EVPRO($B$1,H90,"PSFTID"),""))</f>
        <v/>
      </c>
      <c r="N90" s="90" t="str">
        <f>IF(_epmOfflineCondition_,"Dinner Liquor",IF(_xll.EVDES(H90,$B$1)="#NODATA","",_xll.EVDES(H90,$B$1)))</f>
        <v>Dinner Liquor</v>
      </c>
      <c r="O90" s="138"/>
      <c r="P90" s="138"/>
      <c r="Q90" s="138">
        <v>630</v>
      </c>
      <c r="R90" s="138"/>
      <c r="S90" s="138"/>
      <c r="T90" s="138"/>
      <c r="U90" s="138"/>
      <c r="V90" s="138"/>
      <c r="W90" s="138"/>
      <c r="X90" s="138"/>
      <c r="Y90" s="138"/>
      <c r="Z90" s="138"/>
      <c r="AA90" s="138">
        <f>SUM(O90:Z90)</f>
        <v>630</v>
      </c>
      <c r="AB90" s="142">
        <f>IF(AA90=0,"",IFERROR(AA90/AA$19,""))</f>
        <v>2.3098922050304321E-2</v>
      </c>
      <c r="AC90" s="140"/>
      <c r="AD90" s="138">
        <v>1319.9472000000001</v>
      </c>
      <c r="AE90" s="142">
        <f>IF(AD90=0,"",IFERROR(AD90/AD$19,""))</f>
        <v>2.882036161393494E-2</v>
      </c>
      <c r="AF90" s="141">
        <f>IF(AND($AA90="",AD90=""),"",$AA90-AD90)</f>
        <v>-689.94720000000007</v>
      </c>
      <c r="AG90" s="138"/>
      <c r="AH90" s="142" t="str">
        <f>IF(AG90=0,"",IFERROR(AG90/AG$19,""))</f>
        <v/>
      </c>
      <c r="AI90" s="141">
        <f>IF(AND($AA90="",AG90=""),"",$AA90-AG90)</f>
        <v>630</v>
      </c>
    </row>
    <row r="91" spans="1:35" collapsed="1" x14ac:dyDescent="0.25">
      <c r="A91" s="11"/>
      <c r="B91" s="11"/>
      <c r="C91" s="208"/>
      <c r="D91" s="11"/>
      <c r="E91" s="11"/>
      <c r="F91" s="11"/>
      <c r="G91" s="11"/>
      <c r="H91" s="185" t="s">
        <v>808</v>
      </c>
      <c r="I91" s="122"/>
      <c r="J91" s="122"/>
      <c r="K91" s="11"/>
      <c r="L91" s="90" t="str">
        <f>IF(_epmOfflineCondition_,"471210",_xll.EVPRO($B$1,H91,"JDEID"))</f>
        <v>471210</v>
      </c>
      <c r="M91" s="90" t="str">
        <f>IF(_epmOfflineCondition_,"",IF(AND(I91="N",J91="N"),_xll.EVPRO($B$1,H91,"PSFTID"),""))</f>
        <v/>
      </c>
      <c r="N91" s="90" t="str">
        <f>IF(_epmOfflineCondition_,"Reception Liquor",IF(_xll.EVDES(H91,$B$1)="#NODATA","",_xll.EVDES(H91,$B$1)))</f>
        <v>Reception Liquor</v>
      </c>
      <c r="O91" s="138"/>
      <c r="P91" s="138"/>
      <c r="Q91" s="138"/>
      <c r="R91" s="138"/>
      <c r="S91" s="138"/>
      <c r="T91" s="138"/>
      <c r="U91" s="138"/>
      <c r="V91" s="138"/>
      <c r="W91" s="138"/>
      <c r="X91" s="138"/>
      <c r="Y91" s="138"/>
      <c r="Z91" s="138"/>
      <c r="AA91" s="138">
        <f>SUM(O91:Z91)</f>
        <v>0</v>
      </c>
      <c r="AB91" s="142" t="str">
        <f>IF(AA91=0,"",IFERROR(AA91/AA$19,""))</f>
        <v/>
      </c>
      <c r="AC91" s="140"/>
      <c r="AD91" s="138"/>
      <c r="AE91" s="142" t="str">
        <f>IF(AD91=0,"",IFERROR(AD91/AD$19,""))</f>
        <v/>
      </c>
      <c r="AF91" s="141">
        <f>IF(AND($AA91="",AD91=""),"",$AA91-AD91)</f>
        <v>0</v>
      </c>
      <c r="AG91" s="138"/>
      <c r="AH91" s="142" t="str">
        <f>IF(AG91=0,"",IFERROR(AG91/AG$19,""))</f>
        <v/>
      </c>
      <c r="AI91" s="141">
        <f>IF(AND($AA91="",AG91=""),"",$AA91-AG91)</f>
        <v>0</v>
      </c>
    </row>
    <row r="92" spans="1:35" x14ac:dyDescent="0.25">
      <c r="A92" s="11"/>
      <c r="B92" s="11"/>
      <c r="C92" s="208"/>
      <c r="D92" s="11"/>
      <c r="E92" s="11"/>
      <c r="F92" s="11"/>
      <c r="G92" s="11"/>
      <c r="H92" s="185" t="s">
        <v>340</v>
      </c>
      <c r="I92" s="122"/>
      <c r="J92" s="122"/>
      <c r="K92" s="11"/>
      <c r="L92" s="90" t="str">
        <f>IF(_epmOfflineCondition_,"",_xll.EVPRO($B$1,H92,"JDEID"))</f>
        <v/>
      </c>
      <c r="M92" s="90" t="str">
        <f>IF(_epmOfflineCondition_,"",IF(AND(I92="N",J92="N"),_xll.EVPRO($B$1,H92,"PSFTID"),""))</f>
        <v/>
      </c>
      <c r="N92" s="106" t="str">
        <f>IF(_epmOfflineCondition_,"Liquor Revenue ",IF(_xll.EVDES(H92,$B$1)="#NODATA","",_xll.EVDES(H92,$B$1)))</f>
        <v xml:space="preserve">Liquor Revenue </v>
      </c>
      <c r="O92" s="162"/>
      <c r="P92" s="162"/>
      <c r="Q92" s="162">
        <v>630</v>
      </c>
      <c r="R92" s="162"/>
      <c r="S92" s="162"/>
      <c r="T92" s="162"/>
      <c r="U92" s="162"/>
      <c r="V92" s="162"/>
      <c r="W92" s="162"/>
      <c r="X92" s="162"/>
      <c r="Y92" s="162"/>
      <c r="Z92" s="162"/>
      <c r="AA92" s="162">
        <f>SUM(O92:Z92)</f>
        <v>630</v>
      </c>
      <c r="AB92" s="163">
        <f>IF(AA92=0,"",IFERROR(AA92/AA$19,""))</f>
        <v>2.3098922050304321E-2</v>
      </c>
      <c r="AC92" s="140"/>
      <c r="AD92" s="162">
        <v>1319.9472000000001</v>
      </c>
      <c r="AE92" s="163">
        <f>IF(AD92=0,"",IFERROR(AD92/AD$19,""))</f>
        <v>2.882036161393494E-2</v>
      </c>
      <c r="AF92" s="164">
        <f>IF(AND($AA92="",AD92=""),"",$AA92-AD92)</f>
        <v>-689.94720000000007</v>
      </c>
      <c r="AG92" s="162"/>
      <c r="AH92" s="163" t="str">
        <f>IF(AG92=0,"",IFERROR(AG92/AG$19,""))</f>
        <v/>
      </c>
      <c r="AI92" s="164">
        <f>IF(AND($AA92="",AG92=""),"",$AA92-AG92)</f>
        <v>630</v>
      </c>
    </row>
    <row r="93" spans="1:35" x14ac:dyDescent="0.25">
      <c r="A93" s="11"/>
      <c r="B93" s="11"/>
      <c r="C93" s="208"/>
      <c r="D93" s="11"/>
      <c r="E93" s="11"/>
      <c r="F93" s="11"/>
      <c r="G93" s="11"/>
      <c r="H93" s="185"/>
      <c r="I93" s="122"/>
      <c r="J93" s="122"/>
      <c r="K93" s="11"/>
      <c r="L93" s="90"/>
      <c r="M93" s="90"/>
      <c r="N93" s="53"/>
      <c r="O93" s="170"/>
      <c r="P93" s="171"/>
      <c r="Q93" s="171"/>
      <c r="R93" s="171"/>
      <c r="S93" s="171"/>
      <c r="T93" s="171"/>
      <c r="U93" s="171"/>
      <c r="V93" s="171"/>
      <c r="W93" s="171"/>
      <c r="X93" s="171"/>
      <c r="Y93" s="171"/>
      <c r="Z93" s="171"/>
      <c r="AA93" s="171"/>
      <c r="AB93" s="172"/>
      <c r="AC93" s="140"/>
      <c r="AD93" s="170"/>
      <c r="AE93" s="171"/>
      <c r="AF93" s="172"/>
      <c r="AG93" s="170"/>
      <c r="AH93" s="171"/>
      <c r="AI93" s="172"/>
    </row>
    <row r="94" spans="1:35" x14ac:dyDescent="0.25">
      <c r="A94" s="11"/>
      <c r="B94" s="11"/>
      <c r="C94" s="208"/>
      <c r="D94" s="11"/>
      <c r="E94" s="11"/>
      <c r="F94" s="11"/>
      <c r="G94" s="11"/>
      <c r="H94" s="185"/>
      <c r="I94" s="122"/>
      <c r="J94" s="122"/>
      <c r="K94" s="11"/>
      <c r="L94" s="90"/>
      <c r="M94" s="90"/>
      <c r="N94" s="53" t="s">
        <v>339</v>
      </c>
      <c r="O94" s="158"/>
      <c r="P94" s="159"/>
      <c r="Q94" s="159"/>
      <c r="R94" s="159"/>
      <c r="S94" s="159"/>
      <c r="T94" s="159"/>
      <c r="U94" s="159"/>
      <c r="V94" s="159"/>
      <c r="W94" s="159"/>
      <c r="X94" s="159"/>
      <c r="Y94" s="159"/>
      <c r="Z94" s="159"/>
      <c r="AA94" s="159"/>
      <c r="AB94" s="160"/>
      <c r="AC94" s="140"/>
      <c r="AD94" s="158"/>
      <c r="AE94" s="159"/>
      <c r="AF94" s="160"/>
      <c r="AG94" s="158"/>
      <c r="AH94" s="159"/>
      <c r="AI94" s="160"/>
    </row>
    <row r="95" spans="1:35" x14ac:dyDescent="0.25">
      <c r="A95" s="11"/>
      <c r="B95" s="11"/>
      <c r="C95" s="208"/>
      <c r="D95" s="11"/>
      <c r="E95" s="11"/>
      <c r="F95" s="11"/>
      <c r="G95" s="11"/>
      <c r="H95" s="185" t="s">
        <v>295</v>
      </c>
      <c r="I95" s="122"/>
      <c r="J95" s="122"/>
      <c r="K95" s="11"/>
      <c r="L95" s="90" t="str">
        <f>IF(_epmOfflineCondition_,"461300",_xll.EVPRO($B$1,H95,"JDEID"))</f>
        <v>461300</v>
      </c>
      <c r="M95" s="90" t="str">
        <f>IF(_epmOfflineCondition_,"",IF(AND(I95="N",J95="N"),_xll.EVPRO($B$1,H95,"PSFTID"),""))</f>
        <v/>
      </c>
      <c r="N95" s="90" t="str">
        <f>IF(_epmOfflineCondition_,"Breakfast Beer",IF(_xll.EVDES(H95,$B$1)="#NODATA","",_xll.EVDES(H95,$B$1)))</f>
        <v>Breakfast Beer</v>
      </c>
      <c r="O95" s="138"/>
      <c r="P95" s="138"/>
      <c r="Q95" s="138"/>
      <c r="R95" s="138"/>
      <c r="S95" s="138"/>
      <c r="T95" s="138"/>
      <c r="U95" s="138"/>
      <c r="V95" s="138"/>
      <c r="W95" s="138"/>
      <c r="X95" s="138"/>
      <c r="Y95" s="138"/>
      <c r="Z95" s="138"/>
      <c r="AA95" s="138">
        <f>SUM(O95:Z95)</f>
        <v>0</v>
      </c>
      <c r="AB95" s="142" t="str">
        <f>IF(AA95=0,"",IFERROR(AA95/AA$19,""))</f>
        <v/>
      </c>
      <c r="AC95" s="140"/>
      <c r="AD95" s="138"/>
      <c r="AE95" s="142" t="str">
        <f>IF(AD95=0,"",IFERROR(AD95/AD$19,""))</f>
        <v/>
      </c>
      <c r="AF95" s="141">
        <f>IF(AND($AA95="",AD95=""),"",$AA95-AD95)</f>
        <v>0</v>
      </c>
      <c r="AG95" s="138"/>
      <c r="AH95" s="142" t="str">
        <f>IF(AG95=0,"",IFERROR(AG95/AG$19,""))</f>
        <v/>
      </c>
      <c r="AI95" s="141">
        <f>IF(AND($AA95="",AG95=""),"",$AA95-AG95)</f>
        <v>0</v>
      </c>
    </row>
    <row r="96" spans="1:35" x14ac:dyDescent="0.25">
      <c r="A96" s="11"/>
      <c r="B96" s="11"/>
      <c r="C96" s="208"/>
      <c r="D96" s="11"/>
      <c r="E96" s="11"/>
      <c r="F96" s="11"/>
      <c r="G96" s="11"/>
      <c r="H96" s="185" t="s">
        <v>305</v>
      </c>
      <c r="I96" s="122"/>
      <c r="J96" s="122"/>
      <c r="K96" s="11"/>
      <c r="L96" s="90" t="str">
        <f>IF(_epmOfflineCondition_,"462300",_xll.EVPRO($B$1,H96,"JDEID"))</f>
        <v>462300</v>
      </c>
      <c r="M96" s="90" t="str">
        <f>IF(_epmOfflineCondition_,"",IF(AND(I96="N",J96="N"),_xll.EVPRO($B$1,H96,"PSFTID"),""))</f>
        <v/>
      </c>
      <c r="N96" s="90" t="str">
        <f>IF(_epmOfflineCondition_,"Lunch Beer",IF(_xll.EVDES(H96,$B$1)="#NODATA","",_xll.EVDES(H96,$B$1)))</f>
        <v>Lunch Beer</v>
      </c>
      <c r="O96" s="138"/>
      <c r="P96" s="138"/>
      <c r="Q96" s="138"/>
      <c r="R96" s="138"/>
      <c r="S96" s="138"/>
      <c r="T96" s="138"/>
      <c r="U96" s="138"/>
      <c r="V96" s="138"/>
      <c r="W96" s="138"/>
      <c r="X96" s="138"/>
      <c r="Y96" s="138"/>
      <c r="Z96" s="138"/>
      <c r="AA96" s="138">
        <f>SUM(O96:Z96)</f>
        <v>0</v>
      </c>
      <c r="AB96" s="142" t="str">
        <f>IF(AA96=0,"",IFERROR(AA96/AA$19,""))</f>
        <v/>
      </c>
      <c r="AC96" s="140"/>
      <c r="AD96" s="138"/>
      <c r="AE96" s="142" t="str">
        <f>IF(AD96=0,"",IFERROR(AD96/AD$19,""))</f>
        <v/>
      </c>
      <c r="AF96" s="141">
        <f>IF(AND($AA96="",AD96=""),"",$AA96-AD96)</f>
        <v>0</v>
      </c>
      <c r="AG96" s="138"/>
      <c r="AH96" s="142" t="str">
        <f>IF(AG96=0,"",IFERROR(AG96/AG$19,""))</f>
        <v/>
      </c>
      <c r="AI96" s="141">
        <f>IF(AND($AA96="",AG96=""),"",$AA96-AG96)</f>
        <v>0</v>
      </c>
    </row>
    <row r="97" spans="1:35" x14ac:dyDescent="0.25">
      <c r="A97" s="11"/>
      <c r="B97" s="11"/>
      <c r="C97" s="208"/>
      <c r="D97" s="11"/>
      <c r="E97" s="11"/>
      <c r="F97" s="11"/>
      <c r="G97" s="11"/>
      <c r="H97" s="185" t="s">
        <v>306</v>
      </c>
      <c r="I97" s="122"/>
      <c r="J97" s="122"/>
      <c r="K97" s="11"/>
      <c r="L97" s="90" t="str">
        <f>IF(_epmOfflineCondition_,"463300",_xll.EVPRO($B$1,H97,"JDEID"))</f>
        <v>463300</v>
      </c>
      <c r="M97" s="90" t="str">
        <f>IF(_epmOfflineCondition_,"",IF(AND(I97="N",J97="N"),_xll.EVPRO($B$1,H97,"PSFTID"),""))</f>
        <v/>
      </c>
      <c r="N97" s="90" t="str">
        <f>IF(_epmOfflineCondition_,"Dinner Beer",IF(_xll.EVDES(H97,$B$1)="#NODATA","",_xll.EVDES(H97,$B$1)))</f>
        <v>Dinner Beer</v>
      </c>
      <c r="O97" s="138"/>
      <c r="P97" s="138"/>
      <c r="Q97" s="138"/>
      <c r="R97" s="138"/>
      <c r="S97" s="138"/>
      <c r="T97" s="138"/>
      <c r="U97" s="138"/>
      <c r="V97" s="138"/>
      <c r="W97" s="138"/>
      <c r="X97" s="138"/>
      <c r="Y97" s="138"/>
      <c r="Z97" s="138"/>
      <c r="AA97" s="138">
        <f>SUM(O97:Z97)</f>
        <v>0</v>
      </c>
      <c r="AB97" s="142" t="str">
        <f>IF(AA97=0,"",IFERROR(AA97/AA$19,""))</f>
        <v/>
      </c>
      <c r="AC97" s="140"/>
      <c r="AD97" s="138">
        <v>239.99039999999999</v>
      </c>
      <c r="AE97" s="142">
        <f>IF(AD97=0,"",IFERROR(AD97/AD$19,""))</f>
        <v>5.2400657479881709E-3</v>
      </c>
      <c r="AF97" s="141">
        <f>IF(AND($AA97="",AD97=""),"",$AA97-AD97)</f>
        <v>-239.99039999999999</v>
      </c>
      <c r="AG97" s="138"/>
      <c r="AH97" s="142" t="str">
        <f>IF(AG97=0,"",IFERROR(AG97/AG$19,""))</f>
        <v/>
      </c>
      <c r="AI97" s="141">
        <f>IF(AND($AA97="",AG97=""),"",$AA97-AG97)</f>
        <v>0</v>
      </c>
    </row>
    <row r="98" spans="1:35" x14ac:dyDescent="0.25">
      <c r="A98" s="11"/>
      <c r="B98" s="11"/>
      <c r="C98" s="208"/>
      <c r="D98" s="11"/>
      <c r="E98" s="11"/>
      <c r="F98" s="11"/>
      <c r="G98" s="11"/>
      <c r="H98" s="185" t="s">
        <v>809</v>
      </c>
      <c r="I98" s="122"/>
      <c r="J98" s="122"/>
      <c r="K98" s="11"/>
      <c r="L98" s="90" t="str">
        <f>IF(_epmOfflineCondition_,"471310",_xll.EVPRO($B$1,H98,"JDEID"))</f>
        <v>471310</v>
      </c>
      <c r="M98" s="90" t="str">
        <f>IF(_epmOfflineCondition_,"",IF(AND(I98="N",J98="N"),_xll.EVPRO($B$1,H98,"PSFTID"),""))</f>
        <v/>
      </c>
      <c r="N98" s="90" t="str">
        <f>IF(_epmOfflineCondition_,"Reception Beer",IF(_xll.EVDES(H98,$B$1)="#NODATA","",_xll.EVDES(H98,$B$1)))</f>
        <v>Reception Beer</v>
      </c>
      <c r="O98" s="138"/>
      <c r="P98" s="138"/>
      <c r="Q98" s="138"/>
      <c r="R98" s="138"/>
      <c r="S98" s="138"/>
      <c r="T98" s="138"/>
      <c r="U98" s="138"/>
      <c r="V98" s="138"/>
      <c r="W98" s="138"/>
      <c r="X98" s="138"/>
      <c r="Y98" s="138"/>
      <c r="Z98" s="138"/>
      <c r="AA98" s="138">
        <f>SUM(O98:Z98)</f>
        <v>0</v>
      </c>
      <c r="AB98" s="142" t="str">
        <f>IF(AA98=0,"",IFERROR(AA98/AA$19,""))</f>
        <v/>
      </c>
      <c r="AC98" s="140"/>
      <c r="AD98" s="138"/>
      <c r="AE98" s="142" t="str">
        <f>IF(AD98=0,"",IFERROR(AD98/AD$19,""))</f>
        <v/>
      </c>
      <c r="AF98" s="141">
        <f>IF(AND($AA98="",AD98=""),"",$AA98-AD98)</f>
        <v>0</v>
      </c>
      <c r="AG98" s="138"/>
      <c r="AH98" s="142" t="str">
        <f>IF(AG98=0,"",IFERROR(AG98/AG$19,""))</f>
        <v/>
      </c>
      <c r="AI98" s="141">
        <f>IF(AND($AA98="",AG98=""),"",$AA98-AG98)</f>
        <v>0</v>
      </c>
    </row>
    <row r="99" spans="1:35" x14ac:dyDescent="0.25">
      <c r="A99" s="11"/>
      <c r="B99" s="11"/>
      <c r="C99" s="208"/>
      <c r="D99" s="11"/>
      <c r="E99" s="11"/>
      <c r="F99" s="11"/>
      <c r="G99" s="11"/>
      <c r="H99" s="185" t="s">
        <v>342</v>
      </c>
      <c r="I99" s="122"/>
      <c r="J99" s="122"/>
      <c r="K99" s="11"/>
      <c r="L99" s="90" t="str">
        <f>IF(_epmOfflineCondition_,"",_xll.EVPRO($B$1,H99,"JDEID"))</f>
        <v/>
      </c>
      <c r="M99" s="90" t="str">
        <f>IF(_epmOfflineCondition_,"",IF(AND(I99="N",J99="N"),_xll.EVPRO($B$1,H99,"PSFTID"),""))</f>
        <v/>
      </c>
      <c r="N99" s="106" t="str">
        <f>IF(_epmOfflineCondition_,"Beer Revenue",IF(_xll.EVDES(H99,$B$1)="#NODATA","",_xll.EVDES(H99,$B$1)))</f>
        <v>Beer Revenue</v>
      </c>
      <c r="O99" s="162"/>
      <c r="P99" s="162"/>
      <c r="Q99" s="162"/>
      <c r="R99" s="162"/>
      <c r="S99" s="162"/>
      <c r="T99" s="162"/>
      <c r="U99" s="162"/>
      <c r="V99" s="162"/>
      <c r="W99" s="162"/>
      <c r="X99" s="162"/>
      <c r="Y99" s="162"/>
      <c r="Z99" s="162"/>
      <c r="AA99" s="162">
        <f>SUM(O99:Z99)</f>
        <v>0</v>
      </c>
      <c r="AB99" s="163" t="str">
        <f>IF(AA99=0,"",IFERROR(AA99/AA$19,""))</f>
        <v/>
      </c>
      <c r="AC99" s="140"/>
      <c r="AD99" s="162">
        <v>239.99039999999999</v>
      </c>
      <c r="AE99" s="163">
        <f>IF(AD99=0,"",IFERROR(AD99/AD$19,""))</f>
        <v>5.2400657479881709E-3</v>
      </c>
      <c r="AF99" s="164">
        <f>IF(AND($AA99="",AD99=""),"",$AA99-AD99)</f>
        <v>-239.99039999999999</v>
      </c>
      <c r="AG99" s="162"/>
      <c r="AH99" s="163" t="str">
        <f>IF(AG99=0,"",IFERROR(AG99/AG$19,""))</f>
        <v/>
      </c>
      <c r="AI99" s="164">
        <f>IF(AND($AA99="",AG99=""),"",$AA99-AG99)</f>
        <v>0</v>
      </c>
    </row>
    <row r="100" spans="1:35" x14ac:dyDescent="0.25">
      <c r="A100" s="11"/>
      <c r="B100" s="11"/>
      <c r="C100" s="208"/>
      <c r="D100" s="11"/>
      <c r="E100" s="11"/>
      <c r="F100" s="11"/>
      <c r="G100" s="11"/>
      <c r="H100" s="185"/>
      <c r="I100" s="122"/>
      <c r="J100" s="122"/>
      <c r="K100" s="11"/>
      <c r="L100" s="90"/>
      <c r="M100" s="90"/>
      <c r="N100" s="53"/>
      <c r="O100" s="170"/>
      <c r="P100" s="171"/>
      <c r="Q100" s="171"/>
      <c r="R100" s="171"/>
      <c r="S100" s="171"/>
      <c r="T100" s="171"/>
      <c r="U100" s="171"/>
      <c r="V100" s="171"/>
      <c r="W100" s="171"/>
      <c r="X100" s="171"/>
      <c r="Y100" s="171"/>
      <c r="Z100" s="171"/>
      <c r="AA100" s="171"/>
      <c r="AB100" s="172"/>
      <c r="AC100" s="140"/>
      <c r="AD100" s="170"/>
      <c r="AE100" s="171"/>
      <c r="AF100" s="172"/>
      <c r="AG100" s="170"/>
      <c r="AH100" s="171"/>
      <c r="AI100" s="172"/>
    </row>
    <row r="101" spans="1:35" x14ac:dyDescent="0.25">
      <c r="A101" s="11"/>
      <c r="B101" s="11"/>
      <c r="C101" s="208"/>
      <c r="D101" s="11"/>
      <c r="E101" s="11"/>
      <c r="F101" s="11"/>
      <c r="G101" s="11"/>
      <c r="H101" s="185"/>
      <c r="I101" s="122"/>
      <c r="J101" s="122"/>
      <c r="K101" s="11"/>
      <c r="L101" s="90"/>
      <c r="M101" s="90"/>
      <c r="N101" s="53" t="s">
        <v>338</v>
      </c>
      <c r="O101" s="158"/>
      <c r="P101" s="159"/>
      <c r="Q101" s="159"/>
      <c r="R101" s="159"/>
      <c r="S101" s="159"/>
      <c r="T101" s="159"/>
      <c r="U101" s="159"/>
      <c r="V101" s="159"/>
      <c r="W101" s="159"/>
      <c r="X101" s="159"/>
      <c r="Y101" s="159"/>
      <c r="Z101" s="159"/>
      <c r="AA101" s="159"/>
      <c r="AB101" s="160"/>
      <c r="AC101" s="140"/>
      <c r="AD101" s="158"/>
      <c r="AE101" s="159"/>
      <c r="AF101" s="160"/>
      <c r="AG101" s="158"/>
      <c r="AH101" s="159"/>
      <c r="AI101" s="160"/>
    </row>
    <row r="102" spans="1:35" x14ac:dyDescent="0.25">
      <c r="A102" s="11"/>
      <c r="B102" s="11"/>
      <c r="C102" s="208"/>
      <c r="D102" s="11"/>
      <c r="E102" s="11"/>
      <c r="F102" s="11"/>
      <c r="G102" s="11"/>
      <c r="H102" s="185" t="s">
        <v>296</v>
      </c>
      <c r="I102" s="122"/>
      <c r="J102" s="122"/>
      <c r="K102" s="11"/>
      <c r="L102" s="90" t="str">
        <f>IF(_epmOfflineCondition_,"461400",_xll.EVPRO($B$1,H102,"JDEID"))</f>
        <v>461400</v>
      </c>
      <c r="M102" s="90" t="str">
        <f>IF(_epmOfflineCondition_,"",IF(AND(I102="N",J102="N"),_xll.EVPRO($B$1,H102,"PSFTID"),""))</f>
        <v/>
      </c>
      <c r="N102" s="90" t="str">
        <f>IF(_epmOfflineCondition_,"Breakfast Wine",IF(_xll.EVDES(H102,$B$1)="#NODATA","",_xll.EVDES(H102,$B$1)))</f>
        <v>Breakfast Wine</v>
      </c>
      <c r="O102" s="138"/>
      <c r="P102" s="138"/>
      <c r="Q102" s="138"/>
      <c r="R102" s="138"/>
      <c r="S102" s="138"/>
      <c r="T102" s="138"/>
      <c r="U102" s="138"/>
      <c r="V102" s="138"/>
      <c r="W102" s="138"/>
      <c r="X102" s="138"/>
      <c r="Y102" s="138"/>
      <c r="Z102" s="138"/>
      <c r="AA102" s="138">
        <f>SUM(O102:Z102)</f>
        <v>0</v>
      </c>
      <c r="AB102" s="142" t="str">
        <f>IF(AA102=0,"",IFERROR(AA102/AA$19,""))</f>
        <v/>
      </c>
      <c r="AC102" s="140"/>
      <c r="AD102" s="138"/>
      <c r="AE102" s="142" t="str">
        <f>IF(AD102=0,"",IFERROR(AD102/AD$19,""))</f>
        <v/>
      </c>
      <c r="AF102" s="141">
        <f>IF(AND($AA102="",AD102=""),"",$AA102-AD102)</f>
        <v>0</v>
      </c>
      <c r="AG102" s="138"/>
      <c r="AH102" s="142" t="str">
        <f>IF(AG102=0,"",IFERROR(AG102/AG$19,""))</f>
        <v/>
      </c>
      <c r="AI102" s="141">
        <f>IF(AND($AA102="",AG102=""),"",$AA102-AG102)</f>
        <v>0</v>
      </c>
    </row>
    <row r="103" spans="1:35" x14ac:dyDescent="0.25">
      <c r="A103" s="11"/>
      <c r="B103" s="11"/>
      <c r="C103" s="208"/>
      <c r="D103" s="11"/>
      <c r="E103" s="11"/>
      <c r="F103" s="11"/>
      <c r="G103" s="11"/>
      <c r="H103" s="185" t="s">
        <v>303</v>
      </c>
      <c r="I103" s="122"/>
      <c r="J103" s="122"/>
      <c r="K103" s="11"/>
      <c r="L103" s="90" t="str">
        <f>IF(_epmOfflineCondition_,"462400",_xll.EVPRO($B$1,H103,"JDEID"))</f>
        <v>462400</v>
      </c>
      <c r="M103" s="90" t="str">
        <f>IF(_epmOfflineCondition_,"",IF(AND(I103="N",J103="N"),_xll.EVPRO($B$1,H103,"PSFTID"),""))</f>
        <v/>
      </c>
      <c r="N103" s="90" t="str">
        <f>IF(_epmOfflineCondition_,"Lunch Wine",IF(_xll.EVDES(H103,$B$1)="#NODATA","",_xll.EVDES(H103,$B$1)))</f>
        <v>Lunch Wine</v>
      </c>
      <c r="O103" s="138"/>
      <c r="P103" s="138"/>
      <c r="Q103" s="138"/>
      <c r="R103" s="138"/>
      <c r="S103" s="138"/>
      <c r="T103" s="138"/>
      <c r="U103" s="138"/>
      <c r="V103" s="138"/>
      <c r="W103" s="138"/>
      <c r="X103" s="138"/>
      <c r="Y103" s="138"/>
      <c r="Z103" s="138"/>
      <c r="AA103" s="138">
        <f>SUM(O103:Z103)</f>
        <v>0</v>
      </c>
      <c r="AB103" s="142" t="str">
        <f>IF(AA103=0,"",IFERROR(AA103/AA$19,""))</f>
        <v/>
      </c>
      <c r="AC103" s="140"/>
      <c r="AD103" s="138"/>
      <c r="AE103" s="142" t="str">
        <f>IF(AD103=0,"",IFERROR(AD103/AD$19,""))</f>
        <v/>
      </c>
      <c r="AF103" s="141">
        <f>IF(AND($AA103="",AD103=""),"",$AA103-AD103)</f>
        <v>0</v>
      </c>
      <c r="AG103" s="138"/>
      <c r="AH103" s="142" t="str">
        <f>IF(AG103=0,"",IFERROR(AG103/AG$19,""))</f>
        <v/>
      </c>
      <c r="AI103" s="141">
        <f>IF(AND($AA103="",AG103=""),"",$AA103-AG103)</f>
        <v>0</v>
      </c>
    </row>
    <row r="104" spans="1:35" x14ac:dyDescent="0.25">
      <c r="A104" s="11"/>
      <c r="B104" s="11"/>
      <c r="C104" s="208"/>
      <c r="D104" s="11"/>
      <c r="E104" s="11"/>
      <c r="F104" s="11"/>
      <c r="G104" s="11"/>
      <c r="H104" s="185" t="s">
        <v>304</v>
      </c>
      <c r="I104" s="122"/>
      <c r="J104" s="122"/>
      <c r="K104" s="11"/>
      <c r="L104" s="90" t="str">
        <f>IF(_epmOfflineCondition_,"463400",_xll.EVPRO($B$1,H104,"JDEID"))</f>
        <v>463400</v>
      </c>
      <c r="M104" s="90" t="str">
        <f>IF(_epmOfflineCondition_,"",IF(AND(I104="N",J104="N"),_xll.EVPRO($B$1,H104,"PSFTID"),""))</f>
        <v/>
      </c>
      <c r="N104" s="90" t="str">
        <f>IF(_epmOfflineCondition_,"Dinner Wine",IF(_xll.EVDES(H104,$B$1)="#NODATA","",_xll.EVDES(H104,$B$1)))</f>
        <v>Dinner Wine</v>
      </c>
      <c r="O104" s="138"/>
      <c r="P104" s="138"/>
      <c r="Q104" s="138"/>
      <c r="R104" s="138"/>
      <c r="S104" s="138"/>
      <c r="T104" s="138"/>
      <c r="U104" s="138"/>
      <c r="V104" s="138"/>
      <c r="W104" s="138"/>
      <c r="X104" s="138"/>
      <c r="Y104" s="138"/>
      <c r="Z104" s="138"/>
      <c r="AA104" s="138">
        <f>SUM(O104:Z104)</f>
        <v>0</v>
      </c>
      <c r="AB104" s="142" t="str">
        <f>IF(AA104=0,"",IFERROR(AA104/AA$19,""))</f>
        <v/>
      </c>
      <c r="AC104" s="140"/>
      <c r="AD104" s="138">
        <v>1319.9472000000001</v>
      </c>
      <c r="AE104" s="142">
        <f>IF(AD104=0,"",IFERROR(AD104/AD$19,""))</f>
        <v>2.882036161393494E-2</v>
      </c>
      <c r="AF104" s="141">
        <f>IF(AND($AA104="",AD104=""),"",$AA104-AD104)</f>
        <v>-1319.9472000000001</v>
      </c>
      <c r="AG104" s="138"/>
      <c r="AH104" s="142" t="str">
        <f>IF(AG104=0,"",IFERROR(AG104/AG$19,""))</f>
        <v/>
      </c>
      <c r="AI104" s="141">
        <f>IF(AND($AA104="",AG104=""),"",$AA104-AG104)</f>
        <v>0</v>
      </c>
    </row>
    <row r="105" spans="1:35" x14ac:dyDescent="0.25">
      <c r="A105" s="11"/>
      <c r="B105" s="11"/>
      <c r="C105" s="208"/>
      <c r="D105" s="11"/>
      <c r="E105" s="11"/>
      <c r="F105" s="11"/>
      <c r="G105" s="11"/>
      <c r="H105" s="185" t="s">
        <v>810</v>
      </c>
      <c r="I105" s="122"/>
      <c r="J105" s="122"/>
      <c r="K105" s="11"/>
      <c r="L105" s="90" t="str">
        <f>IF(_epmOfflineCondition_,"471410",_xll.EVPRO($B$1,H105,"JDEID"))</f>
        <v>471410</v>
      </c>
      <c r="M105" s="90" t="str">
        <f>IF(_epmOfflineCondition_,"",IF(AND(I105="N",J105="N"),_xll.EVPRO($B$1,H105,"PSFTID"),""))</f>
        <v/>
      </c>
      <c r="N105" s="90" t="str">
        <f>IF(_epmOfflineCondition_,"Reception Wine",IF(_xll.EVDES(H105,$B$1)="#NODATA","",_xll.EVDES(H105,$B$1)))</f>
        <v>Reception Wine</v>
      </c>
      <c r="O105" s="138"/>
      <c r="P105" s="138"/>
      <c r="Q105" s="138"/>
      <c r="R105" s="138"/>
      <c r="S105" s="138"/>
      <c r="T105" s="138"/>
      <c r="U105" s="138"/>
      <c r="V105" s="138"/>
      <c r="W105" s="138"/>
      <c r="X105" s="138"/>
      <c r="Y105" s="138"/>
      <c r="Z105" s="138"/>
      <c r="AA105" s="138">
        <f>SUM(O105:Z105)</f>
        <v>0</v>
      </c>
      <c r="AB105" s="142" t="str">
        <f>IF(AA105=0,"",IFERROR(AA105/AA$19,""))</f>
        <v/>
      </c>
      <c r="AC105" s="140"/>
      <c r="AD105" s="138"/>
      <c r="AE105" s="142" t="str">
        <f>IF(AD105=0,"",IFERROR(AD105/AD$19,""))</f>
        <v/>
      </c>
      <c r="AF105" s="141">
        <f>IF(AND($AA105="",AD105=""),"",$AA105-AD105)</f>
        <v>0</v>
      </c>
      <c r="AG105" s="138"/>
      <c r="AH105" s="142" t="str">
        <f>IF(AG105=0,"",IFERROR(AG105/AG$19,""))</f>
        <v/>
      </c>
      <c r="AI105" s="141">
        <f>IF(AND($AA105="",AG105=""),"",$AA105-AG105)</f>
        <v>0</v>
      </c>
    </row>
    <row r="106" spans="1:35" x14ac:dyDescent="0.25">
      <c r="A106" s="11"/>
      <c r="B106" s="11"/>
      <c r="C106" s="208"/>
      <c r="D106" s="11"/>
      <c r="E106" s="11"/>
      <c r="F106" s="11"/>
      <c r="G106" s="11"/>
      <c r="H106" s="185" t="s">
        <v>341</v>
      </c>
      <c r="I106" s="122"/>
      <c r="J106" s="122"/>
      <c r="K106" s="11"/>
      <c r="L106" s="90" t="str">
        <f>IF(_epmOfflineCondition_,"",_xll.EVPRO($B$1,H106,"JDEID"))</f>
        <v/>
      </c>
      <c r="M106" s="90" t="str">
        <f>IF(_epmOfflineCondition_,"",IF(AND(I106="N",J106="N"),_xll.EVPRO($B$1,H106,"PSFTID"),""))</f>
        <v/>
      </c>
      <c r="N106" s="106" t="str">
        <f>IF(_epmOfflineCondition_,"Wine Revenue",IF(_xll.EVDES(H106,$B$1)="#NODATA","",_xll.EVDES(H106,$B$1)))</f>
        <v>Wine Revenue</v>
      </c>
      <c r="O106" s="162"/>
      <c r="P106" s="162"/>
      <c r="Q106" s="162"/>
      <c r="R106" s="162"/>
      <c r="S106" s="162"/>
      <c r="T106" s="162"/>
      <c r="U106" s="162"/>
      <c r="V106" s="162"/>
      <c r="W106" s="162"/>
      <c r="X106" s="162"/>
      <c r="Y106" s="162"/>
      <c r="Z106" s="162"/>
      <c r="AA106" s="162">
        <f>SUM(O106:Z106)</f>
        <v>0</v>
      </c>
      <c r="AB106" s="163" t="str">
        <f>IF(AA106=0,"",IFERROR(AA106/AA$19,""))</f>
        <v/>
      </c>
      <c r="AC106" s="140"/>
      <c r="AD106" s="162">
        <v>1319.9472000000001</v>
      </c>
      <c r="AE106" s="163">
        <f>IF(AD106=0,"",IFERROR(AD106/AD$19,""))</f>
        <v>2.882036161393494E-2</v>
      </c>
      <c r="AF106" s="164">
        <f>IF(AND($AA106="",AD106=""),"",$AA106-AD106)</f>
        <v>-1319.9472000000001</v>
      </c>
      <c r="AG106" s="162"/>
      <c r="AH106" s="163" t="str">
        <f>IF(AG106=0,"",IFERROR(AG106/AG$19,""))</f>
        <v/>
      </c>
      <c r="AI106" s="164">
        <f>IF(AND($AA106="",AG106=""),"",$AA106-AG106)</f>
        <v>0</v>
      </c>
    </row>
    <row r="107" spans="1:35" x14ac:dyDescent="0.25">
      <c r="A107" s="11"/>
      <c r="B107" s="11"/>
      <c r="C107" s="208"/>
      <c r="D107" s="11"/>
      <c r="E107" s="11"/>
      <c r="F107" s="11"/>
      <c r="G107" s="11"/>
      <c r="H107" s="185"/>
      <c r="I107" s="122"/>
      <c r="J107" s="122"/>
      <c r="K107" s="11"/>
      <c r="L107" s="90"/>
      <c r="M107" s="90"/>
      <c r="N107" s="11"/>
      <c r="O107" s="170"/>
      <c r="P107" s="171"/>
      <c r="Q107" s="171"/>
      <c r="R107" s="171"/>
      <c r="S107" s="171"/>
      <c r="T107" s="171"/>
      <c r="U107" s="171"/>
      <c r="V107" s="171"/>
      <c r="W107" s="171"/>
      <c r="X107" s="171"/>
      <c r="Y107" s="171"/>
      <c r="Z107" s="171"/>
      <c r="AA107" s="171"/>
      <c r="AB107" s="172"/>
      <c r="AC107" s="140"/>
      <c r="AD107" s="170"/>
      <c r="AE107" s="171"/>
      <c r="AF107" s="172"/>
      <c r="AG107" s="170"/>
      <c r="AH107" s="171"/>
      <c r="AI107" s="172"/>
    </row>
    <row r="108" spans="1:35" x14ac:dyDescent="0.25">
      <c r="A108" s="11"/>
      <c r="B108" s="11"/>
      <c r="C108" s="208"/>
      <c r="D108" s="11"/>
      <c r="E108" s="11"/>
      <c r="F108" s="11"/>
      <c r="G108" s="11"/>
      <c r="H108" s="88" t="s">
        <v>267</v>
      </c>
      <c r="I108" s="122"/>
      <c r="J108" s="122"/>
      <c r="K108" s="11"/>
      <c r="L108" s="90" t="str">
        <f>IF(_epmOfflineCondition_,"",_xll.EVPRO($B$1,H108,"JDEID"))</f>
        <v/>
      </c>
      <c r="M108" s="90" t="str">
        <f>IF(_epmOfflineCondition_,"",IF(AND(I108="N",J108="N"),_xll.EVPRO($B$1,H108,"PSFTID"),""))</f>
        <v/>
      </c>
      <c r="N108" s="90" t="str">
        <f>IF(_epmOfflineCondition_,"Breakfast  Beverage Revenue",IF(_xll.EVDES(H108,$B$1)="#NODATA","",_xll.EVDES(H108,$B$1)))</f>
        <v>Breakfast  Beverage Revenue</v>
      </c>
      <c r="O108" s="138">
        <f t="shared" ref="O108:Z108" si="22">O88+O95+O102</f>
        <v>0</v>
      </c>
      <c r="P108" s="138">
        <f t="shared" si="22"/>
        <v>0</v>
      </c>
      <c r="Q108" s="138">
        <f t="shared" si="22"/>
        <v>0</v>
      </c>
      <c r="R108" s="138">
        <f t="shared" si="22"/>
        <v>0</v>
      </c>
      <c r="S108" s="138">
        <f t="shared" si="22"/>
        <v>0</v>
      </c>
      <c r="T108" s="138">
        <f t="shared" si="22"/>
        <v>0</v>
      </c>
      <c r="U108" s="138">
        <f t="shared" si="22"/>
        <v>0</v>
      </c>
      <c r="V108" s="138">
        <f t="shared" si="22"/>
        <v>0</v>
      </c>
      <c r="W108" s="138">
        <f t="shared" si="22"/>
        <v>0</v>
      </c>
      <c r="X108" s="138">
        <f t="shared" si="22"/>
        <v>0</v>
      </c>
      <c r="Y108" s="138">
        <f t="shared" si="22"/>
        <v>0</v>
      </c>
      <c r="Z108" s="138">
        <f t="shared" si="22"/>
        <v>0</v>
      </c>
      <c r="AA108" s="138">
        <f>SUM(O108:Z108)</f>
        <v>0</v>
      </c>
      <c r="AB108" s="142" t="str">
        <f>IF(AA108=0,"",IFERROR(AA108/AA$19,""))</f>
        <v/>
      </c>
      <c r="AC108" s="140"/>
      <c r="AD108" s="138">
        <f>AD88+AD95+AD102</f>
        <v>0</v>
      </c>
      <c r="AE108" s="142" t="str">
        <f>IF(AD108=0,"",IFERROR(AD108/AD$19,""))</f>
        <v/>
      </c>
      <c r="AF108" s="141">
        <f>IF(AND($AA108="",AD108=""),"",$AA108-AD108)</f>
        <v>0</v>
      </c>
      <c r="AG108" s="138">
        <f>AG88+AG95+AG102</f>
        <v>0</v>
      </c>
      <c r="AH108" s="142" t="str">
        <f>IF(AG108=0,"",IFERROR(AG108/AG$19,""))</f>
        <v/>
      </c>
      <c r="AI108" s="141">
        <f>IF(AND($AA108="",AG108=""),"",$AA108-AG108)</f>
        <v>0</v>
      </c>
    </row>
    <row r="109" spans="1:35" x14ac:dyDescent="0.25">
      <c r="A109" s="11"/>
      <c r="B109" s="11"/>
      <c r="C109" s="208"/>
      <c r="D109" s="11"/>
      <c r="E109" s="11"/>
      <c r="F109" s="11"/>
      <c r="G109" s="11"/>
      <c r="H109" s="88" t="s">
        <v>268</v>
      </c>
      <c r="I109" s="122"/>
      <c r="J109" s="122"/>
      <c r="K109" s="11"/>
      <c r="L109" s="90" t="str">
        <f>IF(_epmOfflineCondition_,"",_xll.EVPRO($B$1,H109,"JDEID"))</f>
        <v/>
      </c>
      <c r="M109" s="90" t="str">
        <f>IF(_epmOfflineCondition_,"",IF(AND(I109="N",J109="N"),_xll.EVPRO($B$1,H109,"PSFTID"),""))</f>
        <v/>
      </c>
      <c r="N109" s="90" t="str">
        <f>IF(_epmOfflineCondition_,"Lunch Beverage Revenue",IF(_xll.EVDES(H109,$B$1)="#NODATA","",_xll.EVDES(H109,$B$1)))</f>
        <v>Lunch Beverage Revenue</v>
      </c>
      <c r="O109" s="138">
        <f t="shared" ref="O109:Z109" si="23">O89+O96+O103</f>
        <v>0</v>
      </c>
      <c r="P109" s="138">
        <f t="shared" si="23"/>
        <v>0</v>
      </c>
      <c r="Q109" s="138">
        <f t="shared" si="23"/>
        <v>0</v>
      </c>
      <c r="R109" s="138">
        <f t="shared" si="23"/>
        <v>0</v>
      </c>
      <c r="S109" s="138">
        <f t="shared" si="23"/>
        <v>0</v>
      </c>
      <c r="T109" s="138">
        <f t="shared" si="23"/>
        <v>0</v>
      </c>
      <c r="U109" s="138">
        <f t="shared" si="23"/>
        <v>0</v>
      </c>
      <c r="V109" s="138">
        <f t="shared" si="23"/>
        <v>0</v>
      </c>
      <c r="W109" s="138">
        <f t="shared" si="23"/>
        <v>0</v>
      </c>
      <c r="X109" s="138">
        <f t="shared" si="23"/>
        <v>0</v>
      </c>
      <c r="Y109" s="138">
        <f t="shared" si="23"/>
        <v>0</v>
      </c>
      <c r="Z109" s="138">
        <f t="shared" si="23"/>
        <v>0</v>
      </c>
      <c r="AA109" s="138">
        <f>SUM(O109:Z109)</f>
        <v>0</v>
      </c>
      <c r="AB109" s="142" t="str">
        <f>IF(AA109=0,"",IFERROR(AA109/AA$19,""))</f>
        <v/>
      </c>
      <c r="AC109" s="140"/>
      <c r="AD109" s="138">
        <f>AD89+AD96+AD103</f>
        <v>0</v>
      </c>
      <c r="AE109" s="142" t="str">
        <f>IF(AD109=0,"",IFERROR(AD109/AD$19,""))</f>
        <v/>
      </c>
      <c r="AF109" s="141">
        <f>IF(AND($AA109="",AD109=""),"",$AA109-AD109)</f>
        <v>0</v>
      </c>
      <c r="AG109" s="138">
        <f>AG89+AG96+AG103</f>
        <v>0</v>
      </c>
      <c r="AH109" s="142" t="str">
        <f>IF(AG109=0,"",IFERROR(AG109/AG$19,""))</f>
        <v/>
      </c>
      <c r="AI109" s="141">
        <f>IF(AND($AA109="",AG109=""),"",$AA109-AG109)</f>
        <v>0</v>
      </c>
    </row>
    <row r="110" spans="1:35" x14ac:dyDescent="0.25">
      <c r="A110" s="11"/>
      <c r="B110" s="11"/>
      <c r="C110" s="208"/>
      <c r="D110" s="11"/>
      <c r="E110" s="11"/>
      <c r="F110" s="11"/>
      <c r="G110" s="11"/>
      <c r="H110" s="185" t="s">
        <v>269</v>
      </c>
      <c r="I110" s="122"/>
      <c r="J110" s="122"/>
      <c r="K110" s="11"/>
      <c r="L110" s="90" t="str">
        <f>IF(_epmOfflineCondition_,"",_xll.EVPRO($B$1,H110,"JDEID"))</f>
        <v/>
      </c>
      <c r="M110" s="90" t="str">
        <f>IF(_epmOfflineCondition_,"",IF(AND(I110="N",J110="N"),_xll.EVPRO($B$1,H110,"PSFTID"),""))</f>
        <v/>
      </c>
      <c r="N110" s="90" t="str">
        <f>IF(_epmOfflineCondition_,"Dinner Beverage Revenue",IF(_xll.EVDES(H110,$B$1)="#NODATA","",_xll.EVDES(H110,$B$1)))</f>
        <v>Dinner Beverage Revenue</v>
      </c>
      <c r="O110" s="138">
        <f t="shared" ref="O110:Z110" si="24">O90+O97+O104</f>
        <v>0</v>
      </c>
      <c r="P110" s="138">
        <f t="shared" si="24"/>
        <v>0</v>
      </c>
      <c r="Q110" s="138">
        <f t="shared" si="24"/>
        <v>630</v>
      </c>
      <c r="R110" s="138">
        <f t="shared" si="24"/>
        <v>0</v>
      </c>
      <c r="S110" s="138">
        <f t="shared" si="24"/>
        <v>0</v>
      </c>
      <c r="T110" s="138">
        <f t="shared" si="24"/>
        <v>0</v>
      </c>
      <c r="U110" s="138">
        <f t="shared" si="24"/>
        <v>0</v>
      </c>
      <c r="V110" s="138">
        <f t="shared" si="24"/>
        <v>0</v>
      </c>
      <c r="W110" s="138">
        <f t="shared" si="24"/>
        <v>0</v>
      </c>
      <c r="X110" s="138">
        <f t="shared" si="24"/>
        <v>0</v>
      </c>
      <c r="Y110" s="138">
        <f t="shared" si="24"/>
        <v>0</v>
      </c>
      <c r="Z110" s="138">
        <f t="shared" si="24"/>
        <v>0</v>
      </c>
      <c r="AA110" s="138">
        <f>SUM(O110:Z110)</f>
        <v>630</v>
      </c>
      <c r="AB110" s="142">
        <f>IF(AA110=0,"",IFERROR(AA110/AA$19,""))</f>
        <v>2.3098922050304321E-2</v>
      </c>
      <c r="AC110" s="140"/>
      <c r="AD110" s="138">
        <f>AD90+AD97+AD104</f>
        <v>2879.8847999999998</v>
      </c>
      <c r="AE110" s="142">
        <f>IF(AD110=0,"",IFERROR(AD110/AD$19,""))</f>
        <v>6.288078897585804E-2</v>
      </c>
      <c r="AF110" s="141">
        <f>IF(AND($AA110="",AD110=""),"",$AA110-AD110)</f>
        <v>-2249.8847999999998</v>
      </c>
      <c r="AG110" s="138">
        <f>AG90+AG97+AG104</f>
        <v>0</v>
      </c>
      <c r="AH110" s="142" t="str">
        <f>IF(AG110=0,"",IFERROR(AG110/AG$19,""))</f>
        <v/>
      </c>
      <c r="AI110" s="141">
        <f>IF(AND($AA110="",AG110=""),"",$AA110-AG110)</f>
        <v>630</v>
      </c>
    </row>
    <row r="111" spans="1:35" x14ac:dyDescent="0.25">
      <c r="A111" s="11"/>
      <c r="B111" s="11"/>
      <c r="C111" s="208"/>
      <c r="D111" s="11"/>
      <c r="E111" s="11"/>
      <c r="F111" s="11"/>
      <c r="G111" s="11"/>
      <c r="H111" s="185" t="s">
        <v>791</v>
      </c>
      <c r="I111" s="122"/>
      <c r="J111" s="122"/>
      <c r="K111" s="11"/>
      <c r="L111" s="90" t="str">
        <f>IF(_epmOfflineCondition_,"",_xll.EVPRO($B$1,H111,"JDEID"))</f>
        <v/>
      </c>
      <c r="M111" s="90" t="str">
        <f>IF(_epmOfflineCondition_,"",IF(AND(I111="N",J111="N"),_xll.EVPRO($B$1,H111,"PSFTID"),""))</f>
        <v/>
      </c>
      <c r="N111" s="90" t="str">
        <f>IF(_epmOfflineCondition_,"Reception Beverage Revenue",IF(_xll.EVDES(H111,$B$1)="#NODATA","",_xll.EVDES(H111,$B$1)))</f>
        <v>Reception Beverage Revenue</v>
      </c>
      <c r="O111" s="138">
        <f t="shared" ref="O111:Z111" si="25">O91+O98+O105</f>
        <v>0</v>
      </c>
      <c r="P111" s="138">
        <f t="shared" si="25"/>
        <v>0</v>
      </c>
      <c r="Q111" s="138">
        <f t="shared" si="25"/>
        <v>0</v>
      </c>
      <c r="R111" s="138">
        <f t="shared" si="25"/>
        <v>0</v>
      </c>
      <c r="S111" s="138">
        <f t="shared" si="25"/>
        <v>0</v>
      </c>
      <c r="T111" s="138">
        <f t="shared" si="25"/>
        <v>0</v>
      </c>
      <c r="U111" s="138">
        <f t="shared" si="25"/>
        <v>0</v>
      </c>
      <c r="V111" s="138">
        <f t="shared" si="25"/>
        <v>0</v>
      </c>
      <c r="W111" s="138">
        <f t="shared" si="25"/>
        <v>0</v>
      </c>
      <c r="X111" s="138">
        <f t="shared" si="25"/>
        <v>0</v>
      </c>
      <c r="Y111" s="138">
        <f t="shared" si="25"/>
        <v>0</v>
      </c>
      <c r="Z111" s="138">
        <f t="shared" si="25"/>
        <v>0</v>
      </c>
      <c r="AA111" s="138">
        <f>SUM(O111:Z111)</f>
        <v>0</v>
      </c>
      <c r="AB111" s="142" t="str">
        <f>IF(AA111=0,"",IFERROR(AA111/AA$19,""))</f>
        <v/>
      </c>
      <c r="AC111" s="140"/>
      <c r="AD111" s="138">
        <f>AD91+AD98+AD105</f>
        <v>0</v>
      </c>
      <c r="AE111" s="142" t="str">
        <f>IF(AD111=0,"",IFERROR(AD111/AD$19,""))</f>
        <v/>
      </c>
      <c r="AF111" s="141">
        <f>IF(AND($AA111="",AD111=""),"",$AA111-AD111)</f>
        <v>0</v>
      </c>
      <c r="AG111" s="138">
        <f>AG91+AG98+AG105</f>
        <v>0</v>
      </c>
      <c r="AH111" s="142" t="str">
        <f>IF(AG111=0,"",IFERROR(AG111/AG$19,""))</f>
        <v/>
      </c>
      <c r="AI111" s="141">
        <f>IF(AND($AA111="",AG111=""),"",$AA111-AG111)</f>
        <v>0</v>
      </c>
    </row>
    <row r="112" spans="1:35" x14ac:dyDescent="0.25">
      <c r="A112" s="11"/>
      <c r="B112" s="11"/>
      <c r="C112" s="208"/>
      <c r="D112" s="11"/>
      <c r="E112" s="11"/>
      <c r="F112" s="11"/>
      <c r="G112" s="11"/>
      <c r="H112" s="88" t="s">
        <v>272</v>
      </c>
      <c r="I112" s="122"/>
      <c r="J112" s="122"/>
      <c r="K112" s="11"/>
      <c r="L112" s="90" t="str">
        <f>IF(_epmOfflineCondition_,"",_xll.EVPRO($B$1,H112,"JDEID"))</f>
        <v/>
      </c>
      <c r="M112" s="90" t="str">
        <f>IF(_epmOfflineCondition_,"",IF(AND(I112="N",J112="N"),_xll.EVPRO($B$1,H112,"PSFTID"),""))</f>
        <v/>
      </c>
      <c r="N112" s="106" t="str">
        <f>IF(_epmOfflineCondition_,"Total Beverage Revenue",IF(_xll.EVDES(H112,$B$1)="#NODATA","",_xll.EVDES(H112,$B$1)))</f>
        <v>Total Beverage Revenue</v>
      </c>
      <c r="O112" s="162">
        <f t="shared" ref="O112:Z112" si="26">SUM(O108:O111)</f>
        <v>0</v>
      </c>
      <c r="P112" s="162">
        <f t="shared" si="26"/>
        <v>0</v>
      </c>
      <c r="Q112" s="162">
        <f t="shared" si="26"/>
        <v>630</v>
      </c>
      <c r="R112" s="162">
        <f t="shared" si="26"/>
        <v>0</v>
      </c>
      <c r="S112" s="162">
        <f t="shared" si="26"/>
        <v>0</v>
      </c>
      <c r="T112" s="162">
        <f t="shared" si="26"/>
        <v>0</v>
      </c>
      <c r="U112" s="162">
        <f t="shared" si="26"/>
        <v>0</v>
      </c>
      <c r="V112" s="162">
        <f t="shared" si="26"/>
        <v>0</v>
      </c>
      <c r="W112" s="162">
        <f t="shared" si="26"/>
        <v>0</v>
      </c>
      <c r="X112" s="162">
        <f t="shared" si="26"/>
        <v>0</v>
      </c>
      <c r="Y112" s="162">
        <f t="shared" si="26"/>
        <v>0</v>
      </c>
      <c r="Z112" s="162">
        <f t="shared" si="26"/>
        <v>0</v>
      </c>
      <c r="AA112" s="162">
        <f>SUM(O112:Z112)</f>
        <v>630</v>
      </c>
      <c r="AB112" s="163">
        <f>IF(AA112=0,"",IFERROR(AA112/AA$19,""))</f>
        <v>2.3098922050304321E-2</v>
      </c>
      <c r="AC112" s="140"/>
      <c r="AD112" s="162">
        <f>SUM(AD108:AD111)</f>
        <v>2879.8847999999998</v>
      </c>
      <c r="AE112" s="163">
        <f>IF(AD112=0,"",IFERROR(AD112/AD$19,""))</f>
        <v>6.288078897585804E-2</v>
      </c>
      <c r="AF112" s="164">
        <f>IF(AND($AA112="",AD112=""),"",$AA112-AD112)</f>
        <v>-2249.8847999999998</v>
      </c>
      <c r="AG112" s="162">
        <f>SUM(AG108:AG111)</f>
        <v>0</v>
      </c>
      <c r="AH112" s="163" t="str">
        <f>IF(AG112=0,"",IFERROR(AG112/AG$19,""))</f>
        <v/>
      </c>
      <c r="AI112" s="164">
        <f>IF(AND($AA112="",AG112=""),"",$AA112-AG112)</f>
        <v>630</v>
      </c>
    </row>
    <row r="113" spans="1:35" x14ac:dyDescent="0.25">
      <c r="A113" s="11"/>
      <c r="B113" s="11"/>
      <c r="C113" s="208"/>
      <c r="D113" s="11"/>
      <c r="E113" s="11"/>
      <c r="F113" s="11"/>
      <c r="G113" s="11"/>
      <c r="H113" s="185"/>
      <c r="I113" s="122"/>
      <c r="J113" s="122"/>
      <c r="K113" s="11"/>
      <c r="L113" s="11"/>
      <c r="M113" s="11"/>
      <c r="N113" s="11"/>
      <c r="O113" s="511">
        <f t="shared" ref="O113:AA113" si="27">O92+O99+O106-O112</f>
        <v>0</v>
      </c>
      <c r="P113" s="511">
        <f t="shared" si="27"/>
        <v>0</v>
      </c>
      <c r="Q113" s="511">
        <f t="shared" si="27"/>
        <v>0</v>
      </c>
      <c r="R113" s="511">
        <f t="shared" si="27"/>
        <v>0</v>
      </c>
      <c r="S113" s="511">
        <f t="shared" si="27"/>
        <v>0</v>
      </c>
      <c r="T113" s="511">
        <f t="shared" si="27"/>
        <v>0</v>
      </c>
      <c r="U113" s="511">
        <f t="shared" si="27"/>
        <v>0</v>
      </c>
      <c r="V113" s="511">
        <f t="shared" si="27"/>
        <v>0</v>
      </c>
      <c r="W113" s="511">
        <f t="shared" si="27"/>
        <v>0</v>
      </c>
      <c r="X113" s="511">
        <f t="shared" si="27"/>
        <v>0</v>
      </c>
      <c r="Y113" s="511">
        <f t="shared" si="27"/>
        <v>0</v>
      </c>
      <c r="Z113" s="511">
        <f t="shared" si="27"/>
        <v>0</v>
      </c>
      <c r="AA113" s="511">
        <f t="shared" si="27"/>
        <v>0</v>
      </c>
      <c r="AB113" s="142"/>
      <c r="AC113" s="140"/>
      <c r="AD113" s="511">
        <f>AD92+AD99+AD106-AD112</f>
        <v>0</v>
      </c>
      <c r="AE113" s="142"/>
      <c r="AF113" s="138"/>
      <c r="AG113" s="511">
        <f>AG92+AG99+AG106-AG112</f>
        <v>0</v>
      </c>
      <c r="AH113" s="142"/>
      <c r="AI113" s="138"/>
    </row>
    <row r="114" spans="1:35" x14ac:dyDescent="0.25">
      <c r="A114" s="11"/>
      <c r="B114" s="11"/>
      <c r="C114" s="208"/>
      <c r="D114" s="11"/>
      <c r="E114" s="11"/>
      <c r="F114" s="11"/>
      <c r="G114" s="11"/>
      <c r="H114" s="185"/>
      <c r="I114" s="122"/>
      <c r="J114" s="122"/>
      <c r="K114" s="11"/>
      <c r="L114" s="11"/>
      <c r="M114" s="11"/>
      <c r="N114" s="11"/>
      <c r="O114" s="170"/>
      <c r="P114" s="171"/>
      <c r="Q114" s="171"/>
      <c r="R114" s="171"/>
      <c r="S114" s="171"/>
      <c r="T114" s="171"/>
      <c r="U114" s="171"/>
      <c r="V114" s="171"/>
      <c r="W114" s="171"/>
      <c r="X114" s="171"/>
      <c r="Y114" s="171"/>
      <c r="Z114" s="171"/>
      <c r="AA114" s="171"/>
      <c r="AB114" s="172"/>
      <c r="AC114" s="140"/>
      <c r="AD114" s="170"/>
      <c r="AE114" s="171"/>
      <c r="AF114" s="172"/>
      <c r="AG114" s="170"/>
      <c r="AH114" s="171"/>
      <c r="AI114" s="172"/>
    </row>
    <row r="115" spans="1:35" x14ac:dyDescent="0.25">
      <c r="A115" s="11"/>
      <c r="B115" s="11"/>
      <c r="C115" s="208"/>
      <c r="D115" s="11"/>
      <c r="E115" s="11"/>
      <c r="F115" s="11"/>
      <c r="G115" s="11"/>
      <c r="H115" s="11"/>
      <c r="I115" s="59"/>
      <c r="J115" s="59"/>
      <c r="K115" s="11"/>
      <c r="L115" s="11"/>
      <c r="M115" s="11"/>
      <c r="N115" s="11"/>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row>
    <row r="116" spans="1:35" x14ac:dyDescent="0.25">
      <c r="A116" s="11"/>
      <c r="B116" s="11"/>
      <c r="C116" s="208"/>
      <c r="D116" s="11"/>
      <c r="E116" s="11"/>
      <c r="F116" s="11"/>
      <c r="G116" s="11"/>
      <c r="H116" s="185"/>
      <c r="I116" s="122"/>
      <c r="J116" s="122"/>
      <c r="K116" s="11"/>
      <c r="L116" s="11"/>
      <c r="M116" s="11"/>
      <c r="N116" s="104" t="str">
        <f>N82&amp;" - Check"</f>
        <v>Total Food &amp; Beverage Revenue - Check</v>
      </c>
      <c r="O116" s="511">
        <f t="shared" ref="O116:AA116" si="28">O39+O49+O59+O69+O75+O80-O82</f>
        <v>0</v>
      </c>
      <c r="P116" s="511">
        <f t="shared" si="28"/>
        <v>0</v>
      </c>
      <c r="Q116" s="511">
        <f t="shared" si="28"/>
        <v>0</v>
      </c>
      <c r="R116" s="511">
        <f t="shared" si="28"/>
        <v>0</v>
      </c>
      <c r="S116" s="511">
        <f t="shared" si="28"/>
        <v>0</v>
      </c>
      <c r="T116" s="511">
        <f t="shared" si="28"/>
        <v>0</v>
      </c>
      <c r="U116" s="511">
        <f t="shared" si="28"/>
        <v>0</v>
      </c>
      <c r="V116" s="511">
        <f t="shared" si="28"/>
        <v>0</v>
      </c>
      <c r="W116" s="511">
        <f t="shared" si="28"/>
        <v>0</v>
      </c>
      <c r="X116" s="511">
        <f t="shared" si="28"/>
        <v>0</v>
      </c>
      <c r="Y116" s="511">
        <f t="shared" si="28"/>
        <v>0</v>
      </c>
      <c r="Z116" s="511">
        <f t="shared" si="28"/>
        <v>0</v>
      </c>
      <c r="AA116" s="511">
        <f t="shared" si="28"/>
        <v>0</v>
      </c>
      <c r="AB116" s="142"/>
      <c r="AC116" s="140"/>
      <c r="AD116" s="511">
        <f>AD39+AD49+AD59+AD69+AD75+AD80-AD82</f>
        <v>0</v>
      </c>
      <c r="AE116" s="142"/>
      <c r="AF116" s="138"/>
      <c r="AG116" s="511">
        <f>AG39+AG49+AG59+AG69+AG75+AG80-AG82</f>
        <v>0</v>
      </c>
      <c r="AH116" s="142"/>
      <c r="AI116" s="138"/>
    </row>
    <row r="117" spans="1:35" x14ac:dyDescent="0.25">
      <c r="A117" s="11"/>
      <c r="B117" s="11"/>
      <c r="C117" s="208"/>
      <c r="D117" s="11"/>
      <c r="E117" s="11"/>
      <c r="F117" s="11"/>
      <c r="G117" s="11"/>
      <c r="H117" s="185"/>
      <c r="I117" s="122"/>
      <c r="J117" s="122"/>
      <c r="K117" s="11"/>
      <c r="L117" s="11"/>
      <c r="M117" s="11"/>
      <c r="N117" s="104" t="str">
        <f>N83&amp;" - Check"</f>
        <v>Total Customers - Check</v>
      </c>
      <c r="O117" s="511">
        <f t="shared" ref="O117:AA117" si="29">O41+O51+O61+O70+O76-O83</f>
        <v>0</v>
      </c>
      <c r="P117" s="511">
        <f t="shared" si="29"/>
        <v>0</v>
      </c>
      <c r="Q117" s="511">
        <f t="shared" si="29"/>
        <v>0</v>
      </c>
      <c r="R117" s="511">
        <f t="shared" si="29"/>
        <v>0</v>
      </c>
      <c r="S117" s="511">
        <f t="shared" si="29"/>
        <v>0</v>
      </c>
      <c r="T117" s="511">
        <f t="shared" si="29"/>
        <v>0</v>
      </c>
      <c r="U117" s="511">
        <f t="shared" si="29"/>
        <v>0</v>
      </c>
      <c r="V117" s="511">
        <f t="shared" si="29"/>
        <v>0</v>
      </c>
      <c r="W117" s="511">
        <f t="shared" si="29"/>
        <v>0</v>
      </c>
      <c r="X117" s="511">
        <f t="shared" si="29"/>
        <v>0</v>
      </c>
      <c r="Y117" s="511">
        <f t="shared" si="29"/>
        <v>0</v>
      </c>
      <c r="Z117" s="511">
        <f t="shared" si="29"/>
        <v>0</v>
      </c>
      <c r="AA117" s="511">
        <f t="shared" si="29"/>
        <v>0</v>
      </c>
      <c r="AB117" s="142"/>
      <c r="AC117" s="140"/>
      <c r="AD117" s="511">
        <f>AD41+AD51+AD61+AD70+AD76-AD83</f>
        <v>0</v>
      </c>
      <c r="AE117" s="142"/>
      <c r="AF117" s="138"/>
      <c r="AG117" s="511">
        <f>AG41+AG51+AG61+AG70+AG76-AG83</f>
        <v>0</v>
      </c>
      <c r="AH117" s="142"/>
      <c r="AI117" s="138"/>
    </row>
    <row r="118" spans="1:35" x14ac:dyDescent="0.25">
      <c r="A118" s="11"/>
      <c r="B118" s="11"/>
      <c r="C118" s="208"/>
      <c r="D118" s="11"/>
      <c r="E118" s="11"/>
      <c r="F118" s="11"/>
      <c r="G118" s="11"/>
      <c r="H118" s="185"/>
      <c r="I118" s="122"/>
      <c r="J118" s="122"/>
      <c r="K118" s="11"/>
      <c r="L118" s="11"/>
      <c r="M118" s="11"/>
      <c r="N118" s="104" t="str">
        <f>N84&amp;" - Check"</f>
        <v>Total Average Check - Check</v>
      </c>
      <c r="O118" s="510" t="e">
        <f t="shared" ref="O118:AA118" si="30">IFERROR(O$82/O83,"")-O84</f>
        <v>#VALUE!</v>
      </c>
      <c r="P118" s="510">
        <f t="shared" si="30"/>
        <v>0</v>
      </c>
      <c r="Q118" s="510">
        <f t="shared" si="30"/>
        <v>0</v>
      </c>
      <c r="R118" s="510" t="e">
        <f t="shared" si="30"/>
        <v>#VALUE!</v>
      </c>
      <c r="S118" s="510" t="e">
        <f t="shared" si="30"/>
        <v>#VALUE!</v>
      </c>
      <c r="T118" s="510" t="e">
        <f t="shared" si="30"/>
        <v>#VALUE!</v>
      </c>
      <c r="U118" s="510" t="e">
        <f t="shared" si="30"/>
        <v>#VALUE!</v>
      </c>
      <c r="V118" s="510" t="e">
        <f t="shared" si="30"/>
        <v>#VALUE!</v>
      </c>
      <c r="W118" s="510" t="e">
        <f t="shared" si="30"/>
        <v>#VALUE!</v>
      </c>
      <c r="X118" s="510" t="e">
        <f t="shared" si="30"/>
        <v>#VALUE!</v>
      </c>
      <c r="Y118" s="510" t="e">
        <f t="shared" si="30"/>
        <v>#VALUE!</v>
      </c>
      <c r="Z118" s="510" t="e">
        <f t="shared" si="30"/>
        <v>#VALUE!</v>
      </c>
      <c r="AA118" s="510">
        <f t="shared" si="30"/>
        <v>0</v>
      </c>
      <c r="AB118" s="142"/>
      <c r="AC118" s="140"/>
      <c r="AD118" s="510">
        <f>IFERROR(AD$82/AD83,"")-AD84</f>
        <v>0</v>
      </c>
      <c r="AE118" s="142"/>
      <c r="AF118" s="138"/>
      <c r="AG118" s="510">
        <f>IFERROR(AG$82/AG83,"")-AG84</f>
        <v>0</v>
      </c>
      <c r="AH118" s="142"/>
      <c r="AI118" s="138"/>
    </row>
    <row r="119" spans="1:35" x14ac:dyDescent="0.25">
      <c r="A119" s="11"/>
      <c r="B119" s="11"/>
      <c r="C119" s="208"/>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25">
      <c r="A120" s="11"/>
      <c r="B120" s="11"/>
      <c r="C120" s="208"/>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25">
      <c r="A121" s="11"/>
      <c r="B121" s="11"/>
      <c r="C121" s="208"/>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25">
      <c r="A122" s="11"/>
      <c r="B122" s="11"/>
      <c r="C122" s="208"/>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25">
      <c r="A123" s="11"/>
      <c r="B123" s="11"/>
      <c r="C123" s="208"/>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25">
      <c r="A124" s="11"/>
      <c r="B124" s="11"/>
      <c r="C124" s="208"/>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25">
      <c r="A125" s="11"/>
      <c r="B125" s="11"/>
      <c r="C125" s="208"/>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25">
      <c r="A126" s="11"/>
      <c r="B126" s="11"/>
      <c r="C126" s="208"/>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25">
      <c r="A127" s="11"/>
      <c r="B127" s="11"/>
      <c r="C127" s="208"/>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25">
      <c r="A128" s="11"/>
      <c r="B128" s="11"/>
      <c r="C128" s="208"/>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25">
      <c r="A129" s="11"/>
      <c r="B129" s="11"/>
      <c r="C129" s="208"/>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25">
      <c r="A130" s="11"/>
      <c r="B130" s="11"/>
      <c r="C130" s="208"/>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25">
      <c r="A131" s="11"/>
      <c r="B131" s="11"/>
      <c r="C131" s="208"/>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25">
      <c r="A132" s="11"/>
      <c r="B132" s="11"/>
      <c r="C132" s="208"/>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2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25">
      <c r="A134" s="11"/>
      <c r="B134" s="11"/>
      <c r="C134" s="208"/>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25">
      <c r="A135" s="11"/>
      <c r="B135" s="11"/>
      <c r="C135" s="208"/>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25">
      <c r="A136" s="11"/>
      <c r="B136" s="11"/>
      <c r="C136" s="208"/>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25">
      <c r="A137" s="11"/>
      <c r="B137" s="11"/>
      <c r="C137" s="208"/>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25">
      <c r="A138" s="11"/>
      <c r="B138" s="11"/>
      <c r="C138" s="208"/>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25">
      <c r="A139" s="11"/>
      <c r="B139" s="11"/>
      <c r="C139" s="208"/>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25">
      <c r="A140" s="11"/>
      <c r="B140" s="11"/>
      <c r="C140" s="208"/>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25">
      <c r="A141" s="11"/>
      <c r="B141" s="11"/>
      <c r="C141" s="208"/>
      <c r="D141" s="11"/>
      <c r="E141" s="11"/>
      <c r="F141" s="11"/>
      <c r="G141" s="11"/>
      <c r="H141" s="11"/>
      <c r="I141" s="267"/>
      <c r="J141" s="11"/>
      <c r="K141" s="267"/>
      <c r="L141" s="267"/>
      <c r="M141" s="267"/>
      <c r="N141" s="11"/>
      <c r="O141" s="267"/>
      <c r="P141" s="267"/>
      <c r="Q141" s="267"/>
      <c r="R141" s="267"/>
      <c r="S141" s="267"/>
      <c r="T141" s="267"/>
      <c r="U141" s="267"/>
      <c r="V141" s="267"/>
      <c r="W141" s="267"/>
      <c r="X141" s="267"/>
      <c r="Y141" s="267"/>
      <c r="Z141" s="267"/>
      <c r="AA141" s="267"/>
      <c r="AB141" s="11"/>
      <c r="AC141" s="11"/>
      <c r="AD141" s="267"/>
      <c r="AE141" s="11"/>
      <c r="AF141" s="267"/>
      <c r="AG141" s="11"/>
      <c r="AH141" s="267"/>
      <c r="AI141" s="11"/>
    </row>
    <row r="142" spans="1:35" x14ac:dyDescent="0.25">
      <c r="A142" s="11"/>
      <c r="B142" s="11"/>
      <c r="C142" s="208"/>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25">
      <c r="A143" s="11"/>
      <c r="B143" s="11"/>
      <c r="C143" s="208"/>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25">
      <c r="A144" s="11"/>
      <c r="B144" s="11"/>
      <c r="C144" s="208"/>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25">
      <c r="A145" s="11"/>
      <c r="B145" s="11"/>
      <c r="C145" s="208"/>
      <c r="D145" s="11"/>
      <c r="E145" s="11"/>
      <c r="F145" s="11"/>
      <c r="G145" s="11"/>
      <c r="H145" s="11"/>
      <c r="I145" s="267"/>
      <c r="J145" s="11"/>
      <c r="K145" s="267"/>
      <c r="L145" s="267"/>
      <c r="M145" s="267"/>
      <c r="N145" s="11"/>
      <c r="O145" s="267"/>
      <c r="P145" s="267"/>
      <c r="Q145" s="267"/>
      <c r="R145" s="267"/>
      <c r="S145" s="267"/>
      <c r="T145" s="267"/>
      <c r="U145" s="267"/>
      <c r="V145" s="267"/>
      <c r="W145" s="267"/>
      <c r="X145" s="267"/>
      <c r="Y145" s="267"/>
      <c r="Z145" s="267"/>
      <c r="AA145" s="267"/>
      <c r="AB145" s="11"/>
      <c r="AC145" s="11"/>
      <c r="AD145" s="267"/>
      <c r="AE145" s="11"/>
      <c r="AF145" s="267"/>
      <c r="AG145" s="11"/>
      <c r="AH145" s="267"/>
      <c r="AI145" s="11"/>
    </row>
    <row r="146" spans="1:35" x14ac:dyDescent="0.25">
      <c r="A146" s="11"/>
      <c r="B146" s="11"/>
      <c r="C146" s="208"/>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25">
      <c r="A147" s="11"/>
      <c r="B147" s="11"/>
      <c r="C147" s="208"/>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208"/>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row r="193" spans="1:35"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row>
    <row r="194" spans="1:35" x14ac:dyDescent="0.25">
      <c r="A194" s="11"/>
      <c r="B194" s="11"/>
      <c r="C194" s="11"/>
      <c r="D194" s="11"/>
      <c r="E194" s="11"/>
      <c r="F194" s="11"/>
      <c r="G194" s="11"/>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row>
    <row r="195" spans="1:35" x14ac:dyDescent="0.25">
      <c r="A195" s="11"/>
      <c r="B195" s="11"/>
      <c r="C195" s="11"/>
      <c r="D195" s="11"/>
      <c r="E195" s="11"/>
      <c r="F195" s="11"/>
      <c r="G195" s="11"/>
      <c r="H195" s="11"/>
      <c r="I195" s="59"/>
      <c r="J195" s="59"/>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row>
    <row r="196" spans="1:35" x14ac:dyDescent="0.25">
      <c r="A196" s="11"/>
      <c r="B196" s="11"/>
      <c r="C196" s="11"/>
      <c r="D196" s="11"/>
      <c r="E196" s="11"/>
      <c r="F196" s="11"/>
      <c r="G196" s="11"/>
      <c r="H196" s="11"/>
      <c r="I196" s="59"/>
      <c r="J196" s="59"/>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row>
    <row r="197" spans="1:35" x14ac:dyDescent="0.25">
      <c r="A197" s="11"/>
      <c r="B197" s="11"/>
      <c r="C197" s="11"/>
      <c r="D197" s="11"/>
      <c r="E197" s="11"/>
      <c r="F197" s="11"/>
      <c r="G197" s="11"/>
      <c r="H197" s="11"/>
      <c r="I197" s="59"/>
      <c r="J197" s="59"/>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row>
    <row r="198" spans="1:35" x14ac:dyDescent="0.25">
      <c r="A198" s="11"/>
      <c r="B198" s="11"/>
      <c r="C198" s="11"/>
      <c r="D198" s="11"/>
      <c r="E198" s="11"/>
      <c r="F198" s="11"/>
      <c r="G198" s="11"/>
      <c r="H198" s="11"/>
      <c r="I198" s="59"/>
      <c r="J198" s="59"/>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row>
    <row r="199" spans="1:35" x14ac:dyDescent="0.25">
      <c r="A199" s="11"/>
      <c r="B199" s="11"/>
      <c r="C199" s="11"/>
      <c r="D199" s="11"/>
      <c r="E199" s="11"/>
      <c r="F199" s="11"/>
      <c r="G199" s="11"/>
      <c r="H199" s="11"/>
      <c r="I199" s="59"/>
      <c r="J199" s="59"/>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row>
    <row r="200" spans="1:35" x14ac:dyDescent="0.25">
      <c r="A200" s="11"/>
      <c r="B200" s="11"/>
      <c r="C200" s="11"/>
      <c r="D200" s="11"/>
      <c r="E200" s="11"/>
      <c r="F200" s="11"/>
      <c r="G200" s="11"/>
      <c r="H200" s="11"/>
      <c r="I200" s="59"/>
      <c r="J200" s="59"/>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row>
    <row r="201" spans="1:35" x14ac:dyDescent="0.25">
      <c r="A201" s="11"/>
      <c r="B201" s="11"/>
      <c r="C201" s="11"/>
      <c r="D201" s="11"/>
      <c r="E201" s="11"/>
      <c r="F201" s="11"/>
      <c r="G201" s="11"/>
      <c r="H201" s="11"/>
      <c r="I201" s="59"/>
      <c r="J201" s="59"/>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row>
    <row r="202" spans="1:35" x14ac:dyDescent="0.25">
      <c r="A202" s="11"/>
      <c r="B202" s="11"/>
      <c r="C202" s="11"/>
      <c r="D202" s="11"/>
      <c r="E202" s="267"/>
      <c r="F202" s="11"/>
      <c r="G202" s="11"/>
      <c r="H202" s="11"/>
      <c r="I202" s="59"/>
      <c r="J202" s="59"/>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row>
    <row r="203" spans="1:35" x14ac:dyDescent="0.25">
      <c r="A203" s="11"/>
      <c r="B203" s="11"/>
      <c r="C203" s="11"/>
      <c r="D203" s="11"/>
      <c r="E203" s="11"/>
      <c r="F203" s="11"/>
      <c r="G203" s="11"/>
      <c r="H203" s="11"/>
      <c r="I203" s="59"/>
      <c r="J203" s="59"/>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row>
    <row r="204" spans="1:35" x14ac:dyDescent="0.25">
      <c r="A204" s="11"/>
      <c r="B204" s="11"/>
      <c r="C204" s="11"/>
      <c r="D204" s="11"/>
      <c r="E204" s="11"/>
      <c r="F204" s="11"/>
      <c r="G204" s="11"/>
      <c r="H204" s="11"/>
      <c r="I204" s="59"/>
      <c r="J204" s="59"/>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row>
    <row r="205" spans="1:35" x14ac:dyDescent="0.25">
      <c r="A205" s="11"/>
      <c r="B205" s="11"/>
      <c r="C205" s="11"/>
      <c r="D205" s="11"/>
      <c r="E205" s="11"/>
      <c r="F205" s="11"/>
      <c r="G205" s="11"/>
      <c r="H205" s="11"/>
      <c r="I205" s="59"/>
      <c r="J205" s="59"/>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row>
    <row r="206" spans="1:35" x14ac:dyDescent="0.25">
      <c r="A206" s="11"/>
      <c r="B206" s="11"/>
      <c r="C206" s="11"/>
      <c r="D206" s="11"/>
      <c r="E206" s="267"/>
      <c r="F206" s="11"/>
      <c r="G206" s="11"/>
      <c r="H206" s="11"/>
      <c r="I206" s="59"/>
      <c r="J206" s="59"/>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row>
  </sheetData>
  <sheetProtection algorithmName="SHA-512" hashValue="Dh8u7+u16fTF/LTa5VtC6hbYU+8v1Wwpwokqawl9tqU50OzLFUjQvF2YGSYIpMHan6s6fZVneUd/Xlwf4sFx6Q==" saltValue="bXKHsVOE20LckQf0GGlmyg==" spinCount="100000" sheet="1" scenarios="1"/>
  <mergeCells count="2">
    <mergeCell ref="AD31:AE31"/>
    <mergeCell ref="AG31:AH31"/>
  </mergeCells>
  <conditionalFormatting sqref="AD43 AF43:AG43 O43:AA43">
    <cfRule type="expression" dxfId="11" priority="10">
      <formula>ROUND(O42,2)&lt;&gt;ROUND(O43,2)</formula>
    </cfRule>
  </conditionalFormatting>
  <conditionalFormatting sqref="O53:AA53 AD53 AF53:AG53">
    <cfRule type="expression" dxfId="10" priority="9">
      <formula>ROUND(O52,2)&lt;&gt;ROUND(O53,2)</formula>
    </cfRule>
  </conditionalFormatting>
  <conditionalFormatting sqref="O63:AA63 AD63 AF63:AG63">
    <cfRule type="expression" dxfId="9" priority="8">
      <formula>ROUND(O62,2)&lt;&gt;ROUND(O63,2)</formula>
    </cfRule>
  </conditionalFormatting>
  <conditionalFormatting sqref="O72:AA72 AD72 AF72:AG72">
    <cfRule type="expression" dxfId="8" priority="7">
      <formula>ROUND(O71,2)&lt;&gt;ROUND(O72,2)</formula>
    </cfRule>
  </conditionalFormatting>
  <conditionalFormatting sqref="AD78 AF78:AG78 O78:AA78">
    <cfRule type="expression" dxfId="7" priority="6">
      <formula>ROUND(O77,2)&lt;&gt;ROUND(O78,2)</formula>
    </cfRule>
  </conditionalFormatting>
  <conditionalFormatting sqref="AI43">
    <cfRule type="expression" dxfId="6" priority="5">
      <formula>ROUND(AI42,2)&lt;&gt;ROUND(AI43,2)</formula>
    </cfRule>
  </conditionalFormatting>
  <conditionalFormatting sqref="AI53">
    <cfRule type="expression" dxfId="5" priority="4">
      <formula>ROUND(AI52,2)&lt;&gt;ROUND(AI53,2)</formula>
    </cfRule>
  </conditionalFormatting>
  <conditionalFormatting sqref="AI63">
    <cfRule type="expression" dxfId="4" priority="3">
      <formula>ROUND(AI62,2)&lt;&gt;ROUND(AI63,2)</formula>
    </cfRule>
  </conditionalFormatting>
  <conditionalFormatting sqref="AI72">
    <cfRule type="expression" dxfId="3" priority="2">
      <formula>ROUND(AI71,2)&lt;&gt;ROUND(AI72,2)</formula>
    </cfRule>
  </conditionalFormatting>
  <conditionalFormatting sqref="AI78">
    <cfRule type="expression" dxfId="2" priority="1">
      <formula>ROUND(AI77,2)&lt;&gt;ROUND(AI78,2)</formula>
    </cfRule>
  </conditionalFormatting>
  <conditionalFormatting sqref="N43 N53 N63 N72 N78">
    <cfRule type="expression" dxfId="1" priority="11">
      <formula>$G44&lt;&gt;0</formula>
    </cfRule>
  </conditionalFormatting>
  <conditionalFormatting sqref="N79">
    <cfRule type="expression" dxfId="0" priority="12">
      <formula>#REF!&lt;&gt;0</formula>
    </cfRule>
  </conditionalFormatting>
  <dataValidations count="2">
    <dataValidation type="list" allowBlank="1" sqref="B29" xr:uid="{00000000-0002-0000-1C00-000000000000}">
      <formula1>"SELF,ALL,BAS,DEP,BASMEMBERS,MEMBERS,NOEXPAND,GDEP"</formula1>
    </dataValidation>
    <dataValidation type="list" allowBlank="1" sqref="B28" xr:uid="{00000000-0002-0000-1C00-000001000000}">
      <formula1>"ACCOUNT,BUSINESSUNIT,CATEGORY,DATASRC,DEPARTMENT,INTCO,MEASURES,RPTCURRENCY,TIME"</formula1>
    </dataValidation>
  </dataValidations>
  <pageMargins left="0.25" right="0.25" top="0.5" bottom="0.5" header="0.3" footer="0.3"/>
  <pageSetup scale="50" fitToHeight="0" orientation="landscape" r:id="rId1"/>
  <rowBreaks count="1" manualBreakCount="1">
    <brk id="85" min="13" max="34" man="1"/>
  </rowBreaks>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09249"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309249" r:id="rId7" name="FPMExcelClientSheetOptionstb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3">
    <tabColor theme="6" tint="0.39997558519241921"/>
    <pageSetUpPr fitToPage="1"/>
  </sheetPr>
  <dimension ref="A1:AO17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349</v>
      </c>
      <c r="C6" s="11" t="str">
        <f>IF(_epmOfflineCondition_,"Mini Bar",_xll.EVDES(B6,$B$1))</f>
        <v>Mini Bar</v>
      </c>
      <c r="D6" s="11"/>
      <c r="E6" s="58" t="str">
        <f>IF(_epmOfflineCondition_,"D1149",_xll.EVPRO($B$1,$B$6,$F$6))</f>
        <v>D1149</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IF(_epmOfflineCondition_,"'Mini_Bar'!$B$2:$B$10",_xll.EVRNG($B$2:$B$10))</f>
        <v>'Mini_Bar'!$B$2:$B$10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IF(_epmOfflineCondition_,"'Mini_Bar'!$O$16:$AN$18",_xll.EVRNG($O$16:$AN$18))</f>
        <v>'Mini_Bar'!$O$16:$AN$18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IF(_epmOfflineCondition_,"'Mini_Bar'!$H$35:$H$41",_xll.EVRNG(H35:H41))</f>
        <v>'Mini_Bar'!$H$35:$H$41</v>
      </c>
      <c r="C19" s="11"/>
      <c r="D19" s="11"/>
      <c r="E19" s="11"/>
      <c r="F19" s="11"/>
      <c r="G19" s="67" t="str">
        <f>$B$6</f>
        <v>D1149</v>
      </c>
      <c r="H19" s="67">
        <v>400000</v>
      </c>
      <c r="I19" s="68"/>
      <c r="J19" s="68"/>
      <c r="K19" s="67"/>
      <c r="L19" s="67"/>
      <c r="M19" s="67"/>
      <c r="N19" s="67" t="str">
        <f>IF(_epmOfflineCondition_,"Total Revenue",_xll.EVDES(H19))</f>
        <v>Total Revenue</v>
      </c>
      <c r="O19" s="69">
        <f>IF(_epmOfflineCondition_,6743.28,_xll.EVGTS($B$1,1,$B$3,$B$5,$B$7,$B$9,O$16,O$17,O$18,$G$19,$H$19))</f>
        <v>6743.28</v>
      </c>
      <c r="P19" s="69">
        <f>IF(_epmOfflineCondition_,6676.38,_xll.EVGTS($B$1,1,$B$3,$B$5,$B$7,$B$9,P$16,P$17,P$18,$G$19,$H$19))</f>
        <v>6676.38</v>
      </c>
      <c r="Q19" s="69">
        <f>IF(_epmOfflineCondition_,7362.35,_xll.EVGTS($B$1,1,$B$3,$B$5,$B$7,$B$9,Q$16,Q$17,Q$18,$G$19,$H$19))</f>
        <v>7362.35</v>
      </c>
      <c r="R19" s="69">
        <f>IF(_epmOfflineCondition_,6774,_xll.EVGTS($B$1,1,$B$3,$B$5,$B$7,$B$9,R$16,R$17,R$18,$G$19,$H$19))</f>
        <v>6774</v>
      </c>
      <c r="S19" s="69">
        <f>IF(_epmOfflineCondition_,5988,_xll.EVGTS($B$1,1,$B$3,$B$5,$B$7,$B$9,S$16,S$17,S$18,$G$19,$H$19))</f>
        <v>5988</v>
      </c>
      <c r="T19" s="69">
        <f>IF(_epmOfflineCondition_,3028.2,_xll.EVGTS($B$1,1,$B$3,$B$5,$B$7,$B$9,T$16,T$17,T$18,$G$19,$H$19))</f>
        <v>3028.2</v>
      </c>
      <c r="U19" s="69">
        <f>IF(_epmOfflineCondition_,5191.34,_xll.EVGTS($B$1,1,$B$3,$B$5,$B$7,$B$9,U$16,U$17,U$18,$G$19,$H$19))</f>
        <v>5191.34</v>
      </c>
      <c r="V19" s="69">
        <f>IF(_epmOfflineCondition_,4825.8,_xll.EVGTS($B$1,1,$B$3,$B$5,$B$7,$B$9,V$16,V$17,V$18,$G$19,$H$19))</f>
        <v>4825.8</v>
      </c>
      <c r="W19" s="69">
        <f>IF(_epmOfflineCondition_,3797.5,_xll.EVGTS($B$1,1,$B$3,$B$5,$B$7,$B$9,W$16,W$17,W$18,$G$19,$H$19))</f>
        <v>3797.5</v>
      </c>
      <c r="X19" s="69">
        <f>IF(_epmOfflineCondition_,4409.5,_xll.EVGTS($B$1,1,$B$3,$B$5,$B$7,$B$9,X$16,X$17,X$18,$G$19,$H$19))</f>
        <v>4409.5</v>
      </c>
      <c r="Y19" s="69">
        <f>IF(_epmOfflineCondition_,4964.51,_xll.EVGTS($B$1,1,$B$3,$B$5,$B$7,$B$9,Y$16,Y$17,Y$18,$G$19,$H$19))</f>
        <v>4964.51</v>
      </c>
      <c r="Z19" s="69">
        <f>IF(_epmOfflineCondition_,5767.5,_xll.EVGTS($B$1,1,$B$3,$B$5,$B$7,$B$9,Z$16,Z$17,Z$18,$G$19,$H$19))</f>
        <v>5767.5</v>
      </c>
      <c r="AA19" s="69">
        <f>SUM(O19:Z19)</f>
        <v>65528.360000000008</v>
      </c>
      <c r="AB19" s="67"/>
      <c r="AC19" s="67"/>
      <c r="AD19" s="69">
        <f>IF(_epmOfflineCondition_,87899.56,_xll.EVGTS($B$1,1,$B$3,$B$5,$B$7,$B$9,AD$16,AD$17,AD$18,$G$19,$H$19))</f>
        <v>87899.56</v>
      </c>
      <c r="AE19" s="67"/>
      <c r="AF19" s="67"/>
      <c r="AG19" s="69">
        <f>IF(_epmOfflineCondition_,52662.75,_xll.EVGTS($B$1,1,$B$3,$B$5,$B$7,$B$9,AG$16,AG$17,AG$18,$G$19,$H$19))</f>
        <v>52662.75</v>
      </c>
      <c r="AH19" s="67"/>
      <c r="AI19" s="67"/>
      <c r="AJ19" s="11"/>
      <c r="AK19" s="11"/>
      <c r="AL19" s="11"/>
      <c r="AM19" s="11"/>
      <c r="AN19" s="11"/>
      <c r="AO19" s="11"/>
    </row>
    <row r="20" spans="1:41" hidden="1" outlineLevel="1" x14ac:dyDescent="0.2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IF(_epmOfflineCondition_,3762,_xll.EVGTS($B$1,1,$B$3,$B$5,$B$7,$B$9,O$16,O$17,O$18,$G$20,$H$20))</f>
        <v>3762</v>
      </c>
      <c r="P20" s="69">
        <f>IF(_epmOfflineCondition_,3568,_xll.EVGTS($B$1,1,$B$3,$B$5,$B$7,$B$9,P$16,P$17,P$18,$G$20,$H$20))</f>
        <v>3568</v>
      </c>
      <c r="Q20" s="69">
        <f>IF(_epmOfflineCondition_,3855,_xll.EVGTS($B$1,1,$B$3,$B$5,$B$7,$B$9,Q$16,Q$17,Q$18,$G$20,$H$20))</f>
        <v>3855</v>
      </c>
      <c r="R20" s="69">
        <f>IF(_epmOfflineCondition_,3602,_xll.EVGTS($B$1,1,$B$3,$B$5,$B$7,$B$9,R$16,R$17,R$18,$G$20,$H$20))</f>
        <v>3602</v>
      </c>
      <c r="S20" s="69">
        <f>IF(_epmOfflineCondition_,3580,_xll.EVGTS($B$1,1,$B$3,$B$5,$B$7,$B$9,S$16,S$17,S$18,$G$20,$H$20))</f>
        <v>3580</v>
      </c>
      <c r="T20" s="69">
        <f>IF(_epmOfflineCondition_,3259,_xll.EVGTS($B$1,1,$B$3,$B$5,$B$7,$B$9,T$16,T$17,T$18,$G$20,$H$20))</f>
        <v>3259</v>
      </c>
      <c r="U20" s="69">
        <f>IF(_epmOfflineCondition_,3548,_xll.EVGTS($B$1,1,$B$3,$B$5,$B$7,$B$9,U$16,U$17,U$18,$G$20,$H$20))</f>
        <v>3548</v>
      </c>
      <c r="V20" s="69">
        <f>IF(_epmOfflineCondition_,3348,_xll.EVGTS($B$1,1,$B$3,$B$5,$B$7,$B$9,V$16,V$17,V$18,$G$20,$H$20))</f>
        <v>3348</v>
      </c>
      <c r="W20" s="69">
        <f>IF(_epmOfflineCondition_,2744,_xll.EVGTS($B$1,1,$B$3,$B$5,$B$7,$B$9,W$16,W$17,W$18,$G$20,$H$20))</f>
        <v>2744</v>
      </c>
      <c r="X20" s="69">
        <f>IF(_epmOfflineCondition_,3076,_xll.EVGTS($B$1,1,$B$3,$B$5,$B$7,$B$9,X$16,X$17,X$18,$G$20,$H$20))</f>
        <v>3076</v>
      </c>
      <c r="Y20" s="69">
        <f>IF(_epmOfflineCondition_,3431,_xll.EVGTS($B$1,1,$B$3,$B$5,$B$7,$B$9,Y$16,Y$17,Y$18,$G$20,$H$20))</f>
        <v>3431</v>
      </c>
      <c r="Z20" s="69">
        <f>IF(_epmOfflineCondition_,3541,_xll.EVGTS($B$1,1,$B$3,$B$5,$B$7,$B$9,Z$16,Z$17,Z$18,$G$20,$H$20))</f>
        <v>3541</v>
      </c>
      <c r="AA20" s="69">
        <f>SUM(O20:Z20)</f>
        <v>41314</v>
      </c>
      <c r="AB20" s="67"/>
      <c r="AC20" s="67"/>
      <c r="AD20" s="69">
        <f>IF(_epmOfflineCondition_,39032,_xll.EVGTS($B$1,1,$B$3,$B$5,$B$7,$B$9,AD$16,AD$17,AD$18,$G$20,$H$20))</f>
        <v>39032</v>
      </c>
      <c r="AE20" s="67"/>
      <c r="AF20" s="67"/>
      <c r="AG20" s="69">
        <f>IF(_epmOfflineCondition_,40219,_xll.EVGTS($B$1,1,$B$3,$B$5,$B$7,$B$9,AG$16,AG$17,AG$18,$G$20,$H$20))</f>
        <v>40219</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IF(_epmOfflineCondition_,"'Mini_Bar'!$A$36:$F$43",_xll.EVRNG(A36:F43))</f>
        <v>'Mini_Bar'!$A$36:$F$43</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IF(_epmOfflineCondition_,"'Mini_Bar'!$A$123:$B$144",_xll.EVRNG($A$123:$B$144))</f>
        <v>'Mini_Bar'!$A$123:$B$144</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IF(_epmOfflineCondition_,"Mini Bar Department",IF(_xll.EVDES(B6,$B$1)="#NODATA","",_xll.EVDES(B6,$B$1)&amp;" Department"))</f>
        <v>Mini Bar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"DEP(REV_F) AND "&amp;$E$6&amp;"=Y,DEP(REV_BEV) AND "&amp;$E$6&amp;"=Y,ALLOW_FB,REV_FB,DEP(REV_MISC_OTHR) AND "&amp;$E$6&amp;"=Y,468990,400000"</f>
        <v>DEP(REV_F) AND D1149=Y,DEP(REV_BEV) AND D1149=Y,ALLOW_FB,REV_FB,DEP(REV_MISC_OTHR) AND D1149=Y,468990,400000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11"/>
      <c r="I34" s="59"/>
      <c r="J34" s="59"/>
      <c r="K34" s="11"/>
      <c r="L34" s="133" t="s">
        <v>364</v>
      </c>
      <c r="M34" s="133" t="s">
        <v>782</v>
      </c>
      <c r="N34" s="53" t="s">
        <v>356</v>
      </c>
      <c r="O34" s="203"/>
      <c r="P34" s="204"/>
      <c r="Q34" s="204"/>
      <c r="R34" s="204"/>
      <c r="S34" s="204"/>
      <c r="T34" s="204"/>
      <c r="U34" s="204"/>
      <c r="V34" s="204"/>
      <c r="W34" s="204"/>
      <c r="X34" s="204"/>
      <c r="Y34" s="204"/>
      <c r="Z34" s="204"/>
      <c r="AA34" s="204"/>
      <c r="AB34" s="118"/>
      <c r="AC34" s="11"/>
      <c r="AD34" s="203"/>
      <c r="AE34" s="204"/>
      <c r="AF34" s="118"/>
      <c r="AG34" s="203"/>
      <c r="AH34" s="204"/>
      <c r="AI34" s="118"/>
      <c r="AJ34" s="11"/>
      <c r="AK34" s="11"/>
      <c r="AL34" s="11"/>
      <c r="AM34" s="11"/>
      <c r="AN34" s="11"/>
      <c r="AO34" s="11"/>
    </row>
    <row r="35" spans="1:41" x14ac:dyDescent="0.25">
      <c r="A35" s="97" t="s">
        <v>92</v>
      </c>
      <c r="B35" s="98" t="s">
        <v>93</v>
      </c>
      <c r="C35" s="98" t="s">
        <v>94</v>
      </c>
      <c r="D35" s="98" t="s">
        <v>95</v>
      </c>
      <c r="E35" s="98" t="s">
        <v>96</v>
      </c>
      <c r="F35" s="99" t="s">
        <v>97</v>
      </c>
      <c r="G35" s="11"/>
      <c r="H35" s="88" t="s">
        <v>350</v>
      </c>
      <c r="I35" s="122" t="str">
        <f>IF(_epmOfflineCondition_,"T5",_xll.EVPRO($B$1,$H35,"STYLE"))</f>
        <v>T5</v>
      </c>
      <c r="J35" s="122" t="str">
        <f>IF(_epmOfflineCondition_,"Y",_xll.EVPRO($B$1,$H35,"CALC"))</f>
        <v>Y</v>
      </c>
      <c r="K35" s="179" t="str">
        <f t="shared" ref="K35:K41" si="0">IF(AND(I35&gt;="T5"),"&gt;","")</f>
        <v>&gt;</v>
      </c>
      <c r="L35" s="90" t="str">
        <f>IF(_epmOfflineCondition_,"467100",_xll.EVPRO($B$1,H35,"JDEID"))</f>
        <v>467100</v>
      </c>
      <c r="M35" s="90" t="str">
        <f>IF(_epmOfflineCondition_,"",IF(AND(I35="N",J35="N"),_xll.EVPRO($B$1,H35,"PSFTID"),""))</f>
        <v/>
      </c>
      <c r="N35" s="90" t="str">
        <f>IF(_epmOfflineCondition_,"Mini Bar Food",IF(_xll.EVDES(H35,$B$1)="#NODATA","",_xll.EVDES(H35,$B$1)))</f>
        <v>Mini Bar Food</v>
      </c>
      <c r="O35" s="601">
        <v>5754.28</v>
      </c>
      <c r="P35" s="601">
        <v>5888.38</v>
      </c>
      <c r="Q35" s="601">
        <v>6499</v>
      </c>
      <c r="R35" s="601">
        <v>6449</v>
      </c>
      <c r="S35" s="601">
        <v>5833</v>
      </c>
      <c r="T35" s="138">
        <v>3215</v>
      </c>
      <c r="U35" s="138">
        <v>4414.34</v>
      </c>
      <c r="V35" s="138">
        <v>3892</v>
      </c>
      <c r="W35" s="138">
        <v>3447.5</v>
      </c>
      <c r="X35" s="138">
        <v>3291.5</v>
      </c>
      <c r="Y35" s="138">
        <v>2216</v>
      </c>
      <c r="Z35" s="138">
        <v>2185.5</v>
      </c>
      <c r="AA35" s="210">
        <f t="shared" ref="AA35:AA41" si="1">IF($I35="B1","",SUM(O35:Z35))</f>
        <v>53085.5</v>
      </c>
      <c r="AB35" s="142">
        <f t="shared" ref="AB35:AB41" si="2">IF(AA35=0,"",IFERROR(AA35/AA$19,""))</f>
        <v>0.81011488766085393</v>
      </c>
      <c r="AC35" s="140"/>
      <c r="AD35" s="138">
        <v>56798</v>
      </c>
      <c r="AE35" s="142">
        <f t="shared" ref="AE35:AE41" si="3">IF(AD35=0,"",IFERROR(AD35/AD$19,""))</f>
        <v>0.64616933236070806</v>
      </c>
      <c r="AF35" s="141">
        <f t="shared" ref="AF35:AF41" si="4">IF(AND($AA35="",AD35=""),"",$AA35-AD35)</f>
        <v>-3712.5</v>
      </c>
      <c r="AG35" s="138">
        <v>37173.74</v>
      </c>
      <c r="AH35" s="142">
        <f t="shared" ref="AH35:AH41" si="5">IF(AG35=0,"",IFERROR(AG35/AG$19,""))</f>
        <v>0.70588300079278044</v>
      </c>
      <c r="AI35" s="141">
        <f t="shared" ref="AI35:AI41" si="6">IF(AND($AA35="",AG35=""),"",$AA35-AG35)</f>
        <v>15911.760000000002</v>
      </c>
      <c r="AJ35" s="462">
        <f t="shared" ref="AJ35:AJ41" si="7">IFERROR(AA35/AA$20,0)</f>
        <v>1.2849276274386408</v>
      </c>
      <c r="AK35" s="463">
        <f t="shared" ref="AK35:AK41" si="8">IFERROR(AD35/AD$20,0)</f>
        <v>1.4551649928263988</v>
      </c>
      <c r="AL35" s="464">
        <f t="shared" ref="AL35:AL41" si="9">IFERROR(AG35/AG$20,0)</f>
        <v>0.92428305029960955</v>
      </c>
      <c r="AM35" s="465" t="str">
        <f t="shared" ref="AM35:AM41" si="10">+IFERROR(ROUND(($AB35-AE35)*100,2)&amp;" pts.",0)</f>
        <v>16.39 pts.</v>
      </c>
      <c r="AN35" s="466" t="str">
        <f t="shared" ref="AN35:AN41" si="11">+IFERROR(ROUND(($AB35-AH35)*100,2)&amp;" pts.",0)</f>
        <v>10.42 pts.</v>
      </c>
      <c r="AO35" s="11"/>
    </row>
    <row r="36" spans="1:41" x14ac:dyDescent="0.25">
      <c r="A36" s="11"/>
      <c r="B36" s="11"/>
      <c r="C36" s="11"/>
      <c r="D36" s="11"/>
      <c r="E36" s="11"/>
      <c r="F36" s="11"/>
      <c r="G36" s="11"/>
      <c r="H36" s="88" t="s">
        <v>351</v>
      </c>
      <c r="I36" s="122" t="str">
        <f>IF(_epmOfflineCondition_,"T5",_xll.EVPRO($B$1,$H36,"STYLE"))</f>
        <v>T5</v>
      </c>
      <c r="J36" s="122" t="str">
        <f>IF(_epmOfflineCondition_,"Y",_xll.EVPRO($B$1,$H36,"CALC"))</f>
        <v>Y</v>
      </c>
      <c r="K36" s="179" t="str">
        <f t="shared" si="0"/>
        <v>&gt;</v>
      </c>
      <c r="L36" s="90" t="str">
        <f>IF(_epmOfflineCondition_,"467200",_xll.EVPRO($B$1,H36,"JDEID"))</f>
        <v>467200</v>
      </c>
      <c r="M36" s="90" t="str">
        <f>IF(_epmOfflineCondition_,"",IF(AND(I36="N",J36="N"),_xll.EVPRO($B$1,H36,"PSFTID"),""))</f>
        <v/>
      </c>
      <c r="N36" s="90" t="str">
        <f>IF(_epmOfflineCondition_,"Mini Bar Beverage",IF(_xll.EVDES(H36,$B$1)="#NODATA","",_xll.EVDES(H36,$B$1)))</f>
        <v>Mini Bar Beverage</v>
      </c>
      <c r="O36" s="601">
        <v>989</v>
      </c>
      <c r="P36" s="601">
        <v>788</v>
      </c>
      <c r="Q36" s="601">
        <v>863.35</v>
      </c>
      <c r="R36" s="601">
        <v>325</v>
      </c>
      <c r="S36" s="601">
        <v>155</v>
      </c>
      <c r="T36" s="138">
        <v>130</v>
      </c>
      <c r="U36" s="138">
        <v>777</v>
      </c>
      <c r="V36" s="138">
        <v>617</v>
      </c>
      <c r="W36" s="138">
        <v>350</v>
      </c>
      <c r="X36" s="138">
        <v>1118</v>
      </c>
      <c r="Y36" s="138">
        <v>2924</v>
      </c>
      <c r="Z36" s="138">
        <v>3582</v>
      </c>
      <c r="AA36" s="210">
        <f t="shared" si="1"/>
        <v>12618.35</v>
      </c>
      <c r="AB36" s="142">
        <f t="shared" si="2"/>
        <v>0.19256318943431514</v>
      </c>
      <c r="AC36" s="140"/>
      <c r="AD36" s="138">
        <v>31101.56</v>
      </c>
      <c r="AE36" s="142">
        <f t="shared" si="3"/>
        <v>0.35383066763929194</v>
      </c>
      <c r="AF36" s="141">
        <f t="shared" si="4"/>
        <v>-18483.21</v>
      </c>
      <c r="AG36" s="138">
        <v>15536</v>
      </c>
      <c r="AH36" s="142">
        <f t="shared" si="5"/>
        <v>0.29500928075347377</v>
      </c>
      <c r="AI36" s="141">
        <f t="shared" si="6"/>
        <v>-2917.6499999999996</v>
      </c>
      <c r="AJ36" s="462">
        <f t="shared" si="7"/>
        <v>0.30542552161494896</v>
      </c>
      <c r="AK36" s="463">
        <f t="shared" si="8"/>
        <v>0.7968220946915352</v>
      </c>
      <c r="AL36" s="464">
        <f t="shared" si="9"/>
        <v>0.38628508913697507</v>
      </c>
      <c r="AM36" s="465" t="str">
        <f t="shared" si="10"/>
        <v>-16.13 pts.</v>
      </c>
      <c r="AN36" s="466" t="str">
        <f t="shared" si="11"/>
        <v>-10.24 pts.</v>
      </c>
      <c r="AO36" s="11"/>
    </row>
    <row r="37" spans="1:41" x14ac:dyDescent="0.25">
      <c r="A37" s="11" t="s">
        <v>105</v>
      </c>
      <c r="B37" s="11"/>
      <c r="C37" s="104" t="s">
        <v>101</v>
      </c>
      <c r="D37" s="11" t="s">
        <v>106</v>
      </c>
      <c r="E37" s="11"/>
      <c r="F37" s="11" t="s">
        <v>98</v>
      </c>
      <c r="G37" s="11"/>
      <c r="H37" s="88" t="s">
        <v>486</v>
      </c>
      <c r="I37" s="122" t="str">
        <f>IF(_epmOfflineCondition_,"T5",_xll.EVPRO($B$1,$H37,"STYLE"))</f>
        <v>T5</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IF(_epmOfflineCondition_,"Food &amp; Beverage: Allowances",IF(_xll.EVDES(H37,$B$1)="#NODATA","",_xll.EVDES(H37,$B$1)))</f>
        <v>Food &amp; Beverage: Allowances</v>
      </c>
      <c r="O37" s="587"/>
      <c r="P37" s="587"/>
      <c r="Q37" s="587"/>
      <c r="R37" s="587"/>
      <c r="S37" s="587"/>
      <c r="T37" s="215"/>
      <c r="U37" s="215"/>
      <c r="V37" s="215"/>
      <c r="W37" s="215"/>
      <c r="X37" s="215"/>
      <c r="Y37" s="215"/>
      <c r="Z37" s="215"/>
      <c r="AA37" s="216">
        <f t="shared" si="1"/>
        <v>0</v>
      </c>
      <c r="AB37" s="217" t="str">
        <f t="shared" si="2"/>
        <v/>
      </c>
      <c r="AC37" s="140"/>
      <c r="AD37" s="215"/>
      <c r="AE37" s="217" t="str">
        <f t="shared" si="3"/>
        <v/>
      </c>
      <c r="AF37" s="218">
        <f t="shared" si="4"/>
        <v>0</v>
      </c>
      <c r="AG37" s="215"/>
      <c r="AH37" s="217" t="str">
        <f t="shared" si="5"/>
        <v/>
      </c>
      <c r="AI37" s="218">
        <f t="shared" si="6"/>
        <v>0</v>
      </c>
      <c r="AJ37" s="471">
        <f t="shared" si="7"/>
        <v>0</v>
      </c>
      <c r="AK37" s="472">
        <f t="shared" si="8"/>
        <v>0</v>
      </c>
      <c r="AL37" s="473">
        <f t="shared" si="9"/>
        <v>0</v>
      </c>
      <c r="AM37" s="474">
        <f t="shared" si="10"/>
        <v>0</v>
      </c>
      <c r="AN37" s="475">
        <f t="shared" si="11"/>
        <v>0</v>
      </c>
      <c r="AO37" s="11"/>
    </row>
    <row r="38" spans="1:41" x14ac:dyDescent="0.25">
      <c r="A38" s="11" t="s">
        <v>104</v>
      </c>
      <c r="B38" s="11"/>
      <c r="C38" s="104" t="s">
        <v>101</v>
      </c>
      <c r="D38" s="11" t="s">
        <v>106</v>
      </c>
      <c r="E38" s="11"/>
      <c r="F38" s="11" t="s">
        <v>98</v>
      </c>
      <c r="G38" s="11"/>
      <c r="H38" s="88" t="s">
        <v>273</v>
      </c>
      <c r="I38" s="188" t="str">
        <f>IF(_epmOfflineCondition_,"T4",_xll.EVPRO($B$1,$H38,"STYLE"))</f>
        <v>T4</v>
      </c>
      <c r="J38" s="188" t="str">
        <f>IF(_epmOfflineCondition_,"Y",_xll.EVPRO($B$1,$H38,"CALC"))</f>
        <v>Y</v>
      </c>
      <c r="K38" s="189" t="str">
        <f t="shared" si="0"/>
        <v/>
      </c>
      <c r="L38" s="190" t="str">
        <f>IF(_epmOfflineCondition_,"",_xll.EVPRO($B$1,H38,"JDEID"))</f>
        <v/>
      </c>
      <c r="M38" s="190" t="str">
        <f>IF(_epmOfflineCondition_,"",IF(AND(I38="N",J38="N"),_xll.EVPRO($B$1,H38,"PSFTID"),""))</f>
        <v/>
      </c>
      <c r="N38" s="190" t="str">
        <f>IF(_epmOfflineCondition_,"Total Food &amp; Beverage Revenue",IF(_xll.EVDES(H38,$B$1)="#NODATA","",_xll.EVDES(H38,$B$1)))</f>
        <v>Total Food &amp; Beverage Revenue</v>
      </c>
      <c r="O38" s="602">
        <v>6743.28</v>
      </c>
      <c r="P38" s="602">
        <v>6676.38</v>
      </c>
      <c r="Q38" s="602">
        <v>7362.35</v>
      </c>
      <c r="R38" s="602">
        <v>6774</v>
      </c>
      <c r="S38" s="602">
        <v>5988</v>
      </c>
      <c r="T38" s="223">
        <v>3345</v>
      </c>
      <c r="U38" s="223">
        <v>5191.34</v>
      </c>
      <c r="V38" s="223">
        <v>4509</v>
      </c>
      <c r="W38" s="223">
        <v>3797.5</v>
      </c>
      <c r="X38" s="223">
        <v>4409.5</v>
      </c>
      <c r="Y38" s="223">
        <v>5140</v>
      </c>
      <c r="Z38" s="223">
        <v>5767.5</v>
      </c>
      <c r="AA38" s="223">
        <f t="shared" si="1"/>
        <v>65703.850000000006</v>
      </c>
      <c r="AB38" s="224">
        <f t="shared" si="2"/>
        <v>1.0026780770951691</v>
      </c>
      <c r="AC38" s="225"/>
      <c r="AD38" s="223">
        <v>87899.56</v>
      </c>
      <c r="AE38" s="224">
        <f t="shared" si="3"/>
        <v>1</v>
      </c>
      <c r="AF38" s="226">
        <f t="shared" si="4"/>
        <v>-22195.709999999992</v>
      </c>
      <c r="AG38" s="223">
        <v>52709.74</v>
      </c>
      <c r="AH38" s="224">
        <f t="shared" si="5"/>
        <v>1.0008922815462542</v>
      </c>
      <c r="AI38" s="226">
        <f t="shared" si="6"/>
        <v>12994.110000000008</v>
      </c>
      <c r="AJ38" s="227">
        <f t="shared" si="7"/>
        <v>1.5903531490535898</v>
      </c>
      <c r="AK38" s="228">
        <f t="shared" si="8"/>
        <v>2.251987087517934</v>
      </c>
      <c r="AL38" s="230">
        <f t="shared" si="9"/>
        <v>1.3105681394365847</v>
      </c>
      <c r="AM38" s="427" t="str">
        <f t="shared" si="10"/>
        <v>0.27 pts.</v>
      </c>
      <c r="AN38" s="478" t="str">
        <f t="shared" si="11"/>
        <v>0.18 pts.</v>
      </c>
      <c r="AO38" s="11"/>
    </row>
    <row r="39" spans="1:41" x14ac:dyDescent="0.25">
      <c r="A39" s="11" t="s">
        <v>100</v>
      </c>
      <c r="B39" s="11"/>
      <c r="C39" s="53" t="s">
        <v>101</v>
      </c>
      <c r="D39" s="11" t="s">
        <v>106</v>
      </c>
      <c r="E39" s="11"/>
      <c r="F39" s="11" t="s">
        <v>98</v>
      </c>
      <c r="G39" s="11"/>
      <c r="H39" s="88" t="s">
        <v>352</v>
      </c>
      <c r="I39" s="122" t="str">
        <f>IF(_epmOfflineCondition_,"T5",_xll.EVPRO($B$1,$H39,"STYLE"))</f>
        <v>T5</v>
      </c>
      <c r="J39" s="122" t="str">
        <f>IF(_epmOfflineCondition_,"Y",_xll.EVPRO($B$1,$H39,"CALC"))</f>
        <v>Y</v>
      </c>
      <c r="K39" s="179" t="str">
        <f t="shared" si="0"/>
        <v>&gt;</v>
      </c>
      <c r="L39" s="90" t="str">
        <f>IF(_epmOfflineCondition_,"467300",_xll.EVPRO($B$1,H39,"JDEID"))</f>
        <v>467300</v>
      </c>
      <c r="M39" s="90" t="str">
        <f>IF(_epmOfflineCondition_,"",IF(AND(I39="N",J39="N"),_xll.EVPRO($B$1,H39,"PSFTID"),""))</f>
        <v/>
      </c>
      <c r="N39" s="90" t="str">
        <f>IF(_epmOfflineCondition_,"Mini Bar Merchandise",IF(_xll.EVDES(H39,$B$1)="#NODATA","",_xll.EVDES(H39,$B$1)))</f>
        <v>Mini Bar Merchandise</v>
      </c>
      <c r="O39" s="603"/>
      <c r="P39" s="603"/>
      <c r="Q39" s="603"/>
      <c r="R39" s="603"/>
      <c r="S39" s="603"/>
      <c r="T39" s="231">
        <v>-316.8</v>
      </c>
      <c r="U39" s="231"/>
      <c r="V39" s="231">
        <v>316.8</v>
      </c>
      <c r="W39" s="231"/>
      <c r="X39" s="231"/>
      <c r="Y39" s="231">
        <v>-175.49</v>
      </c>
      <c r="Z39" s="231"/>
      <c r="AA39" s="232">
        <f t="shared" si="1"/>
        <v>-175.49</v>
      </c>
      <c r="AB39" s="233">
        <f t="shared" si="2"/>
        <v>-2.6780770951691756E-3</v>
      </c>
      <c r="AC39" s="140"/>
      <c r="AD39" s="231"/>
      <c r="AE39" s="233" t="str">
        <f t="shared" si="3"/>
        <v/>
      </c>
      <c r="AF39" s="234">
        <f t="shared" si="4"/>
        <v>-175.49</v>
      </c>
      <c r="AG39" s="231">
        <v>-46.99</v>
      </c>
      <c r="AH39" s="233">
        <f t="shared" si="5"/>
        <v>-8.9228154625423095E-4</v>
      </c>
      <c r="AI39" s="234">
        <f t="shared" si="6"/>
        <v>-128.5</v>
      </c>
      <c r="AJ39" s="235">
        <f t="shared" si="7"/>
        <v>-4.2477126397831248E-3</v>
      </c>
      <c r="AK39" s="236">
        <f t="shared" si="8"/>
        <v>0</v>
      </c>
      <c r="AL39" s="238">
        <f t="shared" si="9"/>
        <v>-1.1683532658693654E-3</v>
      </c>
      <c r="AM39" s="429">
        <f t="shared" si="10"/>
        <v>0</v>
      </c>
      <c r="AN39" s="484" t="str">
        <f t="shared" si="11"/>
        <v>-0.18 pts.</v>
      </c>
      <c r="AO39" s="11"/>
    </row>
    <row r="40" spans="1:41" x14ac:dyDescent="0.25">
      <c r="A40" s="11" t="s">
        <v>102</v>
      </c>
      <c r="B40" s="11"/>
      <c r="C40" s="106" t="s">
        <v>101</v>
      </c>
      <c r="D40" s="11" t="s">
        <v>106</v>
      </c>
      <c r="E40" s="11"/>
      <c r="F40" s="11" t="s">
        <v>98</v>
      </c>
      <c r="G40" s="11"/>
      <c r="H40" s="88" t="s">
        <v>473</v>
      </c>
      <c r="I40" s="122" t="str">
        <f>IF(_epmOfflineCondition_,"N",_xll.EVPRO($B$1,$H40,"STYLE"))</f>
        <v>N</v>
      </c>
      <c r="J40" s="122" t="str">
        <f>IF(_epmOfflineCondition_,"N",_xll.EVPRO($B$1,$H40,"CALC"))</f>
        <v>N</v>
      </c>
      <c r="K40" s="179" t="str">
        <f t="shared" si="0"/>
        <v/>
      </c>
      <c r="L40" s="90" t="str">
        <f>IF(_epmOfflineCondition_,"468990",_xll.EVPRO($B$1,H40,"JDEID"))</f>
        <v>468990</v>
      </c>
      <c r="M40" s="90" t="str">
        <f>IF(_epmOfflineCondition_,"206022",IF(AND(I40="N",J40="N"),_xll.EVPRO($B$1,H40,"PSFTID"),""))</f>
        <v>206022</v>
      </c>
      <c r="N40" s="90" t="str">
        <f>IF(_epmOfflineCondition_,"Other Revenue: Allowances",IF(_xll.EVDES(H40,$B$1)="#NODATA","",_xll.EVDES(H40,$B$1)))</f>
        <v>Other Revenue: Allowances</v>
      </c>
      <c r="O40" s="587"/>
      <c r="P40" s="587"/>
      <c r="Q40" s="587"/>
      <c r="R40" s="587"/>
      <c r="S40" s="587"/>
      <c r="T40" s="215"/>
      <c r="U40" s="215"/>
      <c r="V40" s="215"/>
      <c r="W40" s="215"/>
      <c r="X40" s="215"/>
      <c r="Y40" s="215"/>
      <c r="Z40" s="215"/>
      <c r="AA40" s="216">
        <f t="shared" si="1"/>
        <v>0</v>
      </c>
      <c r="AB40" s="217" t="str">
        <f t="shared" si="2"/>
        <v/>
      </c>
      <c r="AC40" s="140"/>
      <c r="AD40" s="215"/>
      <c r="AE40" s="217" t="str">
        <f t="shared" si="3"/>
        <v/>
      </c>
      <c r="AF40" s="218">
        <f t="shared" si="4"/>
        <v>0</v>
      </c>
      <c r="AG40" s="215"/>
      <c r="AH40" s="217" t="str">
        <f t="shared" si="5"/>
        <v/>
      </c>
      <c r="AI40" s="218">
        <f t="shared" si="6"/>
        <v>0</v>
      </c>
      <c r="AJ40" s="471">
        <f t="shared" si="7"/>
        <v>0</v>
      </c>
      <c r="AK40" s="472">
        <f t="shared" si="8"/>
        <v>0</v>
      </c>
      <c r="AL40" s="473">
        <f t="shared" si="9"/>
        <v>0</v>
      </c>
      <c r="AM40" s="474">
        <f t="shared" si="10"/>
        <v>0</v>
      </c>
      <c r="AN40" s="475">
        <f t="shared" si="11"/>
        <v>0</v>
      </c>
      <c r="AO40" s="11"/>
    </row>
    <row r="41" spans="1:41" x14ac:dyDescent="0.25">
      <c r="A41" s="11" t="s">
        <v>102</v>
      </c>
      <c r="B41" s="11"/>
      <c r="C41" s="196" t="s">
        <v>101</v>
      </c>
      <c r="D41" s="11" t="s">
        <v>107</v>
      </c>
      <c r="E41" s="11"/>
      <c r="F41" s="11" t="s">
        <v>99</v>
      </c>
      <c r="G41" s="11"/>
      <c r="H41" s="88" t="s">
        <v>280</v>
      </c>
      <c r="I41" s="188" t="str">
        <f>IF(_epmOfflineCondition_,"T3",_xll.EVPRO($B$1,$H41,"STYLE"))</f>
        <v>T3</v>
      </c>
      <c r="J41" s="188" t="str">
        <f>IF(_epmOfflineCondition_,"Y",_xll.EVPRO($B$1,$H41,"CALC"))</f>
        <v>Y</v>
      </c>
      <c r="K41" s="189" t="str">
        <f t="shared" si="0"/>
        <v/>
      </c>
      <c r="L41" s="190" t="str">
        <f>IF(_epmOfflineCondition_,"400000",_xll.EVPRO($B$1,H41,"JDEID"))</f>
        <v>400000</v>
      </c>
      <c r="M41" s="190" t="str">
        <f>IF(_epmOfflineCondition_,"",IF(AND(I41="N",J41="N"),_xll.EVPRO($B$1,H41,"PSFTID"),""))</f>
        <v/>
      </c>
      <c r="N41" s="190" t="str">
        <f>IF(_epmOfflineCondition_,"Total Revenue",IF(_xll.EVDES(H41,$B$1)="#NODATA","",_xll.EVDES(H41,$B$1)))</f>
        <v>Total Revenue</v>
      </c>
      <c r="O41" s="602">
        <v>6743.28</v>
      </c>
      <c r="P41" s="602">
        <v>6676.38</v>
      </c>
      <c r="Q41" s="602">
        <v>7362.35</v>
      </c>
      <c r="R41" s="602">
        <v>6774</v>
      </c>
      <c r="S41" s="602">
        <v>5988</v>
      </c>
      <c r="T41" s="223">
        <v>3028.2</v>
      </c>
      <c r="U41" s="223">
        <v>5191.34</v>
      </c>
      <c r="V41" s="223">
        <v>4825.8</v>
      </c>
      <c r="W41" s="223">
        <v>3797.5</v>
      </c>
      <c r="X41" s="223">
        <v>4409.5</v>
      </c>
      <c r="Y41" s="223">
        <v>4964.51</v>
      </c>
      <c r="Z41" s="223">
        <v>5767.5</v>
      </c>
      <c r="AA41" s="223">
        <f t="shared" si="1"/>
        <v>65528.360000000008</v>
      </c>
      <c r="AB41" s="224">
        <f t="shared" si="2"/>
        <v>1</v>
      </c>
      <c r="AC41" s="225"/>
      <c r="AD41" s="223">
        <v>87899.56</v>
      </c>
      <c r="AE41" s="224">
        <f t="shared" si="3"/>
        <v>1</v>
      </c>
      <c r="AF41" s="226">
        <f t="shared" si="4"/>
        <v>-22371.19999999999</v>
      </c>
      <c r="AG41" s="223">
        <v>52662.75</v>
      </c>
      <c r="AH41" s="224">
        <f t="shared" si="5"/>
        <v>1</v>
      </c>
      <c r="AI41" s="226">
        <f t="shared" si="6"/>
        <v>12865.610000000008</v>
      </c>
      <c r="AJ41" s="227">
        <f t="shared" si="7"/>
        <v>1.5861054364138067</v>
      </c>
      <c r="AK41" s="228">
        <f t="shared" si="8"/>
        <v>2.251987087517934</v>
      </c>
      <c r="AL41" s="230">
        <f t="shared" si="9"/>
        <v>1.3093997861707154</v>
      </c>
      <c r="AM41" s="427" t="str">
        <f t="shared" si="10"/>
        <v>0 pts.</v>
      </c>
      <c r="AN41" s="478" t="str">
        <f t="shared" si="11"/>
        <v>0 pts.</v>
      </c>
      <c r="AO41" s="11"/>
    </row>
    <row r="42" spans="1:41" x14ac:dyDescent="0.25">
      <c r="A42" s="11" t="s">
        <v>108</v>
      </c>
      <c r="B42" s="11"/>
      <c r="C42" s="106" t="s">
        <v>101</v>
      </c>
      <c r="D42" s="11" t="s">
        <v>106</v>
      </c>
      <c r="E42" s="11"/>
      <c r="F42" s="11" t="s">
        <v>98</v>
      </c>
      <c r="G42" s="11"/>
      <c r="H42" s="11"/>
      <c r="I42" s="59"/>
      <c r="J42" s="59"/>
      <c r="K42" s="11"/>
      <c r="L42" s="11"/>
      <c r="M42" s="11"/>
      <c r="N42" s="11"/>
      <c r="O42" s="203"/>
      <c r="P42" s="204"/>
      <c r="Q42" s="204"/>
      <c r="R42" s="204"/>
      <c r="S42" s="204"/>
      <c r="T42" s="204"/>
      <c r="U42" s="204"/>
      <c r="V42" s="204"/>
      <c r="W42" s="204"/>
      <c r="X42" s="204"/>
      <c r="Y42" s="204"/>
      <c r="Z42" s="204"/>
      <c r="AA42" s="204"/>
      <c r="AB42" s="118"/>
      <c r="AC42" s="11"/>
      <c r="AD42" s="203"/>
      <c r="AE42" s="204"/>
      <c r="AF42" s="118"/>
      <c r="AG42" s="203"/>
      <c r="AH42" s="204"/>
      <c r="AI42" s="118"/>
      <c r="AJ42" s="11"/>
      <c r="AK42" s="11"/>
      <c r="AL42" s="11"/>
      <c r="AM42" s="11"/>
      <c r="AN42" s="11"/>
      <c r="AO42" s="11"/>
    </row>
    <row r="43" spans="1:41" x14ac:dyDescent="0.25">
      <c r="A43" s="11" t="s">
        <v>108</v>
      </c>
      <c r="B43" s="11"/>
      <c r="C43" s="196" t="s">
        <v>101</v>
      </c>
      <c r="D43" s="11" t="s">
        <v>107</v>
      </c>
      <c r="E43" s="11"/>
      <c r="F43" s="11" t="s">
        <v>99</v>
      </c>
      <c r="G43" s="11"/>
      <c r="H43" s="11" t="s">
        <v>281</v>
      </c>
      <c r="I43" s="59" t="str">
        <f>IF(_epmOfflineCondition_,"B1",_xll.EVPRO($B$1,$H43,"STYLE"))</f>
        <v>B1</v>
      </c>
      <c r="J43" s="59" t="str">
        <f>IF(_epmOfflineCondition_,"Y",_xll.EVPRO($B$1,$H43,"CALC"))</f>
        <v>Y</v>
      </c>
      <c r="K43" s="11"/>
      <c r="L43" s="11"/>
      <c r="M43" s="11"/>
      <c r="N43" s="105" t="str">
        <f>IF(_epmOfflineCondition_,"Cost of Sales",IF(_xll.EVDES(H43,$B$1)="#NODATA","",_xll.EVDES(H43,$B$1)))</f>
        <v>Cost of Sales</v>
      </c>
      <c r="O43" s="203"/>
      <c r="P43" s="204"/>
      <c r="Q43" s="204"/>
      <c r="R43" s="204"/>
      <c r="S43" s="204"/>
      <c r="T43" s="204"/>
      <c r="U43" s="204"/>
      <c r="V43" s="204"/>
      <c r="W43" s="204"/>
      <c r="X43" s="204"/>
      <c r="Y43" s="204"/>
      <c r="Z43" s="204"/>
      <c r="AA43" s="204"/>
      <c r="AB43" s="118"/>
      <c r="AC43" s="11"/>
      <c r="AD43" s="203"/>
      <c r="AE43" s="204"/>
      <c r="AF43" s="118"/>
      <c r="AG43" s="203"/>
      <c r="AH43" s="204"/>
      <c r="AI43" s="118"/>
      <c r="AJ43" s="11"/>
      <c r="AK43" s="11"/>
      <c r="AL43" s="11"/>
      <c r="AM43" s="11"/>
      <c r="AN43" s="11"/>
      <c r="AO43" s="11"/>
    </row>
    <row r="44" spans="1:41" x14ac:dyDescent="0.25">
      <c r="A44" s="11"/>
      <c r="B44" s="11"/>
      <c r="C44" s="11"/>
      <c r="D44" s="11"/>
      <c r="E44" s="11"/>
      <c r="F44" s="11"/>
      <c r="G44" s="11"/>
      <c r="H44" s="11" t="s">
        <v>284</v>
      </c>
      <c r="I44" s="59" t="str">
        <f>IF(_epmOfflineCondition_,"B1",_xll.EVPRO($B$1,$H44,"STYLE"))</f>
        <v>B1</v>
      </c>
      <c r="J44" s="59" t="str">
        <f>IF(_epmOfflineCondition_,"Y",_xll.EVPRO($B$1,$H44,"CALC"))</f>
        <v>Y</v>
      </c>
      <c r="K44" s="11"/>
      <c r="L44" s="11"/>
      <c r="M44" s="11"/>
      <c r="N44" s="53" t="str">
        <f>IF(_epmOfflineCondition_,"Cost of Food &amp; Beverage Sales",IF(_xll.EVDES(H44,$B$1)="#NODATA","",_xll.EVDES(H44,$B$1)))</f>
        <v>Cost of Food &amp; Beverage Sales</v>
      </c>
      <c r="O44" s="203"/>
      <c r="P44" s="204"/>
      <c r="Q44" s="204"/>
      <c r="R44" s="204"/>
      <c r="S44" s="204"/>
      <c r="T44" s="204"/>
      <c r="U44" s="204"/>
      <c r="V44" s="204"/>
      <c r="W44" s="204"/>
      <c r="X44" s="204"/>
      <c r="Y44" s="204"/>
      <c r="Z44" s="204"/>
      <c r="AA44" s="204"/>
      <c r="AB44" s="118"/>
      <c r="AC44" s="11"/>
      <c r="AD44" s="203"/>
      <c r="AE44" s="204"/>
      <c r="AF44" s="118"/>
      <c r="AG44" s="203"/>
      <c r="AH44" s="204"/>
      <c r="AI44" s="118"/>
      <c r="AJ44" s="11"/>
      <c r="AK44" s="11"/>
      <c r="AL44" s="11"/>
      <c r="AM44" s="11"/>
      <c r="AN44" s="11"/>
      <c r="AO44" s="11"/>
    </row>
    <row r="45" spans="1:41" x14ac:dyDescent="0.25">
      <c r="A45" s="11"/>
      <c r="B45" s="11"/>
      <c r="C45" s="11"/>
      <c r="D45" s="11"/>
      <c r="E45" s="11"/>
      <c r="F45" s="11"/>
      <c r="G45" s="11"/>
      <c r="H45" s="88" t="s">
        <v>353</v>
      </c>
      <c r="I45" s="122" t="str">
        <f>IF(_epmOfflineCondition_,"N",_xll.EVPRO($B$1,$H45,"STYLE"))</f>
        <v>N</v>
      </c>
      <c r="J45" s="122" t="str">
        <f>IF(_epmOfflineCondition_,"N",_xll.EVPRO($B$1,$H45,"CALC"))</f>
        <v>N</v>
      </c>
      <c r="K45" s="179" t="str">
        <f t="shared" ref="K45:K51" si="12">IF(AND(I45&gt;="T5"),"&gt;","")</f>
        <v/>
      </c>
      <c r="L45" s="90" t="str">
        <f>IF(_epmOfflineCondition_,"567100",_xll.EVPRO($B$1,H45,"JDEID"))</f>
        <v>567100</v>
      </c>
      <c r="M45" s="90" t="str">
        <f>IF(_epmOfflineCondition_,"301010",IF(AND(I45="N",J45="N"),_xll.EVPRO($B$1,H45,"PSFTID"),""))</f>
        <v>301010</v>
      </c>
      <c r="N45" s="90" t="str">
        <f>IF(_epmOfflineCondition_,"Mini Bar Cost of Food",IF(_xll.EVDES(H45,$B$1)="#NODATA","",_xll.EVDES(H45,$B$1)))</f>
        <v>Mini Bar Cost of Food</v>
      </c>
      <c r="O45" s="601">
        <v>1538.52</v>
      </c>
      <c r="P45" s="601">
        <v>1663.29</v>
      </c>
      <c r="Q45" s="601">
        <v>1424.36</v>
      </c>
      <c r="R45" s="601">
        <v>1535.14</v>
      </c>
      <c r="S45" s="601">
        <v>1494.42</v>
      </c>
      <c r="T45" s="138">
        <v>931.37</v>
      </c>
      <c r="U45" s="138">
        <v>1157.5</v>
      </c>
      <c r="V45" s="138">
        <v>1041.56</v>
      </c>
      <c r="W45" s="138">
        <v>367.22</v>
      </c>
      <c r="X45" s="138">
        <v>964.92</v>
      </c>
      <c r="Y45" s="138">
        <v>699.4</v>
      </c>
      <c r="Z45" s="138">
        <v>592.52</v>
      </c>
      <c r="AA45" s="210">
        <f>IF($I45="B1","",SUM(O45:Z45))</f>
        <v>13410.22</v>
      </c>
      <c r="AB45" s="142">
        <f>IF(_epmOfflineCondition_,0.252615497640599,IF(AA45=0,"",IFERROR(AA45/_xll.EVGTS($B$1,1,_xll.EVPRO($B$1,$H45,"COSBASIS"),$B$3,$B$5,$B$6,$B$7,$B$9,AA$16,AA$17,AA$11),"")))</f>
        <v>0.25261549764059898</v>
      </c>
      <c r="AC45" s="140"/>
      <c r="AD45" s="138">
        <v>15392.258</v>
      </c>
      <c r="AE45" s="142">
        <f>IF(_epmOfflineCondition_,0.271,IF(AD45=0,"",IFERROR(AD45/_xll.EVGTS($B$1,1,_xll.EVPRO($B$1,$H45,"COSBASIS"),$B$3,$B$5,$B$6,$B$7,$B$9,AD$16,AD$17,AD$18),"")))</f>
        <v>0.27100000000000002</v>
      </c>
      <c r="AF45" s="141">
        <f t="shared" ref="AF45:AF51" si="13">IF(AND($AA45="",AD45=""),"",$AA45-AD45)</f>
        <v>-1982.0380000000005</v>
      </c>
      <c r="AG45" s="138">
        <v>9571.11</v>
      </c>
      <c r="AH45" s="142">
        <f>IF(_epmOfflineCondition_,0.257469654654065,IF(AG45=0,"",IFERROR(AG45/_xll.EVGTS($B$1,1,_xll.EVPRO($B$1,$H45,"COSBASIS"),$B$3,$B$5,$B$6,$B$7,$B$9,AG$16,AG$17,AG$18),"")))</f>
        <v>0.25746965465406502</v>
      </c>
      <c r="AI45" s="141">
        <f t="shared" ref="AI45:AI51" si="14">IF(AND($AA45="",AG45=""),"",$AA45-AG45)</f>
        <v>3839.1099999999988</v>
      </c>
      <c r="AJ45" s="462">
        <f t="shared" ref="AJ45:AJ51" si="15">IFERROR(AA45/AA$20,0)</f>
        <v>0.32459263203756594</v>
      </c>
      <c r="AK45" s="463">
        <f t="shared" ref="AK45:AK51" si="16">IFERROR(AD45/AD$20,0)</f>
        <v>0.39434971305595407</v>
      </c>
      <c r="AL45" s="464">
        <f t="shared" ref="AL45:AL51" si="17">IFERROR(AG45/AG$20,0)</f>
        <v>0.23797483776324624</v>
      </c>
      <c r="AM45" s="465" t="str">
        <f t="shared" ref="AM45:AM51" si="18">+IFERROR(ROUND(($AB45-AE45)*100,2)&amp;" pts.",0)</f>
        <v>-1.84 pts.</v>
      </c>
      <c r="AN45" s="466" t="str">
        <f t="shared" ref="AN45:AN51" si="19">+IFERROR(ROUND(($AB45-AH45)*100,2)&amp;" pts.",0)</f>
        <v>-0.49 pts.</v>
      </c>
      <c r="AO45" s="11"/>
    </row>
    <row r="46" spans="1:41" x14ac:dyDescent="0.25">
      <c r="A46" s="61" t="str">
        <f>IF(_epmOfflineCondition_,"Evdre:Ok",_xll.EVDRE($B$1,A49:B56,A59:B65))</f>
        <v>Evdre:Ok</v>
      </c>
      <c r="B46" s="11"/>
      <c r="C46" s="11"/>
      <c r="D46" s="11"/>
      <c r="E46" s="11"/>
      <c r="F46" s="11"/>
      <c r="G46" s="11"/>
      <c r="H46" s="88" t="s">
        <v>354</v>
      </c>
      <c r="I46" s="122" t="str">
        <f>IF(_epmOfflineCondition_,"N",_xll.EVPRO($B$1,$H46,"STYLE"))</f>
        <v>N</v>
      </c>
      <c r="J46" s="122" t="str">
        <f>IF(_epmOfflineCondition_,"N",_xll.EVPRO($B$1,$H46,"CALC"))</f>
        <v>N</v>
      </c>
      <c r="K46" s="179" t="str">
        <f t="shared" si="12"/>
        <v/>
      </c>
      <c r="L46" s="90" t="str">
        <f>IF(_epmOfflineCondition_,"567200",_xll.EVPRO($B$1,H46,"JDEID"))</f>
        <v>567200</v>
      </c>
      <c r="M46" s="90" t="str">
        <f>IF(_epmOfflineCondition_,"302010",IF(AND(I46="N",J46="N"),_xll.EVPRO($B$1,H46,"PSFTID"),""))</f>
        <v>302010</v>
      </c>
      <c r="N46" s="90" t="str">
        <f>IF(_epmOfflineCondition_,"Mini Bar Cost of Beverage",IF(_xll.EVDES(H46,$B$1)="#NODATA","",_xll.EVDES(H46,$B$1)))</f>
        <v>Mini Bar Cost of Beverage</v>
      </c>
      <c r="O46" s="587">
        <v>233.41</v>
      </c>
      <c r="P46" s="587">
        <v>263.77999999999997</v>
      </c>
      <c r="Q46" s="587">
        <v>234.83</v>
      </c>
      <c r="R46" s="587">
        <v>99.79</v>
      </c>
      <c r="S46" s="587">
        <v>46</v>
      </c>
      <c r="T46" s="215">
        <v>42.06</v>
      </c>
      <c r="U46" s="215">
        <v>334.68</v>
      </c>
      <c r="V46" s="215">
        <v>-107.38</v>
      </c>
      <c r="W46" s="215">
        <v>68.540000000000006</v>
      </c>
      <c r="X46" s="215">
        <v>361.27</v>
      </c>
      <c r="Y46" s="215">
        <v>1191.6600000000001</v>
      </c>
      <c r="Z46" s="215">
        <v>1170.73</v>
      </c>
      <c r="AA46" s="216">
        <f>IF($I46="B1","",SUM(O46:Z46))</f>
        <v>3939.3700000000003</v>
      </c>
      <c r="AB46" s="217">
        <f>IF(_epmOfflineCondition_,0.312193749578986,IF(AA46=0,"",IFERROR(AA46/_xll.EVGTS($B$1,1,_xll.EVPRO($B$1,$H46,"COSBASIS"),$B$3,$B$5,$B$6,$B$7,$B$9,AA$16,AA$17,AA$11),"")))</f>
        <v>0.31219374957898599</v>
      </c>
      <c r="AC46" s="140"/>
      <c r="AD46" s="215">
        <v>10170.21012</v>
      </c>
      <c r="AE46" s="217">
        <f>IF(_epmOfflineCondition_,0.327,IF(AD46=0,"",IFERROR(AD46/_xll.EVGTS($B$1,1,_xll.EVPRO($B$1,$H46,"COSBASIS"),$B$3,$B$5,$B$6,$B$7,$B$9,AD$16,AD$17,AD$18),"")))</f>
        <v>0.32700000000000001</v>
      </c>
      <c r="AF46" s="218">
        <f t="shared" si="13"/>
        <v>-6230.8401199999989</v>
      </c>
      <c r="AG46" s="215">
        <v>4757.93</v>
      </c>
      <c r="AH46" s="217">
        <f>IF(_epmOfflineCondition_,0.30625193099897,IF(AG46=0,"",IFERROR(AG46/_xll.EVGTS($B$1,1,_xll.EVPRO($B$1,$H46,"COSBASIS"),$B$3,$B$5,$B$6,$B$7,$B$9,AG$16,AG$17,AG$18),"")))</f>
        <v>0.30625193099897002</v>
      </c>
      <c r="AI46" s="218">
        <f t="shared" si="14"/>
        <v>-818.56</v>
      </c>
      <c r="AJ46" s="471">
        <f t="shared" si="15"/>
        <v>9.5351938810088605E-2</v>
      </c>
      <c r="AK46" s="472">
        <f t="shared" si="16"/>
        <v>0.26056082496413197</v>
      </c>
      <c r="AL46" s="473">
        <f t="shared" si="17"/>
        <v>0.11830055446430793</v>
      </c>
      <c r="AM46" s="474" t="str">
        <f t="shared" si="18"/>
        <v>-1.48 pts.</v>
      </c>
      <c r="AN46" s="475" t="str">
        <f t="shared" si="19"/>
        <v>0.59 pts.</v>
      </c>
      <c r="AO46" s="11"/>
    </row>
    <row r="47" spans="1:41" x14ac:dyDescent="0.25">
      <c r="A47" s="11"/>
      <c r="B47" s="11"/>
      <c r="C47" s="11"/>
      <c r="D47" s="11"/>
      <c r="E47" s="11"/>
      <c r="F47" s="11"/>
      <c r="G47" s="11"/>
      <c r="H47" s="88" t="s">
        <v>286</v>
      </c>
      <c r="I47" s="188" t="str">
        <f>IF(_epmOfflineCondition_,"T4",_xll.EVPRO($B$1,$H47,"STYLE"))</f>
        <v>T4</v>
      </c>
      <c r="J47" s="188" t="str">
        <f>IF(_epmOfflineCondition_,"Y",_xll.EVPRO($B$1,$H47,"CALC"))</f>
        <v>Y</v>
      </c>
      <c r="K47" s="189" t="str">
        <f t="shared" si="12"/>
        <v/>
      </c>
      <c r="L47" s="190" t="str">
        <f>IF(_epmOfflineCondition_,"",_xll.EVPRO($B$1,H47,"JDEID"))</f>
        <v/>
      </c>
      <c r="M47" s="190" t="str">
        <f>IF(_epmOfflineCondition_,"",IF(AND(I47="N",J47="N"),_xll.EVPRO($B$1,H47,"PSFTID"),""))</f>
        <v/>
      </c>
      <c r="N47" s="190" t="str">
        <f>IF(_epmOfflineCondition_,"Total Cost of Food &amp; Beverage Sales",IF(_xll.EVDES(H47,$B$1)="#NODATA","",_xll.EVDES(H47,$B$1)))</f>
        <v>Total Cost of Food &amp; Beverage Sales</v>
      </c>
      <c r="O47" s="602">
        <v>1771.93</v>
      </c>
      <c r="P47" s="602">
        <v>1927.07</v>
      </c>
      <c r="Q47" s="602">
        <v>1659.19</v>
      </c>
      <c r="R47" s="602">
        <v>1634.93</v>
      </c>
      <c r="S47" s="602">
        <v>1540.42</v>
      </c>
      <c r="T47" s="223">
        <v>973.43</v>
      </c>
      <c r="U47" s="223">
        <v>1492.18</v>
      </c>
      <c r="V47" s="223">
        <v>934.18</v>
      </c>
      <c r="W47" s="223">
        <v>435.76</v>
      </c>
      <c r="X47" s="223">
        <v>1326.19</v>
      </c>
      <c r="Y47" s="223">
        <v>1891.06</v>
      </c>
      <c r="Z47" s="223">
        <v>1763.25</v>
      </c>
      <c r="AA47" s="223">
        <f>IF($I47="B1","",SUM(O47:Z47))</f>
        <v>17349.590000000004</v>
      </c>
      <c r="AB47" s="224">
        <f>IF(_epmOfflineCondition_,0.264057433468511,IF(AA47=0,"",IFERROR(AA47/_xll.EVGTS($B$1,1,_xll.EVPRO($B$1,$H47,"COSBASIS"),$B$3,$B$5,$B$6,$B$7,$B$9,AA$16,AA$17,AA$11),"")))</f>
        <v>0.26405743346851102</v>
      </c>
      <c r="AC47" s="225"/>
      <c r="AD47" s="223">
        <v>25562.468120000001</v>
      </c>
      <c r="AE47" s="224">
        <f>IF(_epmOfflineCondition_,0.2908145173878,IF(AD47=0,"",IFERROR(AD47/_xll.EVGTS($B$1,1,_xll.EVPRO($B$1,$H47,"COSBASIS"),$B$3,$B$5,$B$6,$B$7,$B$9,AD$16,AD$17,AD$18),"")))</f>
        <v>0.29081451738780001</v>
      </c>
      <c r="AF47" s="226">
        <f t="shared" si="13"/>
        <v>-8212.8781199999976</v>
      </c>
      <c r="AG47" s="223">
        <v>14329.04</v>
      </c>
      <c r="AH47" s="224">
        <f>IF(_epmOfflineCondition_,0.271848049335853,IF(AG47=0,"",IFERROR(AG47/_xll.EVGTS($B$1,1,_xll.EVPRO($B$1,$H47,"COSBASIS"),$B$3,$B$5,$B$6,$B$7,$B$9,AG$16,AG$17,AG$18),"")))</f>
        <v>0.27184804933585299</v>
      </c>
      <c r="AI47" s="226">
        <f t="shared" si="14"/>
        <v>3020.5500000000029</v>
      </c>
      <c r="AJ47" s="227">
        <f t="shared" si="15"/>
        <v>0.41994457084765463</v>
      </c>
      <c r="AK47" s="228">
        <f t="shared" si="16"/>
        <v>0.65491053802008614</v>
      </c>
      <c r="AL47" s="230">
        <f t="shared" si="17"/>
        <v>0.35627539222755417</v>
      </c>
      <c r="AM47" s="427" t="str">
        <f t="shared" si="18"/>
        <v>-2.68 pts.</v>
      </c>
      <c r="AN47" s="478" t="str">
        <f t="shared" si="19"/>
        <v>-0.78 pts.</v>
      </c>
      <c r="AO47" s="11"/>
    </row>
    <row r="48" spans="1:41" x14ac:dyDescent="0.25">
      <c r="A48" s="62" t="s">
        <v>0</v>
      </c>
      <c r="B48" s="63" t="s">
        <v>1</v>
      </c>
      <c r="C48" s="11"/>
      <c r="D48" s="11"/>
      <c r="E48" s="11"/>
      <c r="F48" s="11"/>
      <c r="G48" s="11"/>
      <c r="H48" s="88" t="s">
        <v>355</v>
      </c>
      <c r="I48" s="122" t="str">
        <f>IF(_epmOfflineCondition_,"N",_xll.EVPRO($B$1,$H48,"STYLE"))</f>
        <v>N</v>
      </c>
      <c r="J48" s="122" t="str">
        <f>IF(_epmOfflineCondition_,"N",_xll.EVPRO($B$1,$H48,"CALC"))</f>
        <v>N</v>
      </c>
      <c r="K48" s="179" t="str">
        <f t="shared" si="12"/>
        <v/>
      </c>
      <c r="L48" s="90" t="str">
        <f>IF(_epmOfflineCondition_,"567300",_xll.EVPRO($B$1,H48,"JDEID"))</f>
        <v>567300</v>
      </c>
      <c r="M48" s="90" t="str">
        <f>IF(_epmOfflineCondition_,"306099",IF(AND(I48="N",J48="N"),_xll.EVPRO($B$1,H48,"PSFTID"),""))</f>
        <v>306099</v>
      </c>
      <c r="N48" s="90" t="str">
        <f>IF(_epmOfflineCondition_,"Mini Bar Cost of Merchandise",IF(_xll.EVDES(H48,$B$1)="#NODATA","",_xll.EVDES(H48,$B$1)))</f>
        <v>Mini Bar Cost of Merchandise</v>
      </c>
      <c r="O48" s="600"/>
      <c r="P48" s="600"/>
      <c r="Q48" s="600">
        <v>48.82</v>
      </c>
      <c r="R48" s="600"/>
      <c r="S48" s="600"/>
      <c r="T48" s="239"/>
      <c r="U48" s="239"/>
      <c r="V48" s="239">
        <v>-48.82</v>
      </c>
      <c r="W48" s="239"/>
      <c r="X48" s="239"/>
      <c r="Y48" s="239"/>
      <c r="Z48" s="239">
        <v>973.01</v>
      </c>
      <c r="AA48" s="239">
        <f>IF($I48="B1","",SUM(O48:Z48))</f>
        <v>973.01</v>
      </c>
      <c r="AB48" s="240">
        <f>IF(_epmOfflineCondition_,-5.54453245199157,IF(AA48=0,"",IFERROR(AA48/_xll.EVGTS($B$1,1,_xll.EVPRO($B$1,$H48,"COSBASIS"),$B$3,$B$5,$B$6,$B$7,$B$9,AA$16,AA$17,AA$11),"")))</f>
        <v>-5.5445324519915697</v>
      </c>
      <c r="AC48" s="140"/>
      <c r="AD48" s="239"/>
      <c r="AE48" s="240" t="str">
        <f>IF(_epmOfflineCondition_,"",IF(AD48=0,"",IFERROR(AD48/_xll.EVGTS($B$1,1,_xll.EVPRO($B$1,$H48,"COSBASIS"),$B$3,$B$5,$B$6,$B$7,$B$9,AD$16,AD$17,AD$18),"")))</f>
        <v/>
      </c>
      <c r="AF48" s="241">
        <f t="shared" si="13"/>
        <v>973.01</v>
      </c>
      <c r="AG48" s="239">
        <v>108.11</v>
      </c>
      <c r="AH48" s="240">
        <f>IF(_epmOfflineCondition_,-2.30070227708023,IF(AG48=0,"",IFERROR(AG48/_xll.EVGTS($B$1,1,_xll.EVPRO($B$1,$H48,"COSBASIS"),$B$3,$B$5,$B$6,$B$7,$B$9,AG$16,AG$17,AG$18),"")))</f>
        <v>-2.3007022770802301</v>
      </c>
      <c r="AI48" s="241">
        <f t="shared" si="14"/>
        <v>864.9</v>
      </c>
      <c r="AJ48" s="532">
        <f t="shared" si="15"/>
        <v>2.3551580578012297E-2</v>
      </c>
      <c r="AK48" s="533">
        <f t="shared" si="16"/>
        <v>0</v>
      </c>
      <c r="AL48" s="534">
        <f t="shared" si="17"/>
        <v>2.6880330192197719E-3</v>
      </c>
      <c r="AM48" s="535">
        <f t="shared" si="18"/>
        <v>0</v>
      </c>
      <c r="AN48" s="536" t="str">
        <f t="shared" si="19"/>
        <v>-324.38 pts.</v>
      </c>
      <c r="AO48" s="11"/>
    </row>
    <row r="49" spans="1:41" x14ac:dyDescent="0.25">
      <c r="A49" s="65" t="s">
        <v>2</v>
      </c>
      <c r="B49" s="66" t="str">
        <f>IF(_epmOfflineCondition_,"'Mini_Bar'!$B$2:$B$10",_xll.EVRNG($B$2:$B$10))</f>
        <v>'Mini_Bar'!$B$2:$B$10</v>
      </c>
      <c r="C49" s="11"/>
      <c r="D49" s="11"/>
      <c r="E49" s="11"/>
      <c r="F49" s="11"/>
      <c r="G49" s="11"/>
      <c r="H49" s="88" t="s">
        <v>289</v>
      </c>
      <c r="I49" s="188" t="str">
        <f>IF(_epmOfflineCondition_,"T3",_xll.EVPRO($B$1,$H49,"STYLE"))</f>
        <v>T3</v>
      </c>
      <c r="J49" s="188" t="str">
        <f>IF(_epmOfflineCondition_,"Y",_xll.EVPRO($B$1,$H49,"CALC"))</f>
        <v>Y</v>
      </c>
      <c r="K49" s="189" t="str">
        <f t="shared" si="12"/>
        <v/>
      </c>
      <c r="L49" s="190" t="str">
        <f>IF(_epmOfflineCondition_,"500001",_xll.EVPRO($B$1,H49,"JDEID"))</f>
        <v>500001</v>
      </c>
      <c r="M49" s="190" t="str">
        <f>IF(_epmOfflineCondition_,"",IF(AND(I49="N",J49="N"),_xll.EVPRO($B$1,H49,"PSFTID"),""))</f>
        <v/>
      </c>
      <c r="N49" s="190" t="str">
        <f>IF(_epmOfflineCondition_,"Total Cost of Sales",IF(_xll.EVDES(H49,$B$1)="#NODATA","",_xll.EVDES(H49,$B$1)))</f>
        <v>Total Cost of Sales</v>
      </c>
      <c r="O49" s="602">
        <v>1771.93</v>
      </c>
      <c r="P49" s="602">
        <v>1927.07</v>
      </c>
      <c r="Q49" s="602">
        <v>1708.01</v>
      </c>
      <c r="R49" s="602">
        <v>1634.93</v>
      </c>
      <c r="S49" s="602">
        <v>1540.42</v>
      </c>
      <c r="T49" s="223">
        <v>973.43</v>
      </c>
      <c r="U49" s="223">
        <v>1492.18</v>
      </c>
      <c r="V49" s="223">
        <v>885.36</v>
      </c>
      <c r="W49" s="223">
        <v>435.76</v>
      </c>
      <c r="X49" s="223">
        <v>1326.19</v>
      </c>
      <c r="Y49" s="223">
        <v>1891.06</v>
      </c>
      <c r="Z49" s="223">
        <v>2736.26</v>
      </c>
      <c r="AA49" s="223">
        <f>IF($I49="B1","",SUM(O49:Z49))</f>
        <v>18322.600000000002</v>
      </c>
      <c r="AB49" s="224">
        <f>IF(_epmOfflineCondition_,0.279613284995993,IF(AA49=0,"",IFERROR(AA49/_xll.EVGTS($B$1,1,_xll.EVPRO($B$1,$H49,"COSBASIS"),$B$3,$B$5,$B$6,$B$7,$B$9,AA$16,AA$17,AA$11),"")))</f>
        <v>0.27961328499599297</v>
      </c>
      <c r="AC49" s="225"/>
      <c r="AD49" s="223">
        <v>25562.468120000001</v>
      </c>
      <c r="AE49" s="224">
        <f>IF(_epmOfflineCondition_,0.2908145173878,IF(AD49=0,"",IFERROR(AD49/_xll.EVGTS($B$1,1,_xll.EVPRO($B$1,$H49,"COSBASIS"),$B$3,$B$5,$B$6,$B$7,$B$9,AD$16,AD$17,AD$18),"")))</f>
        <v>0.29081451738780001</v>
      </c>
      <c r="AF49" s="226">
        <f t="shared" si="13"/>
        <v>-7239.8681199999992</v>
      </c>
      <c r="AG49" s="223">
        <v>14437.15</v>
      </c>
      <c r="AH49" s="224">
        <f>IF(_epmOfflineCondition_,0.274143488518925,IF(AG49=0,"",IFERROR(AG49/_xll.EVGTS($B$1,1,_xll.EVPRO($B$1,$H49,"COSBASIS"),$B$3,$B$5,$B$6,$B$7,$B$9,AG$16,AG$17,AG$18),"")))</f>
        <v>0.274143488518925</v>
      </c>
      <c r="AI49" s="226">
        <f t="shared" si="14"/>
        <v>3885.4500000000025</v>
      </c>
      <c r="AJ49" s="227">
        <f t="shared" si="15"/>
        <v>0.4434961514256669</v>
      </c>
      <c r="AK49" s="228">
        <f t="shared" si="16"/>
        <v>0.65491053802008614</v>
      </c>
      <c r="AL49" s="230">
        <f t="shared" si="17"/>
        <v>0.35896342524677388</v>
      </c>
      <c r="AM49" s="427" t="str">
        <f t="shared" si="18"/>
        <v>-1.12 pts.</v>
      </c>
      <c r="AN49" s="478" t="str">
        <f t="shared" si="19"/>
        <v>0.55 pts.</v>
      </c>
      <c r="AO49" s="11"/>
    </row>
    <row r="50" spans="1:41" x14ac:dyDescent="0.25">
      <c r="A50" s="65" t="s">
        <v>3</v>
      </c>
      <c r="B50" s="66" t="str">
        <f>IF(_epmOfflineCondition_,"'Mini_Bar'!$O$16:$AN$18",_xll.EVRNG($O$16:$AN$18))</f>
        <v>'Mini_Bar'!$O$16:$AN$18</v>
      </c>
      <c r="C50" s="11"/>
      <c r="D50" s="11"/>
      <c r="E50" s="11"/>
      <c r="F50" s="11"/>
      <c r="G50" s="11"/>
      <c r="H50" s="185" t="s">
        <v>175</v>
      </c>
      <c r="I50" s="89" t="str">
        <f>IF(_epmOfflineCondition_,"B1",_xll.EVPRO($B$1,$H50,"STYLE"))</f>
        <v>B1</v>
      </c>
      <c r="J50" s="89" t="str">
        <f>IF(_epmOfflineCondition_,"Y",_xll.EVPRO($B$1,$H50,"CALC"))</f>
        <v>Y</v>
      </c>
      <c r="K50" s="265" t="str">
        <f t="shared" si="12"/>
        <v/>
      </c>
      <c r="L50" s="265"/>
      <c r="M50" s="265"/>
      <c r="N50" s="106" t="str">
        <f>IF(_epmOfflineCondition_,"BLANKROW",IF(_xll.EVDES(H50,$B$1)="#NODATA","",_xll.EVDES(H50,$B$1)))</f>
        <v>BLANKROW</v>
      </c>
      <c r="O50" s="205"/>
      <c r="P50" s="205"/>
      <c r="Q50" s="205"/>
      <c r="R50" s="205"/>
      <c r="S50" s="205"/>
      <c r="T50" s="205"/>
      <c r="U50" s="205"/>
      <c r="V50" s="205"/>
      <c r="W50" s="205"/>
      <c r="X50" s="205"/>
      <c r="Y50" s="205"/>
      <c r="Z50" s="205"/>
      <c r="AA50" s="205"/>
      <c r="AB50" s="206" t="str">
        <f>IF(_epmOfflineCondition_,"",IF(O50=0,"",IFERROR(O50/_xll.EVGTS($B$1,1,INDEX($C$150:$C$173,MATCH($H50,$A$150:$A$173,0)),$B$3,$B$5,$B$6,$B$7,$B$9,O$16,O$17,O$18),"")))</f>
        <v/>
      </c>
      <c r="AC50" s="11"/>
      <c r="AD50" s="205"/>
      <c r="AE50" s="206" t="str">
        <f>IF(_epmOfflineCondition_,"",IF(AD50=0,"",IFERROR(AD50/_xll.EVGTS($B$1,1,INDEX($C$150:$C$173,MATCH($H50,$A$150:$A$173,0)),$B$3,$B$5,$B$6,$B$7,$B$9,AD$16,AD$17,AD$18),"")))</f>
        <v/>
      </c>
      <c r="AF50" s="207" t="str">
        <f t="shared" si="13"/>
        <v/>
      </c>
      <c r="AG50" s="205"/>
      <c r="AH50" s="206" t="str">
        <f>IF(_epmOfflineCondition_,"",IF(AG50=0,"",IFERROR(AG50/_xll.EVGTS($B$1,1,INDEX($C$150:$C$173,MATCH($H50,$A$150:$A$173,0)),$B$3,$B$5,$B$6,$B$7,$B$9,AG$16,AG$17,AG$18),"")))</f>
        <v/>
      </c>
      <c r="AI50" s="207" t="str">
        <f t="shared" si="14"/>
        <v/>
      </c>
      <c r="AJ50" s="523">
        <f t="shared" si="15"/>
        <v>0</v>
      </c>
      <c r="AK50" s="524">
        <f t="shared" si="16"/>
        <v>0</v>
      </c>
      <c r="AL50" s="525">
        <f t="shared" si="17"/>
        <v>0</v>
      </c>
      <c r="AM50" s="526">
        <f t="shared" si="18"/>
        <v>0</v>
      </c>
      <c r="AN50" s="527">
        <f t="shared" si="19"/>
        <v>0</v>
      </c>
      <c r="AO50" s="11"/>
    </row>
    <row r="51" spans="1:41" x14ac:dyDescent="0.25">
      <c r="A51" s="65" t="s">
        <v>4</v>
      </c>
      <c r="B51" s="66" t="str">
        <f>IF(_epmOfflineCondition_,"'Mini_Bar'!$H$45:$H$49",_xll.EVRNG(H45:H49))</f>
        <v>'Mini_Bar'!$H$45:$H$49</v>
      </c>
      <c r="C51" s="11"/>
      <c r="D51" s="11"/>
      <c r="E51" s="11"/>
      <c r="F51" s="11"/>
      <c r="G51" s="11"/>
      <c r="H51" s="185" t="s">
        <v>292</v>
      </c>
      <c r="I51" s="89" t="str">
        <f>IF(_epmOfflineCondition_,"T3",_xll.EVPRO($B$1,$H51,"STYLE"))</f>
        <v>T3</v>
      </c>
      <c r="J51" s="89" t="str">
        <f>IF(_epmOfflineCondition_,"Y",_xll.EVPRO($B$1,$H51,"CALC"))</f>
        <v>Y</v>
      </c>
      <c r="K51" s="265" t="str">
        <f t="shared" si="12"/>
        <v/>
      </c>
      <c r="L51" s="265"/>
      <c r="M51" s="265"/>
      <c r="N51" s="106" t="str">
        <f>IF(_epmOfflineCondition_,"Gross Profit",IF(_xll.EVDES(H51,$B$1)="#NODATA","",_xll.EVDES(H51,$B$1)))</f>
        <v>Gross Profit</v>
      </c>
      <c r="O51" s="123">
        <f t="shared" ref="O51:Z51" si="20">SUMIF($H$35:$H$49,"400000",O35:O49)-SUMIF($H$35:$H$49,"500001",O35:O49)</f>
        <v>4971.3499999999995</v>
      </c>
      <c r="P51" s="123">
        <f t="shared" si="20"/>
        <v>4749.3100000000004</v>
      </c>
      <c r="Q51" s="123">
        <f t="shared" si="20"/>
        <v>5654.34</v>
      </c>
      <c r="R51" s="123">
        <f t="shared" si="20"/>
        <v>5139.07</v>
      </c>
      <c r="S51" s="123">
        <f t="shared" si="20"/>
        <v>4447.58</v>
      </c>
      <c r="T51" s="123">
        <f t="shared" si="20"/>
        <v>2054.77</v>
      </c>
      <c r="U51" s="123">
        <f t="shared" si="20"/>
        <v>3699.16</v>
      </c>
      <c r="V51" s="123">
        <f t="shared" si="20"/>
        <v>3940.44</v>
      </c>
      <c r="W51" s="123">
        <f t="shared" si="20"/>
        <v>3361.74</v>
      </c>
      <c r="X51" s="123">
        <f t="shared" si="20"/>
        <v>3083.31</v>
      </c>
      <c r="Y51" s="123">
        <f t="shared" si="20"/>
        <v>3073.4500000000003</v>
      </c>
      <c r="Z51" s="123">
        <f t="shared" si="20"/>
        <v>3031.24</v>
      </c>
      <c r="AA51" s="123">
        <f>IF($I51="B1","",SUM(O51:Z51))</f>
        <v>47205.759999999995</v>
      </c>
      <c r="AB51" s="192">
        <f>IF(AA51=0,"",IFERROR(AA51/AA$19,""))</f>
        <v>0.72038671500400731</v>
      </c>
      <c r="AC51" s="11"/>
      <c r="AD51" s="123">
        <f>SUMIF($H$35:$H$49,"400000",AD35:AD49)-SUMIF($H$35:$H$49,"500001",AD35:AD49)</f>
        <v>62337.091879999993</v>
      </c>
      <c r="AE51" s="192">
        <f>IF(AD51=0,"",IFERROR(AD51/AD$19,""))</f>
        <v>0.7091854826121996</v>
      </c>
      <c r="AF51" s="125">
        <f t="shared" si="13"/>
        <v>-15131.331879999998</v>
      </c>
      <c r="AG51" s="123">
        <f>SUMIF($H$35:$H$49,"400000",AG35:AG49)-SUMIF($H$35:$H$49,"500001",AG35:AG49)</f>
        <v>38225.599999999999</v>
      </c>
      <c r="AH51" s="192">
        <f>IF(AG51=0,"",IFERROR(AG51/AG$19,""))</f>
        <v>0.72585651148107533</v>
      </c>
      <c r="AI51" s="125">
        <f t="shared" si="14"/>
        <v>8980.1599999999962</v>
      </c>
      <c r="AJ51" s="388">
        <f t="shared" si="15"/>
        <v>1.1426092849881395</v>
      </c>
      <c r="AK51" s="389">
        <f t="shared" si="16"/>
        <v>1.5970765494978478</v>
      </c>
      <c r="AL51" s="390">
        <f t="shared" si="17"/>
        <v>0.95043636092394135</v>
      </c>
      <c r="AM51" s="391" t="str">
        <f t="shared" si="18"/>
        <v>1.12 pts.</v>
      </c>
      <c r="AN51" s="544" t="str">
        <f t="shared" si="19"/>
        <v>-0.55 pts.</v>
      </c>
      <c r="AO51" s="11"/>
    </row>
    <row r="52" spans="1:41" x14ac:dyDescent="0.25">
      <c r="A52" s="65" t="s">
        <v>5</v>
      </c>
      <c r="B52" s="66"/>
      <c r="C52" s="11"/>
      <c r="D52" s="11"/>
      <c r="E52" s="11"/>
      <c r="F52" s="384"/>
      <c r="G52" s="11"/>
      <c r="H52" s="11"/>
      <c r="I52" s="59"/>
      <c r="J52" s="59"/>
      <c r="K52" s="11"/>
      <c r="L52" s="11"/>
      <c r="M52" s="11"/>
      <c r="N52" s="11"/>
      <c r="O52" s="393"/>
      <c r="P52" s="394"/>
      <c r="Q52" s="394"/>
      <c r="R52" s="394"/>
      <c r="S52" s="394"/>
      <c r="T52" s="394"/>
      <c r="U52" s="394"/>
      <c r="V52" s="394"/>
      <c r="W52" s="394"/>
      <c r="X52" s="394"/>
      <c r="Y52" s="394"/>
      <c r="Z52" s="394"/>
      <c r="AA52" s="394"/>
      <c r="AB52" s="118"/>
      <c r="AC52" s="11"/>
      <c r="AD52" s="393"/>
      <c r="AE52" s="204"/>
      <c r="AF52" s="118"/>
      <c r="AG52" s="393"/>
      <c r="AH52" s="204"/>
      <c r="AI52" s="118"/>
      <c r="AJ52" s="11"/>
      <c r="AK52" s="11"/>
      <c r="AL52" s="11"/>
      <c r="AM52" s="11"/>
      <c r="AN52" s="11"/>
      <c r="AO52" s="11"/>
    </row>
    <row r="53" spans="1:41" x14ac:dyDescent="0.25">
      <c r="A53" s="65" t="s">
        <v>6</v>
      </c>
      <c r="B53" s="66"/>
      <c r="C53" s="11"/>
      <c r="D53" s="11"/>
      <c r="E53" s="11"/>
      <c r="F53" s="384"/>
      <c r="G53" s="11"/>
      <c r="H53" s="11" t="s">
        <v>73</v>
      </c>
      <c r="I53" s="59" t="str">
        <f>IF(_epmOfflineCondition_,"B1",_xll.EVPRO($B$1,$H53,"STYLE"))</f>
        <v>B1</v>
      </c>
      <c r="J53" s="59" t="str">
        <f>IF(_epmOfflineCondition_,"Y",_xll.EVPRO($B$1,$H53,"CALC"))</f>
        <v>Y</v>
      </c>
      <c r="K53" s="11"/>
      <c r="L53" s="11"/>
      <c r="M53" s="11"/>
      <c r="N53" s="105" t="str">
        <f>IF(_epmOfflineCondition_,"Labor &amp; Related Expenses",IF(_xll.EVDES(H53,$B$1)="#NODATA","",_xll.EVDES(H53,$B$1)))</f>
        <v>Labor &amp; Related Expenses</v>
      </c>
      <c r="O53" s="203"/>
      <c r="P53" s="204"/>
      <c r="Q53" s="204"/>
      <c r="R53" s="204"/>
      <c r="S53" s="204"/>
      <c r="T53" s="204"/>
      <c r="U53" s="204"/>
      <c r="V53" s="204"/>
      <c r="W53" s="204"/>
      <c r="X53" s="204"/>
      <c r="Y53" s="204"/>
      <c r="Z53" s="204"/>
      <c r="AA53" s="204"/>
      <c r="AB53" s="410"/>
      <c r="AC53" s="11"/>
      <c r="AD53" s="411"/>
      <c r="AE53" s="412"/>
      <c r="AF53" s="118"/>
      <c r="AG53" s="204"/>
      <c r="AH53" s="412"/>
      <c r="AI53" s="118"/>
      <c r="AJ53" s="11"/>
      <c r="AK53" s="11"/>
      <c r="AL53" s="11"/>
      <c r="AM53" s="11"/>
      <c r="AN53" s="11"/>
      <c r="AO53" s="11"/>
    </row>
    <row r="54" spans="1:41" x14ac:dyDescent="0.25">
      <c r="A54" s="65" t="s">
        <v>7</v>
      </c>
      <c r="B54" s="66" t="str">
        <f>IF(_epmOfflineCondition_,"'Mini_Bar'!$A$68:$F$75",_xll.EVRNG(A68:F75))</f>
        <v>'Mini_Bar'!$A$68:$F$75</v>
      </c>
      <c r="C54" s="11"/>
      <c r="D54" s="11"/>
      <c r="E54" s="11"/>
      <c r="F54" s="384"/>
      <c r="G54" s="11"/>
      <c r="H54" s="11" t="s">
        <v>74</v>
      </c>
      <c r="I54" s="59" t="str">
        <f>IF(_epmOfflineCondition_,"B1",_xll.EVPRO($B$1,$H54,"STYLE"))</f>
        <v>B1</v>
      </c>
      <c r="J54" s="59" t="str">
        <f>IF(_epmOfflineCondition_,"Y",_xll.EVPRO($B$1,$H54,"CALC"))</f>
        <v>Y</v>
      </c>
      <c r="K54" s="11"/>
      <c r="L54" s="11"/>
      <c r="M54" s="11"/>
      <c r="N54" s="53" t="str">
        <f>IF(_epmOfflineCondition_,"Salaries &amp; Wages",IF(_xll.EVDES(H54,$B$1)="#NODATA","",_xll.EVDES(H54,$B$1)))</f>
        <v>Salaries &amp; Wages</v>
      </c>
      <c r="O54" s="119"/>
      <c r="P54" s="120"/>
      <c r="Q54" s="120"/>
      <c r="R54" s="120"/>
      <c r="S54" s="120"/>
      <c r="T54" s="120"/>
      <c r="U54" s="120"/>
      <c r="V54" s="120"/>
      <c r="W54" s="120"/>
      <c r="X54" s="120"/>
      <c r="Y54" s="120"/>
      <c r="Z54" s="120"/>
      <c r="AA54" s="120"/>
      <c r="AB54" s="121"/>
      <c r="AC54" s="11"/>
      <c r="AD54" s="119"/>
      <c r="AE54" s="120"/>
      <c r="AF54" s="121"/>
      <c r="AG54" s="120"/>
      <c r="AH54" s="120"/>
      <c r="AI54" s="121"/>
      <c r="AJ54" s="11"/>
      <c r="AK54" s="11"/>
      <c r="AL54" s="11"/>
      <c r="AM54" s="11"/>
      <c r="AN54" s="11"/>
      <c r="AO54" s="11"/>
    </row>
    <row r="55" spans="1:41" hidden="1" x14ac:dyDescent="0.25">
      <c r="A55" s="65" t="s">
        <v>47</v>
      </c>
      <c r="B55" s="66" t="str">
        <f>IF(_epmOfflineCondition_,"'Mini_Bar'!$A$123:$B$144",_xll.EVRNG($A$123:$B$144))</f>
        <v>'Mini_Bar'!$A$123:$B$144</v>
      </c>
      <c r="C55" s="11"/>
      <c r="D55" s="11"/>
      <c r="E55" s="11"/>
      <c r="F55" s="11"/>
      <c r="G55" s="11"/>
      <c r="H55" s="88" t="s">
        <v>667</v>
      </c>
      <c r="I55" s="122" t="str">
        <f>IF(_epmOfflineCondition_,"",_xll.EVPRO($B$1,$H55,"STYLE"))</f>
        <v/>
      </c>
      <c r="J55" s="122" t="str">
        <f>IF(_epmOfflineCondition_,"",_xll.EVPRO($B$1,$H55,"CALC"))</f>
        <v/>
      </c>
      <c r="K55" s="179" t="str">
        <f>IF(AND(I55&lt;&gt;"B1",J55="Y"),"&gt;","")</f>
        <v/>
      </c>
      <c r="L55" s="90" t="str">
        <f>IF(_epmOfflineCondition_,"",_xll.EVPRO($B$1,H55,"JDEID"))</f>
        <v/>
      </c>
      <c r="M55" s="90" t="str">
        <f>IF(_epmOfflineCondition_,"",IF(AND(I55="N",J55="N"),_xll.EVPRO($B$1,H55,"PSFTID"),""))</f>
        <v/>
      </c>
      <c r="N55" s="90" t="str">
        <f>IF(_epmOfflineCondition_,"",IF(_xll.EVDES(H55,$B$1)="#NODATA","",_xll.EVDES(H55,$B$1)))</f>
        <v/>
      </c>
      <c r="O55" s="138"/>
      <c r="P55" s="138"/>
      <c r="Q55" s="138"/>
      <c r="R55" s="138"/>
      <c r="S55" s="138"/>
      <c r="T55" s="138"/>
      <c r="U55" s="138"/>
      <c r="V55" s="138"/>
      <c r="W55" s="138"/>
      <c r="X55" s="138"/>
      <c r="Y55" s="138"/>
      <c r="Z55" s="138"/>
      <c r="AA55" s="210">
        <f t="shared" ref="AA55:AA65" si="21">IF($I55="B1","",SUM(O55:Z55))</f>
        <v>0</v>
      </c>
      <c r="AB55" s="142" t="str">
        <f t="shared" ref="AB55:AB65" si="22">IF(AA55=0,"",IFERROR(AA55/AA$19,""))</f>
        <v/>
      </c>
      <c r="AC55" s="140"/>
      <c r="AD55" s="138"/>
      <c r="AE55" s="142" t="str">
        <f t="shared" ref="AE55:AE65" si="23">IF(AD55=0,"",IFERROR(AD55/AD$19,""))</f>
        <v/>
      </c>
      <c r="AF55" s="141">
        <f t="shared" ref="AF55:AF65" si="24">IF(AND($AA55="",AD55=""),"",$AA55-AD55)</f>
        <v>0</v>
      </c>
      <c r="AG55" s="138"/>
      <c r="AH55" s="142" t="str">
        <f t="shared" ref="AH55:AH65" si="25">IF(AG55=0,"",IFERROR(AG55/AG$19,""))</f>
        <v/>
      </c>
      <c r="AI55" s="141">
        <f t="shared" ref="AI55:AI65" si="26">IF(AND($AA55="",AG55=""),"",$AA55-AG55)</f>
        <v>0</v>
      </c>
      <c r="AJ55" s="462">
        <f t="shared" ref="AJ55:AJ65" si="27">IFERROR(AA55/AA$20,0)</f>
        <v>0</v>
      </c>
      <c r="AK55" s="463">
        <f t="shared" ref="AK55:AK65" si="28">IFERROR(AD55/AD$20,0)</f>
        <v>0</v>
      </c>
      <c r="AL55" s="464">
        <f t="shared" ref="AL55:AL65" si="29">IFERROR(AG55/AG$20,0)</f>
        <v>0</v>
      </c>
      <c r="AM55" s="465">
        <f t="shared" ref="AM55:AM65" si="30">+IFERROR(ROUND(($AB55-AE55)*100,2)&amp;" pts.",0)</f>
        <v>0</v>
      </c>
      <c r="AN55" s="466">
        <f t="shared" ref="AN55:AN65" si="31">+IFERROR(ROUND(($AB55-AH55)*100,2)&amp;" pts.",0)</f>
        <v>0</v>
      </c>
      <c r="AO55" s="11"/>
    </row>
    <row r="56" spans="1:41" hidden="1" x14ac:dyDescent="0.25">
      <c r="A56" s="65" t="s">
        <v>8</v>
      </c>
      <c r="B56" s="66"/>
      <c r="C56" s="11"/>
      <c r="D56" s="11"/>
      <c r="E56" s="11"/>
      <c r="F56" s="11"/>
      <c r="G56" s="11"/>
      <c r="H56" s="88"/>
      <c r="I56" s="122" t="str">
        <f>IF(_epmOfflineCondition_,"",_xll.EVPRO($B$1,$H56,"STYLE"))</f>
        <v/>
      </c>
      <c r="J56" s="122" t="str">
        <f>IF(_epmOfflineCondition_,"",_xll.EVPRO($B$1,$H56,"CALC"))</f>
        <v/>
      </c>
      <c r="K56" s="179" t="str">
        <f>IF(AND(I56&lt;&gt;"B1",J56="Y"),"&gt;","")</f>
        <v/>
      </c>
      <c r="L56" s="90" t="str">
        <f>IF(_epmOfflineCondition_,"",_xll.EVPRO($B$1,H56,"JDEID"))</f>
        <v/>
      </c>
      <c r="M56" s="90" t="str">
        <f>IF(_epmOfflineCondition_,"",IF(AND(I56="N",J56="N"),_xll.EVPRO($B$1,H56,"PSFTID"),""))</f>
        <v/>
      </c>
      <c r="N56" s="90" t="str">
        <f>IF(_epmOfflineCondition_,"",IF(_xll.EVDES(H56,$B$1)="#NODATA","",_xll.EVDES(H56,$B$1)))</f>
        <v/>
      </c>
      <c r="O56" s="138"/>
      <c r="P56" s="138"/>
      <c r="Q56" s="138"/>
      <c r="R56" s="138"/>
      <c r="S56" s="138"/>
      <c r="T56" s="138"/>
      <c r="U56" s="138"/>
      <c r="V56" s="138"/>
      <c r="W56" s="138"/>
      <c r="X56" s="138"/>
      <c r="Y56" s="138"/>
      <c r="Z56" s="138"/>
      <c r="AA56" s="210">
        <f t="shared" si="21"/>
        <v>0</v>
      </c>
      <c r="AB56" s="142" t="str">
        <f t="shared" si="22"/>
        <v/>
      </c>
      <c r="AC56" s="140"/>
      <c r="AD56" s="138"/>
      <c r="AE56" s="142" t="str">
        <f t="shared" si="23"/>
        <v/>
      </c>
      <c r="AF56" s="141">
        <f t="shared" si="24"/>
        <v>0</v>
      </c>
      <c r="AG56" s="138"/>
      <c r="AH56" s="142" t="str">
        <f t="shared" si="25"/>
        <v/>
      </c>
      <c r="AI56" s="141">
        <f t="shared" si="26"/>
        <v>0</v>
      </c>
      <c r="AJ56" s="462">
        <f t="shared" si="27"/>
        <v>0</v>
      </c>
      <c r="AK56" s="463">
        <f t="shared" si="28"/>
        <v>0</v>
      </c>
      <c r="AL56" s="464">
        <f t="shared" si="29"/>
        <v>0</v>
      </c>
      <c r="AM56" s="465">
        <f t="shared" si="30"/>
        <v>0</v>
      </c>
      <c r="AN56" s="466">
        <f t="shared" si="31"/>
        <v>0</v>
      </c>
      <c r="AO56" s="11"/>
    </row>
    <row r="57" spans="1:41" x14ac:dyDescent="0.25">
      <c r="A57" s="11"/>
      <c r="B57" s="11"/>
      <c r="C57" s="11"/>
      <c r="D57" s="11"/>
      <c r="E57" s="11"/>
      <c r="F57" s="11"/>
      <c r="G57" s="11"/>
      <c r="H57" s="88" t="s">
        <v>75</v>
      </c>
      <c r="I57" s="89" t="str">
        <f>IF(_epmOfflineCondition_,"B1",_xll.EVPRO($B$1,$H57,"STYLE"))</f>
        <v>B1</v>
      </c>
      <c r="J57" s="89" t="str">
        <f>IF(_epmOfflineCondition_,"Y",_xll.EVPRO($B$1,$H57,"CALC"))</f>
        <v>Y</v>
      </c>
      <c r="K57" s="265" t="str">
        <f>IF(AND(I57&gt;="T3"),"&gt;","")</f>
        <v/>
      </c>
      <c r="L57" s="106" t="str">
        <f>IF(_epmOfflineCondition_,"",_xll.EVPRO($B$1,H57,"JDEID"))</f>
        <v/>
      </c>
      <c r="M57" s="90" t="str">
        <f>IF(_epmOfflineCondition_,"",IF(AND(I57="N",J57="N"),_xll.EVPRO($B$1,H57,"PSFTID"),""))</f>
        <v/>
      </c>
      <c r="N57" s="106" t="str">
        <f>IF(_epmOfflineCondition_,"Non-Management",IF(_xll.EVDES(H57,$B$1)="#NODATA","",_xll.EVDES(H57,$B$1)))</f>
        <v>Non-Management</v>
      </c>
      <c r="O57" s="197"/>
      <c r="P57" s="197"/>
      <c r="Q57" s="197"/>
      <c r="R57" s="197"/>
      <c r="S57" s="197"/>
      <c r="T57" s="197"/>
      <c r="U57" s="197"/>
      <c r="V57" s="197"/>
      <c r="W57" s="197"/>
      <c r="X57" s="197"/>
      <c r="Y57" s="197"/>
      <c r="Z57" s="197"/>
      <c r="AA57" s="180" t="str">
        <f t="shared" si="21"/>
        <v/>
      </c>
      <c r="AB57" s="198" t="str">
        <f t="shared" si="22"/>
        <v/>
      </c>
      <c r="AC57" s="11"/>
      <c r="AD57" s="197"/>
      <c r="AE57" s="198" t="str">
        <f t="shared" si="23"/>
        <v/>
      </c>
      <c r="AF57" s="199" t="str">
        <f t="shared" si="24"/>
        <v/>
      </c>
      <c r="AG57" s="197"/>
      <c r="AH57" s="198" t="str">
        <f t="shared" si="25"/>
        <v/>
      </c>
      <c r="AI57" s="199" t="str">
        <f t="shared" si="26"/>
        <v/>
      </c>
      <c r="AJ57" s="397">
        <f t="shared" si="27"/>
        <v>0</v>
      </c>
      <c r="AK57" s="398">
        <f t="shared" si="28"/>
        <v>0</v>
      </c>
      <c r="AL57" s="399">
        <f t="shared" si="29"/>
        <v>0</v>
      </c>
      <c r="AM57" s="400">
        <f t="shared" si="30"/>
        <v>0</v>
      </c>
      <c r="AN57" s="401">
        <f t="shared" si="31"/>
        <v>0</v>
      </c>
      <c r="AO57" s="11"/>
    </row>
    <row r="58" spans="1:41" x14ac:dyDescent="0.25">
      <c r="A58" s="62" t="s">
        <v>9</v>
      </c>
      <c r="B58" s="63" t="s">
        <v>10</v>
      </c>
      <c r="C58" s="11"/>
      <c r="D58" s="11"/>
      <c r="E58" s="11"/>
      <c r="F58" s="11"/>
      <c r="G58" s="11"/>
      <c r="H58" s="88" t="s">
        <v>861</v>
      </c>
      <c r="I58" s="122" t="str">
        <f>IF(_epmOfflineCondition_,"T3",_xll.EVPRO($B$1,$H58,"STYLE"))</f>
        <v>T3</v>
      </c>
      <c r="J58" s="122" t="str">
        <f>IF(_epmOfflineCondition_,"Y",_xll.EVPRO($B$1,$H58,"CALC"))</f>
        <v>Y</v>
      </c>
      <c r="K58" s="179" t="str">
        <f t="shared" ref="K58:K65" si="32">IF(AND(I58&lt;&gt;"B1",J58="Y"),"&gt;","")</f>
        <v>&gt;</v>
      </c>
      <c r="L58" s="90" t="str">
        <f>IF(_epmOfflineCondition_,"",_xll.EVPRO($B$1,H58,"JDEID"))</f>
        <v/>
      </c>
      <c r="M58" s="90" t="str">
        <f>IF(_epmOfflineCondition_,"",IF(AND(I58="N",J58="N"),_xll.EVPRO($B$1,H58,"PSFTID"),""))</f>
        <v/>
      </c>
      <c r="N58" s="90" t="str">
        <f>IF(_epmOfflineCondition_,"F&amp;B Venues",IF(_xll.EVDES(H58,$B$1)="#NODATA","",_xll.EVDES(H58,$B$1)))</f>
        <v>F&amp;B Venues</v>
      </c>
      <c r="O58" s="587"/>
      <c r="P58" s="587"/>
      <c r="Q58" s="587"/>
      <c r="R58" s="587"/>
      <c r="S58" s="587"/>
      <c r="T58" s="215"/>
      <c r="U58" s="215"/>
      <c r="V58" s="215"/>
      <c r="W58" s="215"/>
      <c r="X58" s="215"/>
      <c r="Y58" s="215"/>
      <c r="Z58" s="215"/>
      <c r="AA58" s="216">
        <f t="shared" si="21"/>
        <v>0</v>
      </c>
      <c r="AB58" s="217" t="str">
        <f t="shared" si="22"/>
        <v/>
      </c>
      <c r="AC58" s="140"/>
      <c r="AD58" s="215">
        <v>14720</v>
      </c>
      <c r="AE58" s="217">
        <f t="shared" si="23"/>
        <v>0.16746386443800174</v>
      </c>
      <c r="AF58" s="218">
        <f t="shared" si="24"/>
        <v>-14720</v>
      </c>
      <c r="AG58" s="215"/>
      <c r="AH58" s="217" t="str">
        <f t="shared" si="25"/>
        <v/>
      </c>
      <c r="AI58" s="218">
        <f t="shared" si="26"/>
        <v>0</v>
      </c>
      <c r="AJ58" s="471">
        <f t="shared" si="27"/>
        <v>0</v>
      </c>
      <c r="AK58" s="472">
        <f t="shared" si="28"/>
        <v>0.37712646034023367</v>
      </c>
      <c r="AL58" s="473">
        <f t="shared" si="29"/>
        <v>0</v>
      </c>
      <c r="AM58" s="474">
        <f t="shared" si="30"/>
        <v>0</v>
      </c>
      <c r="AN58" s="475">
        <f t="shared" si="31"/>
        <v>0</v>
      </c>
      <c r="AO58" s="11"/>
    </row>
    <row r="59" spans="1:41" x14ac:dyDescent="0.25">
      <c r="A59" s="65" t="s">
        <v>11</v>
      </c>
      <c r="B59" s="66" t="s">
        <v>21</v>
      </c>
      <c r="C59" s="11"/>
      <c r="D59" s="11"/>
      <c r="E59" s="11"/>
      <c r="F59" s="11"/>
      <c r="G59" s="11"/>
      <c r="H59" s="88" t="s">
        <v>847</v>
      </c>
      <c r="I59" s="188" t="str">
        <f>IF(_epmOfflineCondition_,"T2",_xll.EVPRO($B$1,$H59,"STYLE"))</f>
        <v>T2</v>
      </c>
      <c r="J59" s="188" t="str">
        <f>IF(_epmOfflineCondition_,"Y",_xll.EVPRO($B$1,$H59,"CALC"))</f>
        <v>Y</v>
      </c>
      <c r="K59" s="189" t="str">
        <f t="shared" si="32"/>
        <v>&gt;</v>
      </c>
      <c r="L59" s="190" t="str">
        <f>IF(_epmOfflineCondition_,"",_xll.EVPRO($B$1,H59,"JDEID"))</f>
        <v/>
      </c>
      <c r="M59" s="190" t="str">
        <f>IF(_epmOfflineCondition_,"",IF(AND(I59="N",J59="N"),_xll.EVPRO($B$1,H59,"PSFTID"),""))</f>
        <v/>
      </c>
      <c r="N59" s="190" t="str">
        <f>IF(_epmOfflineCondition_,"Total Salaries and Wages",IF(_xll.EVDES(H59,$B$1)="#NODATA","",_xll.EVDES(H59,$B$1)))</f>
        <v>Total Salaries and Wages</v>
      </c>
      <c r="O59" s="588"/>
      <c r="P59" s="588"/>
      <c r="Q59" s="588"/>
      <c r="R59" s="588"/>
      <c r="S59" s="588"/>
      <c r="T59" s="242"/>
      <c r="U59" s="242"/>
      <c r="V59" s="242"/>
      <c r="W59" s="242"/>
      <c r="X59" s="242"/>
      <c r="Y59" s="242"/>
      <c r="Z59" s="242"/>
      <c r="AA59" s="242">
        <f t="shared" si="21"/>
        <v>0</v>
      </c>
      <c r="AB59" s="243" t="str">
        <f t="shared" si="22"/>
        <v/>
      </c>
      <c r="AC59" s="244"/>
      <c r="AD59" s="242">
        <v>14720</v>
      </c>
      <c r="AE59" s="243">
        <f t="shared" si="23"/>
        <v>0.16746386443800174</v>
      </c>
      <c r="AF59" s="245">
        <f t="shared" si="24"/>
        <v>-14720</v>
      </c>
      <c r="AG59" s="242"/>
      <c r="AH59" s="243" t="str">
        <f t="shared" si="25"/>
        <v/>
      </c>
      <c r="AI59" s="245">
        <f t="shared" si="26"/>
        <v>0</v>
      </c>
      <c r="AJ59" s="246">
        <f t="shared" si="27"/>
        <v>0</v>
      </c>
      <c r="AK59" s="247">
        <f t="shared" si="28"/>
        <v>0.37712646034023367</v>
      </c>
      <c r="AL59" s="249">
        <f t="shared" si="29"/>
        <v>0</v>
      </c>
      <c r="AM59" s="431">
        <f t="shared" si="30"/>
        <v>0</v>
      </c>
      <c r="AN59" s="487">
        <f t="shared" si="31"/>
        <v>0</v>
      </c>
      <c r="AO59" s="11"/>
    </row>
    <row r="60" spans="1:41" x14ac:dyDescent="0.25">
      <c r="A60" s="65" t="s">
        <v>12</v>
      </c>
      <c r="B60" s="66" t="s">
        <v>22</v>
      </c>
      <c r="C60" s="11"/>
      <c r="D60" s="11"/>
      <c r="E60" s="11"/>
      <c r="F60" s="11"/>
      <c r="G60" s="11"/>
      <c r="H60" s="88" t="s">
        <v>849</v>
      </c>
      <c r="I60" s="188" t="str">
        <f>IF(_epmOfflineCondition_,"T2",_xll.EVPRO($B$1,$H60,"STYLE"))</f>
        <v>T2</v>
      </c>
      <c r="J60" s="188" t="str">
        <f>IF(_epmOfflineCondition_,"Y",_xll.EVPRO($B$1,$H60,"CALC"))</f>
        <v>Y</v>
      </c>
      <c r="K60" s="189" t="str">
        <f t="shared" si="32"/>
        <v>&gt;</v>
      </c>
      <c r="L60" s="190" t="str">
        <f>IF(_epmOfflineCondition_,"",_xll.EVPRO($B$1,H60,"JDEID"))</f>
        <v/>
      </c>
      <c r="M60" s="190" t="str">
        <f>IF(_epmOfflineCondition_,"",IF(AND(I60="N",J60="N"),_xll.EVPRO($B$1,H60,"PSFTID"),""))</f>
        <v/>
      </c>
      <c r="N60" s="190" t="str">
        <f>IF(_epmOfflineCondition_,"Total Labor Expense",IF(_xll.EVDES(H60,$B$1)="#NODATA","",_xll.EVDES(H60,$B$1)))</f>
        <v>Total Labor Expense</v>
      </c>
      <c r="O60" s="589"/>
      <c r="P60" s="589"/>
      <c r="Q60" s="589"/>
      <c r="R60" s="589"/>
      <c r="S60" s="589"/>
      <c r="T60" s="590"/>
      <c r="U60" s="590"/>
      <c r="V60" s="590"/>
      <c r="W60" s="590"/>
      <c r="X60" s="590"/>
      <c r="Y60" s="590"/>
      <c r="Z60" s="590"/>
      <c r="AA60" s="591">
        <f t="shared" si="21"/>
        <v>0</v>
      </c>
      <c r="AB60" s="592" t="str">
        <f t="shared" si="22"/>
        <v/>
      </c>
      <c r="AC60" s="593"/>
      <c r="AD60" s="590">
        <v>14720</v>
      </c>
      <c r="AE60" s="592">
        <f t="shared" si="23"/>
        <v>0.16746386443800174</v>
      </c>
      <c r="AF60" s="594">
        <f t="shared" si="24"/>
        <v>-14720</v>
      </c>
      <c r="AG60" s="590"/>
      <c r="AH60" s="592" t="str">
        <f t="shared" si="25"/>
        <v/>
      </c>
      <c r="AI60" s="594">
        <f t="shared" si="26"/>
        <v>0</v>
      </c>
      <c r="AJ60" s="595">
        <f t="shared" si="27"/>
        <v>0</v>
      </c>
      <c r="AK60" s="596">
        <f t="shared" si="28"/>
        <v>0.37712646034023367</v>
      </c>
      <c r="AL60" s="597">
        <f t="shared" si="29"/>
        <v>0</v>
      </c>
      <c r="AM60" s="598">
        <f t="shared" si="30"/>
        <v>0</v>
      </c>
      <c r="AN60" s="599">
        <f t="shared" si="31"/>
        <v>0</v>
      </c>
      <c r="AO60" s="11"/>
    </row>
    <row r="61" spans="1:41" x14ac:dyDescent="0.25">
      <c r="A61" s="65" t="s">
        <v>13</v>
      </c>
      <c r="B61" s="66" t="str">
        <f>"lDEP(2,COS_FB) AND "&amp;$E$6&amp;"=Y,COS_FB,DEP(COS_MISC) AND "&amp;$E$6&amp;"=Y,500001"</f>
        <v>lDEP(2,COS_FB) AND D1149=Y,COS_FB,DEP(COS_MISC) AND D1149=Y,500001</v>
      </c>
      <c r="C61" s="11"/>
      <c r="D61" s="11"/>
      <c r="E61" s="11"/>
      <c r="F61" s="11"/>
      <c r="G61" s="76"/>
      <c r="H61" s="88" t="s">
        <v>850</v>
      </c>
      <c r="I61" s="122" t="str">
        <f>IF(_epmOfflineCondition_,"T3",_xll.EVPRO($B$1,$H61,"STYLE"))</f>
        <v>T3</v>
      </c>
      <c r="J61" s="122" t="str">
        <f>IF(_epmOfflineCondition_,"Y",_xll.EVPRO($B$1,$H61,"CALC"))</f>
        <v>Y</v>
      </c>
      <c r="K61" s="179" t="str">
        <f t="shared" si="32"/>
        <v>&gt;</v>
      </c>
      <c r="L61" s="90" t="str">
        <f>IF(_epmOfflineCondition_,"",_xll.EVPRO($B$1,H61,"JDEID"))</f>
        <v/>
      </c>
      <c r="M61" s="90" t="str">
        <f>IF(_epmOfflineCondition_,"",IF(AND(I61="N",J61="N"),_xll.EVPRO($B$1,H61,"PSFTID"),""))</f>
        <v/>
      </c>
      <c r="N61" s="90" t="str">
        <f>IF(_epmOfflineCondition_,"Payroll Taxes",IF(_xll.EVDES(H61,$B$1)="#NODATA","",_xll.EVDES(H61,$B$1)))</f>
        <v>Payroll Taxes</v>
      </c>
      <c r="O61" s="600"/>
      <c r="P61" s="600"/>
      <c r="Q61" s="600"/>
      <c r="R61" s="600"/>
      <c r="S61" s="600"/>
      <c r="T61" s="239"/>
      <c r="U61" s="239"/>
      <c r="V61" s="239"/>
      <c r="W61" s="239"/>
      <c r="X61" s="239"/>
      <c r="Y61" s="239"/>
      <c r="Z61" s="239"/>
      <c r="AA61" s="239">
        <f t="shared" si="21"/>
        <v>0</v>
      </c>
      <c r="AB61" s="240" t="str">
        <f t="shared" si="22"/>
        <v/>
      </c>
      <c r="AC61" s="140"/>
      <c r="AD61" s="239">
        <v>908.89376000000004</v>
      </c>
      <c r="AE61" s="240">
        <f t="shared" si="23"/>
        <v>1.0340140041656638E-2</v>
      </c>
      <c r="AF61" s="241">
        <f t="shared" si="24"/>
        <v>-908.89376000000004</v>
      </c>
      <c r="AG61" s="239"/>
      <c r="AH61" s="240" t="str">
        <f t="shared" si="25"/>
        <v/>
      </c>
      <c r="AI61" s="241">
        <f t="shared" si="26"/>
        <v>0</v>
      </c>
      <c r="AJ61" s="532">
        <f t="shared" si="27"/>
        <v>0</v>
      </c>
      <c r="AK61" s="533">
        <f t="shared" si="28"/>
        <v>2.3285861856937897E-2</v>
      </c>
      <c r="AL61" s="534">
        <f t="shared" si="29"/>
        <v>0</v>
      </c>
      <c r="AM61" s="535">
        <f t="shared" si="30"/>
        <v>0</v>
      </c>
      <c r="AN61" s="536">
        <f t="shared" si="31"/>
        <v>0</v>
      </c>
      <c r="AO61" s="11"/>
    </row>
    <row r="62" spans="1:41" x14ac:dyDescent="0.25">
      <c r="A62" s="65" t="s">
        <v>14</v>
      </c>
      <c r="B62" s="66"/>
      <c r="C62" s="11"/>
      <c r="D62" s="11"/>
      <c r="E62" s="11"/>
      <c r="F62" s="11"/>
      <c r="G62" s="11"/>
      <c r="H62" s="88" t="s">
        <v>851</v>
      </c>
      <c r="I62" s="122" t="str">
        <f>IF(_epmOfflineCondition_,"T3",_xll.EVPRO($B$1,$H62,"STYLE"))</f>
        <v>T3</v>
      </c>
      <c r="J62" s="122" t="str">
        <f>IF(_epmOfflineCondition_,"Y",_xll.EVPRO($B$1,$H62,"CALC"))</f>
        <v>Y</v>
      </c>
      <c r="K62" s="179" t="str">
        <f t="shared" si="32"/>
        <v>&gt;</v>
      </c>
      <c r="L62" s="90" t="str">
        <f>IF(_epmOfflineCondition_,"",_xll.EVPRO($B$1,H62,"JDEID"))</f>
        <v/>
      </c>
      <c r="M62" s="90" t="str">
        <f>IF(_epmOfflineCondition_,"",IF(AND(I62="N",J62="N"),_xll.EVPRO($B$1,H62,"PSFTID"),""))</f>
        <v/>
      </c>
      <c r="N62" s="90" t="str">
        <f>IF(_epmOfflineCondition_,"Supplemental Pay",IF(_xll.EVDES(H62,$B$1)="#NODATA","",_xll.EVDES(H62,$B$1)))</f>
        <v>Supplemental Pay</v>
      </c>
      <c r="O62" s="587"/>
      <c r="P62" s="587"/>
      <c r="Q62" s="587"/>
      <c r="R62" s="587"/>
      <c r="S62" s="587"/>
      <c r="T62" s="215"/>
      <c r="U62" s="215"/>
      <c r="V62" s="215"/>
      <c r="W62" s="215"/>
      <c r="X62" s="215"/>
      <c r="Y62" s="215"/>
      <c r="Z62" s="215"/>
      <c r="AA62" s="216">
        <f t="shared" si="21"/>
        <v>0</v>
      </c>
      <c r="AB62" s="217" t="str">
        <f t="shared" si="22"/>
        <v/>
      </c>
      <c r="AC62" s="140"/>
      <c r="AD62" s="215">
        <v>1086.848</v>
      </c>
      <c r="AE62" s="217">
        <f t="shared" si="23"/>
        <v>1.2364658025591937E-2</v>
      </c>
      <c r="AF62" s="218">
        <f t="shared" si="24"/>
        <v>-1086.848</v>
      </c>
      <c r="AG62" s="215"/>
      <c r="AH62" s="217" t="str">
        <f t="shared" si="25"/>
        <v/>
      </c>
      <c r="AI62" s="218">
        <f t="shared" si="26"/>
        <v>0</v>
      </c>
      <c r="AJ62" s="471">
        <f t="shared" si="27"/>
        <v>0</v>
      </c>
      <c r="AK62" s="472">
        <f t="shared" si="28"/>
        <v>2.7845050215208032E-2</v>
      </c>
      <c r="AL62" s="473">
        <f t="shared" si="29"/>
        <v>0</v>
      </c>
      <c r="AM62" s="474">
        <f t="shared" si="30"/>
        <v>0</v>
      </c>
      <c r="AN62" s="475">
        <f t="shared" si="31"/>
        <v>0</v>
      </c>
      <c r="AO62" s="11"/>
    </row>
    <row r="63" spans="1:41" x14ac:dyDescent="0.25">
      <c r="A63" s="65" t="s">
        <v>15</v>
      </c>
      <c r="B63" s="66"/>
      <c r="C63" s="11"/>
      <c r="D63" s="11"/>
      <c r="E63" s="11"/>
      <c r="F63" s="11"/>
      <c r="G63" s="11"/>
      <c r="H63" s="88" t="s">
        <v>852</v>
      </c>
      <c r="I63" s="122" t="str">
        <f>IF(_epmOfflineCondition_,"T3",_xll.EVPRO($B$1,$H63,"STYLE"))</f>
        <v>T3</v>
      </c>
      <c r="J63" s="122" t="str">
        <f>IF(_epmOfflineCondition_,"Y",_xll.EVPRO($B$1,$H63,"CALC"))</f>
        <v>Y</v>
      </c>
      <c r="K63" s="179" t="str">
        <f t="shared" si="32"/>
        <v>&gt;</v>
      </c>
      <c r="L63" s="90" t="str">
        <f>IF(_epmOfflineCondition_,"",_xll.EVPRO($B$1,H63,"JDEID"))</f>
        <v/>
      </c>
      <c r="M63" s="90" t="str">
        <f>IF(_epmOfflineCondition_,"",IF(AND(I63="N",J63="N"),_xll.EVPRO($B$1,H63,"PSFTID"),""))</f>
        <v/>
      </c>
      <c r="N63" s="90" t="str">
        <f>IF(_epmOfflineCondition_,"Employee Benefits",IF(_xll.EVDES(H63,$B$1)="#NODATA","",_xll.EVDES(H63,$B$1)))</f>
        <v>Employee Benefits</v>
      </c>
      <c r="O63" s="587"/>
      <c r="P63" s="587"/>
      <c r="Q63" s="587"/>
      <c r="R63" s="587"/>
      <c r="S63" s="587"/>
      <c r="T63" s="215"/>
      <c r="U63" s="215"/>
      <c r="V63" s="215"/>
      <c r="W63" s="215"/>
      <c r="X63" s="215"/>
      <c r="Y63" s="215"/>
      <c r="Z63" s="215"/>
      <c r="AA63" s="216">
        <f t="shared" si="21"/>
        <v>0</v>
      </c>
      <c r="AB63" s="217" t="str">
        <f t="shared" si="22"/>
        <v/>
      </c>
      <c r="AC63" s="140"/>
      <c r="AD63" s="215">
        <v>1103.8369600000001</v>
      </c>
      <c r="AE63" s="217">
        <f t="shared" si="23"/>
        <v>1.2557934988525541E-2</v>
      </c>
      <c r="AF63" s="218">
        <f t="shared" si="24"/>
        <v>-1103.8369600000001</v>
      </c>
      <c r="AG63" s="215"/>
      <c r="AH63" s="217" t="str">
        <f t="shared" si="25"/>
        <v/>
      </c>
      <c r="AI63" s="218">
        <f t="shared" si="26"/>
        <v>0</v>
      </c>
      <c r="AJ63" s="471">
        <f t="shared" si="27"/>
        <v>0</v>
      </c>
      <c r="AK63" s="472">
        <f t="shared" si="28"/>
        <v>2.8280307440049193E-2</v>
      </c>
      <c r="AL63" s="473">
        <f t="shared" si="29"/>
        <v>0</v>
      </c>
      <c r="AM63" s="474">
        <f t="shared" si="30"/>
        <v>0</v>
      </c>
      <c r="AN63" s="475">
        <f t="shared" si="31"/>
        <v>0</v>
      </c>
      <c r="AO63" s="11"/>
    </row>
    <row r="64" spans="1:41" x14ac:dyDescent="0.25">
      <c r="A64" s="65" t="s">
        <v>16</v>
      </c>
      <c r="B64" s="66"/>
      <c r="C64" s="11"/>
      <c r="D64" s="11"/>
      <c r="E64" s="11"/>
      <c r="F64" s="11"/>
      <c r="G64" s="11"/>
      <c r="H64" s="88" t="s">
        <v>853</v>
      </c>
      <c r="I64" s="188" t="str">
        <f>IF(_epmOfflineCondition_,"T2",_xll.EVPRO($B$1,$H64,"STYLE"))</f>
        <v>T2</v>
      </c>
      <c r="J64" s="188" t="str">
        <f>IF(_epmOfflineCondition_,"Y",_xll.EVPRO($B$1,$H64,"CALC"))</f>
        <v>Y</v>
      </c>
      <c r="K64" s="189" t="str">
        <f t="shared" si="32"/>
        <v>&gt;</v>
      </c>
      <c r="L64" s="190" t="str">
        <f>IF(_epmOfflineCondition_,"",_xll.EVPRO($B$1,H64,"JDEID"))</f>
        <v/>
      </c>
      <c r="M64" s="190" t="str">
        <f>IF(_epmOfflineCondition_,"",IF(AND(I64="N",J64="N"),_xll.EVPRO($B$1,H64,"PSFTID"),""))</f>
        <v/>
      </c>
      <c r="N64" s="190" t="str">
        <f>IF(_epmOfflineCondition_,"Total Payroll Related",IF(_xll.EVDES(H64,$B$1)="#NODATA","",_xll.EVDES(H64,$B$1)))</f>
        <v>Total Payroll Related</v>
      </c>
      <c r="O64" s="588"/>
      <c r="P64" s="588"/>
      <c r="Q64" s="588"/>
      <c r="R64" s="588"/>
      <c r="S64" s="588"/>
      <c r="T64" s="242"/>
      <c r="U64" s="242"/>
      <c r="V64" s="242"/>
      <c r="W64" s="242"/>
      <c r="X64" s="242"/>
      <c r="Y64" s="242"/>
      <c r="Z64" s="242"/>
      <c r="AA64" s="242">
        <f t="shared" si="21"/>
        <v>0</v>
      </c>
      <c r="AB64" s="243" t="str">
        <f t="shared" si="22"/>
        <v/>
      </c>
      <c r="AC64" s="244"/>
      <c r="AD64" s="242">
        <v>3099.57872</v>
      </c>
      <c r="AE64" s="243">
        <f t="shared" si="23"/>
        <v>3.5262733055774112E-2</v>
      </c>
      <c r="AF64" s="245">
        <f t="shared" si="24"/>
        <v>-3099.57872</v>
      </c>
      <c r="AG64" s="242"/>
      <c r="AH64" s="243" t="str">
        <f t="shared" si="25"/>
        <v/>
      </c>
      <c r="AI64" s="245">
        <f t="shared" si="26"/>
        <v>0</v>
      </c>
      <c r="AJ64" s="246">
        <f t="shared" si="27"/>
        <v>0</v>
      </c>
      <c r="AK64" s="247">
        <f t="shared" si="28"/>
        <v>7.9411219512195125E-2</v>
      </c>
      <c r="AL64" s="249">
        <f t="shared" si="29"/>
        <v>0</v>
      </c>
      <c r="AM64" s="431">
        <f t="shared" si="30"/>
        <v>0</v>
      </c>
      <c r="AN64" s="487">
        <f t="shared" si="31"/>
        <v>0</v>
      </c>
      <c r="AO64" s="11"/>
    </row>
    <row r="65" spans="1:41" x14ac:dyDescent="0.25">
      <c r="A65" s="65" t="s">
        <v>17</v>
      </c>
      <c r="B65" s="66"/>
      <c r="C65" s="11"/>
      <c r="D65" s="11"/>
      <c r="E65" s="11"/>
      <c r="F65" s="11"/>
      <c r="G65" s="11"/>
      <c r="H65" s="88" t="s">
        <v>76</v>
      </c>
      <c r="I65" s="188" t="str">
        <f>IF(_epmOfflineCondition_,"T1",_xll.EVPRO($B$1,$H65,"STYLE"))</f>
        <v>T1</v>
      </c>
      <c r="J65" s="188" t="str">
        <f>IF(_epmOfflineCondition_,"Y",_xll.EVPRO($B$1,$H65,"CALC"))</f>
        <v>Y</v>
      </c>
      <c r="K65" s="189" t="str">
        <f t="shared" si="32"/>
        <v>&gt;</v>
      </c>
      <c r="L65" s="190" t="str">
        <f>IF(_epmOfflineCondition_,"600000",_xll.EVPRO($B$1,H65,"JDEID"))</f>
        <v>600000</v>
      </c>
      <c r="M65" s="190" t="str">
        <f>IF(_epmOfflineCondition_,"",IF(AND(I65="N",J65="N"),_xll.EVPRO($B$1,H65,"PSFTID"),""))</f>
        <v/>
      </c>
      <c r="N65" s="190" t="str">
        <f>IF(_epmOfflineCondition_,"Total Labor &amp; Related Exp",IF(_xll.EVDES(H65,$B$1)="#NODATA","",_xll.EVDES(H65,$B$1)))</f>
        <v>Total Labor &amp; Related Exp</v>
      </c>
      <c r="O65" s="588"/>
      <c r="P65" s="588"/>
      <c r="Q65" s="588"/>
      <c r="R65" s="588"/>
      <c r="S65" s="588"/>
      <c r="T65" s="242"/>
      <c r="U65" s="242"/>
      <c r="V65" s="242"/>
      <c r="W65" s="242"/>
      <c r="X65" s="242"/>
      <c r="Y65" s="242"/>
      <c r="Z65" s="242"/>
      <c r="AA65" s="242">
        <f t="shared" si="21"/>
        <v>0</v>
      </c>
      <c r="AB65" s="243" t="str">
        <f t="shared" si="22"/>
        <v/>
      </c>
      <c r="AC65" s="244"/>
      <c r="AD65" s="242">
        <v>17819.578720000001</v>
      </c>
      <c r="AE65" s="243">
        <f t="shared" si="23"/>
        <v>0.20272659749377586</v>
      </c>
      <c r="AF65" s="245">
        <f t="shared" si="24"/>
        <v>-17819.578720000001</v>
      </c>
      <c r="AG65" s="242"/>
      <c r="AH65" s="243" t="str">
        <f t="shared" si="25"/>
        <v/>
      </c>
      <c r="AI65" s="245">
        <f t="shared" si="26"/>
        <v>0</v>
      </c>
      <c r="AJ65" s="246">
        <f t="shared" si="27"/>
        <v>0</v>
      </c>
      <c r="AK65" s="247">
        <f t="shared" si="28"/>
        <v>0.45653767985242882</v>
      </c>
      <c r="AL65" s="249">
        <f t="shared" si="29"/>
        <v>0</v>
      </c>
      <c r="AM65" s="431">
        <f t="shared" si="30"/>
        <v>0</v>
      </c>
      <c r="AN65" s="487">
        <f t="shared" si="31"/>
        <v>0</v>
      </c>
      <c r="AO65" s="11"/>
    </row>
    <row r="66" spans="1:41" x14ac:dyDescent="0.25">
      <c r="A66" s="11"/>
      <c r="B66" s="11"/>
      <c r="C66" s="11"/>
      <c r="D66" s="11"/>
      <c r="E66" s="11"/>
      <c r="F66" s="11"/>
      <c r="G66" s="11"/>
      <c r="H66" s="11"/>
      <c r="I66" s="59"/>
      <c r="J66" s="59"/>
      <c r="K66" s="11"/>
      <c r="L66" s="11"/>
      <c r="M66" s="11"/>
      <c r="N66" s="11"/>
      <c r="O66" s="129"/>
      <c r="P66" s="130"/>
      <c r="Q66" s="130"/>
      <c r="R66" s="130"/>
      <c r="S66" s="130"/>
      <c r="T66" s="130"/>
      <c r="U66" s="130"/>
      <c r="V66" s="130"/>
      <c r="W66" s="130"/>
      <c r="X66" s="130"/>
      <c r="Y66" s="130"/>
      <c r="Z66" s="130"/>
      <c r="AA66" s="130"/>
      <c r="AB66" s="131"/>
      <c r="AC66" s="11"/>
      <c r="AD66" s="129"/>
      <c r="AE66" s="130"/>
      <c r="AF66" s="131"/>
      <c r="AG66" s="129"/>
      <c r="AH66" s="130"/>
      <c r="AI66" s="131"/>
      <c r="AJ66" s="11"/>
      <c r="AK66" s="11"/>
      <c r="AL66" s="11"/>
      <c r="AM66" s="11"/>
      <c r="AN66" s="11"/>
      <c r="AO66" s="11"/>
    </row>
    <row r="67" spans="1:41" x14ac:dyDescent="0.25">
      <c r="A67" s="97" t="s">
        <v>92</v>
      </c>
      <c r="B67" s="98" t="s">
        <v>93</v>
      </c>
      <c r="C67" s="98" t="s">
        <v>94</v>
      </c>
      <c r="D67" s="98" t="s">
        <v>95</v>
      </c>
      <c r="E67" s="98" t="s">
        <v>96</v>
      </c>
      <c r="F67" s="99" t="s">
        <v>97</v>
      </c>
      <c r="G67" s="11"/>
      <c r="H67" s="11" t="s">
        <v>82</v>
      </c>
      <c r="I67" s="59" t="str">
        <f>IF(_epmOfflineCondition_,"B1",_xll.EVPRO($B$1,$H67,"STYLE"))</f>
        <v>B1</v>
      </c>
      <c r="J67" s="59" t="str">
        <f>IF(_epmOfflineCondition_,"Y",_xll.EVPRO($B$1,$H67,"CALC"))</f>
        <v>Y</v>
      </c>
      <c r="K67" s="11"/>
      <c r="L67" s="11"/>
      <c r="M67" s="11"/>
      <c r="N67" s="105" t="str">
        <f>IF(_epmOfflineCondition_,"Other Expenses",IF(_xll.EVDES(H67,$B$1)="#NODATA","",_xll.EVDES(H67,$B$1)))</f>
        <v>Other Expenses</v>
      </c>
      <c r="O67" s="119"/>
      <c r="P67" s="120"/>
      <c r="Q67" s="120"/>
      <c r="R67" s="120"/>
      <c r="S67" s="120"/>
      <c r="T67" s="120"/>
      <c r="U67" s="120"/>
      <c r="V67" s="120"/>
      <c r="W67" s="120"/>
      <c r="X67" s="120"/>
      <c r="Y67" s="120"/>
      <c r="Z67" s="120"/>
      <c r="AA67" s="120"/>
      <c r="AB67" s="121"/>
      <c r="AC67" s="11"/>
      <c r="AD67" s="119"/>
      <c r="AE67" s="120"/>
      <c r="AF67" s="121"/>
      <c r="AG67" s="119"/>
      <c r="AH67" s="120"/>
      <c r="AI67" s="121"/>
      <c r="AJ67" s="11"/>
      <c r="AK67" s="11"/>
      <c r="AL67" s="11"/>
      <c r="AM67" s="11"/>
      <c r="AN67" s="11"/>
      <c r="AO67" s="11"/>
    </row>
    <row r="68" spans="1:41" x14ac:dyDescent="0.25">
      <c r="A68" s="11"/>
      <c r="B68" s="11"/>
      <c r="C68" s="11"/>
      <c r="D68" s="11"/>
      <c r="E68" s="11"/>
      <c r="F68" s="11"/>
      <c r="G68" s="11"/>
      <c r="H68" s="88" t="s">
        <v>831</v>
      </c>
      <c r="I68" s="122" t="str">
        <f>IF(_epmOfflineCondition_,"T4",_xll.EVPRO($B$1,$H68,"STYLE"))</f>
        <v>T4</v>
      </c>
      <c r="J68" s="122" t="str">
        <f>IF(_epmOfflineCondition_,"Y",_xll.EVPRO($B$1,$H68,"CALC"))</f>
        <v>Y</v>
      </c>
      <c r="K68" s="179" t="str">
        <f>IF(AND(I68&lt;&gt;"B1",J68="Y"),"&gt;","")</f>
        <v>&gt;</v>
      </c>
      <c r="L68" s="90" t="str">
        <f>IF(_epmOfflineCondition_,"701500",_xll.EVPRO($B$1,H68,"JDEID"))</f>
        <v>701500</v>
      </c>
      <c r="M68" s="90" t="str">
        <f>IF(_epmOfflineCondition_,"",IF(AND(I68="N",J68="N"),_xll.EVPRO($B$1,H68,"PSFTID"),""))</f>
        <v/>
      </c>
      <c r="N68" s="90" t="str">
        <f>IF(_epmOfflineCondition_,"Operating Supplies",IF(_xll.EVDES(H68,$B$1)="#NODATA","",_xll.EVDES(H68,$B$1)))</f>
        <v>Operating Supplies</v>
      </c>
      <c r="O68" s="138"/>
      <c r="P68" s="138"/>
      <c r="Q68" s="138"/>
      <c r="R68" s="138"/>
      <c r="S68" s="138">
        <v>160</v>
      </c>
      <c r="T68" s="138"/>
      <c r="U68" s="138">
        <v>249</v>
      </c>
      <c r="V68" s="138"/>
      <c r="W68" s="138"/>
      <c r="X68" s="138">
        <v>373.49</v>
      </c>
      <c r="Y68" s="138"/>
      <c r="Z68" s="138"/>
      <c r="AA68" s="210">
        <f>IF($I68="B1","",SUM(O68:Z68))</f>
        <v>782.49</v>
      </c>
      <c r="AB68" s="142">
        <f>IF(AA68=0,"",IFERROR(AA68/AA$19,""))</f>
        <v>1.1941241929448562E-2</v>
      </c>
      <c r="AC68" s="140"/>
      <c r="AD68" s="138"/>
      <c r="AE68" s="142" t="str">
        <f>IF(AD68=0,"",IFERROR(AD68/AD$19,""))</f>
        <v/>
      </c>
      <c r="AF68" s="141">
        <f>IF(AND($AA68="",AD68=""),"",$AA68-AD68)</f>
        <v>782.49</v>
      </c>
      <c r="AG68" s="138"/>
      <c r="AH68" s="142" t="str">
        <f>IF(AG68=0,"",IFERROR(AG68/AG$19,""))</f>
        <v/>
      </c>
      <c r="AI68" s="141">
        <f>IF(AND($AA68="",AG68=""),"",$AA68-AG68)</f>
        <v>782.49</v>
      </c>
      <c r="AJ68" s="462">
        <f>IFERROR(AA68/AA$20,0)</f>
        <v>1.8940068741830858E-2</v>
      </c>
      <c r="AK68" s="463">
        <f>IFERROR(AD68/AD$20,0)</f>
        <v>0</v>
      </c>
      <c r="AL68" s="464">
        <f>IFERROR(AG68/AG$20,0)</f>
        <v>0</v>
      </c>
      <c r="AM68" s="465">
        <f>+IFERROR(ROUND(($AB68-AE68)*100,2)&amp;" pts.",0)</f>
        <v>0</v>
      </c>
      <c r="AN68" s="466">
        <f>+IFERROR(ROUND(($AB68-AH68)*100,2)&amp;" pts.",0)</f>
        <v>0</v>
      </c>
      <c r="AO68" s="11"/>
    </row>
    <row r="69" spans="1:41" hidden="1" x14ac:dyDescent="0.25">
      <c r="A69" s="11" t="s">
        <v>105</v>
      </c>
      <c r="B69" s="11"/>
      <c r="C69" s="104" t="s">
        <v>101</v>
      </c>
      <c r="D69" s="11" t="s">
        <v>106</v>
      </c>
      <c r="E69" s="11"/>
      <c r="F69" s="11" t="s">
        <v>98</v>
      </c>
      <c r="G69" s="11"/>
      <c r="H69" s="88"/>
      <c r="I69" s="122" t="str">
        <f>IF(_epmOfflineCondition_,"",_xll.EVPRO($B$1,$H69,"STYLE"))</f>
        <v/>
      </c>
      <c r="J69" s="122" t="str">
        <f>IF(_epmOfflineCondition_,"",_xll.EVPRO($B$1,$H69,"CALC"))</f>
        <v/>
      </c>
      <c r="K69" s="179" t="str">
        <f>IF(AND(I69&lt;&gt;"B1",J69="Y"),"&gt;","")</f>
        <v/>
      </c>
      <c r="L69" s="90" t="str">
        <f>IF(_epmOfflineCondition_,"",_xll.EVPRO($B$1,H69,"JDEID"))</f>
        <v/>
      </c>
      <c r="M69" s="90" t="str">
        <f>IF(_epmOfflineCondition_,"",IF(AND(I69="N",J69="N"),_xll.EVPRO($B$1,H69,"PSFTID"),""))</f>
        <v/>
      </c>
      <c r="N69" s="90" t="str">
        <f>IF(_epmOfflineCondition_,"",IF(_xll.EVDES(H69,$B$1)="#NODATA","",_xll.EVDES(H69,$B$1)))</f>
        <v/>
      </c>
      <c r="O69" s="138"/>
      <c r="P69" s="138"/>
      <c r="Q69" s="138"/>
      <c r="R69" s="138"/>
      <c r="S69" s="138"/>
      <c r="T69" s="138"/>
      <c r="U69" s="138"/>
      <c r="V69" s="138"/>
      <c r="W69" s="138"/>
      <c r="X69" s="138"/>
      <c r="Y69" s="138"/>
      <c r="Z69" s="138"/>
      <c r="AA69" s="210">
        <f>IF($I69="B1","",SUM(O69:Z69))</f>
        <v>0</v>
      </c>
      <c r="AB69" s="142" t="str">
        <f>IF(AA69=0,"",IFERROR(AA69/AA$19,""))</f>
        <v/>
      </c>
      <c r="AC69" s="140"/>
      <c r="AD69" s="138"/>
      <c r="AE69" s="142" t="str">
        <f>IF(AD69=0,"",IFERROR(AD69/AD$19,""))</f>
        <v/>
      </c>
      <c r="AF69" s="141">
        <f>IF(AND($AA69="",AD69=""),"",$AA69-AD69)</f>
        <v>0</v>
      </c>
      <c r="AG69" s="138"/>
      <c r="AH69" s="142" t="str">
        <f>IF(AG69=0,"",IFERROR(AG69/AG$19,""))</f>
        <v/>
      </c>
      <c r="AI69" s="141">
        <f>IF(AND($AA69="",AG69=""),"",$AA69-AG69)</f>
        <v>0</v>
      </c>
      <c r="AJ69" s="462">
        <f>IFERROR(AA69/AA$20,0)</f>
        <v>0</v>
      </c>
      <c r="AK69" s="463">
        <f>IFERROR(AD69/AD$20,0)</f>
        <v>0</v>
      </c>
      <c r="AL69" s="464">
        <f>IFERROR(AG69/AG$20,0)</f>
        <v>0</v>
      </c>
      <c r="AM69" s="465">
        <f>+IFERROR(ROUND(($AB69-AE69)*100,2)&amp;" pts.",0)</f>
        <v>0</v>
      </c>
      <c r="AN69" s="466">
        <f>+IFERROR(ROUND(($AB69-AH69)*100,2)&amp;" pts.",0)</f>
        <v>0</v>
      </c>
      <c r="AO69" s="11"/>
    </row>
    <row r="70" spans="1:41" x14ac:dyDescent="0.25">
      <c r="A70" s="11" t="s">
        <v>104</v>
      </c>
      <c r="B70" s="11"/>
      <c r="C70" s="104" t="s">
        <v>101</v>
      </c>
      <c r="D70" s="11" t="s">
        <v>106</v>
      </c>
      <c r="E70" s="11"/>
      <c r="F70" s="11" t="s">
        <v>98</v>
      </c>
      <c r="G70" s="11"/>
      <c r="H70" s="88" t="s">
        <v>79</v>
      </c>
      <c r="I70" s="136" t="str">
        <f>IF(_epmOfflineCondition_,"T3",_xll.EVPRO($B$1,$H70,"STYLE"))</f>
        <v>T3</v>
      </c>
      <c r="J70" s="136" t="str">
        <f>IF(_epmOfflineCondition_,"Y",_xll.EVPRO($B$1,$H70,"CALC"))</f>
        <v>Y</v>
      </c>
      <c r="K70" s="104"/>
      <c r="L70" s="104"/>
      <c r="M70" s="104"/>
      <c r="N70" s="106" t="str">
        <f>IF(_epmOfflineCondition_,"Total Operations Expense",IF(_xll.EVDES(H70,$B$1)="#NODATA","",_xll.EVDES(H70,$B$1)))</f>
        <v>Total Operations Expense</v>
      </c>
      <c r="O70" s="150"/>
      <c r="P70" s="150"/>
      <c r="Q70" s="150"/>
      <c r="R70" s="150"/>
      <c r="S70" s="150">
        <v>160</v>
      </c>
      <c r="T70" s="150"/>
      <c r="U70" s="150">
        <v>249</v>
      </c>
      <c r="V70" s="150"/>
      <c r="W70" s="150"/>
      <c r="X70" s="150">
        <v>373.49</v>
      </c>
      <c r="Y70" s="150"/>
      <c r="Z70" s="150"/>
      <c r="AA70" s="150">
        <f>IF($I70="B1","",SUM(O70:Z70))</f>
        <v>782.49</v>
      </c>
      <c r="AB70" s="151">
        <f>IF(AA70=0,"",IFERROR(AA70/AA$19,""))</f>
        <v>1.1941241929448562E-2</v>
      </c>
      <c r="AC70" s="140"/>
      <c r="AD70" s="150"/>
      <c r="AE70" s="151" t="str">
        <f>IF(AD70=0,"",IFERROR(AD70/AD$19,""))</f>
        <v/>
      </c>
      <c r="AF70" s="152">
        <f>IF(AND($AA70="",AD70=""),"",$AA70-AD70)</f>
        <v>782.49</v>
      </c>
      <c r="AG70" s="150"/>
      <c r="AH70" s="151" t="str">
        <f>IF(AG70=0,"",IFERROR(AG70/AG$19,""))</f>
        <v/>
      </c>
      <c r="AI70" s="152">
        <f>IF(AND($AA70="",AG70=""),"",$AA70-AG70)</f>
        <v>782.49</v>
      </c>
      <c r="AJ70" s="446">
        <f>IFERROR(AA70/AA$20,0)</f>
        <v>1.8940068741830858E-2</v>
      </c>
      <c r="AK70" s="447">
        <f>IFERROR(AD70/AD$20,0)</f>
        <v>0</v>
      </c>
      <c r="AL70" s="448">
        <f>IFERROR(AG70/AG$20,0)</f>
        <v>0</v>
      </c>
      <c r="AM70" s="449">
        <f>+IFERROR(ROUND(($AB70-AE70)*100,2)&amp;" pts.",0)</f>
        <v>0</v>
      </c>
      <c r="AN70" s="546">
        <f>+IFERROR(ROUND(($AB70-AH70)*100,2)&amp;" pts.",0)</f>
        <v>0</v>
      </c>
      <c r="AO70" s="11"/>
    </row>
    <row r="71" spans="1:41" x14ac:dyDescent="0.25">
      <c r="A71" s="11" t="s">
        <v>100</v>
      </c>
      <c r="B71" s="11"/>
      <c r="C71" s="53" t="s">
        <v>101</v>
      </c>
      <c r="D71" s="11" t="s">
        <v>106</v>
      </c>
      <c r="E71" s="11"/>
      <c r="F71" s="11" t="s">
        <v>98</v>
      </c>
      <c r="G71" s="11"/>
      <c r="H71" s="11"/>
      <c r="I71" s="59"/>
      <c r="J71" s="59"/>
      <c r="K71" s="11"/>
      <c r="L71" s="11"/>
      <c r="M71" s="11"/>
      <c r="N71" s="11"/>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1"/>
    </row>
    <row r="72" spans="1:41" x14ac:dyDescent="0.25">
      <c r="A72" s="11" t="s">
        <v>102</v>
      </c>
      <c r="B72" s="11"/>
      <c r="C72" s="106" t="s">
        <v>101</v>
      </c>
      <c r="D72" s="11" t="s">
        <v>106</v>
      </c>
      <c r="E72" s="11"/>
      <c r="F72" s="11" t="s">
        <v>98</v>
      </c>
      <c r="G72" s="11"/>
      <c r="H72" s="88" t="s">
        <v>80</v>
      </c>
      <c r="I72" s="136" t="str">
        <f>IF(_epmOfflineCondition_,"T3",_xll.EVPRO($B$1,$H72,"STYLE"))</f>
        <v>T3</v>
      </c>
      <c r="J72" s="136" t="str">
        <f>IF(_epmOfflineCondition_,"Y",_xll.EVPRO($B$1,$H72,"CALC"))</f>
        <v>Y</v>
      </c>
      <c r="K72" s="106"/>
      <c r="L72" s="106"/>
      <c r="M72" s="106"/>
      <c r="N72" s="106" t="str">
        <f>IF(_epmOfflineCondition_,"Total Expenses",IF(_xll.EVDES(H72,$B$1)="#NODATA","",_xll.EVDES(H72,$B$1)))</f>
        <v>Total Expenses</v>
      </c>
      <c r="O72" s="242"/>
      <c r="P72" s="242"/>
      <c r="Q72" s="242"/>
      <c r="R72" s="242"/>
      <c r="S72" s="242">
        <v>160</v>
      </c>
      <c r="T72" s="242"/>
      <c r="U72" s="242">
        <v>249</v>
      </c>
      <c r="V72" s="242"/>
      <c r="W72" s="242"/>
      <c r="X72" s="242">
        <v>373.49</v>
      </c>
      <c r="Y72" s="242"/>
      <c r="Z72" s="242"/>
      <c r="AA72" s="242">
        <f>IF($I72="B1","",SUM(O72:Z72))</f>
        <v>782.49</v>
      </c>
      <c r="AB72" s="243">
        <f>IF(AA72=0,"",IFERROR(AA72/AA$19,""))</f>
        <v>1.1941241929448562E-2</v>
      </c>
      <c r="AC72" s="140"/>
      <c r="AD72" s="242">
        <v>17819.578720000001</v>
      </c>
      <c r="AE72" s="243">
        <f>IF(AD72=0,"",IFERROR(AD72/AD$19,""))</f>
        <v>0.20272659749377586</v>
      </c>
      <c r="AF72" s="254">
        <f>IF(AND($AA72="",AD72=""),"",$AA72-AD72)</f>
        <v>-17037.08872</v>
      </c>
      <c r="AG72" s="255"/>
      <c r="AH72" s="256" t="str">
        <f>IF(AG72=0,"",IFERROR(AG72/AG$19,""))</f>
        <v/>
      </c>
      <c r="AI72" s="254">
        <f>IF(AND($AA72="",AG72=""),"",$AA72-AG72)</f>
        <v>782.49</v>
      </c>
      <c r="AJ72" s="435">
        <f>IFERROR(AA72/AA$20,0)</f>
        <v>1.8940068741830858E-2</v>
      </c>
      <c r="AK72" s="436">
        <f>IFERROR(AD72/AD$20,0)</f>
        <v>0.45653767985242882</v>
      </c>
      <c r="AL72" s="437">
        <f>IFERROR(AG72/AG$20,0)</f>
        <v>0</v>
      </c>
      <c r="AM72" s="438" t="str">
        <f>+IFERROR(ROUND(($AB72-AE72)*100,2)&amp;" pts.",0)</f>
        <v>-19.08 pts.</v>
      </c>
      <c r="AN72" s="547">
        <f>+IFERROR(ROUND(($AB72-AH72)*100,2)&amp;" pts.",0)</f>
        <v>0</v>
      </c>
      <c r="AO72" s="11"/>
    </row>
    <row r="73" spans="1:41" ht="15.75" thickBot="1" x14ac:dyDescent="0.3">
      <c r="A73" s="11" t="s">
        <v>102</v>
      </c>
      <c r="B73" s="11"/>
      <c r="C73" s="196" t="s">
        <v>101</v>
      </c>
      <c r="D73" s="11" t="s">
        <v>107</v>
      </c>
      <c r="E73" s="11"/>
      <c r="F73" s="11" t="s">
        <v>99</v>
      </c>
      <c r="G73" s="11"/>
      <c r="H73" s="88" t="s">
        <v>81</v>
      </c>
      <c r="I73" s="136" t="str">
        <f>IF(_epmOfflineCondition_,"T3",_xll.EVPRO($B$1,$H73,"STYLE"))</f>
        <v>T3</v>
      </c>
      <c r="J73" s="136" t="str">
        <f>IF(_epmOfflineCondition_,"Y",_xll.EVPRO($B$1,$H73,"CALC"))</f>
        <v>Y</v>
      </c>
      <c r="K73" s="106"/>
      <c r="L73" s="106"/>
      <c r="M73" s="106"/>
      <c r="N73" s="106" t="str">
        <f>IF(_epmOfflineCondition_,"Department Profit (Loss)",IF(_xll.EVDES(H73,$B$1)="#NODATA","",_xll.EVDES(H73,$B$1)))</f>
        <v>Department Profit (Loss)</v>
      </c>
      <c r="O73" s="165">
        <v>4971.3500000000004</v>
      </c>
      <c r="P73" s="165">
        <v>4749.3100000000004</v>
      </c>
      <c r="Q73" s="165">
        <v>5654.34</v>
      </c>
      <c r="R73" s="165">
        <v>5139.07</v>
      </c>
      <c r="S73" s="165">
        <v>4287.58</v>
      </c>
      <c r="T73" s="165">
        <v>2054.77</v>
      </c>
      <c r="U73" s="165">
        <v>3450.16</v>
      </c>
      <c r="V73" s="165">
        <v>3940.44</v>
      </c>
      <c r="W73" s="165">
        <v>3361.74</v>
      </c>
      <c r="X73" s="165">
        <v>2709.82</v>
      </c>
      <c r="Y73" s="165">
        <v>3073.45</v>
      </c>
      <c r="Z73" s="165">
        <v>3031.24</v>
      </c>
      <c r="AA73" s="165">
        <f>IF($I73="B1","",SUM(O73:Z73))</f>
        <v>46423.27</v>
      </c>
      <c r="AB73" s="166">
        <f>IF(AA73=0,"",IFERROR(AA73/AA$19,""))</f>
        <v>0.70844547307455874</v>
      </c>
      <c r="AC73" s="140"/>
      <c r="AD73" s="165">
        <v>44517.513160000002</v>
      </c>
      <c r="AE73" s="166">
        <f>IF(AD73=0,"",IFERROR(AD73/AD$19,""))</f>
        <v>0.50645888511842385</v>
      </c>
      <c r="AF73" s="167">
        <f>IF(AND($AA73="",AD73=""),"",$AA73-AD73)</f>
        <v>1905.7568399999946</v>
      </c>
      <c r="AG73" s="165">
        <v>38225.599999999999</v>
      </c>
      <c r="AH73" s="166">
        <f>IF(AG73=0,"",IFERROR(AG73/AG$19,""))</f>
        <v>0.72585651148107533</v>
      </c>
      <c r="AI73" s="167">
        <f>IF(AND($AA73="",AG73=""),"",$AA73-AG73)</f>
        <v>8197.6699999999983</v>
      </c>
      <c r="AJ73" s="452">
        <f>IFERROR(AA73/AA$20,0)</f>
        <v>1.1236692162463087</v>
      </c>
      <c r="AK73" s="453">
        <f>IFERROR(AD73/AD$20,0)</f>
        <v>1.1405388696454193</v>
      </c>
      <c r="AL73" s="454">
        <f>IFERROR(AG73/AG$20,0)</f>
        <v>0.95043636092394135</v>
      </c>
      <c r="AM73" s="455" t="str">
        <f>+IFERROR(ROUND(($AB73-AE73)*100,2)&amp;" pts.",0)</f>
        <v>20.2 pts.</v>
      </c>
      <c r="AN73" s="548" t="str">
        <f>+IFERROR(ROUND(($AB73-AH73)*100,2)&amp;" pts.",0)</f>
        <v>-1.74 pts.</v>
      </c>
      <c r="AO73" s="11"/>
    </row>
    <row r="74" spans="1:41" ht="15.75" thickTop="1" x14ac:dyDescent="0.25">
      <c r="A74" s="11" t="s">
        <v>108</v>
      </c>
      <c r="B74" s="11"/>
      <c r="C74" s="106" t="s">
        <v>101</v>
      </c>
      <c r="D74" s="11" t="s">
        <v>106</v>
      </c>
      <c r="E74" s="11"/>
      <c r="F74" s="11" t="s">
        <v>98</v>
      </c>
      <c r="G74" s="11"/>
      <c r="H74" s="11"/>
      <c r="I74" s="59"/>
      <c r="J74" s="59"/>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25">
      <c r="A75" s="11" t="s">
        <v>108</v>
      </c>
      <c r="B75" s="11"/>
      <c r="C75" s="196" t="s">
        <v>101</v>
      </c>
      <c r="D75" s="11" t="s">
        <v>107</v>
      </c>
      <c r="E75" s="11"/>
      <c r="F75" s="11" t="s">
        <v>99</v>
      </c>
      <c r="G75" s="11"/>
      <c r="H75" s="11"/>
      <c r="I75" s="59"/>
      <c r="J75" s="59"/>
      <c r="K75" s="11"/>
      <c r="L75" s="11"/>
      <c r="M75" s="11"/>
      <c r="N75" s="104" t="str">
        <f>N72&amp;" - Check"</f>
        <v>Total Expenses - Check</v>
      </c>
      <c r="O75" s="209">
        <f t="shared" ref="O75:AA75" si="33">SUMIF($H$35:$H$73,"600000",O$35:O$73)+SUMIF($H$35:$H$73,"700000",O$35:O$73)-SUMIF($H$35:$H$73,"TOTDEPTEXP",O$35:O$73)</f>
        <v>0</v>
      </c>
      <c r="P75" s="209">
        <f t="shared" si="33"/>
        <v>0</v>
      </c>
      <c r="Q75" s="209">
        <f t="shared" si="33"/>
        <v>0</v>
      </c>
      <c r="R75" s="209">
        <f t="shared" si="33"/>
        <v>0</v>
      </c>
      <c r="S75" s="209">
        <f t="shared" si="33"/>
        <v>0</v>
      </c>
      <c r="T75" s="209">
        <f t="shared" si="33"/>
        <v>0</v>
      </c>
      <c r="U75" s="209">
        <f t="shared" si="33"/>
        <v>0</v>
      </c>
      <c r="V75" s="209">
        <f t="shared" si="33"/>
        <v>0</v>
      </c>
      <c r="W75" s="209">
        <f t="shared" si="33"/>
        <v>0</v>
      </c>
      <c r="X75" s="209">
        <f t="shared" si="33"/>
        <v>0</v>
      </c>
      <c r="Y75" s="209">
        <f t="shared" si="33"/>
        <v>0</v>
      </c>
      <c r="Z75" s="209">
        <f t="shared" si="33"/>
        <v>0</v>
      </c>
      <c r="AA75" s="209">
        <f t="shared" si="33"/>
        <v>0</v>
      </c>
      <c r="AB75" s="100"/>
      <c r="AC75" s="11"/>
      <c r="AD75" s="209">
        <f>SUMIF($H$35:$H$73,"600000",AD$35:AD$73)+SUMIF($H$35:$H$73,"700000",AD$35:AD$73)-SUMIF($H$35:$H$73,"TOTDEPTEXP",AD$35:AD$73)</f>
        <v>0</v>
      </c>
      <c r="AE75" s="100"/>
      <c r="AF75" s="91"/>
      <c r="AG75" s="209">
        <f>SUMIF($H$35:$H$73,"600000",AG$35:AG$73)+SUMIF($H$35:$H$73,"700000",AG$35:AG$73)-SUMIF($H$35:$H$73,"TOTDEPTEXP",AG$35:AG$73)</f>
        <v>0</v>
      </c>
      <c r="AH75" s="100"/>
      <c r="AI75" s="91"/>
      <c r="AJ75" s="11"/>
      <c r="AK75" s="11"/>
      <c r="AL75" s="11"/>
      <c r="AM75" s="11"/>
      <c r="AN75" s="11"/>
      <c r="AO75" s="11"/>
    </row>
    <row r="76" spans="1:41" x14ac:dyDescent="0.25">
      <c r="A76" s="11"/>
      <c r="B76" s="11"/>
      <c r="C76" s="11"/>
      <c r="D76" s="11"/>
      <c r="E76" s="11"/>
      <c r="F76" s="11"/>
      <c r="G76" s="11"/>
      <c r="H76" s="11"/>
      <c r="I76" s="59"/>
      <c r="J76" s="59"/>
      <c r="K76" s="11"/>
      <c r="L76" s="11"/>
      <c r="M76" s="11"/>
      <c r="N76" s="104" t="str">
        <f>N73&amp;" - Check"</f>
        <v>Department Profit (Loss) - Check</v>
      </c>
      <c r="O76" s="209">
        <f t="shared" ref="O76:AA76" si="34">SUMIF($H$35:$H$73,"KPI_GP",O$35:O$73)-SUMIF($H$35:$H$73,"TOTDEPTEXP",O$35:O$73)-SUMIF($H$35:$H$73,"TOTDEPTPL",O$35:O$73)</f>
        <v>0</v>
      </c>
      <c r="P76" s="209">
        <f t="shared" si="34"/>
        <v>0</v>
      </c>
      <c r="Q76" s="209">
        <f t="shared" si="34"/>
        <v>0</v>
      </c>
      <c r="R76" s="209">
        <f t="shared" si="34"/>
        <v>0</v>
      </c>
      <c r="S76" s="209">
        <f t="shared" si="34"/>
        <v>0</v>
      </c>
      <c r="T76" s="209">
        <f t="shared" si="34"/>
        <v>0</v>
      </c>
      <c r="U76" s="209">
        <f t="shared" si="34"/>
        <v>0</v>
      </c>
      <c r="V76" s="209">
        <f t="shared" si="34"/>
        <v>0</v>
      </c>
      <c r="W76" s="209">
        <f t="shared" si="34"/>
        <v>0</v>
      </c>
      <c r="X76" s="209">
        <f t="shared" si="34"/>
        <v>0</v>
      </c>
      <c r="Y76" s="209">
        <f t="shared" si="34"/>
        <v>0</v>
      </c>
      <c r="Z76" s="209">
        <f t="shared" si="34"/>
        <v>0</v>
      </c>
      <c r="AA76" s="209">
        <f t="shared" si="34"/>
        <v>0</v>
      </c>
      <c r="AB76" s="100"/>
      <c r="AC76" s="11"/>
      <c r="AD76" s="209">
        <f>SUMIF($H$35:$H$73,"KPI_GP",AD$35:AD$73)-SUMIF($H$35:$H$73,"TOTDEPTEXP",AD$35:AD$73)-SUMIF($H$35:$H$73,"TOTDEPTPL",AD$35:AD$73)</f>
        <v>0</v>
      </c>
      <c r="AE76" s="100"/>
      <c r="AF76" s="91"/>
      <c r="AG76" s="209">
        <f>SUMIF($H$35:$H$73,"KPI_GP",AG$35:AG$73)-SUMIF($H$35:$H$73,"TOTDEPTEXP",AG$35:AG$73)-SUMIF($H$35:$H$73,"TOTDEPTPL",AG$35:AG$73)</f>
        <v>0</v>
      </c>
      <c r="AH76" s="100"/>
      <c r="AI76" s="91"/>
      <c r="AJ76" s="11"/>
      <c r="AK76" s="11"/>
      <c r="AL76" s="11"/>
      <c r="AM76" s="11"/>
      <c r="AN76" s="11"/>
      <c r="AO76" s="11"/>
    </row>
    <row r="77" spans="1:41" x14ac:dyDescent="0.25">
      <c r="A77" s="11"/>
      <c r="B77" s="11"/>
      <c r="C77" s="208"/>
      <c r="D77" s="11"/>
      <c r="E77" s="11"/>
      <c r="F77" s="11"/>
      <c r="G77" s="11"/>
      <c r="H77" s="11"/>
      <c r="I77" s="59"/>
      <c r="J77" s="59"/>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61" t="str">
        <f>IF(_epmOfflineCondition_,"Evdre:Ok",_xll.EVDRE($B$1,A81:B88,A91:B97))</f>
        <v>Evdre:Ok</v>
      </c>
      <c r="B78" s="11"/>
      <c r="C78" s="11"/>
      <c r="D78" s="11"/>
      <c r="E78" s="11"/>
      <c r="F78" s="11"/>
      <c r="G78" s="11"/>
      <c r="H78" s="11"/>
      <c r="I78" s="59"/>
      <c r="J78" s="59"/>
      <c r="K78" s="11"/>
      <c r="L78" s="11"/>
      <c r="M78" s="11"/>
      <c r="N78" s="11"/>
      <c r="O78" s="137"/>
      <c r="P78" s="137"/>
      <c r="Q78" s="137"/>
      <c r="R78" s="137"/>
      <c r="S78" s="137"/>
      <c r="T78" s="137"/>
      <c r="U78" s="137"/>
      <c r="V78" s="137"/>
      <c r="W78" s="137"/>
      <c r="X78" s="137"/>
      <c r="Y78" s="137"/>
      <c r="Z78" s="137"/>
      <c r="AA78" s="137"/>
      <c r="AB78" s="11"/>
      <c r="AC78" s="11"/>
      <c r="AD78" s="137"/>
      <c r="AE78" s="11"/>
      <c r="AF78" s="11"/>
      <c r="AG78" s="137"/>
      <c r="AH78" s="11"/>
      <c r="AI78" s="11"/>
      <c r="AJ78" s="11"/>
      <c r="AK78" s="11"/>
      <c r="AL78" s="11"/>
      <c r="AM78" s="11"/>
      <c r="AN78" s="11"/>
      <c r="AO78" s="11"/>
    </row>
    <row r="79" spans="1:41" x14ac:dyDescent="0.25">
      <c r="A79" s="11"/>
      <c r="B79" s="11"/>
      <c r="C79" s="11"/>
      <c r="D79" s="11"/>
      <c r="E79" s="11"/>
      <c r="F79" s="11"/>
      <c r="G79" s="11"/>
      <c r="H79" s="11"/>
      <c r="I79" s="59"/>
      <c r="J79" s="59"/>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62" t="s">
        <v>0</v>
      </c>
      <c r="B80" s="63" t="s">
        <v>1</v>
      </c>
      <c r="C80" s="11"/>
      <c r="D80" s="11"/>
      <c r="E80" s="11"/>
      <c r="F80" s="11"/>
      <c r="G80" s="11"/>
      <c r="H80" s="11"/>
      <c r="I80" s="59"/>
      <c r="J80" s="59"/>
      <c r="K80" s="11"/>
      <c r="L80" s="11"/>
      <c r="M80" s="11"/>
      <c r="N80" s="11"/>
      <c r="O80" s="137"/>
      <c r="P80" s="137"/>
      <c r="Q80" s="137"/>
      <c r="R80" s="137"/>
      <c r="S80" s="137"/>
      <c r="T80" s="137"/>
      <c r="U80" s="137"/>
      <c r="V80" s="137"/>
      <c r="W80" s="137"/>
      <c r="X80" s="137"/>
      <c r="Y80" s="137"/>
      <c r="Z80" s="137"/>
      <c r="AA80" s="137"/>
      <c r="AB80" s="11"/>
      <c r="AC80" s="11"/>
      <c r="AD80" s="137"/>
      <c r="AE80" s="11"/>
      <c r="AF80" s="11"/>
      <c r="AG80" s="137"/>
      <c r="AH80" s="11"/>
      <c r="AI80" s="11"/>
      <c r="AJ80" s="11"/>
      <c r="AK80" s="11"/>
      <c r="AL80" s="11"/>
      <c r="AM80" s="11"/>
      <c r="AN80" s="11"/>
      <c r="AO80" s="11"/>
    </row>
    <row r="81" spans="1:41" x14ac:dyDescent="0.25">
      <c r="A81" s="65" t="s">
        <v>2</v>
      </c>
      <c r="B81" s="66" t="str">
        <f>IF(_epmOfflineCondition_,"'Mini_Bar'!$B$2:$B$10",_xll.EVRNG($B$2:$B$10))</f>
        <v>'Mini_Bar'!$B$2:$B$10</v>
      </c>
      <c r="C81" s="11"/>
      <c r="D81" s="11"/>
      <c r="E81" s="11"/>
      <c r="F81" s="11"/>
      <c r="G81" s="11"/>
      <c r="H81" s="11"/>
      <c r="I81" s="59"/>
      <c r="J81" s="59"/>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65" t="s">
        <v>3</v>
      </c>
      <c r="B82" s="66" t="str">
        <f>IF(_epmOfflineCondition_,"'Mini_Bar'!$O$16:$AN$18",_xll.EVRNG($O$16:$AN$18))</f>
        <v>'Mini_Bar'!$O$16:$AN$18</v>
      </c>
      <c r="C82" s="11"/>
      <c r="D82" s="11"/>
      <c r="E82" s="11"/>
      <c r="F82" s="11"/>
      <c r="G82" s="11"/>
      <c r="H82" s="11"/>
      <c r="I82" s="59"/>
      <c r="J82" s="59"/>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65" t="s">
        <v>4</v>
      </c>
      <c r="B83" s="66" t="str">
        <f>IF(_epmOfflineCondition_,"'Mini_Bar'!$H$55:$H$56,'Mini_Bar'!$H$58:$H$65,'Mini_Bar'!$H$68:$H$69",_xll.EVRNG(H55:H56,H58:H65,H68:H69))</f>
        <v>'Mini_Bar'!$H$55:$H$56,'Mini_Bar'!$H$58:$H$65,'Mini_Bar'!$H$68:$H$69</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5</v>
      </c>
      <c r="B84" s="66"/>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65" t="s">
        <v>6</v>
      </c>
      <c r="B85" s="66"/>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7</v>
      </c>
      <c r="B86" s="66" t="str">
        <f>IF(_epmOfflineCondition_,"'Mini_Bar'!$A$100:$F$106",_xll.EVRNG(A100:F106))</f>
        <v>'Mini_Bar'!$A$100:$F$106</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47</v>
      </c>
      <c r="B87" s="66" t="str">
        <f>IF(_epmOfflineCondition_,"'Mini_Bar'!$A$123:$B$144",_xll.EVRNG($A$123:$B$144))</f>
        <v>'Mini_Bar'!$A$123:$B$144</v>
      </c>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8</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11"/>
      <c r="B89" s="11"/>
      <c r="C89" s="11"/>
      <c r="D89" s="11"/>
      <c r="E89" s="11"/>
      <c r="F89" s="11"/>
      <c r="G89" s="11"/>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2" t="s">
        <v>9</v>
      </c>
      <c r="B90" s="63" t="s">
        <v>10</v>
      </c>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65" t="s">
        <v>11</v>
      </c>
      <c r="B91" s="66" t="s">
        <v>21</v>
      </c>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65" t="s">
        <v>12</v>
      </c>
      <c r="B92" s="66" t="s">
        <v>22</v>
      </c>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5" t="s">
        <v>13</v>
      </c>
      <c r="B93" s="66" t="s">
        <v>737</v>
      </c>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65" t="s">
        <v>14</v>
      </c>
      <c r="B94" s="66"/>
      <c r="C94" s="11"/>
      <c r="D94" s="11"/>
      <c r="E94" s="11"/>
      <c r="F94" s="11"/>
      <c r="G94" s="76"/>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15</v>
      </c>
      <c r="B95" s="66"/>
      <c r="C95" s="11"/>
      <c r="D95" s="11"/>
      <c r="E95" s="11"/>
      <c r="F95" s="11"/>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65" t="s">
        <v>16</v>
      </c>
      <c r="B96" s="66" t="s">
        <v>78</v>
      </c>
      <c r="C96" s="11"/>
      <c r="D96" s="11"/>
      <c r="E96" s="11"/>
      <c r="F96" s="11"/>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17</v>
      </c>
      <c r="B97" s="66"/>
      <c r="C97" s="11"/>
      <c r="D97" s="11"/>
      <c r="E97" s="11"/>
      <c r="F97" s="11"/>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11"/>
      <c r="B98" s="11"/>
      <c r="C98" s="11"/>
      <c r="D98" s="11"/>
      <c r="E98" s="11"/>
      <c r="F98" s="11"/>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97" t="s">
        <v>92</v>
      </c>
      <c r="B99" s="98" t="s">
        <v>93</v>
      </c>
      <c r="C99" s="98" t="s">
        <v>94</v>
      </c>
      <c r="D99" s="98" t="s">
        <v>95</v>
      </c>
      <c r="E99" s="98" t="s">
        <v>96</v>
      </c>
      <c r="F99" s="99" t="s">
        <v>97</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11" t="s">
        <v>108</v>
      </c>
      <c r="B101" s="11"/>
      <c r="C101" s="104" t="s">
        <v>101</v>
      </c>
      <c r="D101" s="11" t="s">
        <v>106</v>
      </c>
      <c r="E101" s="11"/>
      <c r="F101" s="11" t="s">
        <v>98</v>
      </c>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t="s">
        <v>100</v>
      </c>
      <c r="B102" s="11"/>
      <c r="C102" s="53" t="s">
        <v>101</v>
      </c>
      <c r="D102" s="11" t="s">
        <v>106</v>
      </c>
      <c r="E102" s="11"/>
      <c r="F102" s="11" t="s">
        <v>98</v>
      </c>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t="s">
        <v>109</v>
      </c>
      <c r="B103" s="11"/>
      <c r="C103" s="106" t="s">
        <v>101</v>
      </c>
      <c r="D103" s="11" t="s">
        <v>106</v>
      </c>
      <c r="E103" s="11"/>
      <c r="F103" s="11" t="s">
        <v>98</v>
      </c>
      <c r="G103" s="11"/>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t="s">
        <v>109</v>
      </c>
      <c r="B104" s="11"/>
      <c r="C104" s="196" t="s">
        <v>101</v>
      </c>
      <c r="D104" s="11" t="s">
        <v>107</v>
      </c>
      <c r="E104" s="11"/>
      <c r="F104" s="11" t="s">
        <v>99</v>
      </c>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t="s">
        <v>110</v>
      </c>
      <c r="B105" s="11"/>
      <c r="C105" s="106" t="s">
        <v>101</v>
      </c>
      <c r="D105" s="11" t="s">
        <v>106</v>
      </c>
      <c r="E105" s="11"/>
      <c r="F105" s="11" t="s">
        <v>98</v>
      </c>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t="s">
        <v>110</v>
      </c>
      <c r="B106" s="11"/>
      <c r="C106" s="109" t="s">
        <v>101</v>
      </c>
      <c r="D106" s="11" t="s">
        <v>107</v>
      </c>
      <c r="E106" s="11"/>
      <c r="F106" s="11" t="s">
        <v>99</v>
      </c>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c r="B107" s="11"/>
      <c r="C107" s="208"/>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c r="B108" s="11"/>
      <c r="C108" s="11"/>
      <c r="D108" s="11"/>
      <c r="E108" s="11"/>
      <c r="F108" s="11"/>
      <c r="G108" s="76"/>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61" t="str">
        <f>IF(_epmOfflineCondition_,"Evdre:Ok",_xll.EVDRE($B$1,A112:B119))</f>
        <v>Evdre:Ok</v>
      </c>
      <c r="B109" s="11" t="s">
        <v>736</v>
      </c>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2" t="s">
        <v>0</v>
      </c>
      <c r="B111" s="63" t="s">
        <v>1</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65" t="s">
        <v>2</v>
      </c>
      <c r="B112" s="66" t="str">
        <f>IF(_epmOfflineCondition_,"'Mini_Bar'!$B$2:$B$10",_xll.EVRNG($B$2:$B$10))</f>
        <v>'Mini_Bar'!$B$2:$B$10</v>
      </c>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5" t="s">
        <v>3</v>
      </c>
      <c r="B113" s="66" t="str">
        <f>IF(_epmOfflineCondition_,"'Mini_Bar'!$O$16:$AN$18",_xll.EVRNG($O$16:$AN$18))</f>
        <v>'Mini_Bar'!$O$16:$AN$18</v>
      </c>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5" t="s">
        <v>4</v>
      </c>
      <c r="B114" s="66" t="str">
        <f>IF(_epmOfflineCondition_,"'Mini_Bar'!$H$70:$H$73",_xll.EVRNG(H70:H73))</f>
        <v>'Mini_Bar'!$H$70:$H$73</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5</v>
      </c>
      <c r="B115" s="66"/>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6</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7</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47</v>
      </c>
      <c r="B118" s="66" t="str">
        <f>IF(_epmOfflineCondition_,"'Mini_Bar'!$A$123:$B$144",_xll.EVRNG($A$123:$B$144))</f>
        <v>'Mini_Bar'!$A$123:$B$144</v>
      </c>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11"/>
      <c r="B120" s="11"/>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11"/>
      <c r="B121" s="11"/>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62" t="s">
        <v>23</v>
      </c>
      <c r="B122" s="63" t="s">
        <v>24</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65" t="s">
        <v>25</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5" t="s">
        <v>26</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27</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28</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29</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30</v>
      </c>
      <c r="B128" s="66" t="s">
        <v>78</v>
      </c>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31</v>
      </c>
      <c r="B129" s="66" t="s">
        <v>78</v>
      </c>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32</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33</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34</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35</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36</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37</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38</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39</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65" t="s">
        <v>40</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65" t="s">
        <v>41</v>
      </c>
      <c r="B139" s="66"/>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65" t="s">
        <v>42</v>
      </c>
      <c r="B140" s="66"/>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65" t="s">
        <v>43</v>
      </c>
      <c r="B141" s="66"/>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65" t="s">
        <v>44</v>
      </c>
      <c r="B142" s="66"/>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65" t="s">
        <v>45</v>
      </c>
      <c r="B143" s="66"/>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65" t="s">
        <v>46</v>
      </c>
      <c r="B144" s="66"/>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11"/>
      <c r="B146" s="11"/>
      <c r="C146" s="11"/>
      <c r="D146" s="11"/>
      <c r="E146" s="11"/>
      <c r="F146" s="11"/>
      <c r="G146" s="11"/>
      <c r="H146" s="11"/>
      <c r="I146" s="267"/>
      <c r="J146" s="11"/>
      <c r="K146" s="267"/>
      <c r="L146" s="267"/>
      <c r="M146" s="267"/>
      <c r="N146" s="11"/>
      <c r="O146" s="267"/>
      <c r="P146" s="267"/>
      <c r="Q146" s="267"/>
      <c r="R146" s="267"/>
      <c r="S146" s="267"/>
      <c r="T146" s="267"/>
      <c r="U146" s="267"/>
      <c r="V146" s="267"/>
      <c r="W146" s="267"/>
      <c r="X146" s="267"/>
      <c r="Y146" s="267"/>
      <c r="Z146" s="267"/>
      <c r="AA146" s="267"/>
      <c r="AB146" s="11"/>
      <c r="AC146" s="11"/>
      <c r="AD146" s="267"/>
      <c r="AE146" s="11"/>
      <c r="AF146" s="267"/>
      <c r="AG146" s="11"/>
      <c r="AH146" s="267"/>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267"/>
      <c r="J150" s="11"/>
      <c r="K150" s="267"/>
      <c r="L150" s="267"/>
      <c r="M150" s="267"/>
      <c r="N150" s="11"/>
      <c r="O150" s="267"/>
      <c r="P150" s="267"/>
      <c r="Q150" s="267"/>
      <c r="R150" s="267"/>
      <c r="S150" s="267"/>
      <c r="T150" s="267"/>
      <c r="U150" s="267"/>
      <c r="V150" s="267"/>
      <c r="W150" s="267"/>
      <c r="X150" s="267"/>
      <c r="Y150" s="267"/>
      <c r="Z150" s="267"/>
      <c r="AA150" s="267"/>
      <c r="AB150" s="11"/>
      <c r="AC150" s="11"/>
      <c r="AD150" s="267"/>
      <c r="AE150" s="11"/>
      <c r="AF150" s="267"/>
      <c r="AG150" s="11"/>
      <c r="AH150" s="267"/>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267"/>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267"/>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267"/>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267"/>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sheetData>
  <sheetProtection algorithmName="SHA-512" hashValue="hykKKm+aUM3U7sszY+ZQNyEVgZpRbmrbQP2Z1lsk2FClpRH98PLq+JO7gGR1UWeuaR4gIgEf6xFbiIZzAlMwQQ==" saltValue="N6p6ad5xqJxCGLh4HxIF0Q==" spinCount="100000" sheet="1" scenarios="1"/>
  <mergeCells count="2">
    <mergeCell ref="AD31:AE31"/>
    <mergeCell ref="AG31:AH31"/>
  </mergeCells>
  <dataValidations disablePrompts="1" count="2">
    <dataValidation type="list" allowBlank="1" sqref="B93 B29 B61" xr:uid="{00000000-0002-0000-1D00-000000000000}">
      <formula1>"SELF,ALL,BAS,DEP,BASMEMBERS,MEMBERS,NOEXPAND,GDEP"</formula1>
    </dataValidation>
    <dataValidation type="list" allowBlank="1" sqref="B60 B28 B92" xr:uid="{00000000-0002-0000-1D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20491"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20491" r:id="rId7" name="FPMExcelClientSheetOptionstb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4">
    <tabColor theme="9" tint="0.39997558519241921"/>
    <pageSetUpPr fitToPage="1"/>
  </sheetPr>
  <dimension ref="A1:AP160"/>
  <sheetViews>
    <sheetView topLeftCell="K25" zoomScale="85" zoomScaleNormal="85" workbookViewId="0">
      <pane xSplit="3" ySplit="8" topLeftCell="N33" activePane="bottomRight" state="frozen"/>
      <selection activeCell="K25" sqref="K25"/>
      <selection pane="topRight" activeCell="N25" sqref="N25"/>
      <selection pane="bottomLeft" activeCell="K33" sqref="K33"/>
      <selection pane="bottomRight" activeCell="N33" sqref="N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1" hidden="1" customWidth="1" outlineLevel="1"/>
    <col min="13" max="13" width="36.7109375" style="1" customWidth="1" collapsed="1"/>
    <col min="14" max="25" width="11.7109375" style="1" customWidth="1" outlineLevel="1"/>
    <col min="26" max="26" width="12.7109375" style="1" customWidth="1"/>
    <col min="27" max="27" width="7.7109375" style="1" customWidth="1"/>
    <col min="28" max="28" width="1.7109375" style="1" customWidth="1"/>
    <col min="29" max="29" width="12.7109375" style="1" customWidth="1"/>
    <col min="30" max="30" width="7.7109375" style="1" customWidth="1"/>
    <col min="31" max="31" width="11.7109375" style="1" customWidth="1"/>
    <col min="32" max="32" width="12.7109375" style="1" customWidth="1"/>
    <col min="33" max="33" width="7.7109375" style="1" customWidth="1"/>
    <col min="34" max="34" width="11.7109375" style="1" customWidth="1"/>
    <col min="35" max="39" width="9.140625" style="1" hidden="1" customWidth="1" outlineLevel="1"/>
    <col min="40" max="40" width="9.140625" style="1" collapsed="1"/>
    <col min="41" max="16384" width="9.140625" style="1"/>
  </cols>
  <sheetData>
    <row r="1" spans="1:42"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row>
    <row r="2" spans="1:42"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row>
    <row r="3" spans="1:42"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row>
    <row r="4" spans="1:42"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row>
    <row r="5" spans="1:42"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row>
    <row r="6" spans="1:42" hidden="1" outlineLevel="1" x14ac:dyDescent="0.25">
      <c r="A6" s="53" t="s">
        <v>52</v>
      </c>
      <c r="B6" s="56" t="s">
        <v>463</v>
      </c>
      <c r="C6" s="11" t="str">
        <f>IF(_epmOfflineCondition_,"Other Operated Departments",_xll.EVDES(B6,$B$1))</f>
        <v>Other Operated Departments</v>
      </c>
      <c r="D6" s="11"/>
      <c r="E6" s="58" t="str">
        <f>IF(_epmOfflineCondition_,"",_xll.EVPRO($B$1,$B$6,$F$6))</f>
        <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row>
    <row r="7" spans="1:42"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row>
    <row r="8" spans="1:42"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row>
    <row r="9" spans="1:42"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row>
    <row r="10" spans="1:42"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row>
    <row r="11" spans="1:42" hidden="1" outlineLevel="1" x14ac:dyDescent="0.25">
      <c r="A11" s="11"/>
      <c r="B11" s="53"/>
      <c r="C11" s="11"/>
      <c r="D11" s="11"/>
      <c r="E11" s="11"/>
      <c r="F11" s="11"/>
      <c r="G11" s="11"/>
      <c r="H11" s="11"/>
      <c r="I11" s="59"/>
      <c r="J11" s="59"/>
      <c r="K11" s="11"/>
      <c r="L11" s="58" t="str">
        <f>IF(LEFT(SetUp!$D$6,3)="ALT","Y","N")</f>
        <v>N</v>
      </c>
      <c r="M11" s="11" t="s">
        <v>800</v>
      </c>
      <c r="N11" s="60" t="str">
        <f>IF(_epmOfflineCondition_,"ACTUAL_CON",IF(N13&lt;$F$4,_xll.EVPRO($B$1,$B$4,"COMPARISON"),$B$4))</f>
        <v>ACTUAL_CON</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11"/>
      <c r="AA11" s="11"/>
      <c r="AB11" s="11"/>
      <c r="AC11" s="11"/>
      <c r="AD11" s="11"/>
      <c r="AE11" s="11"/>
      <c r="AF11" s="11"/>
      <c r="AG11" s="11"/>
      <c r="AH11" s="11"/>
      <c r="AI11" s="11"/>
      <c r="AJ11" s="11"/>
      <c r="AK11" s="11"/>
      <c r="AL11" s="11"/>
      <c r="AM11" s="11"/>
      <c r="AN11" s="11"/>
      <c r="AO11" s="11"/>
      <c r="AP11" s="11"/>
    </row>
    <row r="12" spans="1:42" hidden="1" outlineLevel="1" x14ac:dyDescent="0.25">
      <c r="A12" s="11" t="s">
        <v>115</v>
      </c>
      <c r="B12" s="58" t="str">
        <f>IF(_epmOfflineCondition_,"2022",_xll.EVPRO($B$1,$B$10,"YEAR"))</f>
        <v>2022</v>
      </c>
      <c r="C12" s="11"/>
      <c r="D12" s="11"/>
      <c r="E12" s="11"/>
      <c r="F12" s="11"/>
      <c r="G12" s="11"/>
      <c r="H12" s="11"/>
      <c r="I12" s="59"/>
      <c r="J12" s="59"/>
      <c r="K12" s="11"/>
      <c r="L12" s="59"/>
      <c r="M12" s="11" t="s">
        <v>597</v>
      </c>
      <c r="N12" s="4" t="str">
        <f>IF(_epmOfflineCondition_,"Y",_xll.EVPRO($B$1,N$16,$M$12))</f>
        <v>Y</v>
      </c>
      <c r="O12" s="4" t="str">
        <f>IF(_epmOfflineCondition_,"Y",_xll.EVPRO($B$1,O$16,$M$12))</f>
        <v>Y</v>
      </c>
      <c r="P12" s="4" t="str">
        <f>IF(_epmOfflineCondition_,"Y",_xll.EVPRO($B$1,P$16,$M$12))</f>
        <v>Y</v>
      </c>
      <c r="Q12" s="4" t="str">
        <f>IF(_epmOfflineCondition_,"Y",_xll.EVPRO($B$1,Q$16,$M$12))</f>
        <v>Y</v>
      </c>
      <c r="R12" s="4" t="str">
        <f>IF(_epmOfflineCondition_,"Y",_xll.EVPRO($B$1,R$16,$M$12))</f>
        <v>Y</v>
      </c>
      <c r="S12" s="4" t="str">
        <f>IF(_epmOfflineCondition_,"Y",_xll.EVPRO($B$1,S$16,$M$12))</f>
        <v>Y</v>
      </c>
      <c r="T12" s="4" t="str">
        <f>IF(_epmOfflineCondition_,"Y",_xll.EVPRO($B$1,T$16,$M$12))</f>
        <v>Y</v>
      </c>
      <c r="U12" s="4" t="str">
        <f>IF(_epmOfflineCondition_,"Y",_xll.EVPRO($B$1,U$16,$M$12))</f>
        <v>Y</v>
      </c>
      <c r="V12" s="4" t="str">
        <f>IF(_epmOfflineCondition_,"Y",_xll.EVPRO($B$1,V$16,$M$12))</f>
        <v>Y</v>
      </c>
      <c r="W12" s="4" t="str">
        <f>IF(_epmOfflineCondition_,"Y",_xll.EVPRO($B$1,W$16,$M$12))</f>
        <v>Y</v>
      </c>
      <c r="X12" s="4" t="str">
        <f>IF(_epmOfflineCondition_,"Y",_xll.EVPRO($B$1,X$16,$M$12))</f>
        <v>Y</v>
      </c>
      <c r="Y12" s="4" t="str">
        <f>IF(_epmOfflineCondition_,"Y",_xll.EVPRO($B$1,Y$16,$M$12))</f>
        <v>Y</v>
      </c>
      <c r="Z12" s="4" t="str">
        <f>IF(_epmOfflineCondition_,"",_xll.EVPRO($B$1,Z$16,$M$12))</f>
        <v/>
      </c>
      <c r="AA12" s="11"/>
      <c r="AB12" s="11"/>
      <c r="AC12" s="4" t="str">
        <f>IF(_epmOfflineCondition_,"",_xll.EVPRO($B$1,AC$16,$M$12))</f>
        <v/>
      </c>
      <c r="AD12" s="11"/>
      <c r="AE12" s="11"/>
      <c r="AF12" s="4" t="str">
        <f>IF(_epmOfflineCondition_,"",_xll.EVPRO($B$1,AF$16,$M$12))</f>
        <v/>
      </c>
      <c r="AG12" s="11"/>
      <c r="AH12" s="11"/>
      <c r="AI12" s="11"/>
      <c r="AJ12" s="11"/>
      <c r="AK12" s="11"/>
      <c r="AL12" s="11"/>
      <c r="AM12" s="11"/>
      <c r="AN12" s="11"/>
      <c r="AO12" s="11"/>
      <c r="AP12" s="11"/>
    </row>
    <row r="13" spans="1:42"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11" t="s">
        <v>598</v>
      </c>
      <c r="N13" s="5" t="str">
        <f>IF(_epmOfflineCondition_,"20220100",_xll.EVPRO($B$1,N16,"TIMEID"))</f>
        <v>20220100</v>
      </c>
      <c r="O13" s="5" t="str">
        <f>IF(_epmOfflineCondition_,"20220200",_xll.EVPRO($B$1,O16,"TIMEID"))</f>
        <v>20220200</v>
      </c>
      <c r="P13" s="5" t="str">
        <f>IF(_epmOfflineCondition_,"20220300",_xll.EVPRO($B$1,P16,"TIMEID"))</f>
        <v>20220300</v>
      </c>
      <c r="Q13" s="5" t="str">
        <f>IF(_epmOfflineCondition_,"20220400",_xll.EVPRO($B$1,Q16,"TIMEID"))</f>
        <v>20220400</v>
      </c>
      <c r="R13" s="5" t="str">
        <f>IF(_epmOfflineCondition_,"20220500",_xll.EVPRO($B$1,R16,"TIMEID"))</f>
        <v>20220500</v>
      </c>
      <c r="S13" s="5" t="str">
        <f>IF(_epmOfflineCondition_,"20220600",_xll.EVPRO($B$1,S16,"TIMEID"))</f>
        <v>20220600</v>
      </c>
      <c r="T13" s="5" t="str">
        <f>IF(_epmOfflineCondition_,"20220700",_xll.EVPRO($B$1,T16,"TIMEID"))</f>
        <v>20220700</v>
      </c>
      <c r="U13" s="5" t="str">
        <f>IF(_epmOfflineCondition_,"20220800",_xll.EVPRO($B$1,U16,"TIMEID"))</f>
        <v>20220800</v>
      </c>
      <c r="V13" s="5" t="str">
        <f>IF(_epmOfflineCondition_,"20220900",_xll.EVPRO($B$1,V16,"TIMEID"))</f>
        <v>20220900</v>
      </c>
      <c r="W13" s="5" t="str">
        <f>IF(_epmOfflineCondition_,"20221000",_xll.EVPRO($B$1,W16,"TIMEID"))</f>
        <v>20221000</v>
      </c>
      <c r="X13" s="5" t="str">
        <f>IF(_epmOfflineCondition_,"20221100",_xll.EVPRO($B$1,X16,"TIMEID"))</f>
        <v>20221100</v>
      </c>
      <c r="Y13" s="5" t="str">
        <f>IF(_epmOfflineCondition_,"20221200",_xll.EVPRO($B$1,Y16,"TIMEID"))</f>
        <v>20221200</v>
      </c>
      <c r="Z13" s="5" t="str">
        <f>IF(_epmOfflineCondition_,"10000176",_xll.EVPRO($B$1,Z16,"TIMEID"))</f>
        <v>10000176</v>
      </c>
      <c r="AA13" s="11"/>
      <c r="AB13" s="11"/>
      <c r="AC13" s="5" t="str">
        <f>IF(_epmOfflineCondition_,"10000176",_xll.EVPRO($B$1,AC16,"TIMEID"))</f>
        <v>10000176</v>
      </c>
      <c r="AD13" s="11"/>
      <c r="AE13" s="11"/>
      <c r="AF13" s="5" t="str">
        <f>IF(_epmOfflineCondition_,"10000171",_xll.EVPRO($B$1,AF16,"TIMEID"))</f>
        <v>10000171</v>
      </c>
      <c r="AG13" s="11"/>
      <c r="AH13" s="11"/>
      <c r="AI13" s="11"/>
      <c r="AJ13" s="11"/>
      <c r="AK13" s="11"/>
      <c r="AL13" s="11"/>
      <c r="AM13" s="11"/>
      <c r="AN13" s="11"/>
      <c r="AO13" s="11"/>
      <c r="AP13" s="11"/>
    </row>
    <row r="14" spans="1:42" hidden="1" outlineLevel="1" x14ac:dyDescent="0.25">
      <c r="A14" s="61" t="str">
        <f>IF(_epmOfflineCondition_,"Evdre:Ok",_xll.EVDRE($B$1,A17:B24,A27:C33))</f>
        <v>Evdre:Ok</v>
      </c>
      <c r="B14" s="11"/>
      <c r="C14" s="11"/>
      <c r="D14" s="11"/>
      <c r="E14" s="11"/>
      <c r="F14" s="11"/>
      <c r="G14" s="11"/>
      <c r="H14" s="11"/>
      <c r="I14" s="59"/>
      <c r="J14" s="59"/>
      <c r="K14" s="11"/>
      <c r="L14" s="59"/>
      <c r="M14" s="11" t="s">
        <v>599</v>
      </c>
      <c r="N14" s="5" t="s">
        <v>603</v>
      </c>
      <c r="O14" s="5" t="s">
        <v>604</v>
      </c>
      <c r="P14" s="5" t="s">
        <v>605</v>
      </c>
      <c r="Q14" s="5" t="s">
        <v>606</v>
      </c>
      <c r="R14" s="5" t="s">
        <v>607</v>
      </c>
      <c r="S14" s="5" t="s">
        <v>608</v>
      </c>
      <c r="T14" s="5" t="s">
        <v>609</v>
      </c>
      <c r="U14" s="5" t="s">
        <v>610</v>
      </c>
      <c r="V14" s="5" t="s">
        <v>611</v>
      </c>
      <c r="W14" s="5" t="s">
        <v>612</v>
      </c>
      <c r="X14" s="5" t="s">
        <v>613</v>
      </c>
      <c r="Y14" s="5" t="s">
        <v>614</v>
      </c>
      <c r="Z14" s="5" t="s">
        <v>116</v>
      </c>
      <c r="AA14" s="11"/>
      <c r="AB14" s="11"/>
      <c r="AC14" s="5" t="s">
        <v>116</v>
      </c>
      <c r="AD14" s="11"/>
      <c r="AE14" s="11"/>
      <c r="AF14" s="5" t="s">
        <v>116</v>
      </c>
      <c r="AG14" s="11"/>
      <c r="AH14" s="11"/>
      <c r="AI14" s="11"/>
      <c r="AJ14" s="11"/>
      <c r="AK14" s="11"/>
      <c r="AL14" s="11"/>
      <c r="AM14" s="11"/>
      <c r="AN14" s="11"/>
      <c r="AO14" s="11"/>
      <c r="AP14" s="11"/>
    </row>
    <row r="15" spans="1:42" hidden="1" outlineLevel="1" x14ac:dyDescent="0.25">
      <c r="A15" s="11"/>
      <c r="B15" s="11"/>
      <c r="C15" s="11"/>
      <c r="D15" s="11"/>
      <c r="E15" s="11"/>
      <c r="F15" s="11"/>
      <c r="G15" s="11"/>
      <c r="H15" s="11"/>
      <c r="I15" s="59"/>
      <c r="J15" s="59"/>
      <c r="K15" s="11"/>
      <c r="L15" s="59"/>
      <c r="M15" s="11" t="s">
        <v>600</v>
      </c>
      <c r="N15" s="6" t="s">
        <v>615</v>
      </c>
      <c r="O15" s="6" t="s">
        <v>616</v>
      </c>
      <c r="P15" s="7" t="s">
        <v>617</v>
      </c>
      <c r="Q15" s="7" t="s">
        <v>618</v>
      </c>
      <c r="R15" s="7" t="s">
        <v>619</v>
      </c>
      <c r="S15" s="7" t="s">
        <v>620</v>
      </c>
      <c r="T15" s="7" t="s">
        <v>621</v>
      </c>
      <c r="U15" s="7" t="s">
        <v>622</v>
      </c>
      <c r="V15" s="7" t="s">
        <v>623</v>
      </c>
      <c r="W15" s="7" t="s">
        <v>624</v>
      </c>
      <c r="X15" s="7" t="s">
        <v>625</v>
      </c>
      <c r="Y15" s="7" t="s">
        <v>626</v>
      </c>
      <c r="Z15" s="5" t="s">
        <v>116</v>
      </c>
      <c r="AA15" s="11"/>
      <c r="AB15" s="11"/>
      <c r="AC15" s="5" t="s">
        <v>116</v>
      </c>
      <c r="AD15" s="11"/>
      <c r="AE15" s="11"/>
      <c r="AF15" s="5" t="s">
        <v>116</v>
      </c>
      <c r="AG15" s="11"/>
      <c r="AH15" s="11"/>
      <c r="AI15" s="11"/>
      <c r="AJ15" s="11"/>
      <c r="AK15" s="11"/>
      <c r="AL15" s="11"/>
      <c r="AM15" s="11"/>
      <c r="AN15" s="11"/>
      <c r="AO15" s="11"/>
      <c r="AP15" s="11"/>
    </row>
    <row r="16" spans="1:42" hidden="1" outlineLevel="1" x14ac:dyDescent="0.25">
      <c r="A16" s="62" t="s">
        <v>0</v>
      </c>
      <c r="B16" s="63" t="s">
        <v>1</v>
      </c>
      <c r="C16" s="11"/>
      <c r="D16" s="11"/>
      <c r="E16" s="11"/>
      <c r="F16" s="11"/>
      <c r="G16" s="11"/>
      <c r="H16" s="11"/>
      <c r="I16" s="59"/>
      <c r="J16" s="59"/>
      <c r="K16" s="11"/>
      <c r="L16" s="59"/>
      <c r="M16" s="11" t="s">
        <v>18</v>
      </c>
      <c r="N16" s="60" t="str">
        <f>IF(_epmOfflineCondition_,"2022.JAN",IF(SetUp!$O$1=TRUE,_xll.EVTIM($B$1,O16,-1),IF($D$10="FY",LEFT($B$10,6)&amp;"."&amp;N15,$B$12&amp;"."&amp;N14)))</f>
        <v>2022.JAN</v>
      </c>
      <c r="O16" s="60" t="str">
        <f>IF(_epmOfflineCondition_,"2022.FEB",IF(SetUp!$O$1=TRUE,_xll.EVTIM($B$1,P16,-1),IF($D$10="FY",LEFT($B$10,6)&amp;"."&amp;O15,$B$12&amp;"."&amp;O14)))</f>
        <v>2022.FEB</v>
      </c>
      <c r="P16" s="60" t="str">
        <f>IF(_epmOfflineCondition_,"2022.MAR",IF(SetUp!$O$1=TRUE,_xll.EVTIM($B$1,Q16,-1),IF($D$10="FY",LEFT($B$10,6)&amp;"."&amp;P15,$B$12&amp;"."&amp;P14)))</f>
        <v>2022.MAR</v>
      </c>
      <c r="Q16" s="60" t="str">
        <f>IF(_epmOfflineCondition_,"2022.APR",IF(SetUp!$O$1=TRUE,_xll.EVTIM($B$1,R16,-1),IF($D$10="FY",LEFT($B$10,6)&amp;"."&amp;Q15,$B$12&amp;"."&amp;Q14)))</f>
        <v>2022.APR</v>
      </c>
      <c r="R16" s="60" t="str">
        <f>IF(_epmOfflineCondition_,"2022.MAY",IF(SetUp!$O$1=TRUE,_xll.EVTIM($B$1,S16,-1),IF($D$10="FY",LEFT($B$10,6)&amp;"."&amp;R15,$B$12&amp;"."&amp;R14)))</f>
        <v>2022.MAY</v>
      </c>
      <c r="S16" s="60" t="str">
        <f>IF(_epmOfflineCondition_,"2022.JUN",IF(SetUp!$O$1=TRUE,_xll.EVTIM($B$1,T16,-1),IF($D$10="FY",LEFT($B$10,6)&amp;"."&amp;S15,$B$12&amp;"."&amp;S14)))</f>
        <v>2022.JUN</v>
      </c>
      <c r="T16" s="60" t="str">
        <f>IF(_epmOfflineCondition_,"2022.JUL",IF(SetUp!$O$1=TRUE,_xll.EVTIM($B$1,U16,-1),IF($D$10="FY",LEFT($B$10,6)&amp;"."&amp;T15,$B$12&amp;"."&amp;T14)))</f>
        <v>2022.JUL</v>
      </c>
      <c r="U16" s="60" t="str">
        <f>IF(_epmOfflineCondition_,"2022.AUG",IF(SetUp!$O$1=TRUE,_xll.EVTIM($B$1,V16,-1),IF($D$10="FY",LEFT($B$10,6)&amp;"."&amp;U15,$B$12&amp;"."&amp;U14)))</f>
        <v>2022.AUG</v>
      </c>
      <c r="V16" s="60" t="str">
        <f>IF(_epmOfflineCondition_,"2022.SEP",IF(SetUp!$O$1=TRUE,_xll.EVTIM($B$1,W16,-1),IF($D$10="FY",LEFT($B$10,6)&amp;"."&amp;V15,$B$12&amp;"."&amp;V14)))</f>
        <v>2022.SEP</v>
      </c>
      <c r="W16" s="60" t="str">
        <f>IF(_epmOfflineCondition_,"2022.OCT",IF(SetUp!$O$1=TRUE,_xll.EVTIM($B$1,X16,-1),IF($D$10="FY",LEFT($B$10,6)&amp;"."&amp;W15,$B$12&amp;"."&amp;W14)))</f>
        <v>2022.OCT</v>
      </c>
      <c r="X16" s="60" t="str">
        <f>IF(_epmOfflineCondition_,"2022.NOV",IF(SetUp!$O$1=TRUE,_xll.EVTIM($B$1,Y16,-1),IF($D$10="FY",LEFT($B$10,6)&amp;"."&amp;X15,$B$12&amp;"."&amp;X14)))</f>
        <v>2022.NOV</v>
      </c>
      <c r="Y16" s="60" t="str">
        <f>IF(SetUp!$O$1=TRUE,SetUp!$Q$6,IF($D$10="FY",LEFT($B$10,6)&amp;"."&amp;Y15,$B$12&amp;"."&amp;Y14))</f>
        <v>2022.DEC</v>
      </c>
      <c r="Z16" s="60" t="str">
        <f>IF($D$10="FY",LEFT($B$10,6)&amp;"."&amp;Z15,$B$12&amp;"."&amp;Z14)</f>
        <v>2022.TOTAL</v>
      </c>
      <c r="AA16" s="64"/>
      <c r="AB16" s="64"/>
      <c r="AC16" s="60" t="str">
        <f>IF(SetUp!$O$1=TRUE,SetUp!$Q$6,SetUp!$G$7)</f>
        <v>2022.TOTAL</v>
      </c>
      <c r="AD16" s="64"/>
      <c r="AE16" s="64"/>
      <c r="AF16" s="60" t="str">
        <f>IF(_epmOfflineCondition_,"2021.TOTAL",IF(SetUp!$O$1=TRUE,_xll.EVTIM($B$1,AC16,-1,"YEAR"),SetUp!$J$7))</f>
        <v>2021.TOTAL</v>
      </c>
      <c r="AG16" s="64"/>
      <c r="AH16" s="64"/>
      <c r="AI16" s="11"/>
      <c r="AJ16" s="11"/>
      <c r="AK16" s="11"/>
      <c r="AL16" s="11"/>
      <c r="AM16" s="11"/>
      <c r="AN16" s="11"/>
      <c r="AO16" s="11"/>
      <c r="AP16" s="11"/>
    </row>
    <row r="17" spans="1:42" hidden="1" outlineLevel="1" x14ac:dyDescent="0.25">
      <c r="A17" s="65" t="s">
        <v>2</v>
      </c>
      <c r="B17" s="66" t="str">
        <f>IF(_epmOfflineCondition_,"'OTH_OP'!$B$2:$B$10",_xll.EVRNG($B$2:$B$10))</f>
        <v>'OTH_OP'!$B$2:$B$10</v>
      </c>
      <c r="C17" s="11"/>
      <c r="D17" s="11"/>
      <c r="E17" s="11"/>
      <c r="F17" s="11"/>
      <c r="G17" s="11"/>
      <c r="H17" s="11"/>
      <c r="I17" s="59"/>
      <c r="J17" s="59"/>
      <c r="K17" s="11"/>
      <c r="L17" s="59"/>
      <c r="M17" s="11" t="s">
        <v>19</v>
      </c>
      <c r="N17" s="60" t="str">
        <f>IF(_epmOfflineCondition_,"ACTUAL_CON",IF($L$11="Y",N11,IF(N13&lt;$E$4,_xll.EVPRO($B$1,$B$4,"COMPARISON"),$B$4)))</f>
        <v>ACTUAL_CON</v>
      </c>
      <c r="O17" s="60" t="str">
        <f>IF(_epmOfflineCondition_,"ACTUAL_CON",IF($L$11="y",O11,IF(O13&lt;$E$4,_xll.EVPRO($B$1,$B$4,"COMPARISON"),$B$4)))</f>
        <v>ACTUAL_CON</v>
      </c>
      <c r="P17" s="60" t="str">
        <f>IF(_epmOfflineCondition_,"ACTUAL_CON",IF($L$11="y",P11,IF(P13&lt;$E$4,_xll.EVPRO($B$1,$B$4,"COMPARISON"),$B$4)))</f>
        <v>ACTUAL_CON</v>
      </c>
      <c r="Q17" s="60" t="str">
        <f>IF(_epmOfflineCondition_,"ACTUAL_CON",IF($L$11="y",Q11,IF(Q13&lt;$E$4,_xll.EVPRO($B$1,$B$4,"COMPARISON"),$B$4)))</f>
        <v>ACTUAL_CON</v>
      </c>
      <c r="R17" s="60" t="str">
        <f>IF(_epmOfflineCondition_,"ACTUAL_CON",IF($L$11="y",R11,IF(R13&lt;$E$4,_xll.EVPRO($B$1,$B$4,"COMPARISON"),$B$4)))</f>
        <v>ACTUAL_CON</v>
      </c>
      <c r="S17" s="60" t="str">
        <f>IF(_epmOfflineCondition_,"ACTUAL_CON",IF($L$11="y",S11,IF(S13&lt;$E$4,_xll.EVPRO($B$1,$B$4,"COMPARISON"),$B$4)))</f>
        <v>ACTUAL_CON</v>
      </c>
      <c r="T17" s="60" t="str">
        <f>IF(_epmOfflineCondition_,"ACTUAL_CON",IF($L$11="y",T11,IF(T13&lt;$E$4,_xll.EVPRO($B$1,$B$4,"COMPARISON"),$B$4)))</f>
        <v>ACTUAL_CON</v>
      </c>
      <c r="U17" s="60" t="str">
        <f>IF(_epmOfflineCondition_,"ACTUAL_CON",IF($L$11="y",U11,IF(U13&lt;$E$4,_xll.EVPRO($B$1,$B$4,"COMPARISON"),$B$4)))</f>
        <v>ACTUAL_CON</v>
      </c>
      <c r="V17" s="60" t="str">
        <f>IF(_epmOfflineCondition_,"ACTUAL_CON",IF($L$11="y",V11,IF(V13&lt;$E$4,_xll.EVPRO($B$1,$B$4,"COMPARISON"),$B$4)))</f>
        <v>ACTUAL_CON</v>
      </c>
      <c r="W17" s="60" t="str">
        <f>IF(_epmOfflineCondition_,"ACTUAL_CON",IF($L$11="y",W11,IF(W13&lt;$E$4,_xll.EVPRO($B$1,$B$4,"COMPARISON"),$B$4)))</f>
        <v>ACTUAL_CON</v>
      </c>
      <c r="X17" s="60" t="str">
        <f>IF(_epmOfflineCondition_,"ACTUAL_CON",IF($L$11="y",X11,IF(X13&lt;$E$4,_xll.EVPRO($B$1,$B$4,"COMPARISON"),$B$4)))</f>
        <v>ACTUAL_CON</v>
      </c>
      <c r="Y17" s="60" t="str">
        <f>IF(_epmOfflineCondition_,"ACTUAL_CON",IF($L$11="y",Y11,IF(Y13&lt;$E$4,_xll.EVPRO($B$1,$B$4,"COMPARISON"),$B$4)))</f>
        <v>ACTUAL_CON</v>
      </c>
      <c r="Z17" s="60"/>
      <c r="AA17" s="64"/>
      <c r="AB17" s="64"/>
      <c r="AC17" s="60" t="str">
        <f>SetUp!$G$6</f>
        <v>BUDGET</v>
      </c>
      <c r="AD17" s="64"/>
      <c r="AE17" s="64"/>
      <c r="AF17" s="60" t="str">
        <f>SetUp!$J$6</f>
        <v>ACTUAL_CON</v>
      </c>
      <c r="AG17" s="64"/>
      <c r="AH17" s="64"/>
      <c r="AI17" s="11"/>
      <c r="AJ17" s="11"/>
      <c r="AK17" s="11"/>
      <c r="AL17" s="11"/>
      <c r="AM17" s="11"/>
      <c r="AN17" s="11"/>
      <c r="AO17" s="11"/>
      <c r="AP17" s="11"/>
    </row>
    <row r="18" spans="1:42" hidden="1" outlineLevel="1" x14ac:dyDescent="0.25">
      <c r="A18" s="65" t="s">
        <v>3</v>
      </c>
      <c r="B18" s="66" t="str">
        <f>IF(_epmOfflineCondition_,"'OTH_OP'!$N$16:$AM$18",_xll.EVRNG($N$16:$AM$18))</f>
        <v>'OTH_OP'!$N$16:$AM$18</v>
      </c>
      <c r="C18" s="11"/>
      <c r="D18" s="11"/>
      <c r="E18" s="11"/>
      <c r="F18" s="11"/>
      <c r="G18" s="11"/>
      <c r="H18" s="11"/>
      <c r="I18" s="59"/>
      <c r="J18" s="59"/>
      <c r="K18" s="11"/>
      <c r="L18" s="59"/>
      <c r="M18" s="11" t="s">
        <v>601</v>
      </c>
      <c r="N18" s="64" t="s">
        <v>55</v>
      </c>
      <c r="O18" s="64" t="s">
        <v>55</v>
      </c>
      <c r="P18" s="64" t="s">
        <v>55</v>
      </c>
      <c r="Q18" s="64" t="s">
        <v>55</v>
      </c>
      <c r="R18" s="64" t="s">
        <v>55</v>
      </c>
      <c r="S18" s="64" t="s">
        <v>55</v>
      </c>
      <c r="T18" s="64" t="s">
        <v>55</v>
      </c>
      <c r="U18" s="64" t="s">
        <v>55</v>
      </c>
      <c r="V18" s="64" t="s">
        <v>55</v>
      </c>
      <c r="W18" s="64" t="s">
        <v>55</v>
      </c>
      <c r="X18" s="64" t="s">
        <v>55</v>
      </c>
      <c r="Y18" s="64" t="s">
        <v>55</v>
      </c>
      <c r="Z18" s="64"/>
      <c r="AA18" s="64"/>
      <c r="AB18" s="64"/>
      <c r="AC18" s="60" t="str">
        <f>IF(SetUp!$O$1=TRUE,"TRAILING12",IF(AC17="CURRENT","ROLLINGFORECAST","PERIODIC"))</f>
        <v>PERIODIC</v>
      </c>
      <c r="AD18" s="64"/>
      <c r="AE18" s="64"/>
      <c r="AF18" s="60" t="str">
        <f>IF(SetUp!$O$1=TRUE,"TRAILING12",IF(AF17="CURRENT","ROLLINGFORECAST","PERIODIC"))</f>
        <v>PERIODIC</v>
      </c>
      <c r="AG18" s="64"/>
      <c r="AH18" s="64"/>
      <c r="AI18" s="11"/>
      <c r="AJ18" s="11"/>
      <c r="AK18" s="11"/>
      <c r="AL18" s="11"/>
      <c r="AM18" s="11"/>
      <c r="AN18" s="11"/>
      <c r="AO18" s="11"/>
      <c r="AP18" s="11"/>
    </row>
    <row r="19" spans="1:42" hidden="1" outlineLevel="1" x14ac:dyDescent="0.25">
      <c r="A19" s="65" t="s">
        <v>4</v>
      </c>
      <c r="B19" s="66" t="str">
        <f>IF(_epmOfflineCondition_,"'OTH_OP'!$G$34:$H$39,'OTH_OP'!$G$43:$H$48,'OTH_OP'!$G$52:$H$57",_xll.EVRNG(G34:H39,G43:H48,G52:H57))</f>
        <v>'OTH_OP'!$G$34:$H$39,'OTH_OP'!$G$43:$H$48,'OTH_OP'!$G$52:$H$57</v>
      </c>
      <c r="C19" s="11"/>
      <c r="D19" s="11"/>
      <c r="E19" s="11"/>
      <c r="F19" s="11"/>
      <c r="G19" s="67" t="str">
        <f>$B$6</f>
        <v>D_OTHER_CON</v>
      </c>
      <c r="H19" s="67">
        <v>400000</v>
      </c>
      <c r="I19" s="68"/>
      <c r="J19" s="68"/>
      <c r="K19" s="67"/>
      <c r="L19" s="67"/>
      <c r="M19" s="67" t="str">
        <f>IF(_epmOfflineCondition_,"Total Revenue",_xll.EVDES(H19))</f>
        <v>Total Revenue</v>
      </c>
      <c r="N19" s="69">
        <f>IF(_epmOfflineCondition_,1627.99,_xll.EVGTS($B$1,1,$B$3,$B$5,$B$7,$B$9,N$16,N$17,N$18,$G$19,$H$19))</f>
        <v>1627.99</v>
      </c>
      <c r="O19" s="69">
        <f>IF(_epmOfflineCondition_,2405.74,_xll.EVGTS($B$1,1,$B$3,$B$5,$B$7,$B$9,O$16,O$17,O$18,$G$19,$H$19))</f>
        <v>2405.7399999999998</v>
      </c>
      <c r="P19" s="69">
        <f>IF(_epmOfflineCondition_,3553.93,_xll.EVGTS($B$1,1,$B$3,$B$5,$B$7,$B$9,P$16,P$17,P$18,$G$19,$H$19))</f>
        <v>3553.93</v>
      </c>
      <c r="Q19" s="69">
        <f>IF(_epmOfflineCondition_,3896.8,_xll.EVGTS($B$1,1,$B$3,$B$5,$B$7,$B$9,Q$16,Q$17,Q$18,$G$19,$H$19))</f>
        <v>3896.8</v>
      </c>
      <c r="R19" s="69">
        <f>IF(_epmOfflineCondition_,2556.13,_xll.EVGTS($B$1,1,$B$3,$B$5,$B$7,$B$9,R$16,R$17,R$18,$G$19,$H$19))</f>
        <v>2556.13</v>
      </c>
      <c r="S19" s="69">
        <f>IF(_epmOfflineCondition_,1693.33,_xll.EVGTS($B$1,1,$B$3,$B$5,$B$7,$B$9,S$16,S$17,S$18,$G$19,$H$19))</f>
        <v>1693.33</v>
      </c>
      <c r="T19" s="69">
        <f>IF(_epmOfflineCondition_,1428.96,_xll.EVGTS($B$1,1,$B$3,$B$5,$B$7,$B$9,T$16,T$17,T$18,$G$19,$H$19))</f>
        <v>1428.96</v>
      </c>
      <c r="U19" s="69">
        <f>IF(_epmOfflineCondition_,2055.02,_xll.EVGTS($B$1,1,$B$3,$B$5,$B$7,$B$9,U$16,U$17,U$18,$G$19,$H$19))</f>
        <v>2055.02</v>
      </c>
      <c r="V19" s="69">
        <f>IF(_epmOfflineCondition_,688.75,_xll.EVGTS($B$1,1,$B$3,$B$5,$B$7,$B$9,V$16,V$17,V$18,$G$19,$H$19))</f>
        <v>688.75</v>
      </c>
      <c r="W19" s="69">
        <f>IF(_epmOfflineCondition_,2507.38,_xll.EVGTS($B$1,1,$B$3,$B$5,$B$7,$B$9,W$16,W$17,W$18,$G$19,$H$19))</f>
        <v>2507.38</v>
      </c>
      <c r="X19" s="69">
        <f>IF(_epmOfflineCondition_,3265.13,_xll.EVGTS($B$1,1,$B$3,$B$5,$B$7,$B$9,X$16,X$17,X$18,$G$19,$H$19))</f>
        <v>3265.13</v>
      </c>
      <c r="Y19" s="69">
        <f>IF(_epmOfflineCondition_,2287.26,_xll.EVGTS($B$1,1,$B$3,$B$5,$B$7,$B$9,Y$16,Y$17,Y$18,$G$19,$H$19))</f>
        <v>2287.2600000000002</v>
      </c>
      <c r="Z19" s="69">
        <f>SUM(N19:Y19)</f>
        <v>27966.420000000006</v>
      </c>
      <c r="AA19" s="67"/>
      <c r="AB19" s="67"/>
      <c r="AC19" s="69">
        <f>IF(_epmOfflineCondition_,17174.08,_xll.EVGTS($B$1,1,$B$3,$B$5,$B$7,$B$9,AC$16,AC$17,AC$18,$G$19,$H$19))</f>
        <v>17174.080000000002</v>
      </c>
      <c r="AD19" s="67"/>
      <c r="AE19" s="67"/>
      <c r="AF19" s="69">
        <f>IF(_epmOfflineCondition_,19581.85,_xll.EVGTS($B$1,1,$B$3,$B$5,$B$7,$B$9,AF$16,AF$17,AF$18,$G$19,$H$19))</f>
        <v>19581.849999999999</v>
      </c>
      <c r="AG19" s="67"/>
      <c r="AH19" s="67"/>
      <c r="AI19" s="11"/>
      <c r="AJ19" s="11"/>
      <c r="AK19" s="11"/>
      <c r="AL19" s="11"/>
      <c r="AM19" s="11"/>
      <c r="AN19" s="11"/>
      <c r="AO19" s="11"/>
      <c r="AP19" s="11"/>
    </row>
    <row r="20" spans="1:42" hidden="1" outlineLevel="1" x14ac:dyDescent="0.25">
      <c r="A20" s="65" t="s">
        <v>5</v>
      </c>
      <c r="B20" s="66"/>
      <c r="C20" s="11"/>
      <c r="D20" s="11"/>
      <c r="E20" s="11"/>
      <c r="F20" s="11"/>
      <c r="G20" s="67" t="s">
        <v>749</v>
      </c>
      <c r="H20" s="67">
        <v>900200</v>
      </c>
      <c r="I20" s="68"/>
      <c r="J20" s="68"/>
      <c r="K20" s="67"/>
      <c r="L20" s="68"/>
      <c r="M20" s="67" t="str">
        <f>IF(_epmOfflineCondition_,"Total Rooms Occupied",_xll.EVDES(H20))</f>
        <v>Total Rooms Occupied</v>
      </c>
      <c r="N20" s="69">
        <f>IF(_epmOfflineCondition_,3762,_xll.EVGTS($B$1,1,$B$3,$B$5,$B$7,$B$9,N$16,N$17,N$18,$G$20,$H$20))</f>
        <v>3762</v>
      </c>
      <c r="O20" s="69">
        <f>IF(_epmOfflineCondition_,3568,_xll.EVGTS($B$1,1,$B$3,$B$5,$B$7,$B$9,O$16,O$17,O$18,$G$20,$H$20))</f>
        <v>3568</v>
      </c>
      <c r="P20" s="69">
        <f>IF(_epmOfflineCondition_,3855,_xll.EVGTS($B$1,1,$B$3,$B$5,$B$7,$B$9,P$16,P$17,P$18,$G$20,$H$20))</f>
        <v>3855</v>
      </c>
      <c r="Q20" s="69">
        <f>IF(_epmOfflineCondition_,3602,_xll.EVGTS($B$1,1,$B$3,$B$5,$B$7,$B$9,Q$16,Q$17,Q$18,$G$20,$H$20))</f>
        <v>3602</v>
      </c>
      <c r="R20" s="69">
        <f>IF(_epmOfflineCondition_,3580,_xll.EVGTS($B$1,1,$B$3,$B$5,$B$7,$B$9,R$16,R$17,R$18,$G$20,$H$20))</f>
        <v>3580</v>
      </c>
      <c r="S20" s="69">
        <f>IF(_epmOfflineCondition_,3259,_xll.EVGTS($B$1,1,$B$3,$B$5,$B$7,$B$9,S$16,S$17,S$18,$G$20,$H$20))</f>
        <v>3259</v>
      </c>
      <c r="T20" s="69">
        <f>IF(_epmOfflineCondition_,3548,_xll.EVGTS($B$1,1,$B$3,$B$5,$B$7,$B$9,T$16,T$17,T$18,$G$20,$H$20))</f>
        <v>3548</v>
      </c>
      <c r="U20" s="69">
        <f>IF(_epmOfflineCondition_,3348,_xll.EVGTS($B$1,1,$B$3,$B$5,$B$7,$B$9,U$16,U$17,U$18,$G$20,$H$20))</f>
        <v>3348</v>
      </c>
      <c r="V20" s="69">
        <f>IF(_epmOfflineCondition_,2744,_xll.EVGTS($B$1,1,$B$3,$B$5,$B$7,$B$9,V$16,V$17,V$18,$G$20,$H$20))</f>
        <v>2744</v>
      </c>
      <c r="W20" s="69">
        <f>IF(_epmOfflineCondition_,3076,_xll.EVGTS($B$1,1,$B$3,$B$5,$B$7,$B$9,W$16,W$17,W$18,$G$20,$H$20))</f>
        <v>3076</v>
      </c>
      <c r="X20" s="69">
        <f>IF(_epmOfflineCondition_,3431,_xll.EVGTS($B$1,1,$B$3,$B$5,$B$7,$B$9,X$16,X$17,X$18,$G$20,$H$20))</f>
        <v>3431</v>
      </c>
      <c r="Y20" s="69">
        <f>IF(_epmOfflineCondition_,3541,_xll.EVGTS($B$1,1,$B$3,$B$5,$B$7,$B$9,Y$16,Y$17,Y$18,$G$20,$H$20))</f>
        <v>3541</v>
      </c>
      <c r="Z20" s="69">
        <f>SUM(N20:Y20)</f>
        <v>41314</v>
      </c>
      <c r="AA20" s="67"/>
      <c r="AB20" s="67"/>
      <c r="AC20" s="69">
        <f>IF(_epmOfflineCondition_,39032,_xll.EVGTS($B$1,1,$B$3,$B$5,$B$7,$B$9,AC$16,AC$17,AC$18,$G$20,$H$20))</f>
        <v>39032</v>
      </c>
      <c r="AD20" s="67"/>
      <c r="AE20" s="67"/>
      <c r="AF20" s="69">
        <f>IF(_epmOfflineCondition_,40219,_xll.EVGTS($B$1,1,$B$3,$B$5,$B$7,$B$9,AF$16,AF$17,AF$18,$G$20,$H$20))</f>
        <v>40219</v>
      </c>
      <c r="AG20" s="67"/>
      <c r="AH20" s="67"/>
      <c r="AI20" s="11"/>
      <c r="AJ20" s="11"/>
      <c r="AK20" s="11"/>
      <c r="AL20" s="11"/>
      <c r="AM20" s="11"/>
      <c r="AN20" s="11"/>
      <c r="AO20" s="11"/>
      <c r="AP20" s="11"/>
    </row>
    <row r="21" spans="1:42"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row>
    <row r="22" spans="1:42" hidden="1" outlineLevel="1" x14ac:dyDescent="0.25">
      <c r="A22" s="65" t="s">
        <v>7</v>
      </c>
      <c r="B22" s="66" t="str">
        <f>IF(_epmOfflineCondition_,"'OTH_OP'!$A$36:$F$38",_xll.EVRNG(A36:F38))</f>
        <v>'OTH_OP'!$A$36:$F$38</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row>
    <row r="23" spans="1:42" hidden="1" outlineLevel="1" x14ac:dyDescent="0.25">
      <c r="A23" s="65" t="s">
        <v>47</v>
      </c>
      <c r="B23" s="66" t="str">
        <f>IF(_epmOfflineCondition_,"'OTH_OP'!$A$44:$B$65",_xll.EVRNG($A$44:$B$65))</f>
        <v>'OTH_OP'!$A$44:$B$65</v>
      </c>
      <c r="C23" s="11"/>
      <c r="D23" s="11"/>
      <c r="E23" s="11"/>
      <c r="F23" s="11"/>
      <c r="G23" s="11"/>
      <c r="H23" s="11"/>
      <c r="I23" s="59"/>
      <c r="J23" s="59"/>
      <c r="K23" s="6"/>
      <c r="L23" s="6"/>
      <c r="M23" s="11"/>
      <c r="N23" s="11"/>
      <c r="O23" s="11"/>
      <c r="P23" s="11"/>
      <c r="Q23" s="11"/>
      <c r="R23" s="11"/>
      <c r="S23" s="11"/>
      <c r="T23" s="11"/>
      <c r="U23" s="11"/>
      <c r="V23" s="11"/>
      <c r="W23" s="11"/>
      <c r="X23" s="11"/>
      <c r="Y23" s="11"/>
      <c r="Z23" s="11"/>
      <c r="AA23" s="11"/>
      <c r="AB23" s="11"/>
      <c r="AC23" s="384"/>
      <c r="AD23" s="11"/>
      <c r="AE23" s="11"/>
      <c r="AF23" s="11"/>
      <c r="AG23" s="11"/>
      <c r="AH23" s="11"/>
      <c r="AI23" s="11"/>
      <c r="AJ23" s="11"/>
      <c r="AK23" s="11"/>
      <c r="AL23" s="11"/>
      <c r="AM23" s="11"/>
      <c r="AN23" s="11"/>
      <c r="AO23" s="11"/>
      <c r="AP23" s="11"/>
    </row>
    <row r="24" spans="1:42"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row>
    <row r="25" spans="1:42"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row>
    <row r="26" spans="1:42" ht="22.5" x14ac:dyDescent="0.3">
      <c r="A26" s="62" t="s">
        <v>9</v>
      </c>
      <c r="B26" s="63" t="s">
        <v>10</v>
      </c>
      <c r="C26" s="63" t="s">
        <v>357</v>
      </c>
      <c r="D26" s="11"/>
      <c r="E26" s="11"/>
      <c r="F26" s="11"/>
      <c r="G26" s="11"/>
      <c r="H26" s="11"/>
      <c r="I26" s="59"/>
      <c r="J26" s="59"/>
      <c r="K26" s="11"/>
      <c r="L26" s="11"/>
      <c r="M26" s="70" t="str">
        <f>IF(_epmOfflineCondition_,"Anglers Boutique Resorts LLC",IF(_xll.EVDES(B3,$B$1)="#NODATA","",_xll.EVDES(B3,$B$1)))</f>
        <v>Anglers Boutique Resorts LLC</v>
      </c>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1:42" ht="18" x14ac:dyDescent="0.25">
      <c r="A27" s="65" t="s">
        <v>11</v>
      </c>
      <c r="B27" s="66" t="s">
        <v>21</v>
      </c>
      <c r="C27" s="66" t="s">
        <v>21</v>
      </c>
      <c r="D27" s="11"/>
      <c r="E27" s="11"/>
      <c r="F27" s="11"/>
      <c r="G27" s="11"/>
      <c r="H27" s="11"/>
      <c r="I27" s="59"/>
      <c r="J27" s="59"/>
      <c r="K27" s="11"/>
      <c r="L27" s="11"/>
      <c r="M27" s="71" t="str">
        <f>IF(_epmOfflineCondition_,"Other Operated Departments",IF(_xll.EVDES(B6,$B$1)="#NODATA","",_xll.EVDES(B6,$B$1)))</f>
        <v>Other Operated Departments</v>
      </c>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1:42" ht="15.75" x14ac:dyDescent="0.25">
      <c r="A28" s="65" t="s">
        <v>12</v>
      </c>
      <c r="B28" s="66" t="s">
        <v>52</v>
      </c>
      <c r="C28" s="66" t="s">
        <v>22</v>
      </c>
      <c r="D28" s="11"/>
      <c r="E28" s="11"/>
      <c r="F28" s="11"/>
      <c r="G28" s="11"/>
      <c r="H28" s="11"/>
      <c r="I28" s="59"/>
      <c r="J28" s="59"/>
      <c r="K28" s="11"/>
      <c r="L28" s="11"/>
      <c r="M28" s="72" t="str">
        <f>IF(_epmOfflineCondition_,"For the Period ended 2022 TOTAL","For the Period ended"&amp;" "&amp;IF(_xll.EVDES($B$10,$B$1)="#NODATA","",_xll.EVDES($B$10,$B$1)))</f>
        <v>For the Period ended 2022 TOTAL</v>
      </c>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1:42" ht="15" customHeight="1" x14ac:dyDescent="0.25">
      <c r="A29" s="65" t="s">
        <v>13</v>
      </c>
      <c r="B29" s="66" t="s">
        <v>468</v>
      </c>
      <c r="C29" s="66" t="s">
        <v>467</v>
      </c>
      <c r="D29" s="11"/>
      <c r="E29" s="11"/>
      <c r="F29" s="11"/>
      <c r="G29" s="11"/>
      <c r="H29" s="11"/>
      <c r="I29" s="59"/>
      <c r="J29" s="59"/>
      <c r="K29" s="11"/>
      <c r="L29" s="11"/>
      <c r="M29" s="72" t="str">
        <f>IF(_epmOfflineCondition_,"Local Currency",_xll.EVDES(B9,B1))</f>
        <v>Local Currency</v>
      </c>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1:42" x14ac:dyDescent="0.25">
      <c r="A30" s="65" t="s">
        <v>14</v>
      </c>
      <c r="B30" s="66"/>
      <c r="C30" s="66"/>
      <c r="D30" s="11"/>
      <c r="E30" s="11"/>
      <c r="F30" s="11"/>
      <c r="G30" s="11"/>
      <c r="H30" s="11"/>
      <c r="I30" s="59"/>
      <c r="J30" s="59"/>
      <c r="K30" s="11"/>
      <c r="L30" s="11"/>
      <c r="M30" s="11"/>
      <c r="N30" s="73"/>
      <c r="O30" s="74"/>
      <c r="P30" s="74"/>
      <c r="Q30" s="74"/>
      <c r="R30" s="74"/>
      <c r="S30" s="74"/>
      <c r="T30" s="74"/>
      <c r="U30" s="74"/>
      <c r="V30" s="74"/>
      <c r="W30" s="74"/>
      <c r="X30" s="74"/>
      <c r="Y30" s="74"/>
      <c r="Z30" s="74"/>
      <c r="AA30" s="75"/>
      <c r="AB30" s="11"/>
      <c r="AC30" s="74"/>
      <c r="AD30" s="74"/>
      <c r="AE30" s="74"/>
      <c r="AF30" s="74"/>
      <c r="AG30" s="74"/>
      <c r="AH30" s="74"/>
      <c r="AI30" s="73" t="s">
        <v>748</v>
      </c>
      <c r="AJ30" s="74"/>
      <c r="AK30" s="75"/>
      <c r="AL30" s="74" t="s">
        <v>750</v>
      </c>
      <c r="AM30" s="74"/>
      <c r="AN30" s="11"/>
      <c r="AO30" s="11"/>
      <c r="AP30" s="11"/>
    </row>
    <row r="31" spans="1:42" x14ac:dyDescent="0.25">
      <c r="A31" s="65" t="s">
        <v>15</v>
      </c>
      <c r="B31" s="66"/>
      <c r="C31" s="66"/>
      <c r="D31" s="11"/>
      <c r="E31" s="11"/>
      <c r="F31" s="11"/>
      <c r="G31" s="76"/>
      <c r="H31" s="11"/>
      <c r="I31" s="59"/>
      <c r="J31" s="59"/>
      <c r="K31" s="11"/>
      <c r="L31" s="11"/>
      <c r="M31" s="11"/>
      <c r="N31" s="77" t="str">
        <f>IF(_epmOfflineCondition_,"JAN",IF($D$10="FY",_xll.EVPRO($B$1,N$16,"PERIOD")&amp;" "&amp;LEFT(N$13,4),_xll.EVPRO($B$1,N$16,"PERIOD")))</f>
        <v>JAN</v>
      </c>
      <c r="O31" s="77" t="str">
        <f>IF(_epmOfflineCondition_,"FEB",IF($D$10="FY",_xll.EVPRO($B$1,O$16,"PERIOD")&amp;" "&amp;LEFT(O$13,4),_xll.EVPRO($B$1,O$16,"PERIOD")))</f>
        <v>FEB</v>
      </c>
      <c r="P31" s="77" t="str">
        <f>IF(_epmOfflineCondition_,"MAR",IF($D$10="FY",_xll.EVPRO($B$1,P$16,"PERIOD")&amp;" "&amp;LEFT(P$13,4),_xll.EVPRO($B$1,P$16,"PERIOD")))</f>
        <v>MAR</v>
      </c>
      <c r="Q31" s="77" t="str">
        <f>IF(_epmOfflineCondition_,"APR",IF($D$10="FY",_xll.EVPRO($B$1,Q$16,"PERIOD")&amp;" "&amp;LEFT(Q$13,4),_xll.EVPRO($B$1,Q$16,"PERIOD")))</f>
        <v>APR</v>
      </c>
      <c r="R31" s="77" t="str">
        <f>IF(_epmOfflineCondition_,"MAY",IF($D$10="FY",_xll.EVPRO($B$1,R$16,"PERIOD")&amp;" "&amp;LEFT(R$13,4),_xll.EVPRO($B$1,R$16,"PERIOD")))</f>
        <v>MAY</v>
      </c>
      <c r="S31" s="77" t="str">
        <f>IF(_epmOfflineCondition_,"JUN",IF($D$10="FY",_xll.EVPRO($B$1,S$16,"PERIOD")&amp;" "&amp;LEFT(S$13,4),_xll.EVPRO($B$1,S$16,"PERIOD")))</f>
        <v>JUN</v>
      </c>
      <c r="T31" s="77" t="str">
        <f>IF(_epmOfflineCondition_,"JUL",IF($D$10="FY",_xll.EVPRO($B$1,T$16,"PERIOD")&amp;" "&amp;LEFT(T$13,4),_xll.EVPRO($B$1,T$16,"PERIOD")))</f>
        <v>JUL</v>
      </c>
      <c r="U31" s="77" t="str">
        <f>IF(_epmOfflineCondition_,"AUG",IF($D$10="FY",_xll.EVPRO($B$1,U$16,"PERIOD")&amp;" "&amp;LEFT(U$13,4),_xll.EVPRO($B$1,U$16,"PERIOD")))</f>
        <v>AUG</v>
      </c>
      <c r="V31" s="77" t="str">
        <f>IF(_epmOfflineCondition_,"SEP",IF($D$10="FY",_xll.EVPRO($B$1,V$16,"PERIOD")&amp;" "&amp;LEFT(V$13,4),_xll.EVPRO($B$1,V$16,"PERIOD")))</f>
        <v>SEP</v>
      </c>
      <c r="W31" s="77" t="str">
        <f>IF(_epmOfflineCondition_,"OCT",IF($D$10="FY",_xll.EVPRO($B$1,W$16,"PERIOD")&amp;" "&amp;LEFT(W$13,4),_xll.EVPRO($B$1,W$16,"PERIOD")))</f>
        <v>OCT</v>
      </c>
      <c r="X31" s="77" t="str">
        <f>IF(_epmOfflineCondition_,"NOV",IF($D$10="FY",_xll.EVPRO($B$1,X$16,"PERIOD")&amp;" "&amp;LEFT(X$13,4),_xll.EVPRO($B$1,X$16,"PERIOD")))</f>
        <v>NOV</v>
      </c>
      <c r="Y31" s="77" t="str">
        <f>IF(_epmOfflineCondition_,"DEC",IF($D$10="FY",_xll.EVPRO($B$1,Y$16,"PERIOD")&amp;" "&amp;LEFT(Y$13,4),_xll.EVPRO($B$1,Y$16,"PERIOD")))</f>
        <v>DEC</v>
      </c>
      <c r="Z31" s="77" t="str">
        <f>Z14</f>
        <v>TOTAL</v>
      </c>
      <c r="AA31" s="78"/>
      <c r="AB31" s="11"/>
      <c r="AC31" s="630" t="str">
        <f>IF(_epmOfflineCondition_,"2022 TOTAL",IF(_xll.EVDES(AC16,$B$1)="#NODATA","",_xll.EVDES(AC16,$B$1)))</f>
        <v>2022 TOTAL</v>
      </c>
      <c r="AD31" s="631"/>
      <c r="AE31" s="77" t="s">
        <v>631</v>
      </c>
      <c r="AF31" s="630" t="str">
        <f>IF(_epmOfflineCondition_,"2021 TOTAL",IF(_xll.EVDES(AF16,$B$1)="#NODATA","",_xll.EVDES(AF16,$B$1)))</f>
        <v>2021 TOTAL</v>
      </c>
      <c r="AG31" s="631"/>
      <c r="AH31" s="77" t="s">
        <v>631</v>
      </c>
      <c r="AI31" s="77" t="str">
        <f>IF(_epmOfflineCondition_,"2022",_xll.EVPRO($B$1,Z$16,"YEAR"))</f>
        <v>2022</v>
      </c>
      <c r="AJ31" s="80" t="str">
        <f>IF(_epmOfflineCondition_,"2022",_xll.EVPRO($B$1,AC$16,"YEAR"))</f>
        <v>2022</v>
      </c>
      <c r="AK31" s="80" t="str">
        <f>IF(_epmOfflineCondition_,"2021",_xll.EVPRO($B$1,AF$16,"YEAR"))</f>
        <v>2021</v>
      </c>
      <c r="AL31" s="77" t="str">
        <f>"vs "&amp;AJ31</f>
        <v>vs 2022</v>
      </c>
      <c r="AM31" s="77" t="str">
        <f>"vs "&amp;AK31</f>
        <v>vs 2021</v>
      </c>
      <c r="AN31" s="11"/>
      <c r="AO31" s="11"/>
      <c r="AP31" s="11"/>
    </row>
    <row r="32" spans="1:42" s="8" customFormat="1" ht="30" customHeight="1" x14ac:dyDescent="0.25">
      <c r="A32" s="81" t="s">
        <v>16</v>
      </c>
      <c r="B32" s="82"/>
      <c r="C32" s="82"/>
      <c r="D32" s="83"/>
      <c r="E32" s="83"/>
      <c r="F32" s="83"/>
      <c r="G32" s="363"/>
      <c r="H32" s="84"/>
      <c r="I32" s="85"/>
      <c r="J32" s="85"/>
      <c r="K32" s="83"/>
      <c r="L32" s="83"/>
      <c r="M32" s="83"/>
      <c r="N32" s="87" t="str">
        <f>IF(_epmOfflineCondition_,"Actual",IF(_xll.EVDES(N17,$B$1)="#NODATA","",_xll.EVDES(N17,$B$1)))</f>
        <v>Actual</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0"/>
      <c r="AA32" s="80" t="s">
        <v>58</v>
      </c>
      <c r="AB32" s="83"/>
      <c r="AC32" s="87" t="str">
        <f>IF(_epmOfflineCondition_,"Budget",IF(_xll.EVDES(AC17,$B$1)="#NODATA","",_xll.EVDES(AC17,$B$1)))</f>
        <v>Budget</v>
      </c>
      <c r="AD32" s="80" t="s">
        <v>58</v>
      </c>
      <c r="AE32" s="87" t="s">
        <v>57</v>
      </c>
      <c r="AF32" s="87" t="str">
        <f>IF(_epmOfflineCondition_,"Actual",IF(_xll.EVDES(AF17,$B$1)="#NODATA","",_xll.EVDES(AF17,$B$1)))</f>
        <v>Actual</v>
      </c>
      <c r="AG32" s="80" t="s">
        <v>58</v>
      </c>
      <c r="AH32" s="87" t="s">
        <v>57</v>
      </c>
      <c r="AI32" s="87" t="str">
        <f>Y32</f>
        <v>Actual</v>
      </c>
      <c r="AJ32" s="80" t="str">
        <f>AC32</f>
        <v>Budget</v>
      </c>
      <c r="AK32" s="87" t="str">
        <f>AF32</f>
        <v>Actual</v>
      </c>
      <c r="AL32" s="77" t="s">
        <v>747</v>
      </c>
      <c r="AM32" s="77" t="s">
        <v>747</v>
      </c>
      <c r="AN32" s="83"/>
      <c r="AO32" s="83"/>
      <c r="AP32" s="83"/>
    </row>
    <row r="33" spans="1:42" x14ac:dyDescent="0.25">
      <c r="A33" s="65" t="s">
        <v>17</v>
      </c>
      <c r="B33" s="66"/>
      <c r="C33" s="66"/>
      <c r="D33" s="11"/>
      <c r="E33" s="11"/>
      <c r="F33" s="11"/>
      <c r="G33" s="11"/>
      <c r="H33" s="11" t="s">
        <v>69</v>
      </c>
      <c r="I33" s="59" t="str">
        <f>IF(_epmOfflineCondition_,"B1",_xll.EVPRO($B$1,$H33,"STYLE"))</f>
        <v>B1</v>
      </c>
      <c r="J33" s="59" t="str">
        <f>IF(_epmOfflineCondition_,"Y",_xll.EVPRO($B$1,$H33,"CALC"))</f>
        <v>Y</v>
      </c>
      <c r="K33" s="11"/>
      <c r="L33" s="11"/>
      <c r="M33" s="105" t="str">
        <f>IF(_epmOfflineCondition_,"Revenues",IF(_xll.EVDES(H33,$B$1)="#NODATA","",_xll.EVDES(H33,$B$1)))</f>
        <v>Revenues</v>
      </c>
      <c r="N33" s="129"/>
      <c r="O33" s="130"/>
      <c r="P33" s="130"/>
      <c r="Q33" s="130"/>
      <c r="R33" s="130"/>
      <c r="S33" s="130"/>
      <c r="T33" s="130"/>
      <c r="U33" s="130"/>
      <c r="V33" s="130"/>
      <c r="W33" s="130"/>
      <c r="X33" s="130"/>
      <c r="Y33" s="130"/>
      <c r="Z33" s="130"/>
      <c r="AA33" s="131"/>
      <c r="AB33" s="11"/>
      <c r="AC33" s="129"/>
      <c r="AD33" s="130"/>
      <c r="AE33" s="131"/>
      <c r="AF33" s="129"/>
      <c r="AG33" s="130"/>
      <c r="AH33" s="131"/>
      <c r="AI33" s="11"/>
      <c r="AJ33" s="11"/>
      <c r="AK33" s="11"/>
      <c r="AL33" s="11"/>
      <c r="AM33" s="11"/>
      <c r="AN33" s="11"/>
      <c r="AO33" s="11"/>
      <c r="AP33" s="11"/>
    </row>
    <row r="34" spans="1:42" x14ac:dyDescent="0.25">
      <c r="A34" s="11"/>
      <c r="B34" s="11"/>
      <c r="C34" s="11"/>
      <c r="D34" s="11"/>
      <c r="E34" s="11"/>
      <c r="F34" s="11"/>
      <c r="G34" s="88" t="s">
        <v>365</v>
      </c>
      <c r="H34" s="88" t="s">
        <v>280</v>
      </c>
      <c r="I34" s="122" t="str">
        <f>IF(_epmOfflineCondition_,"7",_xll.EVPRO($B$1,$G34,"HLEVEL"))</f>
        <v>7</v>
      </c>
      <c r="J34" s="122" t="str">
        <f>IF(_epmOfflineCondition_,"Y",_xll.EVPRO($B$1,$H34,"CALC"))</f>
        <v>Y</v>
      </c>
      <c r="K34" s="179" t="str">
        <f t="shared" ref="K34:K39" si="0">IF(AND(I34&gt;="T5"),"&gt;","")</f>
        <v/>
      </c>
      <c r="L34" s="90"/>
      <c r="M34" s="90" t="str">
        <f>IF(_epmOfflineCondition_,"Guest Communications",IF(_xll.EVDES(G34,$B$1)="#NODATA","",_xll.EVDES(G34,$B$1)))</f>
        <v>Guest Communications</v>
      </c>
      <c r="N34" s="138"/>
      <c r="O34" s="138"/>
      <c r="P34" s="138"/>
      <c r="Q34" s="138"/>
      <c r="R34" s="138"/>
      <c r="S34" s="138"/>
      <c r="T34" s="138"/>
      <c r="U34" s="138"/>
      <c r="V34" s="138"/>
      <c r="W34" s="138"/>
      <c r="X34" s="138"/>
      <c r="Y34" s="138"/>
      <c r="Z34" s="210">
        <f t="shared" ref="Z34:Z40" si="1">IF($I34="B1","",SUM(N34:Y34))</f>
        <v>0</v>
      </c>
      <c r="AA34" s="142" t="str">
        <f t="shared" ref="AA34:AA40" si="2">IF(Z34=0,"",IFERROR(Z34/Z$19,""))</f>
        <v/>
      </c>
      <c r="AB34" s="140"/>
      <c r="AC34" s="138"/>
      <c r="AD34" s="142" t="str">
        <f t="shared" ref="AD34:AD40" si="3">IF(AC34=0,"",IFERROR(AC34/AC$19,""))</f>
        <v/>
      </c>
      <c r="AE34" s="141">
        <f t="shared" ref="AE34:AE40" si="4">IF(AND($Z34="",AC34=""),"",$Z34-AC34)</f>
        <v>0</v>
      </c>
      <c r="AF34" s="138"/>
      <c r="AG34" s="142" t="str">
        <f t="shared" ref="AG34:AG40" si="5">IF(AF34=0,"",IFERROR(AF34/AF$19,""))</f>
        <v/>
      </c>
      <c r="AH34" s="141">
        <f t="shared" ref="AH34:AH40" si="6">IF(AND($Z34="",AF34=""),"",$Z34-AF34)</f>
        <v>0</v>
      </c>
      <c r="AI34" s="462">
        <f t="shared" ref="AI34:AI40" si="7">IFERROR(Z34/Z$20,0)</f>
        <v>0</v>
      </c>
      <c r="AJ34" s="463">
        <f t="shared" ref="AJ34:AJ40" si="8">IFERROR(AC34/AC$20,0)</f>
        <v>0</v>
      </c>
      <c r="AK34" s="464">
        <f t="shared" ref="AK34:AK40" si="9">IFERROR(AF34/AF$20,0)</f>
        <v>0</v>
      </c>
      <c r="AL34" s="465">
        <f t="shared" ref="AL34:AL40" si="10">+IFERROR(ROUND(($AA34-AD34)*100,2)&amp;" pts.",0)</f>
        <v>0</v>
      </c>
      <c r="AM34" s="466">
        <f t="shared" ref="AM34:AM40" si="11">+IFERROR(ROUND(($AA34-AG34)*100,2)&amp;" pts.",0)</f>
        <v>0</v>
      </c>
      <c r="AN34" s="11"/>
      <c r="AO34" s="11"/>
      <c r="AP34" s="11"/>
    </row>
    <row r="35" spans="1:42" x14ac:dyDescent="0.25">
      <c r="A35" s="97" t="s">
        <v>92</v>
      </c>
      <c r="B35" s="98" t="s">
        <v>93</v>
      </c>
      <c r="C35" s="98" t="s">
        <v>94</v>
      </c>
      <c r="D35" s="98" t="s">
        <v>95</v>
      </c>
      <c r="E35" s="98" t="s">
        <v>96</v>
      </c>
      <c r="F35" s="99" t="s">
        <v>97</v>
      </c>
      <c r="G35" s="88" t="s">
        <v>366</v>
      </c>
      <c r="H35" s="88" t="s">
        <v>280</v>
      </c>
      <c r="I35" s="122" t="str">
        <f>IF(_epmOfflineCondition_,"7",_xll.EVPRO($B$1,$G35,"HLEVEL"))</f>
        <v>7</v>
      </c>
      <c r="J35" s="122" t="str">
        <f>IF(_epmOfflineCondition_,"Y",_xll.EVPRO($B$1,$H35,"CALC"))</f>
        <v>Y</v>
      </c>
      <c r="K35" s="179" t="str">
        <f t="shared" si="0"/>
        <v/>
      </c>
      <c r="L35" s="90"/>
      <c r="M35" s="90" t="str">
        <f>IF(_epmOfflineCondition_,"Health Club/Spa",IF(_xll.EVDES(G35,$B$1)="#NODATA","",_xll.EVDES(G35,$B$1)))</f>
        <v>Health Club/Spa</v>
      </c>
      <c r="N35" s="138"/>
      <c r="O35" s="138"/>
      <c r="P35" s="138"/>
      <c r="Q35" s="138"/>
      <c r="R35" s="138"/>
      <c r="S35" s="138"/>
      <c r="T35" s="138"/>
      <c r="U35" s="138"/>
      <c r="V35" s="138"/>
      <c r="W35" s="138"/>
      <c r="X35" s="138"/>
      <c r="Y35" s="138"/>
      <c r="Z35" s="210">
        <f t="shared" si="1"/>
        <v>0</v>
      </c>
      <c r="AA35" s="142" t="str">
        <f t="shared" si="2"/>
        <v/>
      </c>
      <c r="AB35" s="140"/>
      <c r="AC35" s="138"/>
      <c r="AD35" s="142" t="str">
        <f t="shared" si="3"/>
        <v/>
      </c>
      <c r="AE35" s="141">
        <f t="shared" si="4"/>
        <v>0</v>
      </c>
      <c r="AF35" s="138"/>
      <c r="AG35" s="142" t="str">
        <f t="shared" si="5"/>
        <v/>
      </c>
      <c r="AH35" s="141">
        <f t="shared" si="6"/>
        <v>0</v>
      </c>
      <c r="AI35" s="462">
        <f t="shared" si="7"/>
        <v>0</v>
      </c>
      <c r="AJ35" s="463">
        <f t="shared" si="8"/>
        <v>0</v>
      </c>
      <c r="AK35" s="464">
        <f t="shared" si="9"/>
        <v>0</v>
      </c>
      <c r="AL35" s="465">
        <f t="shared" si="10"/>
        <v>0</v>
      </c>
      <c r="AM35" s="466">
        <f t="shared" si="11"/>
        <v>0</v>
      </c>
      <c r="AN35" s="11"/>
      <c r="AO35" s="11"/>
      <c r="AP35" s="11"/>
    </row>
    <row r="36" spans="1:42" x14ac:dyDescent="0.25">
      <c r="A36" s="11"/>
      <c r="B36" s="11"/>
      <c r="C36" s="11"/>
      <c r="D36" s="11"/>
      <c r="E36" s="11"/>
      <c r="F36" s="11"/>
      <c r="G36" s="88" t="s">
        <v>380</v>
      </c>
      <c r="H36" s="88" t="s">
        <v>280</v>
      </c>
      <c r="I36" s="122" t="str">
        <f>IF(_epmOfflineCondition_,"7",_xll.EVPRO($B$1,$G36,"HLEVEL"))</f>
        <v>7</v>
      </c>
      <c r="J36" s="122" t="str">
        <f>IF(_epmOfflineCondition_,"Y",_xll.EVPRO($B$1,$H36,"CALC"))</f>
        <v>Y</v>
      </c>
      <c r="K36" s="179" t="str">
        <f t="shared" si="0"/>
        <v/>
      </c>
      <c r="L36" s="90"/>
      <c r="M36" s="90" t="str">
        <f>IF(_epmOfflineCondition_,"Parking",IF(_xll.EVDES(G36,$B$1)="#NODATA","",_xll.EVDES(G36,$B$1)))</f>
        <v>Parking</v>
      </c>
      <c r="N36" s="138"/>
      <c r="O36" s="138"/>
      <c r="P36" s="138"/>
      <c r="Q36" s="138"/>
      <c r="R36" s="138"/>
      <c r="S36" s="138"/>
      <c r="T36" s="138"/>
      <c r="U36" s="138"/>
      <c r="V36" s="138"/>
      <c r="W36" s="138"/>
      <c r="X36" s="138"/>
      <c r="Y36" s="138"/>
      <c r="Z36" s="210">
        <f t="shared" si="1"/>
        <v>0</v>
      </c>
      <c r="AA36" s="142" t="str">
        <f t="shared" si="2"/>
        <v/>
      </c>
      <c r="AB36" s="140"/>
      <c r="AC36" s="138"/>
      <c r="AD36" s="142" t="str">
        <f t="shared" si="3"/>
        <v/>
      </c>
      <c r="AE36" s="141">
        <f t="shared" si="4"/>
        <v>0</v>
      </c>
      <c r="AF36" s="138"/>
      <c r="AG36" s="142" t="str">
        <f t="shared" si="5"/>
        <v/>
      </c>
      <c r="AH36" s="141">
        <f t="shared" si="6"/>
        <v>0</v>
      </c>
      <c r="AI36" s="462">
        <f t="shared" si="7"/>
        <v>0</v>
      </c>
      <c r="AJ36" s="463">
        <f t="shared" si="8"/>
        <v>0</v>
      </c>
      <c r="AK36" s="464">
        <f t="shared" si="9"/>
        <v>0</v>
      </c>
      <c r="AL36" s="465">
        <f t="shared" si="10"/>
        <v>0</v>
      </c>
      <c r="AM36" s="466">
        <f t="shared" si="11"/>
        <v>0</v>
      </c>
      <c r="AN36" s="11"/>
      <c r="AO36" s="11"/>
      <c r="AP36" s="11"/>
    </row>
    <row r="37" spans="1:42" x14ac:dyDescent="0.25">
      <c r="A37" s="11" t="s">
        <v>105</v>
      </c>
      <c r="B37" s="11"/>
      <c r="C37" s="104" t="s">
        <v>101</v>
      </c>
      <c r="D37" s="11" t="s">
        <v>106</v>
      </c>
      <c r="E37" s="11"/>
      <c r="F37" s="11" t="s">
        <v>98</v>
      </c>
      <c r="G37" s="88" t="s">
        <v>386</v>
      </c>
      <c r="H37" s="88" t="s">
        <v>280</v>
      </c>
      <c r="I37" s="122" t="str">
        <f>IF(_epmOfflineCondition_,"7",_xll.EVPRO($B$1,$G37,"HLEVEL"))</f>
        <v>7</v>
      </c>
      <c r="J37" s="122" t="str">
        <f>IF(_epmOfflineCondition_,"Y",_xll.EVPRO($B$1,$H37,"CALC"))</f>
        <v>Y</v>
      </c>
      <c r="K37" s="179" t="str">
        <f t="shared" si="0"/>
        <v/>
      </c>
      <c r="L37" s="90"/>
      <c r="M37" s="90" t="str">
        <f>IF(_epmOfflineCondition_,"Retail Shop",IF(_xll.EVDES(G37,$B$1)="#NODATA","",_xll.EVDES(G37,$B$1)))</f>
        <v>Retail Shop</v>
      </c>
      <c r="N37" s="138"/>
      <c r="O37" s="138"/>
      <c r="P37" s="138"/>
      <c r="Q37" s="138"/>
      <c r="R37" s="138"/>
      <c r="S37" s="138"/>
      <c r="T37" s="138"/>
      <c r="U37" s="138"/>
      <c r="V37" s="138"/>
      <c r="W37" s="138"/>
      <c r="X37" s="138"/>
      <c r="Y37" s="138"/>
      <c r="Z37" s="210">
        <f t="shared" si="1"/>
        <v>0</v>
      </c>
      <c r="AA37" s="142" t="str">
        <f t="shared" si="2"/>
        <v/>
      </c>
      <c r="AB37" s="140"/>
      <c r="AC37" s="138"/>
      <c r="AD37" s="142" t="str">
        <f t="shared" si="3"/>
        <v/>
      </c>
      <c r="AE37" s="141">
        <f t="shared" si="4"/>
        <v>0</v>
      </c>
      <c r="AF37" s="138"/>
      <c r="AG37" s="142" t="str">
        <f t="shared" si="5"/>
        <v/>
      </c>
      <c r="AH37" s="141">
        <f t="shared" si="6"/>
        <v>0</v>
      </c>
      <c r="AI37" s="462">
        <f t="shared" si="7"/>
        <v>0</v>
      </c>
      <c r="AJ37" s="463">
        <f t="shared" si="8"/>
        <v>0</v>
      </c>
      <c r="AK37" s="464">
        <f t="shared" si="9"/>
        <v>0</v>
      </c>
      <c r="AL37" s="465">
        <f t="shared" si="10"/>
        <v>0</v>
      </c>
      <c r="AM37" s="466">
        <f t="shared" si="11"/>
        <v>0</v>
      </c>
      <c r="AN37" s="11"/>
      <c r="AO37" s="11"/>
      <c r="AP37" s="11"/>
    </row>
    <row r="38" spans="1:42" x14ac:dyDescent="0.25">
      <c r="A38" s="11" t="s">
        <v>465</v>
      </c>
      <c r="B38" s="11"/>
      <c r="C38" s="104" t="s">
        <v>101</v>
      </c>
      <c r="D38" s="11" t="s">
        <v>106</v>
      </c>
      <c r="E38" s="11"/>
      <c r="F38" s="11" t="s">
        <v>98</v>
      </c>
      <c r="G38" s="88" t="s">
        <v>406</v>
      </c>
      <c r="H38" s="88" t="s">
        <v>280</v>
      </c>
      <c r="I38" s="122" t="str">
        <f>IF(_epmOfflineCondition_,"6",_xll.EVPRO($B$1,$G38,"HLEVEL"))</f>
        <v>6</v>
      </c>
      <c r="J38" s="122" t="str">
        <f>IF(_epmOfflineCondition_,"Y",_xll.EVPRO($B$1,$H38,"CALC"))</f>
        <v>Y</v>
      </c>
      <c r="K38" s="179" t="str">
        <f t="shared" si="0"/>
        <v/>
      </c>
      <c r="L38" s="90"/>
      <c r="M38" s="90" t="str">
        <f>IF(_epmOfflineCondition_,"Food &amp; Beverage Retail Shop",IF(_xll.EVDES(G38,$B$1)="#NODATA","",_xll.EVDES(G38,$B$1)))</f>
        <v>Food &amp; Beverage Retail Shop</v>
      </c>
      <c r="N38" s="138"/>
      <c r="O38" s="138"/>
      <c r="P38" s="138"/>
      <c r="Q38" s="138"/>
      <c r="R38" s="138"/>
      <c r="S38" s="138"/>
      <c r="T38" s="138"/>
      <c r="U38" s="138"/>
      <c r="V38" s="138"/>
      <c r="W38" s="138"/>
      <c r="X38" s="138"/>
      <c r="Y38" s="138"/>
      <c r="Z38" s="210">
        <f t="shared" si="1"/>
        <v>0</v>
      </c>
      <c r="AA38" s="142" t="str">
        <f t="shared" si="2"/>
        <v/>
      </c>
      <c r="AB38" s="140"/>
      <c r="AC38" s="138"/>
      <c r="AD38" s="142" t="str">
        <f t="shared" si="3"/>
        <v/>
      </c>
      <c r="AE38" s="141">
        <f t="shared" si="4"/>
        <v>0</v>
      </c>
      <c r="AF38" s="138"/>
      <c r="AG38" s="142" t="str">
        <f t="shared" si="5"/>
        <v/>
      </c>
      <c r="AH38" s="141">
        <f t="shared" si="6"/>
        <v>0</v>
      </c>
      <c r="AI38" s="462">
        <f t="shared" si="7"/>
        <v>0</v>
      </c>
      <c r="AJ38" s="463">
        <f t="shared" si="8"/>
        <v>0</v>
      </c>
      <c r="AK38" s="464">
        <f t="shared" si="9"/>
        <v>0</v>
      </c>
      <c r="AL38" s="465">
        <f t="shared" si="10"/>
        <v>0</v>
      </c>
      <c r="AM38" s="466">
        <f t="shared" si="11"/>
        <v>0</v>
      </c>
      <c r="AN38" s="11"/>
      <c r="AO38" s="11"/>
      <c r="AP38" s="11"/>
    </row>
    <row r="39" spans="1:42" x14ac:dyDescent="0.25">
      <c r="A39" s="11" t="s">
        <v>466</v>
      </c>
      <c r="B39" s="11"/>
      <c r="C39" s="53" t="s">
        <v>101</v>
      </c>
      <c r="D39" s="11" t="s">
        <v>106</v>
      </c>
      <c r="E39" s="11"/>
      <c r="F39" s="11" t="s">
        <v>98</v>
      </c>
      <c r="G39" s="88" t="s">
        <v>423</v>
      </c>
      <c r="H39" s="88" t="s">
        <v>280</v>
      </c>
      <c r="I39" s="122" t="str">
        <f>IF(_epmOfflineCondition_,"7",_xll.EVPRO($B$1,$G39,"HLEVEL"))</f>
        <v>7</v>
      </c>
      <c r="J39" s="122" t="str">
        <f>IF(_epmOfflineCondition_,"Y",_xll.EVPRO($B$1,$H39,"CALC"))</f>
        <v>Y</v>
      </c>
      <c r="K39" s="179" t="str">
        <f t="shared" si="0"/>
        <v/>
      </c>
      <c r="L39" s="90"/>
      <c r="M39" s="90" t="str">
        <f>IF(_epmOfflineCondition_,"Minor Operated Departments",IF(_xll.EVDES(G39,$B$1)="#NODATA","",_xll.EVDES(G39,$B$1)))</f>
        <v>Minor Operated Departments</v>
      </c>
      <c r="N39" s="138">
        <v>1627.99</v>
      </c>
      <c r="O39" s="138">
        <v>2405.7399999999998</v>
      </c>
      <c r="P39" s="138">
        <v>3553.93</v>
      </c>
      <c r="Q39" s="138">
        <v>3896.8</v>
      </c>
      <c r="R39" s="138">
        <v>2556.13</v>
      </c>
      <c r="S39" s="138">
        <v>1693.33</v>
      </c>
      <c r="T39" s="138">
        <v>1428.96</v>
      </c>
      <c r="U39" s="138">
        <v>2055.02</v>
      </c>
      <c r="V39" s="138">
        <v>688.75</v>
      </c>
      <c r="W39" s="138">
        <v>2507.38</v>
      </c>
      <c r="X39" s="138">
        <v>3265.13</v>
      </c>
      <c r="Y39" s="138">
        <v>2287.2600000000002</v>
      </c>
      <c r="Z39" s="210">
        <f t="shared" si="1"/>
        <v>27966.420000000006</v>
      </c>
      <c r="AA39" s="142">
        <f t="shared" si="2"/>
        <v>1</v>
      </c>
      <c r="AB39" s="140"/>
      <c r="AC39" s="138">
        <v>17174.080000000002</v>
      </c>
      <c r="AD39" s="142">
        <f t="shared" si="3"/>
        <v>1</v>
      </c>
      <c r="AE39" s="141">
        <f t="shared" si="4"/>
        <v>10792.340000000004</v>
      </c>
      <c r="AF39" s="138">
        <v>19581.849999999999</v>
      </c>
      <c r="AG39" s="142">
        <f t="shared" si="5"/>
        <v>1</v>
      </c>
      <c r="AH39" s="141">
        <f t="shared" si="6"/>
        <v>8384.570000000007</v>
      </c>
      <c r="AI39" s="462">
        <f t="shared" si="7"/>
        <v>0.67692356102047746</v>
      </c>
      <c r="AJ39" s="463">
        <f t="shared" si="8"/>
        <v>0.44000000000000006</v>
      </c>
      <c r="AK39" s="464">
        <f t="shared" si="9"/>
        <v>0.4868805788309008</v>
      </c>
      <c r="AL39" s="465" t="str">
        <f t="shared" si="10"/>
        <v>0 pts.</v>
      </c>
      <c r="AM39" s="466" t="str">
        <f t="shared" si="11"/>
        <v>0 pts.</v>
      </c>
      <c r="AN39" s="11"/>
      <c r="AO39" s="11"/>
      <c r="AP39" s="11"/>
    </row>
    <row r="40" spans="1:42" x14ac:dyDescent="0.25">
      <c r="A40" s="11" t="s">
        <v>466</v>
      </c>
      <c r="B40" s="11"/>
      <c r="C40" s="196" t="s">
        <v>101</v>
      </c>
      <c r="D40" s="11" t="s">
        <v>107</v>
      </c>
      <c r="E40" s="11"/>
      <c r="F40" s="11" t="s">
        <v>99</v>
      </c>
      <c r="G40" s="11"/>
      <c r="H40" s="604" t="s">
        <v>69</v>
      </c>
      <c r="I40" s="179"/>
      <c r="J40" s="179"/>
      <c r="K40" s="179"/>
      <c r="L40" s="90"/>
      <c r="M40" s="106" t="s">
        <v>470</v>
      </c>
      <c r="N40" s="123">
        <f t="shared" ref="N40:Y40" si="12">SUM(N34:N39)</f>
        <v>1627.99</v>
      </c>
      <c r="O40" s="123">
        <f t="shared" si="12"/>
        <v>2405.7399999999998</v>
      </c>
      <c r="P40" s="123">
        <f t="shared" si="12"/>
        <v>3553.93</v>
      </c>
      <c r="Q40" s="123">
        <f t="shared" si="12"/>
        <v>3896.8</v>
      </c>
      <c r="R40" s="123">
        <f t="shared" si="12"/>
        <v>2556.13</v>
      </c>
      <c r="S40" s="123">
        <f t="shared" si="12"/>
        <v>1693.33</v>
      </c>
      <c r="T40" s="123">
        <f t="shared" si="12"/>
        <v>1428.96</v>
      </c>
      <c r="U40" s="123">
        <f t="shared" si="12"/>
        <v>2055.02</v>
      </c>
      <c r="V40" s="123">
        <f t="shared" si="12"/>
        <v>688.75</v>
      </c>
      <c r="W40" s="123">
        <f t="shared" si="12"/>
        <v>2507.38</v>
      </c>
      <c r="X40" s="123">
        <f t="shared" si="12"/>
        <v>3265.13</v>
      </c>
      <c r="Y40" s="123">
        <f t="shared" si="12"/>
        <v>2287.2600000000002</v>
      </c>
      <c r="Z40" s="123">
        <f t="shared" si="1"/>
        <v>27966.420000000006</v>
      </c>
      <c r="AA40" s="124">
        <f t="shared" si="2"/>
        <v>1</v>
      </c>
      <c r="AB40" s="11"/>
      <c r="AC40" s="123">
        <f>SUM(AC34:AC39)</f>
        <v>17174.080000000002</v>
      </c>
      <c r="AD40" s="124">
        <f t="shared" si="3"/>
        <v>1</v>
      </c>
      <c r="AE40" s="125">
        <f t="shared" si="4"/>
        <v>10792.340000000004</v>
      </c>
      <c r="AF40" s="123">
        <f>SUM(AF34:AF39)</f>
        <v>19581.849999999999</v>
      </c>
      <c r="AG40" s="124">
        <f t="shared" si="5"/>
        <v>1</v>
      </c>
      <c r="AH40" s="125">
        <f t="shared" si="6"/>
        <v>8384.570000000007</v>
      </c>
      <c r="AI40" s="388">
        <f t="shared" si="7"/>
        <v>0.67692356102047746</v>
      </c>
      <c r="AJ40" s="389">
        <f t="shared" si="8"/>
        <v>0.44000000000000006</v>
      </c>
      <c r="AK40" s="390">
        <f t="shared" si="9"/>
        <v>0.4868805788309008</v>
      </c>
      <c r="AL40" s="391" t="str">
        <f t="shared" si="10"/>
        <v>0 pts.</v>
      </c>
      <c r="AM40" s="544" t="str">
        <f t="shared" si="11"/>
        <v>0 pts.</v>
      </c>
      <c r="AN40" s="11"/>
      <c r="AO40" s="11"/>
      <c r="AP40" s="11"/>
    </row>
    <row r="41" spans="1:42" x14ac:dyDescent="0.25">
      <c r="A41" s="11"/>
      <c r="B41" s="11"/>
      <c r="C41" s="11"/>
      <c r="D41" s="11"/>
      <c r="E41" s="11"/>
      <c r="F41" s="11"/>
      <c r="G41" s="106"/>
      <c r="H41" s="106"/>
      <c r="I41" s="106"/>
      <c r="J41" s="106"/>
      <c r="K41" s="106"/>
      <c r="L41" s="106"/>
      <c r="M41" s="106"/>
      <c r="N41" s="203"/>
      <c r="O41" s="204"/>
      <c r="P41" s="204"/>
      <c r="Q41" s="204"/>
      <c r="R41" s="204"/>
      <c r="S41" s="204"/>
      <c r="T41" s="204"/>
      <c r="U41" s="204"/>
      <c r="V41" s="204"/>
      <c r="W41" s="204"/>
      <c r="X41" s="204"/>
      <c r="Y41" s="204"/>
      <c r="Z41" s="204"/>
      <c r="AA41" s="118"/>
      <c r="AB41" s="11"/>
      <c r="AC41" s="203"/>
      <c r="AD41" s="204"/>
      <c r="AE41" s="118"/>
      <c r="AF41" s="203"/>
      <c r="AG41" s="204"/>
      <c r="AH41" s="118"/>
      <c r="AI41" s="11"/>
      <c r="AJ41" s="11"/>
      <c r="AK41" s="11"/>
      <c r="AL41" s="11"/>
      <c r="AM41" s="11"/>
      <c r="AN41" s="11"/>
      <c r="AO41" s="11"/>
      <c r="AP41" s="11"/>
    </row>
    <row r="42" spans="1:42" x14ac:dyDescent="0.25">
      <c r="A42" s="11"/>
      <c r="B42" s="11"/>
      <c r="C42" s="11"/>
      <c r="D42" s="11"/>
      <c r="E42" s="11"/>
      <c r="F42" s="11"/>
      <c r="G42" s="11"/>
      <c r="H42" s="11" t="s">
        <v>464</v>
      </c>
      <c r="I42" s="59" t="str">
        <f>IF(_epmOfflineCondition_,"T3",_xll.EVPRO($B$1,$H42,"STYLE"))</f>
        <v>T3</v>
      </c>
      <c r="J42" s="59" t="str">
        <f>IF(_epmOfflineCondition_,"Y",_xll.EVPRO($B$1,$H42,"CALC"))</f>
        <v>Y</v>
      </c>
      <c r="K42" s="11"/>
      <c r="L42" s="11"/>
      <c r="M42" s="105" t="str">
        <f>IF(_epmOfflineCondition_,"Departmental Expenses (Incl COS)",IF(_xll.EVDES(H42,$B$1)="#NODATA","",_xll.EVDES(H42,$B$1)))</f>
        <v>Departmental Expenses (Incl COS)</v>
      </c>
      <c r="N42" s="203"/>
      <c r="O42" s="204"/>
      <c r="P42" s="204"/>
      <c r="Q42" s="204"/>
      <c r="R42" s="204"/>
      <c r="S42" s="204"/>
      <c r="T42" s="204"/>
      <c r="U42" s="204"/>
      <c r="V42" s="204"/>
      <c r="W42" s="204"/>
      <c r="X42" s="204"/>
      <c r="Y42" s="204"/>
      <c r="Z42" s="204"/>
      <c r="AA42" s="118"/>
      <c r="AB42" s="11"/>
      <c r="AC42" s="203"/>
      <c r="AD42" s="204"/>
      <c r="AE42" s="118"/>
      <c r="AF42" s="203"/>
      <c r="AG42" s="204"/>
      <c r="AH42" s="118"/>
      <c r="AI42" s="11"/>
      <c r="AJ42" s="11"/>
      <c r="AK42" s="11"/>
      <c r="AL42" s="11"/>
      <c r="AM42" s="11"/>
      <c r="AN42" s="11"/>
      <c r="AO42" s="11"/>
      <c r="AP42" s="11"/>
    </row>
    <row r="43" spans="1:42" x14ac:dyDescent="0.25">
      <c r="A43" s="62" t="s">
        <v>23</v>
      </c>
      <c r="B43" s="63" t="s">
        <v>24</v>
      </c>
      <c r="C43" s="11"/>
      <c r="D43" s="11"/>
      <c r="E43" s="11"/>
      <c r="F43" s="11"/>
      <c r="G43" s="88" t="s">
        <v>365</v>
      </c>
      <c r="H43" s="88" t="s">
        <v>464</v>
      </c>
      <c r="I43" s="122" t="str">
        <f>IF(_epmOfflineCondition_,"7",_xll.EVPRO($B$1,$G43,"HLEVEL"))</f>
        <v>7</v>
      </c>
      <c r="J43" s="122" t="str">
        <f>IF(_epmOfflineCondition_,"Y",_xll.EVPRO($B$1,$H43,"CALC"))</f>
        <v>Y</v>
      </c>
      <c r="K43" s="90"/>
      <c r="L43" s="90"/>
      <c r="M43" s="90" t="str">
        <f>IF(_epmOfflineCondition_,"Guest Communications",IF(_xll.EVDES(G43,$B$1)="#NODATA","",_xll.EVDES(G43,$B$1)))</f>
        <v>Guest Communications</v>
      </c>
      <c r="N43" s="138"/>
      <c r="O43" s="138"/>
      <c r="P43" s="138"/>
      <c r="Q43" s="138"/>
      <c r="R43" s="138"/>
      <c r="S43" s="138"/>
      <c r="T43" s="138"/>
      <c r="U43" s="138"/>
      <c r="V43" s="138"/>
      <c r="W43" s="138"/>
      <c r="X43" s="138"/>
      <c r="Y43" s="138"/>
      <c r="Z43" s="210">
        <f t="shared" ref="Z43:Z49" si="13">IF($I43="B1","",SUM(N43:Y43))</f>
        <v>0</v>
      </c>
      <c r="AA43" s="142" t="str">
        <f t="shared" ref="AA43:AA49" si="14">IF(Z43=0,"",IFERROR(Z43/Z34,""))</f>
        <v/>
      </c>
      <c r="AB43" s="140"/>
      <c r="AC43" s="138"/>
      <c r="AD43" s="142" t="str">
        <f t="shared" ref="AD43:AD49" si="15">IF(AC43=0,"",IFERROR(AC43/AC34,""))</f>
        <v/>
      </c>
      <c r="AE43" s="141">
        <f t="shared" ref="AE43:AE49" si="16">IF(AND($Z43="",AC43=""),"",$Z43-AC43)</f>
        <v>0</v>
      </c>
      <c r="AF43" s="138"/>
      <c r="AG43" s="142" t="str">
        <f t="shared" ref="AG43:AG49" si="17">IF(AF43=0,"",IFERROR(AF43/AF34,""))</f>
        <v/>
      </c>
      <c r="AH43" s="141">
        <f t="shared" ref="AH43:AH49" si="18">IF(AND($Z43="",AF43=""),"",$Z43-AF43)</f>
        <v>0</v>
      </c>
      <c r="AI43" s="462">
        <f t="shared" ref="AI43:AI49" si="19">IFERROR(Z43/Z$20,0)</f>
        <v>0</v>
      </c>
      <c r="AJ43" s="463">
        <f t="shared" ref="AJ43:AJ49" si="20">IFERROR(AC43/AC$20,0)</f>
        <v>0</v>
      </c>
      <c r="AK43" s="464">
        <f t="shared" ref="AK43:AK49" si="21">IFERROR(AF43/AF$20,0)</f>
        <v>0</v>
      </c>
      <c r="AL43" s="465">
        <f t="shared" ref="AL43:AL49" si="22">+IFERROR(ROUND(($AA43-AD43)*100,2)&amp;" pts.",0)</f>
        <v>0</v>
      </c>
      <c r="AM43" s="466">
        <f t="shared" ref="AM43:AM49" si="23">+IFERROR(ROUND(($AA43-AG43)*100,2)&amp;" pts.",0)</f>
        <v>0</v>
      </c>
      <c r="AN43" s="11"/>
      <c r="AO43" s="11"/>
      <c r="AP43" s="11"/>
    </row>
    <row r="44" spans="1:42" x14ac:dyDescent="0.25">
      <c r="A44" s="65" t="s">
        <v>25</v>
      </c>
      <c r="B44" s="66"/>
      <c r="C44" s="11"/>
      <c r="D44" s="11"/>
      <c r="E44" s="11"/>
      <c r="F44" s="11"/>
      <c r="G44" s="88" t="s">
        <v>366</v>
      </c>
      <c r="H44" s="88" t="s">
        <v>464</v>
      </c>
      <c r="I44" s="122" t="str">
        <f>IF(_epmOfflineCondition_,"7",_xll.EVPRO($B$1,$G44,"HLEVEL"))</f>
        <v>7</v>
      </c>
      <c r="J44" s="122" t="str">
        <f>IF(_epmOfflineCondition_,"Y",_xll.EVPRO($B$1,$H44,"CALC"))</f>
        <v>Y</v>
      </c>
      <c r="K44" s="90"/>
      <c r="L44" s="90"/>
      <c r="M44" s="90" t="str">
        <f>IF(_epmOfflineCondition_,"Health Club/Spa",IF(_xll.EVDES(G44,$B$1)="#NODATA","",_xll.EVDES(G44,$B$1)))</f>
        <v>Health Club/Spa</v>
      </c>
      <c r="N44" s="138"/>
      <c r="O44" s="138"/>
      <c r="P44" s="138"/>
      <c r="Q44" s="138"/>
      <c r="R44" s="138"/>
      <c r="S44" s="138"/>
      <c r="T44" s="138"/>
      <c r="U44" s="138"/>
      <c r="V44" s="138"/>
      <c r="W44" s="138"/>
      <c r="X44" s="138"/>
      <c r="Y44" s="138"/>
      <c r="Z44" s="210">
        <f t="shared" si="13"/>
        <v>0</v>
      </c>
      <c r="AA44" s="142" t="str">
        <f t="shared" si="14"/>
        <v/>
      </c>
      <c r="AB44" s="140"/>
      <c r="AC44" s="138"/>
      <c r="AD44" s="142" t="str">
        <f t="shared" si="15"/>
        <v/>
      </c>
      <c r="AE44" s="141">
        <f t="shared" si="16"/>
        <v>0</v>
      </c>
      <c r="AF44" s="138"/>
      <c r="AG44" s="142" t="str">
        <f t="shared" si="17"/>
        <v/>
      </c>
      <c r="AH44" s="141">
        <f t="shared" si="18"/>
        <v>0</v>
      </c>
      <c r="AI44" s="462">
        <f t="shared" si="19"/>
        <v>0</v>
      </c>
      <c r="AJ44" s="463">
        <f t="shared" si="20"/>
        <v>0</v>
      </c>
      <c r="AK44" s="464">
        <f t="shared" si="21"/>
        <v>0</v>
      </c>
      <c r="AL44" s="465">
        <f t="shared" si="22"/>
        <v>0</v>
      </c>
      <c r="AM44" s="466">
        <f t="shared" si="23"/>
        <v>0</v>
      </c>
      <c r="AN44" s="11"/>
      <c r="AO44" s="11"/>
      <c r="AP44" s="11"/>
    </row>
    <row r="45" spans="1:42" x14ac:dyDescent="0.25">
      <c r="A45" s="65" t="s">
        <v>26</v>
      </c>
      <c r="B45" s="66"/>
      <c r="C45" s="11"/>
      <c r="D45" s="11"/>
      <c r="E45" s="11"/>
      <c r="F45" s="11"/>
      <c r="G45" s="88" t="s">
        <v>380</v>
      </c>
      <c r="H45" s="88" t="s">
        <v>464</v>
      </c>
      <c r="I45" s="122" t="str">
        <f>IF(_epmOfflineCondition_,"7",_xll.EVPRO($B$1,$G45,"HLEVEL"))</f>
        <v>7</v>
      </c>
      <c r="J45" s="122" t="str">
        <f>IF(_epmOfflineCondition_,"Y",_xll.EVPRO($B$1,$H45,"CALC"))</f>
        <v>Y</v>
      </c>
      <c r="K45" s="90"/>
      <c r="L45" s="90"/>
      <c r="M45" s="90" t="str">
        <f>IF(_epmOfflineCondition_,"Parking",IF(_xll.EVDES(G45,$B$1)="#NODATA","",_xll.EVDES(G45,$B$1)))</f>
        <v>Parking</v>
      </c>
      <c r="N45" s="138"/>
      <c r="O45" s="138"/>
      <c r="P45" s="138"/>
      <c r="Q45" s="138"/>
      <c r="R45" s="138"/>
      <c r="S45" s="138"/>
      <c r="T45" s="138"/>
      <c r="U45" s="138"/>
      <c r="V45" s="138"/>
      <c r="W45" s="138"/>
      <c r="X45" s="138"/>
      <c r="Y45" s="138"/>
      <c r="Z45" s="210">
        <f t="shared" si="13"/>
        <v>0</v>
      </c>
      <c r="AA45" s="142" t="str">
        <f t="shared" si="14"/>
        <v/>
      </c>
      <c r="AB45" s="140"/>
      <c r="AC45" s="138"/>
      <c r="AD45" s="142" t="str">
        <f t="shared" si="15"/>
        <v/>
      </c>
      <c r="AE45" s="141">
        <f t="shared" si="16"/>
        <v>0</v>
      </c>
      <c r="AF45" s="138"/>
      <c r="AG45" s="142" t="str">
        <f t="shared" si="17"/>
        <v/>
      </c>
      <c r="AH45" s="141">
        <f t="shared" si="18"/>
        <v>0</v>
      </c>
      <c r="AI45" s="462">
        <f t="shared" si="19"/>
        <v>0</v>
      </c>
      <c r="AJ45" s="463">
        <f t="shared" si="20"/>
        <v>0</v>
      </c>
      <c r="AK45" s="464">
        <f t="shared" si="21"/>
        <v>0</v>
      </c>
      <c r="AL45" s="465">
        <f t="shared" si="22"/>
        <v>0</v>
      </c>
      <c r="AM45" s="466">
        <f t="shared" si="23"/>
        <v>0</v>
      </c>
      <c r="AN45" s="11"/>
      <c r="AO45" s="11"/>
      <c r="AP45" s="11"/>
    </row>
    <row r="46" spans="1:42" x14ac:dyDescent="0.25">
      <c r="A46" s="65" t="s">
        <v>27</v>
      </c>
      <c r="B46" s="66"/>
      <c r="C46" s="11"/>
      <c r="D46" s="11"/>
      <c r="E46" s="11"/>
      <c r="F46" s="11"/>
      <c r="G46" s="88" t="s">
        <v>386</v>
      </c>
      <c r="H46" s="88" t="s">
        <v>464</v>
      </c>
      <c r="I46" s="122" t="str">
        <f>IF(_epmOfflineCondition_,"7",_xll.EVPRO($B$1,$G46,"HLEVEL"))</f>
        <v>7</v>
      </c>
      <c r="J46" s="122" t="str">
        <f>IF(_epmOfflineCondition_,"Y",_xll.EVPRO($B$1,$H46,"CALC"))</f>
        <v>Y</v>
      </c>
      <c r="K46" s="90"/>
      <c r="L46" s="90"/>
      <c r="M46" s="90" t="str">
        <f>IF(_epmOfflineCondition_,"Retail Shop",IF(_xll.EVDES(G46,$B$1)="#NODATA","",_xll.EVDES(G46,$B$1)))</f>
        <v>Retail Shop</v>
      </c>
      <c r="N46" s="138"/>
      <c r="O46" s="138"/>
      <c r="P46" s="138"/>
      <c r="Q46" s="138"/>
      <c r="R46" s="138"/>
      <c r="S46" s="138"/>
      <c r="T46" s="138"/>
      <c r="U46" s="138"/>
      <c r="V46" s="138"/>
      <c r="W46" s="138"/>
      <c r="X46" s="138"/>
      <c r="Y46" s="138"/>
      <c r="Z46" s="210">
        <f t="shared" si="13"/>
        <v>0</v>
      </c>
      <c r="AA46" s="142" t="str">
        <f t="shared" si="14"/>
        <v/>
      </c>
      <c r="AB46" s="140"/>
      <c r="AC46" s="138"/>
      <c r="AD46" s="142" t="str">
        <f t="shared" si="15"/>
        <v/>
      </c>
      <c r="AE46" s="141">
        <f t="shared" si="16"/>
        <v>0</v>
      </c>
      <c r="AF46" s="138"/>
      <c r="AG46" s="142" t="str">
        <f t="shared" si="17"/>
        <v/>
      </c>
      <c r="AH46" s="141">
        <f t="shared" si="18"/>
        <v>0</v>
      </c>
      <c r="AI46" s="462">
        <f t="shared" si="19"/>
        <v>0</v>
      </c>
      <c r="AJ46" s="463">
        <f t="shared" si="20"/>
        <v>0</v>
      </c>
      <c r="AK46" s="464">
        <f t="shared" si="21"/>
        <v>0</v>
      </c>
      <c r="AL46" s="465">
        <f t="shared" si="22"/>
        <v>0</v>
      </c>
      <c r="AM46" s="466">
        <f t="shared" si="23"/>
        <v>0</v>
      </c>
      <c r="AN46" s="11"/>
      <c r="AO46" s="11"/>
      <c r="AP46" s="11"/>
    </row>
    <row r="47" spans="1:42" x14ac:dyDescent="0.25">
      <c r="A47" s="65" t="s">
        <v>28</v>
      </c>
      <c r="B47" s="66"/>
      <c r="C47" s="11"/>
      <c r="D47" s="11"/>
      <c r="E47" s="11"/>
      <c r="F47" s="11"/>
      <c r="G47" s="88" t="s">
        <v>406</v>
      </c>
      <c r="H47" s="88" t="s">
        <v>464</v>
      </c>
      <c r="I47" s="122" t="str">
        <f>IF(_epmOfflineCondition_,"6",_xll.EVPRO($B$1,$G47,"HLEVEL"))</f>
        <v>6</v>
      </c>
      <c r="J47" s="122" t="str">
        <f>IF(_epmOfflineCondition_,"Y",_xll.EVPRO($B$1,$H47,"CALC"))</f>
        <v>Y</v>
      </c>
      <c r="K47" s="90"/>
      <c r="L47" s="90"/>
      <c r="M47" s="90" t="str">
        <f>IF(_epmOfflineCondition_,"Food &amp; Beverage Retail Shop",IF(_xll.EVDES(G47,$B$1)="#NODATA","",_xll.EVDES(G47,$B$1)))</f>
        <v>Food &amp; Beverage Retail Shop</v>
      </c>
      <c r="N47" s="138"/>
      <c r="O47" s="138"/>
      <c r="P47" s="138"/>
      <c r="Q47" s="138"/>
      <c r="R47" s="138"/>
      <c r="S47" s="138"/>
      <c r="T47" s="138"/>
      <c r="U47" s="138"/>
      <c r="V47" s="138"/>
      <c r="W47" s="138"/>
      <c r="X47" s="138"/>
      <c r="Y47" s="138"/>
      <c r="Z47" s="210">
        <f t="shared" si="13"/>
        <v>0</v>
      </c>
      <c r="AA47" s="142" t="str">
        <f t="shared" si="14"/>
        <v/>
      </c>
      <c r="AB47" s="140"/>
      <c r="AC47" s="138"/>
      <c r="AD47" s="142" t="str">
        <f t="shared" si="15"/>
        <v/>
      </c>
      <c r="AE47" s="141">
        <f t="shared" si="16"/>
        <v>0</v>
      </c>
      <c r="AF47" s="138"/>
      <c r="AG47" s="142" t="str">
        <f t="shared" si="17"/>
        <v/>
      </c>
      <c r="AH47" s="141">
        <f t="shared" si="18"/>
        <v>0</v>
      </c>
      <c r="AI47" s="462">
        <f t="shared" si="19"/>
        <v>0</v>
      </c>
      <c r="AJ47" s="463">
        <f t="shared" si="20"/>
        <v>0</v>
      </c>
      <c r="AK47" s="464">
        <f t="shared" si="21"/>
        <v>0</v>
      </c>
      <c r="AL47" s="465">
        <f t="shared" si="22"/>
        <v>0</v>
      </c>
      <c r="AM47" s="466">
        <f t="shared" si="23"/>
        <v>0</v>
      </c>
      <c r="AN47" s="11"/>
      <c r="AO47" s="11"/>
      <c r="AP47" s="11"/>
    </row>
    <row r="48" spans="1:42" x14ac:dyDescent="0.25">
      <c r="A48" s="65" t="s">
        <v>29</v>
      </c>
      <c r="B48" s="66"/>
      <c r="C48" s="11"/>
      <c r="D48" s="11"/>
      <c r="E48" s="11"/>
      <c r="F48" s="11"/>
      <c r="G48" s="88" t="s">
        <v>423</v>
      </c>
      <c r="H48" s="88" t="s">
        <v>464</v>
      </c>
      <c r="I48" s="122" t="str">
        <f>IF(_epmOfflineCondition_,"7",_xll.EVPRO($B$1,$G48,"HLEVEL"))</f>
        <v>7</v>
      </c>
      <c r="J48" s="122" t="str">
        <f>IF(_epmOfflineCondition_,"Y",_xll.EVPRO($B$1,$H48,"CALC"))</f>
        <v>Y</v>
      </c>
      <c r="K48" s="90"/>
      <c r="L48" s="90"/>
      <c r="M48" s="90" t="str">
        <f>IF(_epmOfflineCondition_,"Minor Operated Departments",IF(_xll.EVDES(G48,$B$1)="#NODATA","",_xll.EVDES(G48,$B$1)))</f>
        <v>Minor Operated Departments</v>
      </c>
      <c r="N48" s="138">
        <v>47.08</v>
      </c>
      <c r="O48" s="138">
        <v>972.28</v>
      </c>
      <c r="P48" s="138">
        <v>900.28</v>
      </c>
      <c r="Q48" s="138">
        <v>1626.9</v>
      </c>
      <c r="R48" s="138">
        <v>1457.11</v>
      </c>
      <c r="S48" s="138">
        <v>522.07000000000005</v>
      </c>
      <c r="T48" s="138">
        <v>528.16</v>
      </c>
      <c r="U48" s="138">
        <v>736.46</v>
      </c>
      <c r="V48" s="138">
        <v>121</v>
      </c>
      <c r="W48" s="138">
        <v>1209.17</v>
      </c>
      <c r="X48" s="138">
        <v>1649.11</v>
      </c>
      <c r="Y48" s="138">
        <v>1629.66</v>
      </c>
      <c r="Z48" s="210">
        <f t="shared" si="13"/>
        <v>11399.279999999999</v>
      </c>
      <c r="AA48" s="142">
        <f t="shared" si="14"/>
        <v>0.40760597888467659</v>
      </c>
      <c r="AB48" s="140"/>
      <c r="AC48" s="138">
        <v>6746.6812</v>
      </c>
      <c r="AD48" s="142">
        <f t="shared" si="15"/>
        <v>0.39284090909090907</v>
      </c>
      <c r="AE48" s="141">
        <f t="shared" si="16"/>
        <v>4652.5987999999988</v>
      </c>
      <c r="AF48" s="138">
        <v>9085.0499999999993</v>
      </c>
      <c r="AG48" s="142">
        <f t="shared" si="17"/>
        <v>0.46395258874927547</v>
      </c>
      <c r="AH48" s="141">
        <f t="shared" si="18"/>
        <v>2314.2299999999996</v>
      </c>
      <c r="AI48" s="462">
        <f t="shared" si="19"/>
        <v>0.27591809071985279</v>
      </c>
      <c r="AJ48" s="463">
        <f t="shared" si="20"/>
        <v>0.17285</v>
      </c>
      <c r="AK48" s="464">
        <f t="shared" si="21"/>
        <v>0.2258895049603421</v>
      </c>
      <c r="AL48" s="465" t="str">
        <f t="shared" si="22"/>
        <v>1.48 pts.</v>
      </c>
      <c r="AM48" s="466" t="str">
        <f t="shared" si="23"/>
        <v>-5.63 pts.</v>
      </c>
      <c r="AN48" s="11"/>
      <c r="AO48" s="11"/>
      <c r="AP48" s="11"/>
    </row>
    <row r="49" spans="1:42" x14ac:dyDescent="0.25">
      <c r="A49" s="65" t="s">
        <v>30</v>
      </c>
      <c r="B49" s="66" t="s">
        <v>78</v>
      </c>
      <c r="C49" s="11"/>
      <c r="D49" s="11"/>
      <c r="E49" s="11"/>
      <c r="F49" s="11"/>
      <c r="G49" s="11"/>
      <c r="H49" s="604" t="s">
        <v>493</v>
      </c>
      <c r="I49" s="179"/>
      <c r="J49" s="179"/>
      <c r="K49" s="179"/>
      <c r="L49" s="90"/>
      <c r="M49" s="106" t="s">
        <v>469</v>
      </c>
      <c r="N49" s="123">
        <f t="shared" ref="N49:Y49" si="24">SUM(N43:N48)</f>
        <v>47.08</v>
      </c>
      <c r="O49" s="123">
        <f t="shared" si="24"/>
        <v>972.28</v>
      </c>
      <c r="P49" s="123">
        <f t="shared" si="24"/>
        <v>900.28</v>
      </c>
      <c r="Q49" s="123">
        <f t="shared" si="24"/>
        <v>1626.9</v>
      </c>
      <c r="R49" s="123">
        <f t="shared" si="24"/>
        <v>1457.11</v>
      </c>
      <c r="S49" s="123">
        <f t="shared" si="24"/>
        <v>522.07000000000005</v>
      </c>
      <c r="T49" s="123">
        <f t="shared" si="24"/>
        <v>528.16</v>
      </c>
      <c r="U49" s="123">
        <f t="shared" si="24"/>
        <v>736.46</v>
      </c>
      <c r="V49" s="123">
        <f t="shared" si="24"/>
        <v>121</v>
      </c>
      <c r="W49" s="123">
        <f t="shared" si="24"/>
        <v>1209.17</v>
      </c>
      <c r="X49" s="123">
        <f t="shared" si="24"/>
        <v>1649.11</v>
      </c>
      <c r="Y49" s="123">
        <f t="shared" si="24"/>
        <v>1629.66</v>
      </c>
      <c r="Z49" s="123">
        <f t="shared" si="13"/>
        <v>11399.279999999999</v>
      </c>
      <c r="AA49" s="124">
        <f t="shared" si="14"/>
        <v>0.40760597888467659</v>
      </c>
      <c r="AB49" s="11"/>
      <c r="AC49" s="123">
        <f>SUM(AC43:AC48)</f>
        <v>6746.6812</v>
      </c>
      <c r="AD49" s="124">
        <f t="shared" si="15"/>
        <v>0.39284090909090907</v>
      </c>
      <c r="AE49" s="125">
        <f t="shared" si="16"/>
        <v>4652.5987999999988</v>
      </c>
      <c r="AF49" s="123">
        <f>SUM(AF43:AF48)</f>
        <v>9085.0499999999993</v>
      </c>
      <c r="AG49" s="124">
        <f t="shared" si="17"/>
        <v>0.46395258874927547</v>
      </c>
      <c r="AH49" s="125">
        <f t="shared" si="18"/>
        <v>2314.2299999999996</v>
      </c>
      <c r="AI49" s="388">
        <f t="shared" si="19"/>
        <v>0.27591809071985279</v>
      </c>
      <c r="AJ49" s="389">
        <f t="shared" si="20"/>
        <v>0.17285</v>
      </c>
      <c r="AK49" s="390">
        <f t="shared" si="21"/>
        <v>0.2258895049603421</v>
      </c>
      <c r="AL49" s="391" t="str">
        <f t="shared" si="22"/>
        <v>1.48 pts.</v>
      </c>
      <c r="AM49" s="544" t="str">
        <f t="shared" si="23"/>
        <v>-5.63 pts.</v>
      </c>
      <c r="AN49" s="11"/>
      <c r="AO49" s="11"/>
      <c r="AP49" s="11"/>
    </row>
    <row r="50" spans="1:42" x14ac:dyDescent="0.25">
      <c r="A50" s="65" t="s">
        <v>31</v>
      </c>
      <c r="B50" s="66" t="s">
        <v>78</v>
      </c>
      <c r="C50" s="11"/>
      <c r="D50" s="11"/>
      <c r="E50" s="11"/>
      <c r="F50" s="11"/>
      <c r="G50" s="106"/>
      <c r="H50" s="106"/>
      <c r="I50" s="106"/>
      <c r="J50" s="106"/>
      <c r="K50" s="106"/>
      <c r="L50" s="106"/>
      <c r="M50" s="106"/>
      <c r="N50" s="203"/>
      <c r="O50" s="204"/>
      <c r="P50" s="204"/>
      <c r="Q50" s="204"/>
      <c r="R50" s="204"/>
      <c r="S50" s="204"/>
      <c r="T50" s="204"/>
      <c r="U50" s="204"/>
      <c r="V50" s="204"/>
      <c r="W50" s="204"/>
      <c r="X50" s="204"/>
      <c r="Y50" s="204"/>
      <c r="Z50" s="204"/>
      <c r="AA50" s="118"/>
      <c r="AB50" s="11"/>
      <c r="AC50" s="203"/>
      <c r="AD50" s="204"/>
      <c r="AE50" s="118"/>
      <c r="AF50" s="203"/>
      <c r="AG50" s="204"/>
      <c r="AH50" s="118"/>
      <c r="AI50" s="11"/>
      <c r="AJ50" s="11"/>
      <c r="AK50" s="11"/>
      <c r="AL50" s="11"/>
      <c r="AM50" s="11"/>
      <c r="AN50" s="11"/>
      <c r="AO50" s="11"/>
      <c r="AP50" s="11"/>
    </row>
    <row r="51" spans="1:42" x14ac:dyDescent="0.25">
      <c r="A51" s="65" t="s">
        <v>32</v>
      </c>
      <c r="B51" s="66"/>
      <c r="C51" s="11"/>
      <c r="D51" s="11"/>
      <c r="E51" s="11"/>
      <c r="F51" s="11"/>
      <c r="G51" s="11"/>
      <c r="H51" s="11" t="s">
        <v>81</v>
      </c>
      <c r="I51" s="59" t="str">
        <f>IF(_epmOfflineCondition_,"T3",_xll.EVPRO($B$1,$H51,"STYLE"))</f>
        <v>T3</v>
      </c>
      <c r="J51" s="59" t="str">
        <f>IF(_epmOfflineCondition_,"Y",_xll.EVPRO($B$1,$H51,"CALC"))</f>
        <v>Y</v>
      </c>
      <c r="K51" s="11"/>
      <c r="L51" s="11"/>
      <c r="M51" s="105" t="str">
        <f>IF(_epmOfflineCondition_,"Department Profit (Loss)",IF(_xll.EVDES(H51,$B$1)="#NODATA","",_xll.EVDES(H51,$B$1)))</f>
        <v>Department Profit (Loss)</v>
      </c>
      <c r="N51" s="203"/>
      <c r="O51" s="204"/>
      <c r="P51" s="204"/>
      <c r="Q51" s="204"/>
      <c r="R51" s="204"/>
      <c r="S51" s="204"/>
      <c r="T51" s="204"/>
      <c r="U51" s="204"/>
      <c r="V51" s="204"/>
      <c r="W51" s="204"/>
      <c r="X51" s="204"/>
      <c r="Y51" s="204"/>
      <c r="Z51" s="204"/>
      <c r="AA51" s="118"/>
      <c r="AB51" s="11"/>
      <c r="AC51" s="203"/>
      <c r="AD51" s="204"/>
      <c r="AE51" s="118"/>
      <c r="AF51" s="203"/>
      <c r="AG51" s="204"/>
      <c r="AH51" s="118"/>
      <c r="AI51" s="11"/>
      <c r="AJ51" s="11"/>
      <c r="AK51" s="11"/>
      <c r="AL51" s="11"/>
      <c r="AM51" s="11"/>
      <c r="AN51" s="11"/>
      <c r="AO51" s="11"/>
      <c r="AP51" s="11"/>
    </row>
    <row r="52" spans="1:42" x14ac:dyDescent="0.25">
      <c r="A52" s="65" t="s">
        <v>33</v>
      </c>
      <c r="B52" s="66"/>
      <c r="C52" s="11"/>
      <c r="D52" s="11"/>
      <c r="E52" s="11"/>
      <c r="F52" s="11"/>
      <c r="G52" s="88" t="s">
        <v>365</v>
      </c>
      <c r="H52" s="88" t="s">
        <v>81</v>
      </c>
      <c r="I52" s="122" t="str">
        <f>IF(_epmOfflineCondition_,"7",_xll.EVPRO($B$1,$G52,"HLEVEL"))</f>
        <v>7</v>
      </c>
      <c r="J52" s="122" t="str">
        <f>IF(_epmOfflineCondition_,"Y",_xll.EVPRO($B$1,$H52,"CALC"))</f>
        <v>Y</v>
      </c>
      <c r="K52" s="90"/>
      <c r="L52" s="90"/>
      <c r="M52" s="90" t="str">
        <f>IF(_epmOfflineCondition_,"Guest Communications",IF(_xll.EVDES(G52,$B$1)="#NODATA","",_xll.EVDES(G52,$B$1)))</f>
        <v>Guest Communications</v>
      </c>
      <c r="N52" s="138">
        <f t="shared" ref="N52:Y52" si="25">IFERROR(N34-N43,"")</f>
        <v>0</v>
      </c>
      <c r="O52" s="138">
        <f t="shared" si="25"/>
        <v>0</v>
      </c>
      <c r="P52" s="138">
        <f t="shared" si="25"/>
        <v>0</v>
      </c>
      <c r="Q52" s="138">
        <f t="shared" si="25"/>
        <v>0</v>
      </c>
      <c r="R52" s="138">
        <f t="shared" si="25"/>
        <v>0</v>
      </c>
      <c r="S52" s="138">
        <f t="shared" si="25"/>
        <v>0</v>
      </c>
      <c r="T52" s="138">
        <f t="shared" si="25"/>
        <v>0</v>
      </c>
      <c r="U52" s="138">
        <f t="shared" si="25"/>
        <v>0</v>
      </c>
      <c r="V52" s="138">
        <f t="shared" si="25"/>
        <v>0</v>
      </c>
      <c r="W52" s="138">
        <f t="shared" si="25"/>
        <v>0</v>
      </c>
      <c r="X52" s="138">
        <f t="shared" si="25"/>
        <v>0</v>
      </c>
      <c r="Y52" s="138">
        <f t="shared" si="25"/>
        <v>0</v>
      </c>
      <c r="Z52" s="210">
        <f t="shared" ref="Z52:Z58" si="26">IF($I52="B1","",SUM(N52:Y52))</f>
        <v>0</v>
      </c>
      <c r="AA52" s="142" t="str">
        <f t="shared" ref="AA52:AA58" si="27">IF(Z52=0,"",IFERROR(Z52/Z34,""))</f>
        <v/>
      </c>
      <c r="AB52" s="140"/>
      <c r="AC52" s="138">
        <f t="shared" ref="AC52:AC57" si="28">IFERROR(AC34-AC43,"")</f>
        <v>0</v>
      </c>
      <c r="AD52" s="142" t="str">
        <f t="shared" ref="AD52:AD58" si="29">IF(AC52=0,"",IFERROR(AC52/AC34,""))</f>
        <v/>
      </c>
      <c r="AE52" s="141">
        <f t="shared" ref="AE52:AE58" si="30">IF(AND($Z52="",AC52=""),"",$Z52-AC52)</f>
        <v>0</v>
      </c>
      <c r="AF52" s="138">
        <f t="shared" ref="AF52:AF57" si="31">IFERROR(AF34-AF43,"")</f>
        <v>0</v>
      </c>
      <c r="AG52" s="142" t="str">
        <f t="shared" ref="AG52:AG58" si="32">IF(AF52=0,"",IFERROR(AF52/AF34,""))</f>
        <v/>
      </c>
      <c r="AH52" s="141">
        <f t="shared" ref="AH52:AH58" si="33">IF(AND($Z52="",AF52=""),"",$Z52-AF52)</f>
        <v>0</v>
      </c>
      <c r="AI52" s="462">
        <f t="shared" ref="AI52:AI58" si="34">IFERROR(Z52/Z$20,0)</f>
        <v>0</v>
      </c>
      <c r="AJ52" s="463">
        <f t="shared" ref="AJ52:AJ58" si="35">IFERROR(AC52/AC$20,0)</f>
        <v>0</v>
      </c>
      <c r="AK52" s="464">
        <f t="shared" ref="AK52:AK58" si="36">IFERROR(AF52/AF$20,0)</f>
        <v>0</v>
      </c>
      <c r="AL52" s="465">
        <f t="shared" ref="AL52:AL58" si="37">+IFERROR(ROUND(($AA52-AD52)*100,2)&amp;" pts.",0)</f>
        <v>0</v>
      </c>
      <c r="AM52" s="466">
        <f t="shared" ref="AM52:AM58" si="38">+IFERROR(ROUND(($AA52-AG52)*100,2)&amp;" pts.",0)</f>
        <v>0</v>
      </c>
      <c r="AN52" s="11"/>
      <c r="AO52" s="11"/>
      <c r="AP52" s="11"/>
    </row>
    <row r="53" spans="1:42" x14ac:dyDescent="0.25">
      <c r="A53" s="65" t="s">
        <v>34</v>
      </c>
      <c r="B53" s="66"/>
      <c r="C53" s="11"/>
      <c r="D53" s="11"/>
      <c r="E53" s="11"/>
      <c r="F53" s="11"/>
      <c r="G53" s="88" t="s">
        <v>366</v>
      </c>
      <c r="H53" s="88" t="s">
        <v>81</v>
      </c>
      <c r="I53" s="122" t="str">
        <f>IF(_epmOfflineCondition_,"7",_xll.EVPRO($B$1,$G53,"HLEVEL"))</f>
        <v>7</v>
      </c>
      <c r="J53" s="122" t="str">
        <f>IF(_epmOfflineCondition_,"Y",_xll.EVPRO($B$1,$H53,"CALC"))</f>
        <v>Y</v>
      </c>
      <c r="K53" s="90"/>
      <c r="L53" s="90"/>
      <c r="M53" s="90" t="str">
        <f>IF(_epmOfflineCondition_,"Health Club/Spa",IF(_xll.EVDES(G53,$B$1)="#NODATA","",_xll.EVDES(G53,$B$1)))</f>
        <v>Health Club/Spa</v>
      </c>
      <c r="N53" s="138">
        <f t="shared" ref="N53:Y53" si="39">IFERROR(N35-N44,"")</f>
        <v>0</v>
      </c>
      <c r="O53" s="138">
        <f t="shared" si="39"/>
        <v>0</v>
      </c>
      <c r="P53" s="138">
        <f t="shared" si="39"/>
        <v>0</v>
      </c>
      <c r="Q53" s="138">
        <f t="shared" si="39"/>
        <v>0</v>
      </c>
      <c r="R53" s="138">
        <f t="shared" si="39"/>
        <v>0</v>
      </c>
      <c r="S53" s="138">
        <f t="shared" si="39"/>
        <v>0</v>
      </c>
      <c r="T53" s="138">
        <f t="shared" si="39"/>
        <v>0</v>
      </c>
      <c r="U53" s="138">
        <f t="shared" si="39"/>
        <v>0</v>
      </c>
      <c r="V53" s="138">
        <f t="shared" si="39"/>
        <v>0</v>
      </c>
      <c r="W53" s="138">
        <f t="shared" si="39"/>
        <v>0</v>
      </c>
      <c r="X53" s="138">
        <f t="shared" si="39"/>
        <v>0</v>
      </c>
      <c r="Y53" s="138">
        <f t="shared" si="39"/>
        <v>0</v>
      </c>
      <c r="Z53" s="210">
        <f t="shared" si="26"/>
        <v>0</v>
      </c>
      <c r="AA53" s="142" t="str">
        <f t="shared" si="27"/>
        <v/>
      </c>
      <c r="AB53" s="140"/>
      <c r="AC53" s="138">
        <f t="shared" si="28"/>
        <v>0</v>
      </c>
      <c r="AD53" s="142" t="str">
        <f t="shared" si="29"/>
        <v/>
      </c>
      <c r="AE53" s="141">
        <f t="shared" si="30"/>
        <v>0</v>
      </c>
      <c r="AF53" s="138">
        <f t="shared" si="31"/>
        <v>0</v>
      </c>
      <c r="AG53" s="142" t="str">
        <f t="shared" si="32"/>
        <v/>
      </c>
      <c r="AH53" s="141">
        <f t="shared" si="33"/>
        <v>0</v>
      </c>
      <c r="AI53" s="462">
        <f t="shared" si="34"/>
        <v>0</v>
      </c>
      <c r="AJ53" s="463">
        <f t="shared" si="35"/>
        <v>0</v>
      </c>
      <c r="AK53" s="464">
        <f t="shared" si="36"/>
        <v>0</v>
      </c>
      <c r="AL53" s="465">
        <f t="shared" si="37"/>
        <v>0</v>
      </c>
      <c r="AM53" s="466">
        <f t="shared" si="38"/>
        <v>0</v>
      </c>
      <c r="AN53" s="11"/>
      <c r="AO53" s="11"/>
      <c r="AP53" s="11"/>
    </row>
    <row r="54" spans="1:42" x14ac:dyDescent="0.25">
      <c r="A54" s="65" t="s">
        <v>35</v>
      </c>
      <c r="B54" s="66"/>
      <c r="C54" s="11"/>
      <c r="D54" s="11"/>
      <c r="E54" s="11"/>
      <c r="F54" s="11"/>
      <c r="G54" s="88" t="s">
        <v>380</v>
      </c>
      <c r="H54" s="88" t="s">
        <v>81</v>
      </c>
      <c r="I54" s="122" t="str">
        <f>IF(_epmOfflineCondition_,"7",_xll.EVPRO($B$1,$G54,"HLEVEL"))</f>
        <v>7</v>
      </c>
      <c r="J54" s="122" t="str">
        <f>IF(_epmOfflineCondition_,"Y",_xll.EVPRO($B$1,$H54,"CALC"))</f>
        <v>Y</v>
      </c>
      <c r="K54" s="90"/>
      <c r="L54" s="90"/>
      <c r="M54" s="90" t="str">
        <f>IF(_epmOfflineCondition_,"Parking",IF(_xll.EVDES(G54,$B$1)="#NODATA","",_xll.EVDES(G54,$B$1)))</f>
        <v>Parking</v>
      </c>
      <c r="N54" s="138">
        <f t="shared" ref="N54:Y54" si="40">IFERROR(N36-N45,"")</f>
        <v>0</v>
      </c>
      <c r="O54" s="138">
        <f t="shared" si="40"/>
        <v>0</v>
      </c>
      <c r="P54" s="138">
        <f t="shared" si="40"/>
        <v>0</v>
      </c>
      <c r="Q54" s="138">
        <f t="shared" si="40"/>
        <v>0</v>
      </c>
      <c r="R54" s="138">
        <f t="shared" si="40"/>
        <v>0</v>
      </c>
      <c r="S54" s="138">
        <f t="shared" si="40"/>
        <v>0</v>
      </c>
      <c r="T54" s="138">
        <f t="shared" si="40"/>
        <v>0</v>
      </c>
      <c r="U54" s="138">
        <f t="shared" si="40"/>
        <v>0</v>
      </c>
      <c r="V54" s="138">
        <f t="shared" si="40"/>
        <v>0</v>
      </c>
      <c r="W54" s="138">
        <f t="shared" si="40"/>
        <v>0</v>
      </c>
      <c r="X54" s="138">
        <f t="shared" si="40"/>
        <v>0</v>
      </c>
      <c r="Y54" s="138">
        <f t="shared" si="40"/>
        <v>0</v>
      </c>
      <c r="Z54" s="210">
        <f t="shared" si="26"/>
        <v>0</v>
      </c>
      <c r="AA54" s="142" t="str">
        <f t="shared" si="27"/>
        <v/>
      </c>
      <c r="AB54" s="140"/>
      <c r="AC54" s="138">
        <f t="shared" si="28"/>
        <v>0</v>
      </c>
      <c r="AD54" s="142" t="str">
        <f t="shared" si="29"/>
        <v/>
      </c>
      <c r="AE54" s="141">
        <f t="shared" si="30"/>
        <v>0</v>
      </c>
      <c r="AF54" s="138">
        <f t="shared" si="31"/>
        <v>0</v>
      </c>
      <c r="AG54" s="142" t="str">
        <f t="shared" si="32"/>
        <v/>
      </c>
      <c r="AH54" s="141">
        <f t="shared" si="33"/>
        <v>0</v>
      </c>
      <c r="AI54" s="462">
        <f t="shared" si="34"/>
        <v>0</v>
      </c>
      <c r="AJ54" s="463">
        <f t="shared" si="35"/>
        <v>0</v>
      </c>
      <c r="AK54" s="464">
        <f t="shared" si="36"/>
        <v>0</v>
      </c>
      <c r="AL54" s="465">
        <f t="shared" si="37"/>
        <v>0</v>
      </c>
      <c r="AM54" s="466">
        <f t="shared" si="38"/>
        <v>0</v>
      </c>
      <c r="AN54" s="11"/>
      <c r="AO54" s="11"/>
      <c r="AP54" s="11"/>
    </row>
    <row r="55" spans="1:42" x14ac:dyDescent="0.25">
      <c r="A55" s="65" t="s">
        <v>36</v>
      </c>
      <c r="B55" s="66"/>
      <c r="C55" s="11"/>
      <c r="D55" s="11"/>
      <c r="E55" s="11"/>
      <c r="F55" s="11"/>
      <c r="G55" s="88" t="s">
        <v>386</v>
      </c>
      <c r="H55" s="88" t="s">
        <v>81</v>
      </c>
      <c r="I55" s="122" t="str">
        <f>IF(_epmOfflineCondition_,"7",_xll.EVPRO($B$1,$G55,"HLEVEL"))</f>
        <v>7</v>
      </c>
      <c r="J55" s="122" t="str">
        <f>IF(_epmOfflineCondition_,"Y",_xll.EVPRO($B$1,$H55,"CALC"))</f>
        <v>Y</v>
      </c>
      <c r="K55" s="90"/>
      <c r="L55" s="90"/>
      <c r="M55" s="90" t="str">
        <f>IF(_epmOfflineCondition_,"Retail Shop",IF(_xll.EVDES(G55,$B$1)="#NODATA","",_xll.EVDES(G55,$B$1)))</f>
        <v>Retail Shop</v>
      </c>
      <c r="N55" s="138">
        <f t="shared" ref="N55:Y55" si="41">IFERROR(N37-N46,"")</f>
        <v>0</v>
      </c>
      <c r="O55" s="138">
        <f t="shared" si="41"/>
        <v>0</v>
      </c>
      <c r="P55" s="138">
        <f t="shared" si="41"/>
        <v>0</v>
      </c>
      <c r="Q55" s="138">
        <f t="shared" si="41"/>
        <v>0</v>
      </c>
      <c r="R55" s="138">
        <f t="shared" si="41"/>
        <v>0</v>
      </c>
      <c r="S55" s="138">
        <f t="shared" si="41"/>
        <v>0</v>
      </c>
      <c r="T55" s="138">
        <f t="shared" si="41"/>
        <v>0</v>
      </c>
      <c r="U55" s="138">
        <f t="shared" si="41"/>
        <v>0</v>
      </c>
      <c r="V55" s="138">
        <f t="shared" si="41"/>
        <v>0</v>
      </c>
      <c r="W55" s="138">
        <f t="shared" si="41"/>
        <v>0</v>
      </c>
      <c r="X55" s="138">
        <f t="shared" si="41"/>
        <v>0</v>
      </c>
      <c r="Y55" s="138">
        <f t="shared" si="41"/>
        <v>0</v>
      </c>
      <c r="Z55" s="210">
        <f t="shared" si="26"/>
        <v>0</v>
      </c>
      <c r="AA55" s="142" t="str">
        <f t="shared" si="27"/>
        <v/>
      </c>
      <c r="AB55" s="140"/>
      <c r="AC55" s="138">
        <f t="shared" si="28"/>
        <v>0</v>
      </c>
      <c r="AD55" s="142" t="str">
        <f t="shared" si="29"/>
        <v/>
      </c>
      <c r="AE55" s="141">
        <f t="shared" si="30"/>
        <v>0</v>
      </c>
      <c r="AF55" s="138">
        <f t="shared" si="31"/>
        <v>0</v>
      </c>
      <c r="AG55" s="142" t="str">
        <f t="shared" si="32"/>
        <v/>
      </c>
      <c r="AH55" s="141">
        <f t="shared" si="33"/>
        <v>0</v>
      </c>
      <c r="AI55" s="462">
        <f t="shared" si="34"/>
        <v>0</v>
      </c>
      <c r="AJ55" s="463">
        <f t="shared" si="35"/>
        <v>0</v>
      </c>
      <c r="AK55" s="464">
        <f t="shared" si="36"/>
        <v>0</v>
      </c>
      <c r="AL55" s="465">
        <f t="shared" si="37"/>
        <v>0</v>
      </c>
      <c r="AM55" s="466">
        <f t="shared" si="38"/>
        <v>0</v>
      </c>
      <c r="AN55" s="11"/>
      <c r="AO55" s="11"/>
      <c r="AP55" s="11"/>
    </row>
    <row r="56" spans="1:42" x14ac:dyDescent="0.25">
      <c r="A56" s="65" t="s">
        <v>37</v>
      </c>
      <c r="B56" s="66"/>
      <c r="C56" s="11"/>
      <c r="D56" s="11"/>
      <c r="E56" s="11"/>
      <c r="F56" s="11"/>
      <c r="G56" s="88" t="s">
        <v>406</v>
      </c>
      <c r="H56" s="88" t="s">
        <v>81</v>
      </c>
      <c r="I56" s="122" t="str">
        <f>IF(_epmOfflineCondition_,"6",_xll.EVPRO($B$1,$G56,"HLEVEL"))</f>
        <v>6</v>
      </c>
      <c r="J56" s="122" t="str">
        <f>IF(_epmOfflineCondition_,"Y",_xll.EVPRO($B$1,$H56,"CALC"))</f>
        <v>Y</v>
      </c>
      <c r="K56" s="90"/>
      <c r="L56" s="90"/>
      <c r="M56" s="90" t="str">
        <f>IF(_epmOfflineCondition_,"Food &amp; Beverage Retail Shop",IF(_xll.EVDES(G56,$B$1)="#NODATA","",_xll.EVDES(G56,$B$1)))</f>
        <v>Food &amp; Beverage Retail Shop</v>
      </c>
      <c r="N56" s="138">
        <f t="shared" ref="N56:Y56" si="42">IFERROR(N38-N47,"")</f>
        <v>0</v>
      </c>
      <c r="O56" s="138">
        <f t="shared" si="42"/>
        <v>0</v>
      </c>
      <c r="P56" s="138">
        <f t="shared" si="42"/>
        <v>0</v>
      </c>
      <c r="Q56" s="138">
        <f t="shared" si="42"/>
        <v>0</v>
      </c>
      <c r="R56" s="138">
        <f t="shared" si="42"/>
        <v>0</v>
      </c>
      <c r="S56" s="138">
        <f t="shared" si="42"/>
        <v>0</v>
      </c>
      <c r="T56" s="138">
        <f t="shared" si="42"/>
        <v>0</v>
      </c>
      <c r="U56" s="138">
        <f t="shared" si="42"/>
        <v>0</v>
      </c>
      <c r="V56" s="138">
        <f t="shared" si="42"/>
        <v>0</v>
      </c>
      <c r="W56" s="138">
        <f t="shared" si="42"/>
        <v>0</v>
      </c>
      <c r="X56" s="138">
        <f t="shared" si="42"/>
        <v>0</v>
      </c>
      <c r="Y56" s="138">
        <f t="shared" si="42"/>
        <v>0</v>
      </c>
      <c r="Z56" s="210">
        <f t="shared" si="26"/>
        <v>0</v>
      </c>
      <c r="AA56" s="142" t="str">
        <f t="shared" si="27"/>
        <v/>
      </c>
      <c r="AB56" s="140"/>
      <c r="AC56" s="138">
        <f t="shared" si="28"/>
        <v>0</v>
      </c>
      <c r="AD56" s="142" t="str">
        <f t="shared" si="29"/>
        <v/>
      </c>
      <c r="AE56" s="141">
        <f t="shared" si="30"/>
        <v>0</v>
      </c>
      <c r="AF56" s="138">
        <f t="shared" si="31"/>
        <v>0</v>
      </c>
      <c r="AG56" s="142" t="str">
        <f t="shared" si="32"/>
        <v/>
      </c>
      <c r="AH56" s="141">
        <f t="shared" si="33"/>
        <v>0</v>
      </c>
      <c r="AI56" s="462">
        <f t="shared" si="34"/>
        <v>0</v>
      </c>
      <c r="AJ56" s="463">
        <f t="shared" si="35"/>
        <v>0</v>
      </c>
      <c r="AK56" s="464">
        <f t="shared" si="36"/>
        <v>0</v>
      </c>
      <c r="AL56" s="465">
        <f t="shared" si="37"/>
        <v>0</v>
      </c>
      <c r="AM56" s="466">
        <f t="shared" si="38"/>
        <v>0</v>
      </c>
      <c r="AN56" s="11"/>
      <c r="AO56" s="387"/>
      <c r="AP56" s="387"/>
    </row>
    <row r="57" spans="1:42" x14ac:dyDescent="0.25">
      <c r="A57" s="65" t="s">
        <v>38</v>
      </c>
      <c r="B57" s="66"/>
      <c r="C57" s="11"/>
      <c r="D57" s="11"/>
      <c r="E57" s="11"/>
      <c r="F57" s="11"/>
      <c r="G57" s="88" t="s">
        <v>423</v>
      </c>
      <c r="H57" s="88" t="s">
        <v>81</v>
      </c>
      <c r="I57" s="122" t="str">
        <f>IF(_epmOfflineCondition_,"7",_xll.EVPRO($B$1,$G57,"HLEVEL"))</f>
        <v>7</v>
      </c>
      <c r="J57" s="122" t="str">
        <f>IF(_epmOfflineCondition_,"Y",_xll.EVPRO($B$1,$H57,"CALC"))</f>
        <v>Y</v>
      </c>
      <c r="K57" s="90"/>
      <c r="L57" s="90"/>
      <c r="M57" s="90" t="str">
        <f>IF(_epmOfflineCondition_,"Minor Operated Departments",IF(_xll.EVDES(G57,$B$1)="#NODATA","",_xll.EVDES(G57,$B$1)))</f>
        <v>Minor Operated Departments</v>
      </c>
      <c r="N57" s="138">
        <f t="shared" ref="N57:Y57" si="43">IFERROR(N39-N48,"")</f>
        <v>1580.91</v>
      </c>
      <c r="O57" s="138">
        <f t="shared" si="43"/>
        <v>1433.4599999999998</v>
      </c>
      <c r="P57" s="138">
        <f t="shared" si="43"/>
        <v>2653.6499999999996</v>
      </c>
      <c r="Q57" s="138">
        <f t="shared" si="43"/>
        <v>2269.9</v>
      </c>
      <c r="R57" s="138">
        <f t="shared" si="43"/>
        <v>1099.0200000000002</v>
      </c>
      <c r="S57" s="138">
        <f t="shared" si="43"/>
        <v>1171.2599999999998</v>
      </c>
      <c r="T57" s="138">
        <f t="shared" si="43"/>
        <v>900.80000000000007</v>
      </c>
      <c r="U57" s="138">
        <f t="shared" si="43"/>
        <v>1318.56</v>
      </c>
      <c r="V57" s="138">
        <f t="shared" si="43"/>
        <v>567.75</v>
      </c>
      <c r="W57" s="138">
        <f t="shared" si="43"/>
        <v>1298.21</v>
      </c>
      <c r="X57" s="138">
        <f t="shared" si="43"/>
        <v>1616.0200000000002</v>
      </c>
      <c r="Y57" s="138">
        <f t="shared" si="43"/>
        <v>657.60000000000014</v>
      </c>
      <c r="Z57" s="210">
        <f t="shared" si="26"/>
        <v>16567.14</v>
      </c>
      <c r="AA57" s="142">
        <f t="shared" si="27"/>
        <v>0.59239402111532313</v>
      </c>
      <c r="AB57" s="140"/>
      <c r="AC57" s="138">
        <f t="shared" si="28"/>
        <v>10427.398800000003</v>
      </c>
      <c r="AD57" s="142">
        <f t="shared" si="29"/>
        <v>0.60715909090909104</v>
      </c>
      <c r="AE57" s="141">
        <f t="shared" si="30"/>
        <v>6139.7411999999968</v>
      </c>
      <c r="AF57" s="138">
        <f t="shared" si="31"/>
        <v>10496.8</v>
      </c>
      <c r="AG57" s="142">
        <f t="shared" si="32"/>
        <v>0.53604741125072453</v>
      </c>
      <c r="AH57" s="141">
        <f t="shared" si="33"/>
        <v>6070.34</v>
      </c>
      <c r="AI57" s="462">
        <f t="shared" si="34"/>
        <v>0.40100547030062444</v>
      </c>
      <c r="AJ57" s="463">
        <f t="shared" si="35"/>
        <v>0.26715000000000005</v>
      </c>
      <c r="AK57" s="464">
        <f t="shared" si="36"/>
        <v>0.2609910738705587</v>
      </c>
      <c r="AL57" s="465" t="str">
        <f t="shared" si="37"/>
        <v>-1.48 pts.</v>
      </c>
      <c r="AM57" s="466" t="str">
        <f t="shared" si="38"/>
        <v>5.63 pts.</v>
      </c>
      <c r="AN57" s="11"/>
      <c r="AO57" s="11"/>
      <c r="AP57" s="11"/>
    </row>
    <row r="58" spans="1:42" x14ac:dyDescent="0.25">
      <c r="A58" s="65" t="s">
        <v>39</v>
      </c>
      <c r="B58" s="66"/>
      <c r="C58" s="11"/>
      <c r="D58" s="11"/>
      <c r="E58" s="11"/>
      <c r="F58" s="11"/>
      <c r="G58" s="11"/>
      <c r="H58" s="179"/>
      <c r="I58" s="179"/>
      <c r="J58" s="179"/>
      <c r="K58" s="179"/>
      <c r="L58" s="90"/>
      <c r="M58" s="106" t="s">
        <v>471</v>
      </c>
      <c r="N58" s="123">
        <f t="shared" ref="N58:Y58" si="44">SUM(N52:N57)</f>
        <v>1580.91</v>
      </c>
      <c r="O58" s="123">
        <f t="shared" si="44"/>
        <v>1433.4599999999998</v>
      </c>
      <c r="P58" s="123">
        <f t="shared" si="44"/>
        <v>2653.6499999999996</v>
      </c>
      <c r="Q58" s="123">
        <f t="shared" si="44"/>
        <v>2269.9</v>
      </c>
      <c r="R58" s="123">
        <f t="shared" si="44"/>
        <v>1099.0200000000002</v>
      </c>
      <c r="S58" s="123">
        <f t="shared" si="44"/>
        <v>1171.2599999999998</v>
      </c>
      <c r="T58" s="123">
        <f t="shared" si="44"/>
        <v>900.80000000000007</v>
      </c>
      <c r="U58" s="123">
        <f t="shared" si="44"/>
        <v>1318.56</v>
      </c>
      <c r="V58" s="123">
        <f t="shared" si="44"/>
        <v>567.75</v>
      </c>
      <c r="W58" s="123">
        <f t="shared" si="44"/>
        <v>1298.21</v>
      </c>
      <c r="X58" s="123">
        <f t="shared" si="44"/>
        <v>1616.0200000000002</v>
      </c>
      <c r="Y58" s="123">
        <f t="shared" si="44"/>
        <v>657.60000000000014</v>
      </c>
      <c r="Z58" s="123">
        <f t="shared" si="26"/>
        <v>16567.14</v>
      </c>
      <c r="AA58" s="124">
        <f t="shared" si="27"/>
        <v>0.59239402111532313</v>
      </c>
      <c r="AB58" s="11"/>
      <c r="AC58" s="123">
        <f>SUM(AC52:AC57)</f>
        <v>10427.398800000003</v>
      </c>
      <c r="AD58" s="124">
        <f t="shared" si="29"/>
        <v>0.60715909090909104</v>
      </c>
      <c r="AE58" s="125">
        <f t="shared" si="30"/>
        <v>6139.7411999999968</v>
      </c>
      <c r="AF58" s="123">
        <f>SUM(AF52:AF57)</f>
        <v>10496.8</v>
      </c>
      <c r="AG58" s="124">
        <f t="shared" si="32"/>
        <v>0.53604741125072453</v>
      </c>
      <c r="AH58" s="125">
        <f t="shared" si="33"/>
        <v>6070.34</v>
      </c>
      <c r="AI58" s="388">
        <f t="shared" si="34"/>
        <v>0.40100547030062444</v>
      </c>
      <c r="AJ58" s="389">
        <f t="shared" si="35"/>
        <v>0.26715000000000005</v>
      </c>
      <c r="AK58" s="390">
        <f t="shared" si="36"/>
        <v>0.2609910738705587</v>
      </c>
      <c r="AL58" s="391" t="str">
        <f t="shared" si="37"/>
        <v>-1.48 pts.</v>
      </c>
      <c r="AM58" s="544" t="str">
        <f t="shared" si="38"/>
        <v>5.63 pts.</v>
      </c>
      <c r="AN58" s="11"/>
      <c r="AO58" s="11"/>
      <c r="AP58" s="11"/>
    </row>
    <row r="59" spans="1:42" x14ac:dyDescent="0.25">
      <c r="A59" s="65" t="s">
        <v>40</v>
      </c>
      <c r="B59" s="66"/>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row>
    <row r="60" spans="1:42" ht="15.75" thickBot="1" x14ac:dyDescent="0.3">
      <c r="A60" s="65" t="s">
        <v>41</v>
      </c>
      <c r="B60" s="66"/>
      <c r="C60" s="11"/>
      <c r="D60" s="11"/>
      <c r="E60" s="11"/>
      <c r="F60" s="11"/>
      <c r="G60" s="88" t="s">
        <v>463</v>
      </c>
      <c r="H60" s="88" t="s">
        <v>81</v>
      </c>
      <c r="I60" s="136" t="str">
        <f>IF(_epmOfflineCondition_,"T3",_xll.EVPRO($B$1,$H60,"STYLE"))</f>
        <v>T3</v>
      </c>
      <c r="J60" s="136" t="str">
        <f>IF(_epmOfflineCondition_,"Y",_xll.EVPRO($B$1,$H60,"CALC"))</f>
        <v>Y</v>
      </c>
      <c r="K60" s="106"/>
      <c r="L60" s="106"/>
      <c r="M60" s="106" t="str">
        <f>IF(_epmOfflineCondition_,"Department Profit (Loss)",IF(_xll.EVDES(H60,$B$1)="#NODATA","",_xll.EVDES(H60,$B$1)))</f>
        <v>Department Profit (Loss)</v>
      </c>
      <c r="N60" s="126">
        <f>IF(_epmOfflineCondition_,1580.91,_xll.EVGTS($B$1,1,$B$3,$B$5,$B$7,$B$9,N$16,N$17,N$18,$G$60,$H$60))</f>
        <v>1580.91</v>
      </c>
      <c r="O60" s="126">
        <f>IF(_epmOfflineCondition_,1433.46,_xll.EVGTS($B$1,1,$B$3,$B$5,$B$7,$B$9,O$16,O$17,O$18,$G$60,$H$60))</f>
        <v>1433.46</v>
      </c>
      <c r="P60" s="126">
        <f>IF(_epmOfflineCondition_,2653.65,_xll.EVGTS($B$1,1,$B$3,$B$5,$B$7,$B$9,P$16,P$17,P$18,$G$60,$H$60))</f>
        <v>2653.65</v>
      </c>
      <c r="Q60" s="126">
        <f>IF(_epmOfflineCondition_,2269.9,_xll.EVGTS($B$1,1,$B$3,$B$5,$B$7,$B$9,Q$16,Q$17,Q$18,$G$60,$H$60))</f>
        <v>2269.9</v>
      </c>
      <c r="R60" s="126">
        <f>IF(_epmOfflineCondition_,1099.02,_xll.EVGTS($B$1,1,$B$3,$B$5,$B$7,$B$9,R$16,R$17,R$18,$G$60,$H$60))</f>
        <v>1099.02</v>
      </c>
      <c r="S60" s="126">
        <f>IF(_epmOfflineCondition_,1171.26,_xll.EVGTS($B$1,1,$B$3,$B$5,$B$7,$B$9,S$16,S$17,S$18,$G$60,$H$60))</f>
        <v>1171.26</v>
      </c>
      <c r="T60" s="126">
        <f>IF(_epmOfflineCondition_,900.8,_xll.EVGTS($B$1,1,$B$3,$B$5,$B$7,$B$9,T$16,T$17,T$18,$G$60,$H$60))</f>
        <v>900.8</v>
      </c>
      <c r="U60" s="126">
        <f>IF(_epmOfflineCondition_,1318.56,_xll.EVGTS($B$1,1,$B$3,$B$5,$B$7,$B$9,U$16,U$17,U$18,$G$60,$H$60))</f>
        <v>1318.56</v>
      </c>
      <c r="V60" s="126">
        <f>IF(_epmOfflineCondition_,567.75,_xll.EVGTS($B$1,1,$B$3,$B$5,$B$7,$B$9,V$16,V$17,V$18,$G$60,$H$60))</f>
        <v>567.75</v>
      </c>
      <c r="W60" s="126">
        <f>IF(_epmOfflineCondition_,1298.21,_xll.EVGTS($B$1,1,$B$3,$B$5,$B$7,$B$9,W$16,W$17,W$18,$G$60,$H$60))</f>
        <v>1298.21</v>
      </c>
      <c r="X60" s="126">
        <f>IF(_epmOfflineCondition_,1616.02,_xll.EVGTS($B$1,1,$B$3,$B$5,$B$7,$B$9,X$16,X$17,X$18,$G$60,$H$60))</f>
        <v>1616.02</v>
      </c>
      <c r="Y60" s="126">
        <f>IF(_epmOfflineCondition_,657.6,_xll.EVGTS($B$1,1,$B$3,$B$5,$B$7,$B$9,Y$16,Y$17,Y$18,$G$60,$H$60))</f>
        <v>657.6</v>
      </c>
      <c r="Z60" s="126">
        <f>IF($I60="B1","",SUM(N60:Y60))</f>
        <v>16567.14</v>
      </c>
      <c r="AA60" s="127">
        <f>IF(Z60=0,"",IFERROR(Z60/Z$19,""))</f>
        <v>0.59239402111532313</v>
      </c>
      <c r="AB60" s="11"/>
      <c r="AC60" s="126">
        <f>IF(_epmOfflineCondition_,10427.3988,_xll.EVGTS($B$1,1,$B$3,$B$5,$B$7,$B$9,AC$16,AC$17,AC$18,$G$60,$H$60))</f>
        <v>10427.398800000001</v>
      </c>
      <c r="AD60" s="127">
        <f>IF(AC60=0,"",IFERROR(AC60/AC$19,""))</f>
        <v>0.60715909090909093</v>
      </c>
      <c r="AE60" s="128">
        <f>IF(AND($Z60="",AC60=""),"",$Z60-AC60)</f>
        <v>6139.7411999999986</v>
      </c>
      <c r="AF60" s="126">
        <f>IF(_epmOfflineCondition_,10496.8,_xll.EVGTS($B$1,1,$B$3,$B$5,$B$7,$B$9,AF$16,AF$17,AF$18,$G$60,$H$60))</f>
        <v>10496.8</v>
      </c>
      <c r="AG60" s="127">
        <f>IF(AF60=0,"",IFERROR(AF60/AF$19,""))</f>
        <v>0.53604741125072453</v>
      </c>
      <c r="AH60" s="128">
        <f>IF(AND($Z60="",AF60=""),"",$Z60-AF60)</f>
        <v>6070.34</v>
      </c>
      <c r="AI60" s="419">
        <f>IFERROR(Z60/Z$20,0)</f>
        <v>0.40100547030062444</v>
      </c>
      <c r="AJ60" s="420">
        <f>IFERROR(AC60/AC$20,0)</f>
        <v>0.26715</v>
      </c>
      <c r="AK60" s="421">
        <f>IFERROR(AF60/AF$20,0)</f>
        <v>0.2609910738705587</v>
      </c>
      <c r="AL60" s="422" t="str">
        <f>+IFERROR(ROUND(($AA60-AD60)*100,2)&amp;" pts.",0)</f>
        <v>-1.48 pts.</v>
      </c>
      <c r="AM60" s="545" t="str">
        <f>+IFERROR(ROUND(($AA60-AG60)*100,2)&amp;" pts.",0)</f>
        <v>5.63 pts.</v>
      </c>
      <c r="AN60" s="11"/>
      <c r="AO60" s="11"/>
      <c r="AP60" s="11"/>
    </row>
    <row r="61" spans="1:42" ht="15.75" thickTop="1" x14ac:dyDescent="0.25">
      <c r="A61" s="65" t="s">
        <v>42</v>
      </c>
      <c r="B61" s="66"/>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row>
    <row r="62" spans="1:42" x14ac:dyDescent="0.25">
      <c r="A62" s="65" t="s">
        <v>43</v>
      </c>
      <c r="B62" s="66"/>
      <c r="C62" s="11"/>
      <c r="D62" s="11"/>
      <c r="E62" s="11"/>
      <c r="F62" s="11"/>
      <c r="G62" s="11"/>
      <c r="H62" s="11"/>
      <c r="I62" s="59"/>
      <c r="J62" s="59"/>
      <c r="K62" s="11"/>
      <c r="L62" s="11"/>
      <c r="M62" s="104" t="str">
        <f>$M$51&amp;" - Check"</f>
        <v>Department Profit (Loss) - Check</v>
      </c>
      <c r="N62" s="209">
        <f t="shared" ref="N62:Z62" si="45">SUMIF($H$34:$H$49,"REV",N34:N49)-SUMIF($H$34:$H$49,"EXP",N34:N49)-N60</f>
        <v>0</v>
      </c>
      <c r="O62" s="209">
        <f t="shared" si="45"/>
        <v>0</v>
      </c>
      <c r="P62" s="209">
        <f t="shared" si="45"/>
        <v>0</v>
      </c>
      <c r="Q62" s="209">
        <f t="shared" si="45"/>
        <v>0</v>
      </c>
      <c r="R62" s="209">
        <f t="shared" si="45"/>
        <v>0</v>
      </c>
      <c r="S62" s="209">
        <f t="shared" si="45"/>
        <v>0</v>
      </c>
      <c r="T62" s="209">
        <f t="shared" si="45"/>
        <v>0</v>
      </c>
      <c r="U62" s="209">
        <f t="shared" si="45"/>
        <v>0</v>
      </c>
      <c r="V62" s="209">
        <f t="shared" si="45"/>
        <v>0</v>
      </c>
      <c r="W62" s="209">
        <f t="shared" si="45"/>
        <v>0</v>
      </c>
      <c r="X62" s="209">
        <f t="shared" si="45"/>
        <v>0</v>
      </c>
      <c r="Y62" s="209">
        <f t="shared" si="45"/>
        <v>0</v>
      </c>
      <c r="Z62" s="209">
        <f t="shared" si="45"/>
        <v>0</v>
      </c>
      <c r="AA62" s="100"/>
      <c r="AB62" s="11"/>
      <c r="AC62" s="209">
        <f>SUMIF($H$34:$H$49,"REV",AC34:AC49)-SUMIF($H$34:$H$49,"EXP",AC34:AC49)-AC60</f>
        <v>0</v>
      </c>
      <c r="AD62" s="100"/>
      <c r="AE62" s="91"/>
      <c r="AF62" s="209">
        <f>SUMIF($H$34:$H$49,"REV",AF34:AF49)-SUMIF($H$34:$H$49,"EXP",AF34:AF49)-AF60</f>
        <v>0</v>
      </c>
      <c r="AG62" s="100"/>
      <c r="AH62" s="91"/>
      <c r="AI62" s="11"/>
      <c r="AJ62" s="11"/>
      <c r="AK62" s="11"/>
      <c r="AL62" s="11"/>
      <c r="AM62" s="11"/>
      <c r="AN62" s="11"/>
      <c r="AO62" s="11"/>
      <c r="AP62" s="11"/>
    </row>
    <row r="63" spans="1:42" x14ac:dyDescent="0.25">
      <c r="A63" s="65" t="s">
        <v>44</v>
      </c>
      <c r="B63" s="66"/>
      <c r="C63" s="11"/>
      <c r="D63" s="11"/>
      <c r="E63" s="11"/>
      <c r="F63" s="11"/>
      <c r="G63" s="11"/>
      <c r="H63" s="11"/>
      <c r="I63" s="59"/>
      <c r="J63" s="59"/>
      <c r="K63" s="11"/>
      <c r="L63" s="11"/>
      <c r="M63" s="11"/>
      <c r="N63" s="137"/>
      <c r="O63" s="137"/>
      <c r="P63" s="137"/>
      <c r="Q63" s="137"/>
      <c r="R63" s="137"/>
      <c r="S63" s="137"/>
      <c r="T63" s="137"/>
      <c r="U63" s="137"/>
      <c r="V63" s="137"/>
      <c r="W63" s="137"/>
      <c r="X63" s="137"/>
      <c r="Y63" s="137"/>
      <c r="Z63" s="137"/>
      <c r="AA63" s="11"/>
      <c r="AB63" s="11"/>
      <c r="AC63" s="11"/>
      <c r="AD63" s="11"/>
      <c r="AE63" s="11"/>
      <c r="AF63" s="11"/>
      <c r="AG63" s="11"/>
      <c r="AH63" s="11"/>
      <c r="AI63" s="11"/>
      <c r="AJ63" s="11"/>
      <c r="AK63" s="11"/>
      <c r="AL63" s="11"/>
      <c r="AM63" s="11"/>
      <c r="AN63" s="11"/>
      <c r="AO63" s="11"/>
      <c r="AP63" s="11"/>
    </row>
    <row r="64" spans="1:42" x14ac:dyDescent="0.25">
      <c r="A64" s="65" t="s">
        <v>45</v>
      </c>
      <c r="B64" s="66"/>
      <c r="C64" s="11"/>
      <c r="D64" s="11"/>
      <c r="E64" s="11"/>
      <c r="F64" s="11"/>
      <c r="G64" s="11"/>
      <c r="H64" s="11"/>
      <c r="I64" s="59"/>
      <c r="J64" s="59"/>
      <c r="K64" s="11"/>
      <c r="L64" s="11"/>
      <c r="M64" s="11"/>
      <c r="N64" s="137"/>
      <c r="O64" s="137"/>
      <c r="P64" s="137"/>
      <c r="Q64" s="137"/>
      <c r="R64" s="137"/>
      <c r="S64" s="137"/>
      <c r="T64" s="137"/>
      <c r="U64" s="137"/>
      <c r="V64" s="137"/>
      <c r="W64" s="137"/>
      <c r="X64" s="137"/>
      <c r="Y64" s="137"/>
      <c r="Z64" s="137"/>
      <c r="AA64" s="11"/>
      <c r="AB64" s="11"/>
      <c r="AC64" s="137"/>
      <c r="AD64" s="11"/>
      <c r="AE64" s="11"/>
      <c r="AF64" s="137"/>
      <c r="AG64" s="11"/>
      <c r="AH64" s="11"/>
      <c r="AI64" s="11"/>
      <c r="AJ64" s="11"/>
      <c r="AK64" s="11"/>
      <c r="AL64" s="11"/>
      <c r="AM64" s="11"/>
      <c r="AN64" s="11"/>
      <c r="AO64" s="11"/>
      <c r="AP64" s="11"/>
    </row>
    <row r="65" spans="1:42" x14ac:dyDescent="0.25">
      <c r="A65" s="65" t="s">
        <v>46</v>
      </c>
      <c r="B65" s="66"/>
      <c r="C65" s="11"/>
      <c r="D65" s="11"/>
      <c r="E65" s="11"/>
      <c r="F65" s="11"/>
      <c r="G65" s="11"/>
      <c r="H65" s="11"/>
      <c r="I65" s="59"/>
      <c r="J65" s="59"/>
      <c r="K65" s="11"/>
      <c r="L65" s="11"/>
      <c r="M65" s="11"/>
      <c r="N65" s="137"/>
      <c r="O65" s="137"/>
      <c r="P65" s="137"/>
      <c r="Q65" s="137"/>
      <c r="R65" s="137"/>
      <c r="S65" s="137"/>
      <c r="T65" s="137"/>
      <c r="U65" s="137"/>
      <c r="V65" s="137"/>
      <c r="W65" s="137"/>
      <c r="X65" s="137"/>
      <c r="Y65" s="137"/>
      <c r="Z65" s="137"/>
      <c r="AA65" s="11"/>
      <c r="AB65" s="11"/>
      <c r="AC65" s="137"/>
      <c r="AD65" s="11"/>
      <c r="AE65" s="11"/>
      <c r="AF65" s="137"/>
      <c r="AG65" s="11"/>
      <c r="AH65" s="11"/>
      <c r="AI65" s="11"/>
      <c r="AJ65" s="11"/>
      <c r="AK65" s="11"/>
      <c r="AL65" s="11"/>
      <c r="AM65" s="11"/>
      <c r="AN65" s="11"/>
      <c r="AO65" s="11"/>
      <c r="AP65" s="11"/>
    </row>
    <row r="66" spans="1:42" x14ac:dyDescent="0.25">
      <c r="A66" s="11"/>
      <c r="B66" s="11"/>
      <c r="C66" s="11"/>
      <c r="D66" s="11"/>
      <c r="E66" s="11"/>
      <c r="F66" s="11"/>
      <c r="G66" s="11"/>
      <c r="H66" s="11"/>
      <c r="I66" s="59"/>
      <c r="J66" s="59"/>
      <c r="K66" s="11"/>
      <c r="L66" s="11"/>
      <c r="M66" s="11"/>
      <c r="N66" s="137"/>
      <c r="O66" s="137"/>
      <c r="P66" s="137"/>
      <c r="Q66" s="137"/>
      <c r="R66" s="137"/>
      <c r="S66" s="137"/>
      <c r="T66" s="137"/>
      <c r="U66" s="137"/>
      <c r="V66" s="137"/>
      <c r="W66" s="137"/>
      <c r="X66" s="137"/>
      <c r="Y66" s="137"/>
      <c r="Z66" s="137"/>
      <c r="AA66" s="11"/>
      <c r="AB66" s="11"/>
      <c r="AC66" s="137"/>
      <c r="AD66" s="11"/>
      <c r="AE66" s="11"/>
      <c r="AF66" s="137"/>
      <c r="AG66" s="11"/>
      <c r="AH66" s="11"/>
      <c r="AI66" s="11"/>
      <c r="AJ66" s="11"/>
      <c r="AK66" s="11"/>
      <c r="AL66" s="11"/>
      <c r="AM66" s="11"/>
      <c r="AN66" s="11"/>
      <c r="AO66" s="11"/>
      <c r="AP66" s="11"/>
    </row>
    <row r="67" spans="1:42" x14ac:dyDescent="0.25">
      <c r="A67" s="11"/>
      <c r="B67" s="11"/>
      <c r="C67" s="11"/>
      <c r="D67" s="11"/>
      <c r="E67" s="11"/>
      <c r="F67" s="11"/>
      <c r="G67" s="11"/>
      <c r="H67" s="11"/>
      <c r="I67" s="59"/>
      <c r="J67" s="59"/>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row>
    <row r="68" spans="1:42" x14ac:dyDescent="0.25">
      <c r="A68" s="11"/>
      <c r="B68" s="11"/>
      <c r="C68" s="11"/>
      <c r="D68" s="11"/>
      <c r="E68" s="11"/>
      <c r="F68" s="11"/>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row>
    <row r="69" spans="1:42" x14ac:dyDescent="0.2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row>
    <row r="70" spans="1:42" x14ac:dyDescent="0.25">
      <c r="A70" s="11"/>
      <c r="B70" s="11"/>
      <c r="C70" s="11"/>
      <c r="D70" s="11"/>
      <c r="E70" s="11"/>
      <c r="F70" s="11"/>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row>
    <row r="71" spans="1:42" x14ac:dyDescent="0.25">
      <c r="A71" s="11"/>
      <c r="B71" s="11"/>
      <c r="C71" s="11"/>
      <c r="D71" s="11"/>
      <c r="E71" s="11"/>
      <c r="F71" s="11"/>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row>
    <row r="72" spans="1:42" x14ac:dyDescent="0.25">
      <c r="A72" s="11"/>
      <c r="B72" s="11"/>
      <c r="C72" s="11"/>
      <c r="D72" s="11"/>
      <c r="E72" s="11"/>
      <c r="F72" s="11"/>
      <c r="G72" s="76"/>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row>
    <row r="73" spans="1:42" x14ac:dyDescent="0.25">
      <c r="A73" s="11"/>
      <c r="B73" s="11"/>
      <c r="C73" s="11"/>
      <c r="D73" s="11"/>
      <c r="E73" s="11"/>
      <c r="F73" s="11"/>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row>
    <row r="74" spans="1:42" x14ac:dyDescent="0.25">
      <c r="A74" s="11"/>
      <c r="B74" s="11"/>
      <c r="C74" s="11"/>
      <c r="D74" s="11"/>
      <c r="E74" s="11"/>
      <c r="F74" s="11"/>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row>
    <row r="75" spans="1:42" x14ac:dyDescent="0.25">
      <c r="A75" s="11"/>
      <c r="B75" s="11"/>
      <c r="C75" s="11"/>
      <c r="D75" s="11"/>
      <c r="E75" s="11"/>
      <c r="F75" s="11"/>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row>
    <row r="76" spans="1:42" x14ac:dyDescent="0.25">
      <c r="A76" s="11"/>
      <c r="B76" s="11"/>
      <c r="C76" s="11"/>
      <c r="D76" s="11"/>
      <c r="E76" s="11"/>
      <c r="F76" s="11"/>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row>
    <row r="77" spans="1:42" x14ac:dyDescent="0.25">
      <c r="A77" s="11"/>
      <c r="B77" s="11"/>
      <c r="C77" s="11"/>
      <c r="D77" s="11"/>
      <c r="E77" s="11"/>
      <c r="F77" s="11"/>
      <c r="G77" s="76"/>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row>
    <row r="78" spans="1:42" x14ac:dyDescent="0.2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row>
    <row r="79" spans="1:42" x14ac:dyDescent="0.25">
      <c r="A79" s="11"/>
      <c r="B79" s="11"/>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row>
    <row r="80" spans="1:42" x14ac:dyDescent="0.25">
      <c r="A80" s="11"/>
      <c r="B80" s="11"/>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row>
    <row r="81" spans="1:42" x14ac:dyDescent="0.2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row>
    <row r="82" spans="1:42" x14ac:dyDescent="0.2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row>
    <row r="83" spans="1:42" x14ac:dyDescent="0.25">
      <c r="A83" s="11"/>
      <c r="B83" s="11"/>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row>
    <row r="84" spans="1:42" x14ac:dyDescent="0.25">
      <c r="A84" s="11"/>
      <c r="B84" s="11"/>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row>
    <row r="85" spans="1:42" x14ac:dyDescent="0.25">
      <c r="A85" s="11"/>
      <c r="B85" s="11"/>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row>
    <row r="86" spans="1:42" x14ac:dyDescent="0.25">
      <c r="A86" s="11"/>
      <c r="B86" s="11"/>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row>
    <row r="87" spans="1:42" x14ac:dyDescent="0.25">
      <c r="A87" s="11"/>
      <c r="B87" s="11"/>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row>
    <row r="88" spans="1:42" x14ac:dyDescent="0.25">
      <c r="A88" s="11"/>
      <c r="B88" s="11"/>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row>
    <row r="89" spans="1:42" x14ac:dyDescent="0.25">
      <c r="A89" s="11"/>
      <c r="B89" s="11"/>
      <c r="C89" s="11"/>
      <c r="D89" s="11"/>
      <c r="E89" s="11"/>
      <c r="F89" s="11"/>
      <c r="G89" s="11"/>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row>
    <row r="90" spans="1:42" x14ac:dyDescent="0.25">
      <c r="A90" s="11"/>
      <c r="B90" s="11"/>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row>
    <row r="91" spans="1:42" x14ac:dyDescent="0.2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row>
    <row r="92" spans="1:42" x14ac:dyDescent="0.25">
      <c r="A92" s="11"/>
      <c r="B92" s="11"/>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row>
    <row r="93" spans="1:42" x14ac:dyDescent="0.25">
      <c r="A93" s="11"/>
      <c r="B93" s="11"/>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row>
    <row r="94" spans="1:42" x14ac:dyDescent="0.25">
      <c r="A94" s="11"/>
      <c r="B94" s="11"/>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row>
    <row r="95" spans="1:42" x14ac:dyDescent="0.25">
      <c r="A95" s="11"/>
      <c r="B95" s="11"/>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row>
    <row r="96" spans="1:42" x14ac:dyDescent="0.25">
      <c r="A96" s="11"/>
      <c r="B96" s="11"/>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row>
    <row r="97" spans="1:42" x14ac:dyDescent="0.25">
      <c r="A97" s="11"/>
      <c r="B97" s="11"/>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row>
    <row r="98" spans="1:42" x14ac:dyDescent="0.25">
      <c r="A98" s="11"/>
      <c r="B98" s="11"/>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row>
    <row r="99" spans="1:42" x14ac:dyDescent="0.25">
      <c r="A99" s="11"/>
      <c r="B99" s="11"/>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row>
    <row r="100" spans="1:42" x14ac:dyDescent="0.25">
      <c r="A100" s="11"/>
      <c r="B100" s="11"/>
      <c r="C100" s="11"/>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row>
    <row r="101" spans="1:42" x14ac:dyDescent="0.2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row>
    <row r="102" spans="1:42" x14ac:dyDescent="0.2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row>
    <row r="103" spans="1:42" x14ac:dyDescent="0.2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row>
    <row r="104" spans="1:42" x14ac:dyDescent="0.25">
      <c r="A104" s="11"/>
      <c r="B104" s="11"/>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row>
    <row r="105" spans="1:42" x14ac:dyDescent="0.25">
      <c r="A105" s="11"/>
      <c r="B105" s="11"/>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row>
    <row r="106" spans="1:42" x14ac:dyDescent="0.25">
      <c r="A106" s="11"/>
      <c r="B106" s="11"/>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row>
    <row r="107" spans="1:42" x14ac:dyDescent="0.25">
      <c r="A107" s="11"/>
      <c r="B107" s="11"/>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row>
    <row r="108" spans="1:42" x14ac:dyDescent="0.25">
      <c r="A108" s="11"/>
      <c r="B108" s="11"/>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row>
    <row r="109" spans="1:42" x14ac:dyDescent="0.25">
      <c r="A109" s="11"/>
      <c r="B109" s="11"/>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row>
    <row r="110" spans="1:42" x14ac:dyDescent="0.2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row>
    <row r="111" spans="1:42" x14ac:dyDescent="0.25">
      <c r="A111" s="11"/>
      <c r="B111" s="11"/>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row>
    <row r="112" spans="1:42" x14ac:dyDescent="0.2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row>
    <row r="113" spans="1:42" x14ac:dyDescent="0.2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row>
    <row r="114" spans="1:42" x14ac:dyDescent="0.2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row>
    <row r="115" spans="1:42" x14ac:dyDescent="0.25">
      <c r="A115" s="11"/>
      <c r="B115" s="11"/>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row>
    <row r="116" spans="1:42" x14ac:dyDescent="0.25">
      <c r="A116" s="11"/>
      <c r="B116" s="11"/>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row>
    <row r="117" spans="1:42" x14ac:dyDescent="0.25">
      <c r="A117" s="11"/>
      <c r="B117" s="11"/>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row>
    <row r="118" spans="1:42" x14ac:dyDescent="0.25">
      <c r="A118" s="11"/>
      <c r="B118" s="11"/>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row>
    <row r="119" spans="1:42" x14ac:dyDescent="0.25">
      <c r="A119" s="11"/>
      <c r="B119" s="11"/>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row>
    <row r="120" spans="1:42" x14ac:dyDescent="0.25">
      <c r="A120" s="11"/>
      <c r="B120" s="11"/>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row>
    <row r="121" spans="1:42" x14ac:dyDescent="0.25">
      <c r="A121" s="11"/>
      <c r="B121" s="11"/>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row>
    <row r="122" spans="1:42"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row>
    <row r="123" spans="1:42" x14ac:dyDescent="0.2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row>
    <row r="124" spans="1:42" x14ac:dyDescent="0.25">
      <c r="A124" s="11"/>
      <c r="B124" s="11"/>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row>
    <row r="125" spans="1:42" x14ac:dyDescent="0.25">
      <c r="A125" s="11"/>
      <c r="B125" s="11"/>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row>
    <row r="126" spans="1:42" x14ac:dyDescent="0.25">
      <c r="A126" s="11"/>
      <c r="B126" s="11"/>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row>
    <row r="127" spans="1:42" x14ac:dyDescent="0.25">
      <c r="A127" s="11"/>
      <c r="B127" s="11"/>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row>
    <row r="128" spans="1:42" x14ac:dyDescent="0.25">
      <c r="A128" s="11"/>
      <c r="B128" s="11"/>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row>
    <row r="129" spans="1:42" x14ac:dyDescent="0.25">
      <c r="A129" s="11"/>
      <c r="B129" s="11"/>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row>
    <row r="130" spans="1:42" x14ac:dyDescent="0.25">
      <c r="A130" s="11"/>
      <c r="B130" s="11"/>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row>
    <row r="131" spans="1:42" x14ac:dyDescent="0.25">
      <c r="A131" s="11"/>
      <c r="B131" s="11"/>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row>
    <row r="132" spans="1:42" x14ac:dyDescent="0.25">
      <c r="A132" s="11"/>
      <c r="B132" s="11"/>
      <c r="C132" s="11"/>
      <c r="D132" s="11"/>
      <c r="E132" s="11"/>
      <c r="F132" s="11"/>
      <c r="G132" s="11"/>
      <c r="H132" s="11"/>
      <c r="I132" s="267"/>
      <c r="J132" s="11"/>
      <c r="K132" s="267"/>
      <c r="L132" s="267"/>
      <c r="M132" s="11"/>
      <c r="N132" s="267"/>
      <c r="O132" s="267"/>
      <c r="P132" s="267"/>
      <c r="Q132" s="267"/>
      <c r="R132" s="267"/>
      <c r="S132" s="267"/>
      <c r="T132" s="267"/>
      <c r="U132" s="267"/>
      <c r="V132" s="267"/>
      <c r="W132" s="267"/>
      <c r="X132" s="267"/>
      <c r="Y132" s="267"/>
      <c r="Z132" s="267"/>
      <c r="AA132" s="11"/>
      <c r="AB132" s="11"/>
      <c r="AC132" s="267"/>
      <c r="AD132" s="11"/>
      <c r="AE132" s="267"/>
      <c r="AF132" s="11"/>
      <c r="AG132" s="267"/>
      <c r="AH132" s="11"/>
      <c r="AI132" s="11"/>
      <c r="AJ132" s="11"/>
      <c r="AK132" s="11"/>
      <c r="AL132" s="11"/>
      <c r="AM132" s="11"/>
      <c r="AN132" s="11"/>
      <c r="AO132" s="11"/>
      <c r="AP132" s="11"/>
    </row>
    <row r="133" spans="1:42" x14ac:dyDescent="0.2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row>
    <row r="134" spans="1:42" x14ac:dyDescent="0.2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row>
    <row r="135" spans="1:42" x14ac:dyDescent="0.25">
      <c r="A135" s="11"/>
      <c r="B135" s="11"/>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row>
    <row r="136" spans="1:42" x14ac:dyDescent="0.25">
      <c r="A136" s="11"/>
      <c r="B136" s="11"/>
      <c r="C136" s="11"/>
      <c r="D136" s="11"/>
      <c r="E136" s="11"/>
      <c r="F136" s="11"/>
      <c r="G136" s="11"/>
      <c r="H136" s="11"/>
      <c r="I136" s="267"/>
      <c r="J136" s="11"/>
      <c r="K136" s="267"/>
      <c r="L136" s="267"/>
      <c r="M136" s="11"/>
      <c r="N136" s="267"/>
      <c r="O136" s="267"/>
      <c r="P136" s="267"/>
      <c r="Q136" s="267"/>
      <c r="R136" s="267"/>
      <c r="S136" s="267"/>
      <c r="T136" s="267"/>
      <c r="U136" s="267"/>
      <c r="V136" s="267"/>
      <c r="W136" s="267"/>
      <c r="X136" s="267"/>
      <c r="Y136" s="267"/>
      <c r="Z136" s="267"/>
      <c r="AA136" s="11"/>
      <c r="AB136" s="11"/>
      <c r="AC136" s="267"/>
      <c r="AD136" s="11"/>
      <c r="AE136" s="267"/>
      <c r="AF136" s="11"/>
      <c r="AG136" s="267"/>
      <c r="AH136" s="11"/>
      <c r="AI136" s="11"/>
      <c r="AJ136" s="11"/>
      <c r="AK136" s="11"/>
      <c r="AL136" s="11"/>
      <c r="AM136" s="11"/>
      <c r="AN136" s="11"/>
      <c r="AO136" s="11"/>
      <c r="AP136" s="11"/>
    </row>
    <row r="137" spans="1:42" x14ac:dyDescent="0.2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row>
    <row r="138" spans="1:42" x14ac:dyDescent="0.2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row>
    <row r="139" spans="1:42" x14ac:dyDescent="0.2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row>
    <row r="140" spans="1:42" x14ac:dyDescent="0.2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row>
    <row r="141" spans="1:42" x14ac:dyDescent="0.2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row>
    <row r="142" spans="1:42" x14ac:dyDescent="0.2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row>
    <row r="143" spans="1:42" x14ac:dyDescent="0.2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row>
    <row r="144" spans="1:42" x14ac:dyDescent="0.25">
      <c r="A144" s="11"/>
      <c r="B144" s="11"/>
      <c r="C144" s="11"/>
      <c r="D144" s="11"/>
      <c r="E144" s="267"/>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row>
    <row r="145" spans="1:42" x14ac:dyDescent="0.2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row>
    <row r="146" spans="1:42" x14ac:dyDescent="0.2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row>
    <row r="147" spans="1:42"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row>
    <row r="148" spans="1:42" x14ac:dyDescent="0.25">
      <c r="A148" s="11"/>
      <c r="B148" s="11"/>
      <c r="C148" s="11"/>
      <c r="D148" s="11"/>
      <c r="E148" s="267"/>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row>
    <row r="149" spans="1:42"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row>
    <row r="150" spans="1:42"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row>
    <row r="151" spans="1:42"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row>
    <row r="152" spans="1:42"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row>
    <row r="153" spans="1:42"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row>
    <row r="154" spans="1:42"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row>
    <row r="155" spans="1:42"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row>
    <row r="156" spans="1:42" x14ac:dyDescent="0.25">
      <c r="A156" s="11"/>
      <c r="B156" s="11"/>
      <c r="C156" s="11"/>
      <c r="D156" s="11"/>
      <c r="E156" s="11"/>
      <c r="F156" s="11"/>
      <c r="G156" s="267"/>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row>
    <row r="157" spans="1:42"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row>
    <row r="158" spans="1:42"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row>
    <row r="159" spans="1:42"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row>
    <row r="160" spans="1:42" x14ac:dyDescent="0.25">
      <c r="A160" s="11"/>
      <c r="B160" s="11"/>
      <c r="C160" s="11"/>
      <c r="D160" s="11"/>
      <c r="E160" s="11"/>
      <c r="F160" s="11"/>
      <c r="G160" s="267"/>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row>
  </sheetData>
  <sheetProtection algorithmName="SHA-512" hashValue="cFLfC/pcSNOIOJpZq/H2dk2QJaMJZT1cfWGVBEvwBZQBkQB0y6rtbeI8NmXpLNp67IqXvlYz71AaU8r/bD2PgA==" saltValue="DZA5Z8/e8td+hmLKbawtvQ==" spinCount="100000" sheet="1" scenarios="1"/>
  <mergeCells count="2">
    <mergeCell ref="AC31:AD31"/>
    <mergeCell ref="AF31:AG31"/>
  </mergeCells>
  <dataValidations disablePrompts="1" count="2">
    <dataValidation type="list" allowBlank="1" sqref="B28:C28" xr:uid="{00000000-0002-0000-1E00-000000000000}">
      <formula1>"ACCOUNT,BUSINESSUNIT,CATEGORY,DATASRC,DEPARTMENT,INTCO,MEASURES,RPTCURRENCY,TIME"</formula1>
    </dataValidation>
    <dataValidation type="list" allowBlank="1" sqref="B29:C29" xr:uid="{00000000-0002-0000-1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3016" r:id="rId7" name="FPMExcelClientSheetOptionstb1">
          <controlPr defaultSize="0" autoLine="0" r:id="rId8">
            <anchor moveWithCells="1" sizeWithCells="1">
              <from>
                <xdr:col>0</xdr:col>
                <xdr:colOff>0</xdr:colOff>
                <xdr:row>0</xdr:row>
                <xdr:rowOff>0</xdr:rowOff>
              </from>
              <to>
                <xdr:col>12</xdr:col>
                <xdr:colOff>904875</xdr:colOff>
                <xdr:row>0</xdr:row>
                <xdr:rowOff>0</xdr:rowOff>
              </to>
            </anchor>
          </controlPr>
        </control>
      </mc:Choice>
      <mc:Fallback>
        <control shapeId="43016" r:id="rId7" name="FPMExcelClientSheetOptionstb1"/>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5">
    <tabColor theme="9" tint="0.39997558519241921"/>
    <pageSetUpPr fitToPage="1"/>
  </sheetPr>
  <dimension ref="A1:AI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16384" width="9.140625" style="1"/>
  </cols>
  <sheetData>
    <row r="1" spans="1:35"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row>
    <row r="2" spans="1:35"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row>
    <row r="3" spans="1:35"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row>
    <row r="4" spans="1:35"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row>
    <row r="5" spans="1:35"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row>
    <row r="6" spans="1:35" hidden="1" outlineLevel="1" x14ac:dyDescent="0.25">
      <c r="A6" s="53" t="s">
        <v>52</v>
      </c>
      <c r="B6" s="56" t="s">
        <v>365</v>
      </c>
      <c r="C6" s="11" t="str">
        <f>IF(_epmOfflineCondition_,"Guest Communications",_xll.EVDES(B6,$B$1))</f>
        <v>Guest Communications</v>
      </c>
      <c r="D6" s="11"/>
      <c r="E6" s="58" t="str">
        <f>IF(_epmOfflineCondition_,"D1131",_xll.EVPRO($B$1,$B$6,$F$6))</f>
        <v>D1131</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row>
    <row r="7" spans="1:35"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row>
    <row r="8" spans="1:35"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row>
    <row r="9" spans="1:35"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row>
    <row r="10" spans="1:35"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row>
    <row r="11" spans="1:35"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row>
    <row r="12" spans="1:35"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row>
    <row r="13" spans="1:35"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row>
    <row r="14" spans="1:35"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row>
    <row r="15" spans="1:35"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row>
    <row r="16" spans="1:35"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row>
    <row r="17" spans="1:35" hidden="1" outlineLevel="1" x14ac:dyDescent="0.25">
      <c r="A17" s="65" t="s">
        <v>2</v>
      </c>
      <c r="B17" s="66" t="str">
        <f>IF(_epmOfflineCondition_,"'Telcom_Legacy'!$B$2:$B$10",_xll.EVRNG($B$2:$B$10))</f>
        <v>'Telcom_Legacy'!$B$2:$B$10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row>
    <row r="18" spans="1:35" hidden="1" outlineLevel="1" x14ac:dyDescent="0.25">
      <c r="A18" s="65" t="s">
        <v>3</v>
      </c>
      <c r="B18" s="66" t="str">
        <f>IF(_epmOfflineCondition_,"'Telcom_Legacy'!$O$16:$AI$18",_xll.EVRNG(O16:AI18))</f>
        <v>'Telcom_Legacy'!$O$16:$AI$18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row>
    <row r="19" spans="1:35" hidden="1" outlineLevel="1" x14ac:dyDescent="0.25">
      <c r="A19" s="65" t="s">
        <v>4</v>
      </c>
      <c r="B19" s="66" t="str">
        <f>IF(_epmOfflineCondition_,"'Telcom_Legacy'!$H$34:$H$39",_xll.EVRNG(H34:H39))</f>
        <v>'Telcom_Legacy'!$H$34:$H$39</v>
      </c>
      <c r="C19" s="11"/>
      <c r="D19" s="11"/>
      <c r="E19" s="11"/>
      <c r="F19" s="11"/>
      <c r="G19" s="67" t="str">
        <f>$B$6</f>
        <v>D_TELCOM</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row>
    <row r="20" spans="1:35" hidden="1" outlineLevel="1" x14ac:dyDescent="0.25">
      <c r="A20" s="65" t="s">
        <v>5</v>
      </c>
      <c r="B20" s="66"/>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row>
    <row r="21" spans="1:35"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row>
    <row r="22" spans="1:35" hidden="1" outlineLevel="1" x14ac:dyDescent="0.25">
      <c r="A22" s="65" t="s">
        <v>7</v>
      </c>
      <c r="B22" s="66" t="str">
        <f>IF(_epmOfflineCondition_,"'Telcom_Legacy'!$A$36:$F$40",_xll.EVRNG(A36:F40))</f>
        <v>'Telcom_Legacy'!$A$36:$F$40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row>
    <row r="23" spans="1:35" hidden="1" outlineLevel="1" x14ac:dyDescent="0.25">
      <c r="A23" s="65" t="s">
        <v>47</v>
      </c>
      <c r="B23" s="66" t="str">
        <f>IF(_epmOfflineCondition_,"'Telcom_Legacy'!$A$117:$B$138",_xll.EVRNG($A$117:$B$138))</f>
        <v>'Telcom_Legacy'!$A$117:$B$138</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11"/>
      <c r="AE23" s="11"/>
      <c r="AF23" s="11"/>
      <c r="AG23" s="11"/>
      <c r="AH23" s="11"/>
      <c r="AI23" s="11"/>
    </row>
    <row r="24" spans="1:35"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row>
    <row r="25" spans="1:35"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row>
    <row r="26" spans="1:35"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row>
    <row r="27" spans="1:35" ht="18" x14ac:dyDescent="0.25">
      <c r="A27" s="65" t="s">
        <v>11</v>
      </c>
      <c r="B27" s="66" t="s">
        <v>21</v>
      </c>
      <c r="C27" s="11"/>
      <c r="D27" s="11"/>
      <c r="E27" s="11"/>
      <c r="F27" s="11"/>
      <c r="G27" s="11"/>
      <c r="H27" s="11"/>
      <c r="I27" s="59"/>
      <c r="J27" s="59"/>
      <c r="K27" s="11"/>
      <c r="L27" s="11"/>
      <c r="M27" s="11"/>
      <c r="N27" s="71" t="str">
        <f>IF(_epmOfflineCondition_,"Guest Communications Department",IF(_xll.EVDES(B6,$B$1)="#NODATA","",_xll.EVDES(B6,$B$1)&amp;" Department"))</f>
        <v>Guest Communications Department</v>
      </c>
      <c r="O27" s="11"/>
      <c r="P27" s="11"/>
      <c r="Q27" s="11"/>
      <c r="R27" s="11"/>
      <c r="S27" s="11"/>
      <c r="T27" s="11"/>
      <c r="U27" s="11"/>
      <c r="V27" s="11"/>
      <c r="W27" s="11"/>
      <c r="X27" s="11"/>
      <c r="Y27" s="11"/>
      <c r="Z27" s="11"/>
      <c r="AA27" s="11"/>
      <c r="AB27" s="11"/>
      <c r="AC27" s="11"/>
      <c r="AD27" s="11"/>
      <c r="AE27" s="11"/>
      <c r="AF27" s="11"/>
      <c r="AG27" s="11"/>
      <c r="AH27" s="11"/>
      <c r="AI27" s="11"/>
    </row>
    <row r="28" spans="1:35"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row>
    <row r="29" spans="1:35" ht="15" customHeight="1" x14ac:dyDescent="0.25">
      <c r="A29" s="65" t="s">
        <v>13</v>
      </c>
      <c r="B29" s="66" t="str">
        <f>"DEP(410000) AND "&amp;$E$6&amp;"=Y,400000"</f>
        <v>DEP(410000) AND D1131=Y,400000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row>
    <row r="30" spans="1:35"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row>
    <row r="31" spans="1:35"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row>
    <row r="32" spans="1:35"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row>
    <row r="33" spans="1:35"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row>
    <row r="34" spans="1:35" x14ac:dyDescent="0.25">
      <c r="A34" s="11"/>
      <c r="B34" s="11"/>
      <c r="C34" s="11"/>
      <c r="D34" s="11"/>
      <c r="E34" s="11"/>
      <c r="F34" s="11"/>
      <c r="G34" s="11"/>
      <c r="H34" s="88" t="s">
        <v>656</v>
      </c>
      <c r="I34" s="122" t="str">
        <f>IF(_epmOfflineCondition_,"N",_xll.EVPRO($B$1,$H34,"STYLE"))</f>
        <v>N</v>
      </c>
      <c r="J34" s="122" t="str">
        <f>IF(_epmOfflineCondition_,"N",_xll.EVPRO($B$1,$H34,"CALC"))</f>
        <v>N</v>
      </c>
      <c r="K34" s="179" t="str">
        <f t="shared" ref="K34:K39" si="0">IF(AND(I34&gt;="T5"),"&gt;","")</f>
        <v/>
      </c>
      <c r="L34" s="90" t="str">
        <f>IF(_epmOfflineCondition_,"410100",_xll.EVPRO($B$1,H34,"JDEID"))</f>
        <v>410100</v>
      </c>
      <c r="M34" s="90" t="str">
        <f>IF(_epmOfflineCondition_,"204010",IF(AND(I34="N",J34="N"),_xll.EVPRO($B$1,H34,"PSFTID"),""))</f>
        <v>204010</v>
      </c>
      <c r="N34" s="90" t="str">
        <f>IF(_epmOfflineCondition_,"Local Call Revenue",IF(_xll.EVDES(H34,$B$1)="#NODATA","",_xll.EVDES(H34,$B$1)))</f>
        <v>Local Call Revenue</v>
      </c>
      <c r="O34" s="457"/>
      <c r="P34" s="210"/>
      <c r="Q34" s="210"/>
      <c r="R34" s="210"/>
      <c r="S34" s="210"/>
      <c r="T34" s="210"/>
      <c r="U34" s="210"/>
      <c r="V34" s="210"/>
      <c r="W34" s="210"/>
      <c r="X34" s="210"/>
      <c r="Y34" s="210"/>
      <c r="Z34" s="210"/>
      <c r="AA34" s="210">
        <f t="shared" ref="AA34:AA39" si="1">IF($I34="B1","",SUM(O34:Z34))</f>
        <v>0</v>
      </c>
      <c r="AB34" s="458" t="str">
        <f t="shared" ref="AB34:AB39" si="2">IF(AA34=0,"",IFERROR(AA34/AA$19,""))</f>
        <v/>
      </c>
      <c r="AC34" s="528"/>
      <c r="AD34" s="210"/>
      <c r="AE34" s="458" t="str">
        <f t="shared" ref="AE34:AE39" si="3">IF(AD34=0,"",IFERROR(AD34/AD$19,""))</f>
        <v/>
      </c>
      <c r="AF34" s="460">
        <f t="shared" ref="AF34:AF39" si="4">IF(AND($AA34="",AD34=""),"",$AA34-AD34)</f>
        <v>0</v>
      </c>
      <c r="AG34" s="210"/>
      <c r="AH34" s="458" t="str">
        <f t="shared" ref="AH34:AH39" si="5">IF(AG34=0,"",IFERROR(AG34/AG$19,""))</f>
        <v/>
      </c>
      <c r="AI34" s="461">
        <f t="shared" ref="AI34:AI39" si="6">IF(AND($AA34="",AG34=""),"",$AA34-AG34)</f>
        <v>0</v>
      </c>
    </row>
    <row r="35" spans="1:35" x14ac:dyDescent="0.25">
      <c r="A35" s="97" t="s">
        <v>92</v>
      </c>
      <c r="B35" s="98" t="s">
        <v>93</v>
      </c>
      <c r="C35" s="98" t="s">
        <v>94</v>
      </c>
      <c r="D35" s="98" t="s">
        <v>95</v>
      </c>
      <c r="E35" s="98" t="s">
        <v>96</v>
      </c>
      <c r="F35" s="99" t="s">
        <v>97</v>
      </c>
      <c r="G35" s="11"/>
      <c r="H35" s="88" t="s">
        <v>657</v>
      </c>
      <c r="I35" s="122" t="str">
        <f>IF(_epmOfflineCondition_,"N",_xll.EVPRO($B$1,$H35,"STYLE"))</f>
        <v>N</v>
      </c>
      <c r="J35" s="122" t="str">
        <f>IF(_epmOfflineCondition_,"N",_xll.EVPRO($B$1,$H35,"CALC"))</f>
        <v>N</v>
      </c>
      <c r="K35" s="179" t="str">
        <f t="shared" si="0"/>
        <v/>
      </c>
      <c r="L35" s="90" t="str">
        <f>IF(_epmOfflineCondition_,"410200",_xll.EVPRO($B$1,H35,"JDEID"))</f>
        <v>410200</v>
      </c>
      <c r="M35" s="90" t="str">
        <f>IF(_epmOfflineCondition_,"204012",IF(AND(I35="N",J35="N"),_xll.EVPRO($B$1,H35,"PSFTID"),""))</f>
        <v>204012</v>
      </c>
      <c r="N35" s="90" t="str">
        <f>IF(_epmOfflineCondition_,"Long Distance Revenue",IF(_xll.EVDES(H35,$B$1)="#NODATA","",_xll.EVDES(H35,$B$1)))</f>
        <v>Long Distance Revenue</v>
      </c>
      <c r="O35" s="457"/>
      <c r="P35" s="210"/>
      <c r="Q35" s="210"/>
      <c r="R35" s="210"/>
      <c r="S35" s="210"/>
      <c r="T35" s="210"/>
      <c r="U35" s="210"/>
      <c r="V35" s="210"/>
      <c r="W35" s="210"/>
      <c r="X35" s="210"/>
      <c r="Y35" s="210"/>
      <c r="Z35" s="210"/>
      <c r="AA35" s="210">
        <f t="shared" si="1"/>
        <v>0</v>
      </c>
      <c r="AB35" s="458" t="str">
        <f t="shared" si="2"/>
        <v/>
      </c>
      <c r="AC35" s="528"/>
      <c r="AD35" s="210"/>
      <c r="AE35" s="458" t="str">
        <f t="shared" si="3"/>
        <v/>
      </c>
      <c r="AF35" s="460">
        <f t="shared" si="4"/>
        <v>0</v>
      </c>
      <c r="AG35" s="210"/>
      <c r="AH35" s="458" t="str">
        <f t="shared" si="5"/>
        <v/>
      </c>
      <c r="AI35" s="461">
        <f t="shared" si="6"/>
        <v>0</v>
      </c>
    </row>
    <row r="36" spans="1:35" x14ac:dyDescent="0.25">
      <c r="A36" s="11"/>
      <c r="B36" s="11"/>
      <c r="C36" s="11"/>
      <c r="D36" s="11"/>
      <c r="E36" s="11"/>
      <c r="F36" s="11"/>
      <c r="G36" s="11"/>
      <c r="H36" s="88" t="s">
        <v>658</v>
      </c>
      <c r="I36" s="122" t="str">
        <f>IF(_epmOfflineCondition_,"N",_xll.EVPRO($B$1,$H36,"STYLE"))</f>
        <v>N</v>
      </c>
      <c r="J36" s="122" t="str">
        <f>IF(_epmOfflineCondition_,"N",_xll.EVPRO($B$1,$H36,"CALC"))</f>
        <v>N</v>
      </c>
      <c r="K36" s="179" t="str">
        <f t="shared" si="0"/>
        <v/>
      </c>
      <c r="L36" s="90" t="str">
        <f>IF(_epmOfflineCondition_,"410300",_xll.EVPRO($B$1,H36,"JDEID"))</f>
        <v>410300</v>
      </c>
      <c r="M36" s="90" t="str">
        <f>IF(_epmOfflineCondition_,"204019",IF(AND(I36="N",J36="N"),_xll.EVPRO($B$1,H36,"PSFTID"),""))</f>
        <v>204019</v>
      </c>
      <c r="N36" s="90" t="str">
        <f>IF(_epmOfflineCondition_,"Internet Revenue",IF(_xll.EVDES(H36,$B$1)="#NODATA","",_xll.EVDES(H36,$B$1)))</f>
        <v>Internet Revenue</v>
      </c>
      <c r="O36" s="457"/>
      <c r="P36" s="210"/>
      <c r="Q36" s="210"/>
      <c r="R36" s="210"/>
      <c r="S36" s="210"/>
      <c r="T36" s="210"/>
      <c r="U36" s="210"/>
      <c r="V36" s="210"/>
      <c r="W36" s="210"/>
      <c r="X36" s="210"/>
      <c r="Y36" s="210"/>
      <c r="Z36" s="210"/>
      <c r="AA36" s="210">
        <f t="shared" si="1"/>
        <v>0</v>
      </c>
      <c r="AB36" s="458" t="str">
        <f t="shared" si="2"/>
        <v/>
      </c>
      <c r="AC36" s="528"/>
      <c r="AD36" s="210"/>
      <c r="AE36" s="458" t="str">
        <f t="shared" si="3"/>
        <v/>
      </c>
      <c r="AF36" s="460">
        <f t="shared" si="4"/>
        <v>0</v>
      </c>
      <c r="AG36" s="210"/>
      <c r="AH36" s="458" t="str">
        <f t="shared" si="5"/>
        <v/>
      </c>
      <c r="AI36" s="461">
        <f t="shared" si="6"/>
        <v>0</v>
      </c>
    </row>
    <row r="37" spans="1:35" x14ac:dyDescent="0.25">
      <c r="A37" s="11" t="s">
        <v>209</v>
      </c>
      <c r="B37" s="11" t="s">
        <v>21</v>
      </c>
      <c r="C37" s="395"/>
      <c r="D37" s="11" t="s">
        <v>590</v>
      </c>
      <c r="E37" s="11"/>
      <c r="F37" s="11" t="s">
        <v>99</v>
      </c>
      <c r="G37" s="11"/>
      <c r="H37" s="88" t="s">
        <v>659</v>
      </c>
      <c r="I37" s="122" t="str">
        <f>IF(_epmOfflineCondition_,"N",_xll.EVPRO($B$1,$H37,"STYLE"))</f>
        <v>N</v>
      </c>
      <c r="J37" s="122" t="str">
        <f>IF(_epmOfflineCondition_,"N",_xll.EVPRO($B$1,$H37,"CALC"))</f>
        <v>N</v>
      </c>
      <c r="K37" s="179" t="str">
        <f t="shared" si="0"/>
        <v/>
      </c>
      <c r="L37" s="90" t="str">
        <f>IF(_epmOfflineCondition_,"410400",_xll.EVPRO($B$1,H37,"JDEID"))</f>
        <v>410400</v>
      </c>
      <c r="M37" s="90" t="str">
        <f>IF(_epmOfflineCondition_,"204098",IF(AND(I37="N",J37="N"),_xll.EVPRO($B$1,H37,"PSFTID"),""))</f>
        <v>204098</v>
      </c>
      <c r="N37" s="90" t="str">
        <f>IF(_epmOfflineCondition_,"Other Revenue",IF(_xll.EVDES(H37,$B$1)="#NODATA","",_xll.EVDES(H37,$B$1)))</f>
        <v>Other Revenue</v>
      </c>
      <c r="O37" s="457"/>
      <c r="P37" s="210"/>
      <c r="Q37" s="210"/>
      <c r="R37" s="210"/>
      <c r="S37" s="210"/>
      <c r="T37" s="210"/>
      <c r="U37" s="210"/>
      <c r="V37" s="210"/>
      <c r="W37" s="210"/>
      <c r="X37" s="210"/>
      <c r="Y37" s="210"/>
      <c r="Z37" s="210"/>
      <c r="AA37" s="210">
        <f t="shared" si="1"/>
        <v>0</v>
      </c>
      <c r="AB37" s="458" t="str">
        <f t="shared" si="2"/>
        <v/>
      </c>
      <c r="AC37" s="528"/>
      <c r="AD37" s="210"/>
      <c r="AE37" s="458" t="str">
        <f t="shared" si="3"/>
        <v/>
      </c>
      <c r="AF37" s="460">
        <f t="shared" si="4"/>
        <v>0</v>
      </c>
      <c r="AG37" s="210"/>
      <c r="AH37" s="458" t="str">
        <f t="shared" si="5"/>
        <v/>
      </c>
      <c r="AI37" s="461">
        <f t="shared" si="6"/>
        <v>0</v>
      </c>
    </row>
    <row r="38" spans="1:35" x14ac:dyDescent="0.25">
      <c r="A38" s="11" t="s">
        <v>105</v>
      </c>
      <c r="B38" s="11"/>
      <c r="C38" s="104" t="s">
        <v>101</v>
      </c>
      <c r="D38" s="11" t="s">
        <v>106</v>
      </c>
      <c r="E38" s="11"/>
      <c r="F38" s="11" t="s">
        <v>98</v>
      </c>
      <c r="G38" s="11"/>
      <c r="H38" s="88" t="s">
        <v>660</v>
      </c>
      <c r="I38" s="122" t="str">
        <f>IF(_epmOfflineCondition_,"N",_xll.EVPRO($B$1,$H38,"STYLE"))</f>
        <v>N</v>
      </c>
      <c r="J38" s="122" t="str">
        <f>IF(_epmOfflineCondition_,"N",_xll.EVPRO($B$1,$H38,"CALC"))</f>
        <v>N</v>
      </c>
      <c r="K38" s="179" t="str">
        <f t="shared" si="0"/>
        <v/>
      </c>
      <c r="L38" s="90" t="str">
        <f>IF(_epmOfflineCondition_,"410500",_xll.EVPRO($B$1,H38,"JDEID"))</f>
        <v>410500</v>
      </c>
      <c r="M38" s="90" t="str">
        <f>IF(_epmOfflineCondition_,"200529",IF(AND(I38="N",J38="N"),_xll.EVPRO($B$1,H38,"PSFTID"),""))</f>
        <v>200529</v>
      </c>
      <c r="N38" s="90" t="str">
        <f>IF(_epmOfflineCondition_,"Guest Comm: Allowances",IF(_xll.EVDES(H38,$B$1)="#NODATA","",_xll.EVDES(H38,$B$1)))</f>
        <v>Guest Comm: Allowances</v>
      </c>
      <c r="O38" s="467"/>
      <c r="P38" s="216"/>
      <c r="Q38" s="216"/>
      <c r="R38" s="216"/>
      <c r="S38" s="216"/>
      <c r="T38" s="216"/>
      <c r="U38" s="216"/>
      <c r="V38" s="216"/>
      <c r="W38" s="216"/>
      <c r="X38" s="216"/>
      <c r="Y38" s="216"/>
      <c r="Z38" s="216"/>
      <c r="AA38" s="216">
        <f t="shared" si="1"/>
        <v>0</v>
      </c>
      <c r="AB38" s="468" t="str">
        <f t="shared" si="2"/>
        <v/>
      </c>
      <c r="AC38" s="459"/>
      <c r="AD38" s="216"/>
      <c r="AE38" s="468" t="str">
        <f t="shared" si="3"/>
        <v/>
      </c>
      <c r="AF38" s="469">
        <f t="shared" si="4"/>
        <v>0</v>
      </c>
      <c r="AG38" s="216"/>
      <c r="AH38" s="468" t="str">
        <f t="shared" si="5"/>
        <v/>
      </c>
      <c r="AI38" s="470">
        <f t="shared" si="6"/>
        <v>0</v>
      </c>
    </row>
    <row r="39" spans="1:35" x14ac:dyDescent="0.25">
      <c r="A39" s="11" t="s">
        <v>108</v>
      </c>
      <c r="B39" s="11"/>
      <c r="C39" s="106" t="s">
        <v>101</v>
      </c>
      <c r="D39" s="11" t="s">
        <v>106</v>
      </c>
      <c r="E39" s="11"/>
      <c r="F39" s="11" t="s">
        <v>98</v>
      </c>
      <c r="G39" s="11"/>
      <c r="H39" s="88" t="s">
        <v>280</v>
      </c>
      <c r="I39" s="188" t="str">
        <f>IF(_epmOfflineCondition_,"T3",_xll.EVPRO($B$1,$H39,"STYLE"))</f>
        <v>T3</v>
      </c>
      <c r="J39" s="188" t="str">
        <f>IF(_epmOfflineCondition_,"Y",_xll.EVPRO($B$1,$H39,"CALC"))</f>
        <v>Y</v>
      </c>
      <c r="K39" s="189" t="str">
        <f t="shared" si="0"/>
        <v/>
      </c>
      <c r="L39" s="190" t="str">
        <f>IF(_epmOfflineCondition_,"400000",_xll.EVPRO($B$1,H39,"JDEID"))</f>
        <v>400000</v>
      </c>
      <c r="M39" s="190" t="str">
        <f>IF(_epmOfflineCondition_,"",IF(AND(I39="N",J39="N"),_xll.EVPRO($B$1,H39,"PSFTID"),""))</f>
        <v/>
      </c>
      <c r="N39" s="190" t="str">
        <f>IF(_epmOfflineCondition_,"Total Revenue",IF(_xll.EVDES(H39,$B$1)="#NODATA","",_xll.EVDES(H39,$B$1)))</f>
        <v>Total Revenue</v>
      </c>
      <c r="O39" s="476"/>
      <c r="P39" s="223"/>
      <c r="Q39" s="223"/>
      <c r="R39" s="223"/>
      <c r="S39" s="223"/>
      <c r="T39" s="223"/>
      <c r="U39" s="223"/>
      <c r="V39" s="223"/>
      <c r="W39" s="223"/>
      <c r="X39" s="223"/>
      <c r="Y39" s="223"/>
      <c r="Z39" s="223"/>
      <c r="AA39" s="223">
        <f t="shared" si="1"/>
        <v>0</v>
      </c>
      <c r="AB39" s="224" t="str">
        <f t="shared" si="2"/>
        <v/>
      </c>
      <c r="AC39" s="225"/>
      <c r="AD39" s="223"/>
      <c r="AE39" s="224" t="str">
        <f t="shared" si="3"/>
        <v/>
      </c>
      <c r="AF39" s="226">
        <f t="shared" si="4"/>
        <v>0</v>
      </c>
      <c r="AG39" s="223"/>
      <c r="AH39" s="224" t="str">
        <f t="shared" si="5"/>
        <v/>
      </c>
      <c r="AI39" s="477">
        <f t="shared" si="6"/>
        <v>0</v>
      </c>
    </row>
    <row r="40" spans="1:35" x14ac:dyDescent="0.25">
      <c r="A40" s="11" t="s">
        <v>108</v>
      </c>
      <c r="B40" s="11"/>
      <c r="C40" s="196" t="s">
        <v>101</v>
      </c>
      <c r="D40" s="11" t="s">
        <v>107</v>
      </c>
      <c r="E40" s="11"/>
      <c r="F40" s="11" t="s">
        <v>99</v>
      </c>
      <c r="G40" s="11"/>
      <c r="H40" s="11"/>
      <c r="I40" s="59"/>
      <c r="J40" s="59"/>
      <c r="K40" s="11"/>
      <c r="L40" s="11"/>
      <c r="M40" s="11"/>
      <c r="N40" s="11"/>
      <c r="O40" s="203"/>
      <c r="P40" s="204"/>
      <c r="Q40" s="204"/>
      <c r="R40" s="204"/>
      <c r="S40" s="204"/>
      <c r="T40" s="204"/>
      <c r="U40" s="204"/>
      <c r="V40" s="204"/>
      <c r="W40" s="204"/>
      <c r="X40" s="204"/>
      <c r="Y40" s="204"/>
      <c r="Z40" s="204"/>
      <c r="AA40" s="204"/>
      <c r="AB40" s="118"/>
      <c r="AC40" s="11"/>
      <c r="AD40" s="203"/>
      <c r="AE40" s="204"/>
      <c r="AF40" s="118"/>
      <c r="AG40" s="203"/>
      <c r="AH40" s="204"/>
      <c r="AI40" s="118"/>
    </row>
    <row r="41" spans="1:35" x14ac:dyDescent="0.25">
      <c r="A41" s="11"/>
      <c r="B41" s="11"/>
      <c r="C41" s="11"/>
      <c r="D41" s="11"/>
      <c r="E41" s="11"/>
      <c r="F41" s="11"/>
      <c r="G41" s="11"/>
      <c r="H41" s="11" t="s">
        <v>281</v>
      </c>
      <c r="I41" s="59" t="str">
        <f>IF(_epmOfflineCondition_,"B1",_xll.EVPRO($B$1,$H41,"STYLE"))</f>
        <v>B1</v>
      </c>
      <c r="J41" s="59" t="str">
        <f>IF(_epmOfflineCondition_,"Y",_xll.EVPRO($B$1,$H41,"CALC"))</f>
        <v>Y</v>
      </c>
      <c r="K41" s="11"/>
      <c r="L41" s="11"/>
      <c r="M41" s="11"/>
      <c r="N41" s="105" t="str">
        <f>IF(_epmOfflineCondition_,"Cost of Sales",IF(_xll.EVDES(H41,$B$1)="#NODATA","",_xll.EVDES(H41,$B$1)))</f>
        <v>Cost of Sales</v>
      </c>
      <c r="O41" s="203"/>
      <c r="P41" s="204"/>
      <c r="Q41" s="204"/>
      <c r="R41" s="204"/>
      <c r="S41" s="204"/>
      <c r="T41" s="204"/>
      <c r="U41" s="204"/>
      <c r="V41" s="204"/>
      <c r="W41" s="204"/>
      <c r="X41" s="204"/>
      <c r="Y41" s="204"/>
      <c r="Z41" s="204"/>
      <c r="AA41" s="204"/>
      <c r="AB41" s="118"/>
      <c r="AC41" s="11"/>
      <c r="AD41" s="203"/>
      <c r="AE41" s="204"/>
      <c r="AF41" s="118"/>
      <c r="AG41" s="203"/>
      <c r="AH41" s="204"/>
      <c r="AI41" s="118"/>
    </row>
    <row r="42" spans="1:35" x14ac:dyDescent="0.25">
      <c r="A42" s="11"/>
      <c r="B42" s="11"/>
      <c r="C42" s="11"/>
      <c r="D42" s="11"/>
      <c r="E42" s="11"/>
      <c r="F42" s="11"/>
      <c r="G42" s="11"/>
      <c r="H42" s="88" t="s">
        <v>661</v>
      </c>
      <c r="I42" s="122" t="str">
        <f>IF(_epmOfflineCondition_,"N",_xll.EVPRO($B$1,$H42,"STYLE"))</f>
        <v>N</v>
      </c>
      <c r="J42" s="122" t="str">
        <f>IF(_epmOfflineCondition_,"N",_xll.EVPRO($B$1,$H42,"CALC"))</f>
        <v>N</v>
      </c>
      <c r="K42" s="179" t="str">
        <f t="shared" ref="K42:K48" si="7">IF(AND(I42&gt;="T5"),"&gt;","")</f>
        <v/>
      </c>
      <c r="L42" s="90" t="str">
        <f>IF(_epmOfflineCondition_,"510100",_xll.EVPRO($B$1,H42,"JDEID"))</f>
        <v>510100</v>
      </c>
      <c r="M42" s="90" t="str">
        <f>IF(_epmOfflineCondition_,"304014",IF(AND(I42="N",J42="N"),_xll.EVPRO($B$1,H42,"PSFTID"),""))</f>
        <v>304014</v>
      </c>
      <c r="N42" s="90" t="str">
        <f>IF(_epmOfflineCondition_,"Cost of Local Calls",IF(_xll.EVDES(H42,$B$1)="#NODATA","",_xll.EVDES(H42,$B$1)))</f>
        <v>Cost of Local Calls</v>
      </c>
      <c r="O42" s="457"/>
      <c r="P42" s="210"/>
      <c r="Q42" s="210"/>
      <c r="R42" s="210"/>
      <c r="S42" s="210"/>
      <c r="T42" s="210"/>
      <c r="U42" s="210"/>
      <c r="V42" s="210"/>
      <c r="W42" s="210"/>
      <c r="X42" s="210"/>
      <c r="Y42" s="210"/>
      <c r="Z42" s="210"/>
      <c r="AA42" s="210">
        <f>IF($I42="B1","",SUM(O42:Z42))</f>
        <v>0</v>
      </c>
      <c r="AB42" s="458" t="str">
        <f>IF(_epmOfflineCondition_,"",IF(AA42=0,"",IFERROR(AA42/_xll.EVGTS($B$1,1,_xll.EVPRO($B$1,$H42,"COSBASIS"),$B$3,$B$5,$B$6,$B$7,$B$9,AA$16,AA$17,AA$11),"")))</f>
        <v/>
      </c>
      <c r="AC42" s="528"/>
      <c r="AD42" s="210"/>
      <c r="AE42" s="458" t="str">
        <f>IF(_epmOfflineCondition_,"",IF(AD42=0,"",IFERROR(AD42/_xll.EVGTS($B$1,1,_xll.EVPRO($B$1,$H42,"COSBASIS"),$B$3,$B$5,$B$6,$B$7,$B$9,AD$16,AD$17,AD$18),"")))</f>
        <v/>
      </c>
      <c r="AF42" s="460">
        <f t="shared" ref="AF42:AF48" si="8">IF(AND($AA42="",AD42=""),"",$AA42-AD42)</f>
        <v>0</v>
      </c>
      <c r="AG42" s="210"/>
      <c r="AH42" s="458" t="str">
        <f>IF(_epmOfflineCondition_,"",IF(AG42=0,"",IFERROR(AG42/_xll.EVGTS($B$1,1,_xll.EVPRO($B$1,$H42,"COSBASIS"),$B$3,$B$5,$B$6,$B$7,$B$9,AG$16,AG$17,AG$18),"")))</f>
        <v/>
      </c>
      <c r="AI42" s="461">
        <f t="shared" ref="AI42:AI48" si="9">IF(AND($AA42="",AG42=""),"",$AA42-AG42)</f>
        <v>0</v>
      </c>
    </row>
    <row r="43" spans="1:35" x14ac:dyDescent="0.25">
      <c r="A43" s="61" t="str">
        <f>IF(_epmOfflineCondition_,"Evdre:Ok",_xll.EVDRE($B$1,A46:B53,A56:B62))</f>
        <v>Evdre:Ok</v>
      </c>
      <c r="B43" s="11"/>
      <c r="C43" s="11"/>
      <c r="D43" s="11"/>
      <c r="E43" s="11"/>
      <c r="F43" s="11"/>
      <c r="G43" s="11"/>
      <c r="H43" s="88" t="s">
        <v>662</v>
      </c>
      <c r="I43" s="122" t="str">
        <f>IF(_epmOfflineCondition_,"N",_xll.EVPRO($B$1,$H43,"STYLE"))</f>
        <v>N</v>
      </c>
      <c r="J43" s="122" t="str">
        <f>IF(_epmOfflineCondition_,"N",_xll.EVPRO($B$1,$H43,"CALC"))</f>
        <v>N</v>
      </c>
      <c r="K43" s="179" t="str">
        <f t="shared" si="7"/>
        <v/>
      </c>
      <c r="L43" s="90" t="str">
        <f>IF(_epmOfflineCondition_,"510200",_xll.EVPRO($B$1,H43,"JDEID"))</f>
        <v>510200</v>
      </c>
      <c r="M43" s="90" t="str">
        <f>IF(_epmOfflineCondition_,"304010",IF(AND(I43="N",J43="N"),_xll.EVPRO($B$1,H43,"PSFTID"),""))</f>
        <v>304010</v>
      </c>
      <c r="N43" s="90" t="str">
        <f>IF(_epmOfflineCondition_,"Cost of Long Distance Calls",IF(_xll.EVDES(H43,$B$1)="#NODATA","",_xll.EVDES(H43,$B$1)))</f>
        <v>Cost of Long Distance Calls</v>
      </c>
      <c r="O43" s="457"/>
      <c r="P43" s="210"/>
      <c r="Q43" s="210"/>
      <c r="R43" s="210"/>
      <c r="S43" s="210"/>
      <c r="T43" s="210"/>
      <c r="U43" s="210"/>
      <c r="V43" s="210"/>
      <c r="W43" s="210"/>
      <c r="X43" s="210"/>
      <c r="Y43" s="210"/>
      <c r="Z43" s="210"/>
      <c r="AA43" s="210">
        <f>IF($I43="B1","",SUM(O43:Z43))</f>
        <v>0</v>
      </c>
      <c r="AB43" s="458" t="str">
        <f>IF(_epmOfflineCondition_,"",IF(AA43=0,"",IFERROR(AA43/_xll.EVGTS($B$1,1,_xll.EVPRO($B$1,$H43,"COSBASIS"),$B$3,$B$5,$B$6,$B$7,$B$9,AA$16,AA$17,AA$11),"")))</f>
        <v/>
      </c>
      <c r="AC43" s="528"/>
      <c r="AD43" s="210"/>
      <c r="AE43" s="458" t="str">
        <f>IF(_epmOfflineCondition_,"",IF(AD43=0,"",IFERROR(AD43/_xll.EVGTS($B$1,1,_xll.EVPRO($B$1,$H43,"COSBASIS"),$B$3,$B$5,$B$6,$B$7,$B$9,AD$16,AD$17,AD$18),"")))</f>
        <v/>
      </c>
      <c r="AF43" s="460">
        <f t="shared" si="8"/>
        <v>0</v>
      </c>
      <c r="AG43" s="210"/>
      <c r="AH43" s="458" t="str">
        <f>IF(_epmOfflineCondition_,"",IF(AG43=0,"",IFERROR(AG43/_xll.EVGTS($B$1,1,_xll.EVPRO($B$1,$H43,"COSBASIS"),$B$3,$B$5,$B$6,$B$7,$B$9,AG$16,AG$17,AG$18),"")))</f>
        <v/>
      </c>
      <c r="AI43" s="461">
        <f t="shared" si="9"/>
        <v>0</v>
      </c>
    </row>
    <row r="44" spans="1:35" x14ac:dyDescent="0.25">
      <c r="A44" s="11"/>
      <c r="B44" s="11"/>
      <c r="C44" s="11"/>
      <c r="D44" s="11"/>
      <c r="E44" s="11"/>
      <c r="F44" s="11"/>
      <c r="G44" s="11"/>
      <c r="H44" s="88" t="s">
        <v>663</v>
      </c>
      <c r="I44" s="122" t="str">
        <f>IF(_epmOfflineCondition_,"N",_xll.EVPRO($B$1,$H44,"STYLE"))</f>
        <v>N</v>
      </c>
      <c r="J44" s="122" t="str">
        <f>IF(_epmOfflineCondition_,"N",_xll.EVPRO($B$1,$H44,"CALC"))</f>
        <v>N</v>
      </c>
      <c r="K44" s="179" t="str">
        <f t="shared" si="7"/>
        <v/>
      </c>
      <c r="L44" s="90" t="str">
        <f>IF(_epmOfflineCondition_,"510300",_xll.EVPRO($B$1,H44,"JDEID"))</f>
        <v>510300</v>
      </c>
      <c r="M44" s="90" t="str">
        <f>IF(_epmOfflineCondition_,"306048",IF(AND(I44="N",J44="N"),_xll.EVPRO($B$1,H44,"PSFTID"),""))</f>
        <v>306048</v>
      </c>
      <c r="N44" s="90" t="str">
        <f>IF(_epmOfflineCondition_,"Cost of Internet Service",IF(_xll.EVDES(H44,$B$1)="#NODATA","",_xll.EVDES(H44,$B$1)))</f>
        <v>Cost of Internet Service</v>
      </c>
      <c r="O44" s="457"/>
      <c r="P44" s="210"/>
      <c r="Q44" s="210"/>
      <c r="R44" s="210"/>
      <c r="S44" s="210"/>
      <c r="T44" s="210"/>
      <c r="U44" s="210"/>
      <c r="V44" s="210"/>
      <c r="W44" s="210"/>
      <c r="X44" s="210"/>
      <c r="Y44" s="210"/>
      <c r="Z44" s="210"/>
      <c r="AA44" s="210">
        <f>IF($I44="B1","",SUM(O44:Z44))</f>
        <v>0</v>
      </c>
      <c r="AB44" s="458" t="str">
        <f>IF(_epmOfflineCondition_,"",IF(AA44=0,"",IFERROR(AA44/_xll.EVGTS($B$1,1,_xll.EVPRO($B$1,$H44,"COSBASIS"),$B$3,$B$5,$B$6,$B$7,$B$9,AA$16,AA$17,AA$11),"")))</f>
        <v/>
      </c>
      <c r="AC44" s="528"/>
      <c r="AD44" s="210"/>
      <c r="AE44" s="458" t="str">
        <f>IF(_epmOfflineCondition_,"",IF(AD44=0,"",IFERROR(AD44/_xll.EVGTS($B$1,1,_xll.EVPRO($B$1,$H44,"COSBASIS"),$B$3,$B$5,$B$6,$B$7,$B$9,AD$16,AD$17,AD$18),"")))</f>
        <v/>
      </c>
      <c r="AF44" s="460">
        <f t="shared" si="8"/>
        <v>0</v>
      </c>
      <c r="AG44" s="210"/>
      <c r="AH44" s="458" t="str">
        <f>IF(_epmOfflineCondition_,"",IF(AG44=0,"",IFERROR(AG44/_xll.EVGTS($B$1,1,_xll.EVPRO($B$1,$H44,"COSBASIS"),$B$3,$B$5,$B$6,$B$7,$B$9,AG$16,AG$17,AG$18),"")))</f>
        <v/>
      </c>
      <c r="AI44" s="461">
        <f t="shared" si="9"/>
        <v>0</v>
      </c>
    </row>
    <row r="45" spans="1:35" x14ac:dyDescent="0.25">
      <c r="A45" s="62" t="s">
        <v>0</v>
      </c>
      <c r="B45" s="63" t="s">
        <v>1</v>
      </c>
      <c r="C45" s="11"/>
      <c r="D45" s="11"/>
      <c r="E45" s="11"/>
      <c r="F45" s="11"/>
      <c r="G45" s="11"/>
      <c r="H45" s="88" t="s">
        <v>664</v>
      </c>
      <c r="I45" s="122" t="str">
        <f>IF(_epmOfflineCondition_,"N",_xll.EVPRO($B$1,$H45,"STYLE"))</f>
        <v>N</v>
      </c>
      <c r="J45" s="122" t="str">
        <f>IF(_epmOfflineCondition_,"N",_xll.EVPRO($B$1,$H45,"CALC"))</f>
        <v>N</v>
      </c>
      <c r="K45" s="179" t="str">
        <f t="shared" si="7"/>
        <v/>
      </c>
      <c r="L45" s="90" t="str">
        <f>IF(_epmOfflineCondition_,"510400",_xll.EVPRO($B$1,H45,"JDEID"))</f>
        <v>510400</v>
      </c>
      <c r="M45" s="90" t="str">
        <f>IF(_epmOfflineCondition_,"306001",IF(AND(I45="N",J45="N"),_xll.EVPRO($B$1,H45,"PSFTID"),""))</f>
        <v>306001</v>
      </c>
      <c r="N45" s="90" t="str">
        <f>IF(_epmOfflineCondition_,"Other Cost of Sales",IF(_xll.EVDES(H45,$B$1)="#NODATA","",_xll.EVDES(H45,$B$1)))</f>
        <v>Other Cost of Sales</v>
      </c>
      <c r="O45" s="467"/>
      <c r="P45" s="216"/>
      <c r="Q45" s="216"/>
      <c r="R45" s="216"/>
      <c r="S45" s="216"/>
      <c r="T45" s="216"/>
      <c r="U45" s="216"/>
      <c r="V45" s="216"/>
      <c r="W45" s="216"/>
      <c r="X45" s="216"/>
      <c r="Y45" s="216"/>
      <c r="Z45" s="216"/>
      <c r="AA45" s="216">
        <f>IF($I45="B1","",SUM(O45:Z45))</f>
        <v>0</v>
      </c>
      <c r="AB45" s="468" t="str">
        <f>IF(_epmOfflineCondition_,"",IF(AA45=0,"",IFERROR(AA45/_xll.EVGTS($B$1,1,_xll.EVPRO($B$1,$H45,"COSBASIS"),$B$3,$B$5,$B$6,$B$7,$B$9,AA$16,AA$17,AA$11),"")))</f>
        <v/>
      </c>
      <c r="AC45" s="459"/>
      <c r="AD45" s="216"/>
      <c r="AE45" s="468" t="str">
        <f>IF(_epmOfflineCondition_,"",IF(AD45=0,"",IFERROR(AD45/_xll.EVGTS($B$1,1,_xll.EVPRO($B$1,$H45,"COSBASIS"),$B$3,$B$5,$B$6,$B$7,$B$9,AD$16,AD$17,AD$18),"")))</f>
        <v/>
      </c>
      <c r="AF45" s="469">
        <f t="shared" si="8"/>
        <v>0</v>
      </c>
      <c r="AG45" s="216"/>
      <c r="AH45" s="468" t="str">
        <f>IF(_epmOfflineCondition_,"",IF(AG45=0,"",IFERROR(AG45/_xll.EVGTS($B$1,1,_xll.EVPRO($B$1,$H45,"COSBASIS"),$B$3,$B$5,$B$6,$B$7,$B$9,AG$16,AG$17,AG$18),"")))</f>
        <v/>
      </c>
      <c r="AI45" s="470">
        <f t="shared" si="9"/>
        <v>0</v>
      </c>
    </row>
    <row r="46" spans="1:35" x14ac:dyDescent="0.25">
      <c r="A46" s="65" t="s">
        <v>2</v>
      </c>
      <c r="B46" s="66" t="str">
        <f>IF(_epmOfflineCondition_,"'Telcom_Legacy'!$B$2:$B$10",_xll.EVRNG($B$2:$B$10))</f>
        <v>'Telcom_Legacy'!$B$2:$B$10</v>
      </c>
      <c r="C46" s="11"/>
      <c r="D46" s="11"/>
      <c r="E46" s="11"/>
      <c r="F46" s="11"/>
      <c r="G46" s="11"/>
      <c r="H46" s="88" t="s">
        <v>289</v>
      </c>
      <c r="I46" s="188" t="str">
        <f>IF(_epmOfflineCondition_,"T3",_xll.EVPRO($B$1,$H46,"STYLE"))</f>
        <v>T3</v>
      </c>
      <c r="J46" s="188" t="str">
        <f>IF(_epmOfflineCondition_,"Y",_xll.EVPRO($B$1,$H46,"CALC"))</f>
        <v>Y</v>
      </c>
      <c r="K46" s="189" t="str">
        <f t="shared" si="7"/>
        <v/>
      </c>
      <c r="L46" s="190" t="str">
        <f>IF(_epmOfflineCondition_,"500001",_xll.EVPRO($B$1,H46,"JDEID"))</f>
        <v>500001</v>
      </c>
      <c r="M46" s="190" t="str">
        <f>IF(_epmOfflineCondition_,"",IF(AND(I46="N",J46="N"),_xll.EVPRO($B$1,H46,"PSFTID"),""))</f>
        <v/>
      </c>
      <c r="N46" s="190" t="str">
        <f>IF(_epmOfflineCondition_,"Total Cost of Sales",IF(_xll.EVDES(H46,$B$1)="#NODATA","",_xll.EVDES(H46,$B$1)))</f>
        <v>Total Cost of Sales</v>
      </c>
      <c r="O46" s="476"/>
      <c r="P46" s="223"/>
      <c r="Q46" s="223"/>
      <c r="R46" s="223"/>
      <c r="S46" s="223"/>
      <c r="T46" s="223"/>
      <c r="U46" s="223"/>
      <c r="V46" s="223"/>
      <c r="W46" s="223"/>
      <c r="X46" s="223"/>
      <c r="Y46" s="223"/>
      <c r="Z46" s="223"/>
      <c r="AA46" s="223">
        <f>IF($I46="B1","",SUM(O46:Z46))</f>
        <v>0</v>
      </c>
      <c r="AB46" s="224" t="str">
        <f>IF(_epmOfflineCondition_,"",IF(AA46=0,"",IFERROR(AA46/_xll.EVGTS($B$1,1,_xll.EVPRO($B$1,$H46,"COSBASIS"),$B$3,$B$5,$B$6,$B$7,$B$9,AA$16,AA$17,AA$11),"")))</f>
        <v/>
      </c>
      <c r="AC46" s="225"/>
      <c r="AD46" s="223"/>
      <c r="AE46" s="224" t="str">
        <f>IF(_epmOfflineCondition_,"",IF(AD46=0,"",IFERROR(AD46/_xll.EVGTS($B$1,1,_xll.EVPRO($B$1,$H46,"COSBASIS"),$B$3,$B$5,$B$6,$B$7,$B$9,AD$16,AD$17,AD$18),"")))</f>
        <v/>
      </c>
      <c r="AF46" s="226">
        <f t="shared" si="8"/>
        <v>0</v>
      </c>
      <c r="AG46" s="223"/>
      <c r="AH46" s="224" t="str">
        <f>IF(_epmOfflineCondition_,"",IF(AG46=0,"",IFERROR(AG46/_xll.EVGTS($B$1,1,_xll.EVPRO($B$1,$H46,"COSBASIS"),$B$3,$B$5,$B$6,$B$7,$B$9,AG$16,AG$17,AG$18),"")))</f>
        <v/>
      </c>
      <c r="AI46" s="477">
        <f t="shared" si="9"/>
        <v>0</v>
      </c>
    </row>
    <row r="47" spans="1:35" x14ac:dyDescent="0.25">
      <c r="A47" s="65" t="s">
        <v>3</v>
      </c>
      <c r="B47" s="66" t="str">
        <f>IF(_epmOfflineCondition_,"'Telcom_Legacy'!$O$16:$AI$18",_xll.EVRNG(O16:AI18))</f>
        <v>'Telcom_Legacy'!$O$16:$AI$18</v>
      </c>
      <c r="C47" s="11"/>
      <c r="D47" s="11"/>
      <c r="E47" s="11"/>
      <c r="F47" s="11"/>
      <c r="G47" s="11"/>
      <c r="H47" s="185" t="s">
        <v>175</v>
      </c>
      <c r="I47" s="89" t="str">
        <f>IF(_epmOfflineCondition_,"B1",_xll.EVPRO($B$1,$H47,"STYLE"))</f>
        <v>B1</v>
      </c>
      <c r="J47" s="89" t="str">
        <f>IF(_epmOfflineCondition_,"Y",_xll.EVPRO($B$1,$H47,"CALC"))</f>
        <v>Y</v>
      </c>
      <c r="K47" s="265" t="str">
        <f t="shared" si="7"/>
        <v/>
      </c>
      <c r="L47" s="265"/>
      <c r="M47" s="265"/>
      <c r="N47" s="106" t="str">
        <f>IF(_epmOfflineCondition_,"BLANKROW",IF(_xll.EVDES(H47,$B$1)="#NODATA","",_xll.EVDES(H47,$B$1)))</f>
        <v>BLANKROW</v>
      </c>
      <c r="O47" s="205"/>
      <c r="P47" s="205"/>
      <c r="Q47" s="205"/>
      <c r="R47" s="205"/>
      <c r="S47" s="205"/>
      <c r="T47" s="205"/>
      <c r="U47" s="205"/>
      <c r="V47" s="205"/>
      <c r="W47" s="205"/>
      <c r="X47" s="205"/>
      <c r="Y47" s="205"/>
      <c r="Z47" s="205"/>
      <c r="AA47" s="205"/>
      <c r="AB47" s="206" t="str">
        <f>IF(_epmOfflineCondition_,"",IF(O47=0,"",IFERROR(O47/_xll.EVGTS($B$1,1,INDEX($C$144:$C$167,MATCH($H47,$A$144:$A$167,0)),$B$3,$B$5,$B$6,$B$7,$B$9,O$16,O$17,O$18),"")))</f>
        <v/>
      </c>
      <c r="AC47" s="11"/>
      <c r="AD47" s="205"/>
      <c r="AE47" s="206" t="str">
        <f>IF(_epmOfflineCondition_,"",IF(AD47=0,"",IFERROR(AD47/_xll.EVGTS($B$1,1,INDEX($C$144:$C$167,MATCH($H47,$A$144:$A$167,0)),$B$3,$B$5,$B$6,$B$7,$B$9,AD$16,AD$17,AD$18),"")))</f>
        <v/>
      </c>
      <c r="AF47" s="207" t="str">
        <f t="shared" si="8"/>
        <v/>
      </c>
      <c r="AG47" s="205"/>
      <c r="AH47" s="206" t="str">
        <f>IF(_epmOfflineCondition_,"",IF(AG47=0,"",IFERROR(AG47/_xll.EVGTS($B$1,1,INDEX($C$144:$C$167,MATCH($H47,$A$144:$A$167,0)),$B$3,$B$5,$B$6,$B$7,$B$9,AG$16,AG$17,AG$18),"")))</f>
        <v/>
      </c>
      <c r="AI47" s="207" t="str">
        <f t="shared" si="9"/>
        <v/>
      </c>
    </row>
    <row r="48" spans="1:35" x14ac:dyDescent="0.25">
      <c r="A48" s="65" t="s">
        <v>4</v>
      </c>
      <c r="B48" s="66" t="str">
        <f>IF(_epmOfflineCondition_,"'Telcom_Legacy'!$H$42:$H$46",_xll.EVRNG(H42:H46))</f>
        <v>'Telcom_Legacy'!$H$42:$H$46</v>
      </c>
      <c r="C48" s="11"/>
      <c r="D48" s="11"/>
      <c r="E48" s="11"/>
      <c r="F48" s="11"/>
      <c r="G48" s="11"/>
      <c r="H48" s="185" t="s">
        <v>292</v>
      </c>
      <c r="I48" s="89" t="str">
        <f>IF(_epmOfflineCondition_,"T3",_xll.EVPRO($B$1,$H48,"STYLE"))</f>
        <v>T3</v>
      </c>
      <c r="J48" s="89" t="str">
        <f>IF(_epmOfflineCondition_,"Y",_xll.EVPRO($B$1,$H48,"CALC"))</f>
        <v>Y</v>
      </c>
      <c r="K48" s="265" t="str">
        <f t="shared" si="7"/>
        <v/>
      </c>
      <c r="L48" s="265"/>
      <c r="M48" s="265"/>
      <c r="N48" s="106" t="str">
        <f>IF(_epmOfflineCondition_,"Gross Profit",IF(_xll.EVDES(H48,$B$1)="#NODATA","",_xll.EVDES(H48,$B$1)))</f>
        <v>Gross Profit</v>
      </c>
      <c r="O48" s="123">
        <f t="shared" ref="O48:Z48" si="10">SUMIF($H$34:$H$46,"400000",O34:O46)-SUMIF($H$34:$H$46,"500001",O34:O46)</f>
        <v>0</v>
      </c>
      <c r="P48" s="123">
        <f t="shared" si="10"/>
        <v>0</v>
      </c>
      <c r="Q48" s="123">
        <f t="shared" si="10"/>
        <v>0</v>
      </c>
      <c r="R48" s="123">
        <f t="shared" si="10"/>
        <v>0</v>
      </c>
      <c r="S48" s="123">
        <f t="shared" si="10"/>
        <v>0</v>
      </c>
      <c r="T48" s="123">
        <f t="shared" si="10"/>
        <v>0</v>
      </c>
      <c r="U48" s="123">
        <f t="shared" si="10"/>
        <v>0</v>
      </c>
      <c r="V48" s="123">
        <f t="shared" si="10"/>
        <v>0</v>
      </c>
      <c r="W48" s="123">
        <f t="shared" si="10"/>
        <v>0</v>
      </c>
      <c r="X48" s="123">
        <f t="shared" si="10"/>
        <v>0</v>
      </c>
      <c r="Y48" s="123">
        <f t="shared" si="10"/>
        <v>0</v>
      </c>
      <c r="Z48" s="123">
        <f t="shared" si="10"/>
        <v>0</v>
      </c>
      <c r="AA48" s="191">
        <f>IF($I48="B1","",SUM(O48:Z48))</f>
        <v>0</v>
      </c>
      <c r="AB48" s="192" t="str">
        <f>IF(AA48=0,"",IFERROR(AA48/AA$19,""))</f>
        <v/>
      </c>
      <c r="AC48" s="11"/>
      <c r="AD48" s="123">
        <f>SUMIF($H$34:$H$46,"400000",AD34:AD46)-SUMIF($H$34:$H$46,"500001",AD34:AD46)</f>
        <v>0</v>
      </c>
      <c r="AE48" s="192" t="str">
        <f>IF(AD48=0,"",IFERROR(AD48/AD$19,""))</f>
        <v/>
      </c>
      <c r="AF48" s="125">
        <f t="shared" si="8"/>
        <v>0</v>
      </c>
      <c r="AG48" s="123">
        <f>SUMIF($H$34:$H$46,"400000",AG34:AG46)-SUMIF($H$34:$H$46,"500001",AG34:AG46)</f>
        <v>0</v>
      </c>
      <c r="AH48" s="192" t="str">
        <f>IF(AG48=0,"",IFERROR(AG48/AG$19,""))</f>
        <v/>
      </c>
      <c r="AI48" s="125">
        <f t="shared" si="9"/>
        <v>0</v>
      </c>
    </row>
    <row r="49" spans="1:35" x14ac:dyDescent="0.25">
      <c r="A49" s="65" t="s">
        <v>5</v>
      </c>
      <c r="B49" s="66"/>
      <c r="C49" s="11"/>
      <c r="D49" s="11"/>
      <c r="E49" s="11"/>
      <c r="F49" s="384"/>
      <c r="G49" s="11"/>
      <c r="H49" s="11"/>
      <c r="I49" s="59"/>
      <c r="J49" s="59"/>
      <c r="K49" s="11"/>
      <c r="L49" s="11"/>
      <c r="M49" s="11"/>
      <c r="N49" s="11"/>
      <c r="O49" s="393"/>
      <c r="P49" s="394"/>
      <c r="Q49" s="394"/>
      <c r="R49" s="394"/>
      <c r="S49" s="394"/>
      <c r="T49" s="394"/>
      <c r="U49" s="394"/>
      <c r="V49" s="394"/>
      <c r="W49" s="394"/>
      <c r="X49" s="394"/>
      <c r="Y49" s="394"/>
      <c r="Z49" s="394"/>
      <c r="AA49" s="394"/>
      <c r="AB49" s="118"/>
      <c r="AC49" s="11"/>
      <c r="AD49" s="203"/>
      <c r="AE49" s="204"/>
      <c r="AF49" s="118"/>
      <c r="AG49" s="204"/>
      <c r="AH49" s="204"/>
      <c r="AI49" s="118"/>
    </row>
    <row r="50" spans="1:35" x14ac:dyDescent="0.25">
      <c r="A50" s="65" t="s">
        <v>6</v>
      </c>
      <c r="B50" s="66"/>
      <c r="C50" s="11"/>
      <c r="D50" s="11"/>
      <c r="E50" s="11"/>
      <c r="F50" s="384"/>
      <c r="G50" s="11"/>
      <c r="H50" s="11" t="s">
        <v>73</v>
      </c>
      <c r="I50" s="59" t="str">
        <f>IF(_epmOfflineCondition_,"B1",_xll.EVPRO($B$1,$H50,"STYLE"))</f>
        <v>B1</v>
      </c>
      <c r="J50" s="59" t="str">
        <f>IF(_epmOfflineCondition_,"Y",_xll.EVPRO($B$1,$H50,"CALC"))</f>
        <v>Y</v>
      </c>
      <c r="K50" s="11"/>
      <c r="L50" s="11"/>
      <c r="M50" s="11"/>
      <c r="N50" s="105" t="str">
        <f>IF(_epmOfflineCondition_,"Labor &amp; Related Expenses",IF(_xll.EVDES(H50,$B$1)="#NODATA","",_xll.EVDES(H50,$B$1)))</f>
        <v>Labor &amp; Related Expenses</v>
      </c>
      <c r="O50" s="203"/>
      <c r="P50" s="204"/>
      <c r="Q50" s="204"/>
      <c r="R50" s="204"/>
      <c r="S50" s="204"/>
      <c r="T50" s="204"/>
      <c r="U50" s="204"/>
      <c r="V50" s="204"/>
      <c r="W50" s="204"/>
      <c r="X50" s="204"/>
      <c r="Y50" s="204"/>
      <c r="Z50" s="204"/>
      <c r="AA50" s="204"/>
      <c r="AB50" s="410"/>
      <c r="AC50" s="11"/>
      <c r="AD50" s="411"/>
      <c r="AE50" s="412"/>
      <c r="AF50" s="118"/>
      <c r="AG50" s="204"/>
      <c r="AH50" s="412"/>
      <c r="AI50" s="118"/>
    </row>
    <row r="51" spans="1:35" x14ac:dyDescent="0.25">
      <c r="A51" s="65" t="s">
        <v>7</v>
      </c>
      <c r="B51" s="66" t="str">
        <f>IF(_epmOfflineCondition_,"'Telcom_Legacy'!$A$65:$F$69",_xll.EVRNG(A65:F69))</f>
        <v>'Telcom_Legacy'!$A$65:$F$69</v>
      </c>
      <c r="C51" s="11"/>
      <c r="D51" s="11"/>
      <c r="E51" s="11"/>
      <c r="F51" s="384"/>
      <c r="G51" s="11"/>
      <c r="H51" s="11" t="s">
        <v>74</v>
      </c>
      <c r="I51" s="59" t="str">
        <f>IF(_epmOfflineCondition_,"B1",_xll.EVPRO($B$1,$H51,"STYLE"))</f>
        <v>B1</v>
      </c>
      <c r="J51" s="59" t="str">
        <f>IF(_epmOfflineCondition_,"Y",_xll.EVPRO($B$1,$H51,"CALC"))</f>
        <v>Y</v>
      </c>
      <c r="K51" s="11"/>
      <c r="L51" s="11"/>
      <c r="M51" s="11"/>
      <c r="N51" s="53" t="str">
        <f>IF(_epmOfflineCondition_,"Salaries &amp; Wages",IF(_xll.EVDES(H51,$B$1)="#NODATA","",_xll.EVDES(H51,$B$1)))</f>
        <v>Salaries &amp; Wages</v>
      </c>
      <c r="O51" s="119"/>
      <c r="P51" s="120"/>
      <c r="Q51" s="120"/>
      <c r="R51" s="120"/>
      <c r="S51" s="120"/>
      <c r="T51" s="120"/>
      <c r="U51" s="120"/>
      <c r="V51" s="120"/>
      <c r="W51" s="120"/>
      <c r="X51" s="120"/>
      <c r="Y51" s="120"/>
      <c r="Z51" s="120"/>
      <c r="AA51" s="120"/>
      <c r="AB51" s="121"/>
      <c r="AC51" s="11"/>
      <c r="AD51" s="119"/>
      <c r="AE51" s="120"/>
      <c r="AF51" s="121"/>
      <c r="AG51" s="120"/>
      <c r="AH51" s="120"/>
      <c r="AI51" s="121"/>
    </row>
    <row r="52" spans="1:35" hidden="1" x14ac:dyDescent="0.25">
      <c r="A52" s="65" t="s">
        <v>47</v>
      </c>
      <c r="B52" s="66" t="str">
        <f>IF(_epmOfflineCondition_,"'Telcom_Legacy'!$A$117:$B$138",_xll.EVRNG($A$117:$B$138))</f>
        <v>'Telcom_Legacy'!$A$117:$B$138</v>
      </c>
      <c r="C52" s="11"/>
      <c r="D52" s="11"/>
      <c r="E52" s="11"/>
      <c r="F52" s="11"/>
      <c r="G52" s="11"/>
      <c r="H52" s="88" t="s">
        <v>667</v>
      </c>
      <c r="I52" s="122" t="str">
        <f>IF(_epmOfflineCondition_,"",_xll.EVPRO($B$1,$H52,"STYLE"))</f>
        <v/>
      </c>
      <c r="J52" s="122" t="str">
        <f>IF(_epmOfflineCondition_,"",_xll.EVPRO($B$1,$H52,"CALC"))</f>
        <v/>
      </c>
      <c r="K52" s="179" t="str">
        <f>IF(AND(I52&gt;="T3"),"&gt;","")</f>
        <v/>
      </c>
      <c r="L52" s="90" t="str">
        <f>IF(_epmOfflineCondition_,"",_xll.EVPRO($B$1,H52,"JDEID"))</f>
        <v/>
      </c>
      <c r="M52" s="90" t="str">
        <f>IF(_epmOfflineCondition_,"",IF(AND(I52="N",J52="N"),_xll.EVPRO($B$1,H52,"PSFTID"),""))</f>
        <v/>
      </c>
      <c r="N52" s="90" t="str">
        <f>IF(_epmOfflineCondition_,"",IF(_xll.EVDES(H52,$B$1)="#NODATA","",_xll.EVDES(H52,$B$1)))</f>
        <v/>
      </c>
      <c r="O52" s="239"/>
      <c r="P52" s="239"/>
      <c r="Q52" s="239"/>
      <c r="R52" s="239"/>
      <c r="S52" s="239"/>
      <c r="T52" s="239"/>
      <c r="U52" s="239"/>
      <c r="V52" s="239"/>
      <c r="W52" s="239"/>
      <c r="X52" s="239"/>
      <c r="Y52" s="239"/>
      <c r="Z52" s="239"/>
      <c r="AA52" s="216">
        <f>IF($I52="B1","",SUM(O52:Z52))</f>
        <v>0</v>
      </c>
      <c r="AB52" s="240" t="str">
        <f>IF(O52=0,"",IFERROR(O52/O$19,""))</f>
        <v/>
      </c>
      <c r="AC52" s="140"/>
      <c r="AD52" s="239"/>
      <c r="AE52" s="240" t="str">
        <f>IF(AD52=0,"",IFERROR(AD52/AD$19,""))</f>
        <v/>
      </c>
      <c r="AF52" s="241">
        <f>IF(AND($AA52="",AD52=""),"",$AA52-AD52)</f>
        <v>0</v>
      </c>
      <c r="AG52" s="239"/>
      <c r="AH52" s="240" t="str">
        <f>IF(AG52=0,"",IFERROR(AG52/AG$19,""))</f>
        <v/>
      </c>
      <c r="AI52" s="241">
        <f>IF(AND($AA52="",AG52=""),"",$AA52-AG52)</f>
        <v>0</v>
      </c>
    </row>
    <row r="53" spans="1:35" hidden="1" x14ac:dyDescent="0.25">
      <c r="A53" s="65" t="s">
        <v>8</v>
      </c>
      <c r="B53" s="66"/>
      <c r="C53" s="11"/>
      <c r="D53" s="11"/>
      <c r="E53" s="11"/>
      <c r="F53" s="11"/>
      <c r="G53" s="11"/>
      <c r="H53" s="88"/>
      <c r="I53" s="122" t="str">
        <f>IF(_epmOfflineCondition_,"",_xll.EVPRO($B$1,$H53,"STYLE"))</f>
        <v/>
      </c>
      <c r="J53" s="122" t="str">
        <f>IF(_epmOfflineCondition_,"",_xll.EVPRO($B$1,$H53,"CALC"))</f>
        <v/>
      </c>
      <c r="K53" s="179" t="str">
        <f>IF(AND(I53&gt;="T3"),"&gt;","")</f>
        <v/>
      </c>
      <c r="L53" s="90" t="str">
        <f>IF(_epmOfflineCondition_,"",_xll.EVPRO($B$1,H53,"JDEID"))</f>
        <v/>
      </c>
      <c r="M53" s="90" t="str">
        <f>IF(_epmOfflineCondition_,"",IF(AND(I53="N",J53="N"),_xll.EVPRO($B$1,H53,"PSFTID"),""))</f>
        <v/>
      </c>
      <c r="N53" s="90" t="str">
        <f>IF(_epmOfflineCondition_,"",IF(_xll.EVDES(H53,$B$1)="#NODATA","",_xll.EVDES(H53,$B$1)))</f>
        <v/>
      </c>
      <c r="O53" s="239"/>
      <c r="P53" s="239"/>
      <c r="Q53" s="239"/>
      <c r="R53" s="239"/>
      <c r="S53" s="239"/>
      <c r="T53" s="239"/>
      <c r="U53" s="239"/>
      <c r="V53" s="239"/>
      <c r="W53" s="239"/>
      <c r="X53" s="239"/>
      <c r="Y53" s="239"/>
      <c r="Z53" s="239"/>
      <c r="AA53" s="216">
        <f>IF($I53="B1","",SUM(O53:Z53))</f>
        <v>0</v>
      </c>
      <c r="AB53" s="240" t="str">
        <f>IF(O53=0,"",IFERROR(O53/O$19,""))</f>
        <v/>
      </c>
      <c r="AC53" s="140"/>
      <c r="AD53" s="239"/>
      <c r="AE53" s="240" t="str">
        <f>IF(AD53=0,"",IFERROR(AD53/AD$19,""))</f>
        <v/>
      </c>
      <c r="AF53" s="241">
        <f>IF(AND($AA53="",AD53=""),"",$AA53-AD53)</f>
        <v>0</v>
      </c>
      <c r="AG53" s="239"/>
      <c r="AH53" s="240" t="str">
        <f>IF(AG53=0,"",IFERROR(AG53/AG$19,""))</f>
        <v/>
      </c>
      <c r="AI53" s="241">
        <f>IF(AND($AA53="",AG53=""),"",$AA53-AG53)</f>
        <v>0</v>
      </c>
    </row>
    <row r="54" spans="1:35" x14ac:dyDescent="0.25">
      <c r="A54" s="11"/>
      <c r="B54" s="11"/>
      <c r="C54" s="11"/>
      <c r="D54" s="11"/>
      <c r="E54" s="11"/>
      <c r="F54" s="11"/>
      <c r="G54" s="11"/>
      <c r="H54" s="88" t="s">
        <v>75</v>
      </c>
      <c r="I54" s="89" t="str">
        <f>IF(_epmOfflineCondition_,"B1",_xll.EVPRO($B$1,$H54,"STYLE"))</f>
        <v>B1</v>
      </c>
      <c r="J54" s="89" t="str">
        <f>IF(_epmOfflineCondition_,"Y",_xll.EVPRO($B$1,$H54,"CALC"))</f>
        <v>Y</v>
      </c>
      <c r="K54" s="265" t="str">
        <f>IF(AND(I54&gt;="T3"),"&gt;","")</f>
        <v/>
      </c>
      <c r="L54" s="106" t="str">
        <f>IF(_epmOfflineCondition_,"",_xll.EVPRO($B$1,H54,"JDEID"))</f>
        <v/>
      </c>
      <c r="M54" s="90" t="str">
        <f>IF(_epmOfflineCondition_,"",IF(AND(I54="N",J54="N"),_xll.EVPRO($B$1,H54,"PSFTID"),""))</f>
        <v/>
      </c>
      <c r="N54" s="106" t="str">
        <f>IF(_epmOfflineCondition_,"Non-Management",IF(_xll.EVDES(H54,$B$1)="#NODATA","",_xll.EVDES(H54,$B$1)))</f>
        <v>Non-Management</v>
      </c>
      <c r="O54" s="197"/>
      <c r="P54" s="197"/>
      <c r="Q54" s="197"/>
      <c r="R54" s="197"/>
      <c r="S54" s="197"/>
      <c r="T54" s="197"/>
      <c r="U54" s="197"/>
      <c r="V54" s="197"/>
      <c r="W54" s="197"/>
      <c r="X54" s="197"/>
      <c r="Y54" s="197"/>
      <c r="Z54" s="197"/>
      <c r="AA54" s="180" t="str">
        <f>IF($I54="B1","",SUM(O54:Z54))</f>
        <v/>
      </c>
      <c r="AB54" s="198" t="str">
        <f>IF(O54=0,"",IFERROR(O54/O$19,""))</f>
        <v/>
      </c>
      <c r="AC54" s="11"/>
      <c r="AD54" s="197"/>
      <c r="AE54" s="198" t="str">
        <f>IF(AD54=0,"",IFERROR(AD54/AD$19,""))</f>
        <v/>
      </c>
      <c r="AF54" s="199" t="str">
        <f>IF(AND($AA54="",AD54=""),"",$AA54-AD54)</f>
        <v/>
      </c>
      <c r="AG54" s="197"/>
      <c r="AH54" s="198" t="str">
        <f>IF(AG54=0,"",IFERROR(AG54/AG$19,""))</f>
        <v/>
      </c>
      <c r="AI54" s="199" t="str">
        <f>IF(AND($AA54="",AG54=""),"",$AA54-AG54)</f>
        <v/>
      </c>
    </row>
    <row r="55" spans="1:35" hidden="1" x14ac:dyDescent="0.25">
      <c r="A55" s="62" t="s">
        <v>9</v>
      </c>
      <c r="B55" s="63" t="s">
        <v>10</v>
      </c>
      <c r="C55" s="11"/>
      <c r="D55" s="11"/>
      <c r="E55" s="11"/>
      <c r="F55" s="11"/>
      <c r="G55" s="11"/>
      <c r="H55" s="88" t="s">
        <v>667</v>
      </c>
      <c r="I55" s="122" t="str">
        <f>IF(_epmOfflineCondition_,"",_xll.EVPRO($B$1,$H55,"STYLE"))</f>
        <v/>
      </c>
      <c r="J55" s="122" t="str">
        <f>IF(_epmOfflineCondition_,"",_xll.EVPRO($B$1,$H55,"CALC"))</f>
        <v/>
      </c>
      <c r="K55" s="179" t="str">
        <f>IF(AND(I55&gt;="T3"),"&gt;","")</f>
        <v/>
      </c>
      <c r="L55" s="90" t="str">
        <f>IF(_epmOfflineCondition_,"",_xll.EVPRO($B$1,H55,"JDEID"))</f>
        <v/>
      </c>
      <c r="M55" s="90" t="str">
        <f>IF(_epmOfflineCondition_,"",IF(AND(I55="N",J55="N"),_xll.EVPRO($B$1,H55,"PSFTID"),""))</f>
        <v/>
      </c>
      <c r="N55" s="90" t="str">
        <f>IF(_epmOfflineCondition_,"",IF(_xll.EVDES(H55,$B$1)="#NODATA","",_xll.EVDES(H55,$B$1)))</f>
        <v/>
      </c>
      <c r="O55" s="239"/>
      <c r="P55" s="239"/>
      <c r="Q55" s="239"/>
      <c r="R55" s="239"/>
      <c r="S55" s="239"/>
      <c r="T55" s="239"/>
      <c r="U55" s="239"/>
      <c r="V55" s="239"/>
      <c r="W55" s="239"/>
      <c r="X55" s="239"/>
      <c r="Y55" s="239"/>
      <c r="Z55" s="239"/>
      <c r="AA55" s="216">
        <f>IF($I55="B1","",SUM(O55:Z55))</f>
        <v>0</v>
      </c>
      <c r="AB55" s="240" t="str">
        <f>IF(O55=0,"",IFERROR(O55/O$19,""))</f>
        <v/>
      </c>
      <c r="AC55" s="140"/>
      <c r="AD55" s="239"/>
      <c r="AE55" s="240" t="str">
        <f>IF(AD55=0,"",IFERROR(AD55/AD$19,""))</f>
        <v/>
      </c>
      <c r="AF55" s="241">
        <f>IF(AND($AA55="",AD55=""),"",$AA55-AD55)</f>
        <v>0</v>
      </c>
      <c r="AG55" s="239"/>
      <c r="AH55" s="240" t="str">
        <f>IF(AG55=0,"",IFERROR(AG55/AG$19,""))</f>
        <v/>
      </c>
      <c r="AI55" s="241">
        <f>IF(AND($AA55="",AG55=""),"",$AA55-AG55)</f>
        <v>0</v>
      </c>
    </row>
    <row r="56" spans="1:35" hidden="1" x14ac:dyDescent="0.25">
      <c r="A56" s="65" t="s">
        <v>11</v>
      </c>
      <c r="B56" s="66" t="s">
        <v>21</v>
      </c>
      <c r="C56" s="11"/>
      <c r="D56" s="11"/>
      <c r="E56" s="11"/>
      <c r="F56" s="11"/>
      <c r="G56" s="76"/>
      <c r="H56" s="88"/>
      <c r="I56" s="122" t="str">
        <f>IF(_epmOfflineCondition_,"",_xll.EVPRO($B$1,$H56,"STYLE"))</f>
        <v/>
      </c>
      <c r="J56" s="122" t="str">
        <f>IF(_epmOfflineCondition_,"",_xll.EVPRO($B$1,$H56,"CALC"))</f>
        <v/>
      </c>
      <c r="K56" s="179" t="str">
        <f>IF(AND(I56&gt;="T3"),"&gt;","")</f>
        <v/>
      </c>
      <c r="L56" s="90" t="str">
        <f>IF(_epmOfflineCondition_,"",_xll.EVPRO($B$1,H56,"JDEID"))</f>
        <v/>
      </c>
      <c r="M56" s="90" t="str">
        <f>IF(_epmOfflineCondition_,"",IF(AND(I56="N",J56="N"),_xll.EVPRO($B$1,H56,"PSFTID"),""))</f>
        <v/>
      </c>
      <c r="N56" s="90" t="str">
        <f>IF(_epmOfflineCondition_,"",IF(_xll.EVDES(H56,$B$1)="#NODATA","",_xll.EVDES(H56,$B$1)))</f>
        <v/>
      </c>
      <c r="O56" s="239"/>
      <c r="P56" s="239"/>
      <c r="Q56" s="239"/>
      <c r="R56" s="239"/>
      <c r="S56" s="239"/>
      <c r="T56" s="239"/>
      <c r="U56" s="239"/>
      <c r="V56" s="239"/>
      <c r="W56" s="239"/>
      <c r="X56" s="239"/>
      <c r="Y56" s="239"/>
      <c r="Z56" s="239"/>
      <c r="AA56" s="216">
        <f>IF($I56="B1","",SUM(O56:Z56))</f>
        <v>0</v>
      </c>
      <c r="AB56" s="240" t="str">
        <f>IF(O56=0,"",IFERROR(O56/O$19,""))</f>
        <v/>
      </c>
      <c r="AC56" s="140"/>
      <c r="AD56" s="239"/>
      <c r="AE56" s="240" t="str">
        <f>IF(AD56=0,"",IFERROR(AD56/AD$19,""))</f>
        <v/>
      </c>
      <c r="AF56" s="241">
        <f>IF(AND($AA56="",AD56=""),"",$AA56-AD56)</f>
        <v>0</v>
      </c>
      <c r="AG56" s="239"/>
      <c r="AH56" s="240" t="str">
        <f>IF(AG56=0,"",IFERROR(AG56/AG$19,""))</f>
        <v/>
      </c>
      <c r="AI56" s="241">
        <f>IF(AND($AA56="",AG56=""),"",$AA56-AG56)</f>
        <v>0</v>
      </c>
    </row>
    <row r="57" spans="1:35" x14ac:dyDescent="0.25">
      <c r="A57" s="65" t="s">
        <v>12</v>
      </c>
      <c r="B57" s="66" t="s">
        <v>22</v>
      </c>
      <c r="C57" s="11"/>
      <c r="D57" s="11"/>
      <c r="E57" s="11"/>
      <c r="F57" s="11"/>
      <c r="G57" s="11"/>
      <c r="H57" s="11"/>
      <c r="I57" s="59"/>
      <c r="J57" s="59"/>
      <c r="K57" s="11"/>
      <c r="L57" s="11"/>
      <c r="M57" s="11"/>
      <c r="N57" s="11"/>
      <c r="O57" s="129"/>
      <c r="P57" s="130"/>
      <c r="Q57" s="130"/>
      <c r="R57" s="130"/>
      <c r="S57" s="130"/>
      <c r="T57" s="130"/>
      <c r="U57" s="130"/>
      <c r="V57" s="130"/>
      <c r="W57" s="130"/>
      <c r="X57" s="130"/>
      <c r="Y57" s="130"/>
      <c r="Z57" s="130"/>
      <c r="AA57" s="130"/>
      <c r="AB57" s="131"/>
      <c r="AC57" s="11"/>
      <c r="AD57" s="129"/>
      <c r="AE57" s="130"/>
      <c r="AF57" s="131"/>
      <c r="AG57" s="129"/>
      <c r="AH57" s="130"/>
      <c r="AI57" s="131"/>
    </row>
    <row r="58" spans="1:35" x14ac:dyDescent="0.25">
      <c r="A58" s="65" t="s">
        <v>13</v>
      </c>
      <c r="B58" s="66" t="str">
        <f>"DEP(510000) AND "&amp;$E$6&amp;"=Y,500001"</f>
        <v>DEP(510000) AND D1131=Y,500001</v>
      </c>
      <c r="C58" s="11"/>
      <c r="D58" s="11"/>
      <c r="E58" s="11"/>
      <c r="F58" s="11"/>
      <c r="G58" s="11"/>
      <c r="H58" s="11" t="s">
        <v>82</v>
      </c>
      <c r="I58" s="59" t="str">
        <f>IF(_epmOfflineCondition_,"B1",_xll.EVPRO($B$1,$H58,"STYLE"))</f>
        <v>B1</v>
      </c>
      <c r="J58" s="59" t="str">
        <f>IF(_epmOfflineCondition_,"Y",_xll.EVPRO($B$1,$H58,"CALC"))</f>
        <v>Y</v>
      </c>
      <c r="K58" s="11"/>
      <c r="L58" s="11"/>
      <c r="M58" s="11"/>
      <c r="N58" s="105" t="str">
        <f>IF(_epmOfflineCondition_,"Other Expenses",IF(_xll.EVDES(H58,$B$1)="#NODATA","",_xll.EVDES(H58,$B$1)))</f>
        <v>Other Expenses</v>
      </c>
      <c r="O58" s="119"/>
      <c r="P58" s="120"/>
      <c r="Q58" s="120"/>
      <c r="R58" s="120"/>
      <c r="S58" s="120"/>
      <c r="T58" s="120"/>
      <c r="U58" s="120"/>
      <c r="V58" s="120"/>
      <c r="W58" s="120"/>
      <c r="X58" s="120"/>
      <c r="Y58" s="120"/>
      <c r="Z58" s="120"/>
      <c r="AA58" s="120"/>
      <c r="AB58" s="121"/>
      <c r="AC58" s="11"/>
      <c r="AD58" s="119"/>
      <c r="AE58" s="120"/>
      <c r="AF58" s="121"/>
      <c r="AG58" s="119"/>
      <c r="AH58" s="120"/>
      <c r="AI58" s="121"/>
    </row>
    <row r="59" spans="1:35" hidden="1" x14ac:dyDescent="0.25">
      <c r="A59" s="65" t="s">
        <v>14</v>
      </c>
      <c r="B59" s="66"/>
      <c r="C59" s="11"/>
      <c r="D59" s="11"/>
      <c r="E59" s="11"/>
      <c r="F59" s="11"/>
      <c r="G59" s="11"/>
      <c r="H59" s="88" t="s">
        <v>667</v>
      </c>
      <c r="I59" s="122" t="str">
        <f>IF(_epmOfflineCondition_,"",_xll.EVPRO($B$1,$H59,"STYLE"))</f>
        <v/>
      </c>
      <c r="J59" s="122" t="str">
        <f>IF(_epmOfflineCondition_,"",_xll.EVPRO($B$1,$H59,"CALC"))</f>
        <v/>
      </c>
      <c r="K59" s="179" t="str">
        <f>IF(AND(I59&lt;&gt;"B1",J59="Y"),"&gt;","")</f>
        <v/>
      </c>
      <c r="L59" s="90" t="str">
        <f>IF(_epmOfflineCondition_,"",_xll.EVPRO($B$1,H59,"JDEID"))</f>
        <v/>
      </c>
      <c r="M59" s="90" t="str">
        <f>IF(_epmOfflineCondition_,"",IF(AND(I59="N",J59="N"),_xll.EVPRO($B$1,H59,"PSFTID"),""))</f>
        <v/>
      </c>
      <c r="N59" s="90" t="str">
        <f>IF(_epmOfflineCondition_,"",IF(_xll.EVDES(H59,$B$1)="#NODATA","",_xll.EVDES(H59,$B$1)))</f>
        <v/>
      </c>
      <c r="O59" s="138"/>
      <c r="P59" s="138"/>
      <c r="Q59" s="138"/>
      <c r="R59" s="138"/>
      <c r="S59" s="138"/>
      <c r="T59" s="138"/>
      <c r="U59" s="138"/>
      <c r="V59" s="138"/>
      <c r="W59" s="138"/>
      <c r="X59" s="138"/>
      <c r="Y59" s="138"/>
      <c r="Z59" s="138"/>
      <c r="AA59" s="210">
        <f>IF($I59="B1","",SUM(O59:Z59))</f>
        <v>0</v>
      </c>
      <c r="AB59" s="142" t="str">
        <f>IF(AA59=0,"",IFERROR(AA59/AA$19,""))</f>
        <v/>
      </c>
      <c r="AC59" s="140"/>
      <c r="AD59" s="138"/>
      <c r="AE59" s="142" t="str">
        <f>IF(AD59=0,"",IFERROR(AD59/AD$19,""))</f>
        <v/>
      </c>
      <c r="AF59" s="141">
        <f>IF(AND($AA59="",AD59=""),"",$AA59-AD59)</f>
        <v>0</v>
      </c>
      <c r="AG59" s="138"/>
      <c r="AH59" s="142" t="str">
        <f>IF(AG59=0,"",IFERROR(AG59/AG$19,""))</f>
        <v/>
      </c>
      <c r="AI59" s="141">
        <f>IF(AND($AA59="",AG59=""),"",$AA59-AG59)</f>
        <v>0</v>
      </c>
    </row>
    <row r="60" spans="1:35" hidden="1" x14ac:dyDescent="0.25">
      <c r="A60" s="65" t="s">
        <v>15</v>
      </c>
      <c r="B60" s="66"/>
      <c r="C60" s="11"/>
      <c r="D60" s="11"/>
      <c r="E60" s="11"/>
      <c r="F60" s="11"/>
      <c r="G60" s="11"/>
      <c r="H60" s="88"/>
      <c r="I60" s="122" t="str">
        <f>IF(_epmOfflineCondition_,"",_xll.EVPRO($B$1,$H60,"STYLE"))</f>
        <v/>
      </c>
      <c r="J60" s="122" t="str">
        <f>IF(_epmOfflineCondition_,"",_xll.EVPRO($B$1,$H60,"CALC"))</f>
        <v/>
      </c>
      <c r="K60" s="179" t="str">
        <f>IF(AND(I60&lt;&gt;"B1",J60="Y"),"&gt;","")</f>
        <v/>
      </c>
      <c r="L60" s="90" t="str">
        <f>IF(_epmOfflineCondition_,"",_xll.EVPRO($B$1,H60,"JDEID"))</f>
        <v/>
      </c>
      <c r="M60" s="90" t="str">
        <f>IF(_epmOfflineCondition_,"",IF(AND(I60="N",J60="N"),_xll.EVPRO($B$1,H60,"PSFTID"),""))</f>
        <v/>
      </c>
      <c r="N60" s="90" t="str">
        <f>IF(_epmOfflineCondition_,"",IF(_xll.EVDES(H60,$B$1)="#NODATA","",_xll.EVDES(H60,$B$1)))</f>
        <v/>
      </c>
      <c r="O60" s="138"/>
      <c r="P60" s="138"/>
      <c r="Q60" s="138"/>
      <c r="R60" s="138"/>
      <c r="S60" s="138"/>
      <c r="T60" s="138"/>
      <c r="U60" s="138"/>
      <c r="V60" s="138"/>
      <c r="W60" s="138"/>
      <c r="X60" s="138"/>
      <c r="Y60" s="138"/>
      <c r="Z60" s="138"/>
      <c r="AA60" s="210">
        <f>IF($I60="B1","",SUM(O60:Z60))</f>
        <v>0</v>
      </c>
      <c r="AB60" s="142" t="str">
        <f>IF(AA60=0,"",IFERROR(AA60/AA$19,""))</f>
        <v/>
      </c>
      <c r="AC60" s="140"/>
      <c r="AD60" s="138"/>
      <c r="AE60" s="142" t="str">
        <f>IF(AD60=0,"",IFERROR(AD60/AD$19,""))</f>
        <v/>
      </c>
      <c r="AF60" s="141">
        <f>IF(AND($AA60="",AD60=""),"",$AA60-AD60)</f>
        <v>0</v>
      </c>
      <c r="AG60" s="138"/>
      <c r="AH60" s="142" t="str">
        <f>IF(AG60=0,"",IFERROR(AG60/AG$19,""))</f>
        <v/>
      </c>
      <c r="AI60" s="141">
        <f>IF(AND($AA60="",AG60=""),"",$AA60-AG60)</f>
        <v>0</v>
      </c>
    </row>
    <row r="61" spans="1:35" x14ac:dyDescent="0.25">
      <c r="A61" s="65" t="s">
        <v>16</v>
      </c>
      <c r="B61" s="66"/>
      <c r="C61" s="11"/>
      <c r="D61" s="11"/>
      <c r="E61" s="11"/>
      <c r="F61" s="11"/>
      <c r="G61" s="11"/>
      <c r="H61" s="88" t="s">
        <v>79</v>
      </c>
      <c r="I61" s="136" t="str">
        <f>IF(_epmOfflineCondition_,"T3",_xll.EVPRO($B$1,$H61,"STYLE"))</f>
        <v>T3</v>
      </c>
      <c r="J61" s="136" t="str">
        <f>IF(_epmOfflineCondition_,"Y",_xll.EVPRO($B$1,$H61,"CALC"))</f>
        <v>Y</v>
      </c>
      <c r="K61" s="104"/>
      <c r="L61" s="104"/>
      <c r="M61" s="104"/>
      <c r="N61" s="106" t="str">
        <f>IF(_epmOfflineCondition_,"Total Operations Expense",IF(_xll.EVDES(H61,$B$1)="#NODATA","",_xll.EVDES(H61,$B$1)))</f>
        <v>Total Operations Expense</v>
      </c>
      <c r="O61" s="150"/>
      <c r="P61" s="150"/>
      <c r="Q61" s="150"/>
      <c r="R61" s="150"/>
      <c r="S61" s="150"/>
      <c r="T61" s="150"/>
      <c r="U61" s="150"/>
      <c r="V61" s="150"/>
      <c r="W61" s="150"/>
      <c r="X61" s="150"/>
      <c r="Y61" s="150"/>
      <c r="Z61" s="150"/>
      <c r="AA61" s="150">
        <f>IF($I61="B1","",SUM(O61:Z61))</f>
        <v>0</v>
      </c>
      <c r="AB61" s="151" t="str">
        <f>IF(AA61=0,"",IFERROR(AA61/AA$19,""))</f>
        <v/>
      </c>
      <c r="AC61" s="140"/>
      <c r="AD61" s="150"/>
      <c r="AE61" s="151" t="str">
        <f>IF(AD61=0,"",IFERROR(AD61/AD$19,""))</f>
        <v/>
      </c>
      <c r="AF61" s="152">
        <f>IF(AND($AA61="",AD61=""),"",$AA61-AD61)</f>
        <v>0</v>
      </c>
      <c r="AG61" s="150"/>
      <c r="AH61" s="151" t="str">
        <f>IF(AG61=0,"",IFERROR(AG61/AG$19,""))</f>
        <v/>
      </c>
      <c r="AI61" s="152">
        <f>IF(AND($AA61="",AG61=""),"",$AA61-AG61)</f>
        <v>0</v>
      </c>
    </row>
    <row r="62" spans="1:35" x14ac:dyDescent="0.25">
      <c r="A62" s="65" t="s">
        <v>17</v>
      </c>
      <c r="B62" s="66"/>
      <c r="C62" s="11"/>
      <c r="D62" s="11"/>
      <c r="E62" s="11"/>
      <c r="F62" s="11"/>
      <c r="G62" s="11"/>
      <c r="H62" s="11"/>
      <c r="I62" s="59"/>
      <c r="J62" s="59"/>
      <c r="K62" s="11"/>
      <c r="L62" s="11"/>
      <c r="M62" s="11"/>
      <c r="N62" s="11"/>
      <c r="O62" s="140"/>
      <c r="P62" s="140"/>
      <c r="Q62" s="140"/>
      <c r="R62" s="140"/>
      <c r="S62" s="140"/>
      <c r="T62" s="140"/>
      <c r="U62" s="140"/>
      <c r="V62" s="140"/>
      <c r="W62" s="140"/>
      <c r="X62" s="140"/>
      <c r="Y62" s="140"/>
      <c r="Z62" s="140"/>
      <c r="AA62" s="140"/>
      <c r="AB62" s="140"/>
      <c r="AC62" s="140"/>
      <c r="AD62" s="140"/>
      <c r="AE62" s="140"/>
      <c r="AF62" s="140"/>
      <c r="AG62" s="140"/>
      <c r="AH62" s="140"/>
      <c r="AI62" s="140"/>
    </row>
    <row r="63" spans="1:35" x14ac:dyDescent="0.25">
      <c r="A63" s="11"/>
      <c r="B63" s="11"/>
      <c r="C63" s="11"/>
      <c r="D63" s="11"/>
      <c r="E63" s="11"/>
      <c r="F63" s="11"/>
      <c r="G63" s="11"/>
      <c r="H63" s="88" t="s">
        <v>80</v>
      </c>
      <c r="I63" s="136" t="str">
        <f>IF(_epmOfflineCondition_,"T3",_xll.EVPRO($B$1,$H63,"STYLE"))</f>
        <v>T3</v>
      </c>
      <c r="J63" s="136" t="str">
        <f>IF(_epmOfflineCondition_,"Y",_xll.EVPRO($B$1,$H63,"CALC"))</f>
        <v>Y</v>
      </c>
      <c r="K63" s="106"/>
      <c r="L63" s="106"/>
      <c r="M63" s="106"/>
      <c r="N63" s="106" t="str">
        <f>IF(_epmOfflineCondition_,"Total Expenses",IF(_xll.EVDES(H63,$B$1)="#NODATA","",_xll.EVDES(H63,$B$1)))</f>
        <v>Total Expenses</v>
      </c>
      <c r="O63" s="242"/>
      <c r="P63" s="242"/>
      <c r="Q63" s="242"/>
      <c r="R63" s="242"/>
      <c r="S63" s="242"/>
      <c r="T63" s="242"/>
      <c r="U63" s="242"/>
      <c r="V63" s="242"/>
      <c r="W63" s="242"/>
      <c r="X63" s="242"/>
      <c r="Y63" s="242"/>
      <c r="Z63" s="242"/>
      <c r="AA63" s="242">
        <f>IF($I63="B1","",SUM(O63:Z63))</f>
        <v>0</v>
      </c>
      <c r="AB63" s="243" t="str">
        <f>IF(AA63=0,"",IFERROR(AA63/AA$19,""))</f>
        <v/>
      </c>
      <c r="AC63" s="140"/>
      <c r="AD63" s="242"/>
      <c r="AE63" s="243" t="str">
        <f>IF(AD63=0,"",IFERROR(AD63/AD$19,""))</f>
        <v/>
      </c>
      <c r="AF63" s="254">
        <f>IF(AND($AA63="",AD63=""),"",$AA63-AD63)</f>
        <v>0</v>
      </c>
      <c r="AG63" s="255"/>
      <c r="AH63" s="256" t="str">
        <f>IF(AG63=0,"",IFERROR(AG63/AG$19,""))</f>
        <v/>
      </c>
      <c r="AI63" s="254">
        <f>IF(AND($AA63="",AG63=""),"",$AA63-AG63)</f>
        <v>0</v>
      </c>
    </row>
    <row r="64" spans="1:35" ht="15.75" thickBot="1" x14ac:dyDescent="0.3">
      <c r="A64" s="97" t="s">
        <v>92</v>
      </c>
      <c r="B64" s="98" t="s">
        <v>93</v>
      </c>
      <c r="C64" s="98" t="s">
        <v>94</v>
      </c>
      <c r="D64" s="98" t="s">
        <v>95</v>
      </c>
      <c r="E64" s="98" t="s">
        <v>96</v>
      </c>
      <c r="F64" s="99" t="s">
        <v>97</v>
      </c>
      <c r="G64" s="11"/>
      <c r="H64" s="88" t="s">
        <v>81</v>
      </c>
      <c r="I64" s="136" t="str">
        <f>IF(_epmOfflineCondition_,"T3",_xll.EVPRO($B$1,$H64,"STYLE"))</f>
        <v>T3</v>
      </c>
      <c r="J64" s="136" t="str">
        <f>IF(_epmOfflineCondition_,"Y",_xll.EVPRO($B$1,$H64,"CALC"))</f>
        <v>Y</v>
      </c>
      <c r="K64" s="106"/>
      <c r="L64" s="106"/>
      <c r="M64" s="106"/>
      <c r="N64" s="106" t="str">
        <f>IF(_epmOfflineCondition_,"Department Profit (Loss)",IF(_xll.EVDES(H64,$B$1)="#NODATA","",_xll.EVDES(H64,$B$1)))</f>
        <v>Department Profit (Loss)</v>
      </c>
      <c r="O64" s="165"/>
      <c r="P64" s="165"/>
      <c r="Q64" s="165"/>
      <c r="R64" s="165"/>
      <c r="S64" s="165"/>
      <c r="T64" s="165"/>
      <c r="U64" s="165"/>
      <c r="V64" s="165"/>
      <c r="W64" s="165"/>
      <c r="X64" s="165"/>
      <c r="Y64" s="165"/>
      <c r="Z64" s="165"/>
      <c r="AA64" s="165">
        <f>IF($I64="B1","",SUM(O64:Z64))</f>
        <v>0</v>
      </c>
      <c r="AB64" s="166" t="str">
        <f>IF(AA64=0,"",IFERROR(AA64/AA$19,""))</f>
        <v/>
      </c>
      <c r="AC64" s="140"/>
      <c r="AD64" s="165"/>
      <c r="AE64" s="166" t="str">
        <f>IF(AD64=0,"",IFERROR(AD64/AD$19,""))</f>
        <v/>
      </c>
      <c r="AF64" s="167">
        <f>IF(AND($AA64="",AD64=""),"",$AA64-AD64)</f>
        <v>0</v>
      </c>
      <c r="AG64" s="165"/>
      <c r="AH64" s="166" t="str">
        <f>IF(AG64=0,"",IFERROR(AG64/AG$19,""))</f>
        <v/>
      </c>
      <c r="AI64" s="167">
        <f>IF(AND($AA64="",AG64=""),"",$AA64-AG64)</f>
        <v>0</v>
      </c>
    </row>
    <row r="65" spans="1:35" ht="15.75" thickTop="1" x14ac:dyDescent="0.25">
      <c r="A65" s="11"/>
      <c r="B65" s="11"/>
      <c r="C65" s="11"/>
      <c r="D65" s="11"/>
      <c r="E65" s="11"/>
      <c r="F65" s="11"/>
      <c r="G65" s="11"/>
      <c r="H65" s="11"/>
      <c r="I65" s="59"/>
      <c r="J65" s="59"/>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row>
    <row r="66" spans="1:35" x14ac:dyDescent="0.25">
      <c r="A66" s="11" t="s">
        <v>209</v>
      </c>
      <c r="B66" s="11" t="s">
        <v>21</v>
      </c>
      <c r="C66" s="395"/>
      <c r="D66" s="11" t="s">
        <v>590</v>
      </c>
      <c r="E66" s="11"/>
      <c r="F66" s="11" t="s">
        <v>99</v>
      </c>
      <c r="G66" s="11"/>
      <c r="H66" s="11"/>
      <c r="I66" s="59"/>
      <c r="J66" s="59"/>
      <c r="K66" s="11"/>
      <c r="L66" s="11"/>
      <c r="M66" s="11"/>
      <c r="N66" s="104" t="str">
        <f>N63&amp;" - Check"</f>
        <v>Total Expenses - Check</v>
      </c>
      <c r="O66" s="209">
        <f t="shared" ref="O66:AA66" si="11">SUMIF($H$34:$H$64,"600000",O$34:O$64)+SUMIF($H$34:$H$64,"700000",O$34:O$64)-SUMIF($H$34:$H$64,"TOTDEPTEXP",O$34:O$64)</f>
        <v>0</v>
      </c>
      <c r="P66" s="209">
        <f t="shared" si="11"/>
        <v>0</v>
      </c>
      <c r="Q66" s="209">
        <f t="shared" si="11"/>
        <v>0</v>
      </c>
      <c r="R66" s="209">
        <f t="shared" si="11"/>
        <v>0</v>
      </c>
      <c r="S66" s="209">
        <f t="shared" si="11"/>
        <v>0</v>
      </c>
      <c r="T66" s="209">
        <f t="shared" si="11"/>
        <v>0</v>
      </c>
      <c r="U66" s="209">
        <f t="shared" si="11"/>
        <v>0</v>
      </c>
      <c r="V66" s="209">
        <f t="shared" si="11"/>
        <v>0</v>
      </c>
      <c r="W66" s="209">
        <f t="shared" si="11"/>
        <v>0</v>
      </c>
      <c r="X66" s="209">
        <f t="shared" si="11"/>
        <v>0</v>
      </c>
      <c r="Y66" s="209">
        <f t="shared" si="11"/>
        <v>0</v>
      </c>
      <c r="Z66" s="209">
        <f t="shared" si="11"/>
        <v>0</v>
      </c>
      <c r="AA66" s="209">
        <f t="shared" si="11"/>
        <v>0</v>
      </c>
      <c r="AB66" s="100"/>
      <c r="AC66" s="11"/>
      <c r="AD66" s="209">
        <f>SUMIF($H$34:$H$64,"600000",AD$34:AD$64)+SUMIF($H$34:$H$64,"700000",AD$34:AD$64)-SUMIF($H$34:$H$64,"TOTDEPTEXP",AD$34:AD$64)</f>
        <v>0</v>
      </c>
      <c r="AE66" s="100"/>
      <c r="AF66" s="91"/>
      <c r="AG66" s="209">
        <f>SUMIF($H$34:$H$64,"600000",AG$34:AG$64)+SUMIF($H$34:$H$64,"700000",AG$34:AG$64)-SUMIF($H$34:$H$64,"TOTDEPTEXP",AG$34:AG$64)</f>
        <v>0</v>
      </c>
      <c r="AH66" s="100"/>
      <c r="AI66" s="91"/>
    </row>
    <row r="67" spans="1:35" x14ac:dyDescent="0.25">
      <c r="A67" s="11" t="s">
        <v>105</v>
      </c>
      <c r="B67" s="11"/>
      <c r="C67" s="104" t="s">
        <v>101</v>
      </c>
      <c r="D67" s="11" t="s">
        <v>106</v>
      </c>
      <c r="E67" s="11"/>
      <c r="F67" s="11" t="s">
        <v>98</v>
      </c>
      <c r="G67" s="11"/>
      <c r="H67" s="11"/>
      <c r="I67" s="59"/>
      <c r="J67" s="59"/>
      <c r="K67" s="11"/>
      <c r="L67" s="11"/>
      <c r="M67" s="11"/>
      <c r="N67" s="104" t="str">
        <f>N64&amp;" - Check"</f>
        <v>Department Profit (Loss) - Check</v>
      </c>
      <c r="O67" s="209">
        <f t="shared" ref="O67:AA67" si="12">SUMIF($H$34:$H$64,"KPI_GP",O$34:O$64)-SUMIF($H$34:$H$64,"TOTDEPTEXP",O$34:O$64)-SUMIF($H$34:$H$64,"TOTDEPTPL",O$34:O$64)</f>
        <v>0</v>
      </c>
      <c r="P67" s="209">
        <f t="shared" si="12"/>
        <v>0</v>
      </c>
      <c r="Q67" s="209">
        <f t="shared" si="12"/>
        <v>0</v>
      </c>
      <c r="R67" s="209">
        <f t="shared" si="12"/>
        <v>0</v>
      </c>
      <c r="S67" s="209">
        <f t="shared" si="12"/>
        <v>0</v>
      </c>
      <c r="T67" s="209">
        <f t="shared" si="12"/>
        <v>0</v>
      </c>
      <c r="U67" s="209">
        <f t="shared" si="12"/>
        <v>0</v>
      </c>
      <c r="V67" s="209">
        <f t="shared" si="12"/>
        <v>0</v>
      </c>
      <c r="W67" s="209">
        <f t="shared" si="12"/>
        <v>0</v>
      </c>
      <c r="X67" s="209">
        <f t="shared" si="12"/>
        <v>0</v>
      </c>
      <c r="Y67" s="209">
        <f t="shared" si="12"/>
        <v>0</v>
      </c>
      <c r="Z67" s="209">
        <f t="shared" si="12"/>
        <v>0</v>
      </c>
      <c r="AA67" s="209">
        <f t="shared" si="12"/>
        <v>0</v>
      </c>
      <c r="AB67" s="100"/>
      <c r="AC67" s="11"/>
      <c r="AD67" s="209">
        <f>SUMIF($H$34:$H$64,"KPI_GP",AD$34:AD$64)-SUMIF($H$34:$H$64,"TOTDEPTEXP",AD$34:AD$64)-SUMIF($H$34:$H$64,"TOTDEPTPL",AD$34:AD$64)</f>
        <v>0</v>
      </c>
      <c r="AE67" s="100"/>
      <c r="AF67" s="91"/>
      <c r="AG67" s="209">
        <f>SUMIF($H$34:$H$64,"KPI_GP",AG$34:AG$64)-SUMIF($H$34:$H$64,"TOTDEPTEXP",AG$34:AG$64)-SUMIF($H$34:$H$64,"TOTDEPTPL",AG$34:AG$64)</f>
        <v>0</v>
      </c>
      <c r="AH67" s="100"/>
      <c r="AI67" s="91"/>
    </row>
    <row r="68" spans="1:35" x14ac:dyDescent="0.25">
      <c r="A68" s="11" t="s">
        <v>108</v>
      </c>
      <c r="B68" s="11"/>
      <c r="C68" s="106" t="s">
        <v>101</v>
      </c>
      <c r="D68" s="11" t="s">
        <v>106</v>
      </c>
      <c r="E68" s="11"/>
      <c r="F68" s="11" t="s">
        <v>98</v>
      </c>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row>
    <row r="69" spans="1:35" x14ac:dyDescent="0.25">
      <c r="A69" s="11" t="s">
        <v>108</v>
      </c>
      <c r="B69" s="11"/>
      <c r="C69" s="196" t="s">
        <v>101</v>
      </c>
      <c r="D69" s="11" t="s">
        <v>107</v>
      </c>
      <c r="E69" s="11"/>
      <c r="F69" s="11" t="s">
        <v>99</v>
      </c>
      <c r="G69" s="11"/>
      <c r="H69" s="11"/>
      <c r="I69" s="59"/>
      <c r="J69" s="59"/>
      <c r="K69" s="11"/>
      <c r="L69" s="11"/>
      <c r="M69" s="11"/>
      <c r="N69" s="11"/>
      <c r="O69" s="137"/>
      <c r="P69" s="137"/>
      <c r="Q69" s="137"/>
      <c r="R69" s="137"/>
      <c r="S69" s="137"/>
      <c r="T69" s="137"/>
      <c r="U69" s="137"/>
      <c r="V69" s="137"/>
      <c r="W69" s="137"/>
      <c r="X69" s="137"/>
      <c r="Y69" s="137"/>
      <c r="Z69" s="137"/>
      <c r="AA69" s="137"/>
      <c r="AB69" s="11"/>
      <c r="AC69" s="11"/>
      <c r="AD69" s="137"/>
      <c r="AE69" s="11"/>
      <c r="AF69" s="11"/>
      <c r="AG69" s="137"/>
      <c r="AH69" s="11"/>
      <c r="AI69" s="11"/>
    </row>
    <row r="70" spans="1:35" x14ac:dyDescent="0.25">
      <c r="A70" s="11"/>
      <c r="B70" s="11"/>
      <c r="C70" s="11"/>
      <c r="D70" s="11"/>
      <c r="E70" s="11"/>
      <c r="F70" s="11"/>
      <c r="G70" s="11"/>
      <c r="H70" s="11"/>
      <c r="I70" s="59"/>
      <c r="J70" s="59"/>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row>
    <row r="71" spans="1:35" x14ac:dyDescent="0.25">
      <c r="A71" s="11"/>
      <c r="B71" s="11"/>
      <c r="C71" s="208"/>
      <c r="D71" s="11"/>
      <c r="E71" s="11"/>
      <c r="F71" s="11"/>
      <c r="G71" s="11"/>
      <c r="H71" s="11"/>
      <c r="I71" s="59"/>
      <c r="J71" s="59"/>
      <c r="K71" s="11"/>
      <c r="L71" s="11"/>
      <c r="M71" s="11"/>
      <c r="N71" s="11"/>
      <c r="O71" s="137"/>
      <c r="P71" s="137"/>
      <c r="Q71" s="137"/>
      <c r="R71" s="137"/>
      <c r="S71" s="137"/>
      <c r="T71" s="137"/>
      <c r="U71" s="137"/>
      <c r="V71" s="137"/>
      <c r="W71" s="137"/>
      <c r="X71" s="137"/>
      <c r="Y71" s="137"/>
      <c r="Z71" s="137"/>
      <c r="AA71" s="137"/>
      <c r="AB71" s="11"/>
      <c r="AC71" s="11"/>
      <c r="AD71" s="137"/>
      <c r="AE71" s="11"/>
      <c r="AF71" s="11"/>
      <c r="AG71" s="137"/>
      <c r="AH71" s="11"/>
      <c r="AI71" s="11"/>
    </row>
    <row r="72" spans="1:35" x14ac:dyDescent="0.25">
      <c r="A72" s="61" t="str">
        <f>IF(_epmOfflineCondition_,"Evdre:Ok",_xll.EVDRE($B$1,A75:B82,A85:B91))</f>
        <v>Evdre:Ok</v>
      </c>
      <c r="B72" s="11"/>
      <c r="C72" s="11"/>
      <c r="D72" s="11"/>
      <c r="E72" s="11"/>
      <c r="F72" s="11"/>
      <c r="G72" s="11"/>
      <c r="H72" s="11"/>
      <c r="I72" s="59"/>
      <c r="J72" s="59"/>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row>
    <row r="73" spans="1:35" x14ac:dyDescent="0.25">
      <c r="A73" s="11"/>
      <c r="B73" s="11"/>
      <c r="C73" s="11"/>
      <c r="D73" s="11"/>
      <c r="E73" s="11"/>
      <c r="F73" s="11"/>
      <c r="G73" s="11"/>
      <c r="H73" s="11"/>
      <c r="I73" s="59"/>
      <c r="J73" s="59"/>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row>
    <row r="74" spans="1:35" x14ac:dyDescent="0.25">
      <c r="A74" s="62" t="s">
        <v>0</v>
      </c>
      <c r="B74" s="63" t="s">
        <v>1</v>
      </c>
      <c r="C74" s="11"/>
      <c r="D74" s="11"/>
      <c r="E74" s="11"/>
      <c r="F74" s="11"/>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row>
    <row r="75" spans="1:35" x14ac:dyDescent="0.25">
      <c r="A75" s="65" t="s">
        <v>2</v>
      </c>
      <c r="B75" s="66" t="str">
        <f>IF(_epmOfflineCondition_,"'Telcom_Legacy'!$B$2:$B$10",_xll.EVRNG($B$2:$B$10))</f>
        <v>'Telcom_Legacy'!$B$2:$B$10</v>
      </c>
      <c r="C75" s="11"/>
      <c r="D75" s="11"/>
      <c r="E75" s="11"/>
      <c r="F75" s="11"/>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row>
    <row r="76" spans="1:35" x14ac:dyDescent="0.25">
      <c r="A76" s="65" t="s">
        <v>3</v>
      </c>
      <c r="B76" s="66" t="str">
        <f>IF(_epmOfflineCondition_,"'Telcom_Legacy'!$O$16:$AI$18",_xll.EVRNG(O16:AI18))</f>
        <v>'Telcom_Legacy'!$O$16:$AI$18</v>
      </c>
      <c r="C76" s="11"/>
      <c r="D76" s="11"/>
      <c r="E76" s="11"/>
      <c r="F76" s="11"/>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row>
    <row r="77" spans="1:35" x14ac:dyDescent="0.25">
      <c r="A77" s="65" t="s">
        <v>4</v>
      </c>
      <c r="B77" s="66" t="str">
        <f>IF(_epmOfflineCondition_,"'Telcom_Legacy'!$H$52:$H$53,'Telcom_Legacy'!$H$55:$H$56,'Telcom_Legacy'!$H$59:$H$60",_xll.EVRNG(H52:H53,H55:H56,H59:H60))</f>
        <v>'Telcom_Legacy'!$H$52:$H$53,'Telcom_Legacy'!$H$55:$H$56,'Telcom_Legacy'!$H$59:$H$60</v>
      </c>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row>
    <row r="78" spans="1:35" x14ac:dyDescent="0.25">
      <c r="A78" s="65" t="s">
        <v>5</v>
      </c>
      <c r="B78" s="66"/>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row>
    <row r="79" spans="1:35" x14ac:dyDescent="0.25">
      <c r="A79" s="65" t="s">
        <v>6</v>
      </c>
      <c r="B79" s="66"/>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row>
    <row r="80" spans="1:35" x14ac:dyDescent="0.25">
      <c r="A80" s="65" t="s">
        <v>7</v>
      </c>
      <c r="B80" s="66" t="str">
        <f>IF(_epmOfflineCondition_,"'Telcom_Legacy'!$A$94:$F$100",_xll.EVRNG(A94:F100))</f>
        <v>'Telcom_Legacy'!$A$94:$F$100</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row>
    <row r="81" spans="1:35" x14ac:dyDescent="0.25">
      <c r="A81" s="65" t="s">
        <v>47</v>
      </c>
      <c r="B81" s="66" t="str">
        <f>IF(_epmOfflineCondition_,"'Telcom_Legacy'!$A$117:$B$138",_xll.EVRNG($A$117:$B$138))</f>
        <v>'Telcom_Legacy'!$A$117:$B$138</v>
      </c>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row>
    <row r="82" spans="1:35" x14ac:dyDescent="0.25">
      <c r="A82" s="65" t="s">
        <v>8</v>
      </c>
      <c r="B82" s="66"/>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row>
    <row r="83" spans="1:35" x14ac:dyDescent="0.25">
      <c r="A83" s="11"/>
      <c r="B83" s="11"/>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row>
    <row r="84" spans="1:35" x14ac:dyDescent="0.25">
      <c r="A84" s="62" t="s">
        <v>9</v>
      </c>
      <c r="B84" s="63" t="s">
        <v>10</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row>
    <row r="85" spans="1:35" x14ac:dyDescent="0.25">
      <c r="A85" s="65" t="s">
        <v>11</v>
      </c>
      <c r="B85" s="66" t="s">
        <v>21</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row>
    <row r="86" spans="1:35" x14ac:dyDescent="0.25">
      <c r="A86" s="65" t="s">
        <v>12</v>
      </c>
      <c r="B86" s="66" t="s">
        <v>22</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row>
    <row r="87" spans="1:35" x14ac:dyDescent="0.25">
      <c r="A87" s="65" t="s">
        <v>13</v>
      </c>
      <c r="B87" s="66" t="s">
        <v>737</v>
      </c>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row>
    <row r="88" spans="1:35" x14ac:dyDescent="0.25">
      <c r="A88" s="65" t="s">
        <v>14</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row>
    <row r="89" spans="1:35" x14ac:dyDescent="0.25">
      <c r="A89" s="65" t="s">
        <v>15</v>
      </c>
      <c r="B89" s="66"/>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35" x14ac:dyDescent="0.25">
      <c r="A90" s="65" t="s">
        <v>16</v>
      </c>
      <c r="B90" s="66" t="s">
        <v>78</v>
      </c>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35" x14ac:dyDescent="0.25">
      <c r="A91" s="65" t="s">
        <v>17</v>
      </c>
      <c r="B91" s="66"/>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35" x14ac:dyDescent="0.25">
      <c r="A92" s="11"/>
      <c r="B92" s="11"/>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35" x14ac:dyDescent="0.25">
      <c r="A93" s="97" t="s">
        <v>92</v>
      </c>
      <c r="B93" s="98" t="s">
        <v>93</v>
      </c>
      <c r="C93" s="98" t="s">
        <v>94</v>
      </c>
      <c r="D93" s="98" t="s">
        <v>95</v>
      </c>
      <c r="E93" s="98" t="s">
        <v>96</v>
      </c>
      <c r="F93" s="99" t="s">
        <v>97</v>
      </c>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35" x14ac:dyDescent="0.25">
      <c r="A94" s="11"/>
      <c r="B94" s="11"/>
      <c r="C94" s="11"/>
      <c r="D94" s="11"/>
      <c r="E94" s="11"/>
      <c r="F94" s="11"/>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35" x14ac:dyDescent="0.25">
      <c r="A95" s="11" t="s">
        <v>108</v>
      </c>
      <c r="B95" s="11"/>
      <c r="C95" s="104"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35" x14ac:dyDescent="0.25">
      <c r="A96" s="11" t="s">
        <v>100</v>
      </c>
      <c r="B96" s="11"/>
      <c r="C96" s="53"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25">
      <c r="A97" s="11" t="s">
        <v>109</v>
      </c>
      <c r="B97" s="11"/>
      <c r="C97" s="106" t="s">
        <v>101</v>
      </c>
      <c r="D97" s="11" t="s">
        <v>106</v>
      </c>
      <c r="E97" s="11"/>
      <c r="F97" s="11" t="s">
        <v>98</v>
      </c>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25">
      <c r="A98" s="11" t="s">
        <v>109</v>
      </c>
      <c r="B98" s="11"/>
      <c r="C98" s="196" t="s">
        <v>101</v>
      </c>
      <c r="D98" s="11" t="s">
        <v>107</v>
      </c>
      <c r="E98" s="11"/>
      <c r="F98" s="11" t="s">
        <v>99</v>
      </c>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25">
      <c r="A99" s="11" t="s">
        <v>110</v>
      </c>
      <c r="B99" s="11"/>
      <c r="C99" s="106" t="s">
        <v>101</v>
      </c>
      <c r="D99" s="11" t="s">
        <v>106</v>
      </c>
      <c r="E99" s="11"/>
      <c r="F99" s="11" t="s">
        <v>98</v>
      </c>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25">
      <c r="A100" s="11" t="s">
        <v>110</v>
      </c>
      <c r="B100" s="11"/>
      <c r="C100" s="109" t="s">
        <v>101</v>
      </c>
      <c r="D100" s="11" t="s">
        <v>107</v>
      </c>
      <c r="E100" s="11"/>
      <c r="F100" s="11" t="s">
        <v>99</v>
      </c>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25">
      <c r="A101" s="11"/>
      <c r="B101" s="11"/>
      <c r="C101" s="208"/>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2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25">
      <c r="A103" s="61" t="str">
        <f>IF(_epmOfflineCondition_,"Evdre:Ok",_xll.EVDRE($B$1,A106:B113))</f>
        <v>Evdre:Ok</v>
      </c>
      <c r="B103" s="11" t="s">
        <v>736</v>
      </c>
      <c r="C103" s="11"/>
      <c r="D103" s="11"/>
      <c r="E103" s="11"/>
      <c r="F103" s="11"/>
      <c r="G103" s="76"/>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25">
      <c r="A104" s="11"/>
      <c r="B104" s="11"/>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25">
      <c r="A105" s="62" t="s">
        <v>0</v>
      </c>
      <c r="B105" s="63" t="s">
        <v>1</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25">
      <c r="A106" s="65" t="s">
        <v>2</v>
      </c>
      <c r="B106" s="66" t="str">
        <f>IF(_epmOfflineCondition_,"'Telcom_Legacy'!$B$2:$B$10",_xll.EVRNG($B$2:$B$10))</f>
        <v>'Telcom_Legacy'!$B$2:$B$10</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25">
      <c r="A107" s="65" t="s">
        <v>3</v>
      </c>
      <c r="B107" s="66" t="str">
        <f>IF(_epmOfflineCondition_,"'Telcom_Legacy'!$O$16:$AI$18",_xll.EVRNG(O16:AI18))</f>
        <v>'Telcom_Legacy'!$O$16:$AI$18</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25">
      <c r="A108" s="65" t="s">
        <v>4</v>
      </c>
      <c r="B108" s="66" t="str">
        <f>IF(_epmOfflineCondition_,"'Telcom_Legacy'!$H$61:$H$64",_xll.EVRNG(H61:H64))</f>
        <v>'Telcom_Legacy'!$H$61:$H$64</v>
      </c>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25">
      <c r="A109" s="65" t="s">
        <v>5</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25">
      <c r="A110" s="65" t="s">
        <v>6</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25">
      <c r="A111" s="65" t="s">
        <v>7</v>
      </c>
      <c r="B111" s="66"/>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25">
      <c r="A112" s="65" t="s">
        <v>47</v>
      </c>
      <c r="B112" s="66" t="str">
        <f>IF(_epmOfflineCondition_,"'Telcom_Legacy'!$A$117:$B$138",_xll.EVRNG($A$117:$B$138))</f>
        <v>'Telcom_Legacy'!$A$117:$B$138</v>
      </c>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25">
      <c r="A113" s="65" t="s">
        <v>8</v>
      </c>
      <c r="B113" s="66"/>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2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25">
      <c r="A115" s="11"/>
      <c r="B115" s="11"/>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25">
      <c r="A116" s="62" t="s">
        <v>23</v>
      </c>
      <c r="B116" s="63" t="s">
        <v>24</v>
      </c>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25">
      <c r="A117" s="65" t="s">
        <v>25</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25">
      <c r="A118" s="65" t="s">
        <v>26</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25">
      <c r="A119" s="65" t="s">
        <v>27</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25">
      <c r="A120" s="65" t="s">
        <v>28</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25">
      <c r="A121" s="65" t="s">
        <v>29</v>
      </c>
      <c r="B121" s="66"/>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25">
      <c r="A122" s="65" t="s">
        <v>30</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25">
      <c r="A123" s="65" t="s">
        <v>31</v>
      </c>
      <c r="B123" s="66" t="s">
        <v>78</v>
      </c>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25">
      <c r="A124" s="65" t="s">
        <v>32</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25">
      <c r="A125" s="65" t="s">
        <v>33</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25">
      <c r="A126" s="65" t="s">
        <v>34</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25">
      <c r="A127" s="65" t="s">
        <v>35</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25">
      <c r="A128" s="65" t="s">
        <v>36</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25">
      <c r="A129" s="65" t="s">
        <v>37</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25">
      <c r="A130" s="65" t="s">
        <v>38</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25">
      <c r="A131" s="65" t="s">
        <v>39</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25">
      <c r="A132" s="65" t="s">
        <v>40</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25">
      <c r="A133" s="65" t="s">
        <v>41</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25">
      <c r="A134" s="65" t="s">
        <v>42</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25">
      <c r="A135" s="65" t="s">
        <v>43</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25">
      <c r="A136" s="65" t="s">
        <v>44</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25">
      <c r="A137" s="65" t="s">
        <v>45</v>
      </c>
      <c r="B137" s="66"/>
      <c r="C137" s="11"/>
      <c r="D137" s="11"/>
      <c r="E137" s="11"/>
      <c r="F137" s="11"/>
      <c r="G137" s="11"/>
      <c r="H137" s="11"/>
      <c r="I137" s="267"/>
      <c r="J137" s="11"/>
      <c r="K137" s="267"/>
      <c r="L137" s="267"/>
      <c r="M137" s="267"/>
      <c r="N137" s="11"/>
      <c r="O137" s="267"/>
      <c r="P137" s="267"/>
      <c r="Q137" s="267"/>
      <c r="R137" s="267"/>
      <c r="S137" s="267"/>
      <c r="T137" s="267"/>
      <c r="U137" s="267"/>
      <c r="V137" s="267"/>
      <c r="W137" s="267"/>
      <c r="X137" s="267"/>
      <c r="Y137" s="267"/>
      <c r="Z137" s="267"/>
      <c r="AA137" s="267"/>
      <c r="AB137" s="11"/>
      <c r="AC137" s="11"/>
      <c r="AD137" s="267"/>
      <c r="AE137" s="11"/>
      <c r="AF137" s="267"/>
      <c r="AG137" s="11"/>
      <c r="AH137" s="267"/>
      <c r="AI137" s="11"/>
    </row>
    <row r="138" spans="1:35" x14ac:dyDescent="0.25">
      <c r="A138" s="65" t="s">
        <v>46</v>
      </c>
      <c r="B138" s="66"/>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2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2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25">
      <c r="A141" s="11"/>
      <c r="B141" s="11"/>
      <c r="C141" s="11"/>
      <c r="D141" s="11"/>
      <c r="E141" s="11"/>
      <c r="F141" s="11"/>
      <c r="G141" s="11"/>
      <c r="H141" s="11"/>
      <c r="I141" s="267"/>
      <c r="J141" s="11"/>
      <c r="K141" s="267"/>
      <c r="L141" s="267"/>
      <c r="M141" s="267"/>
      <c r="N141" s="11"/>
      <c r="O141" s="267"/>
      <c r="P141" s="267"/>
      <c r="Q141" s="267"/>
      <c r="R141" s="267"/>
      <c r="S141" s="267"/>
      <c r="T141" s="267"/>
      <c r="U141" s="267"/>
      <c r="V141" s="267"/>
      <c r="W141" s="267"/>
      <c r="X141" s="267"/>
      <c r="Y141" s="267"/>
      <c r="Z141" s="267"/>
      <c r="AA141" s="267"/>
      <c r="AB141" s="11"/>
      <c r="AC141" s="11"/>
      <c r="AD141" s="267"/>
      <c r="AE141" s="11"/>
      <c r="AF141" s="267"/>
      <c r="AG141" s="11"/>
      <c r="AH141" s="267"/>
      <c r="AI141" s="11"/>
    </row>
    <row r="142" spans="1:35" x14ac:dyDescent="0.2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2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2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2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2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row>
    <row r="152" spans="1:35"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row>
    <row r="153" spans="1:35"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row>
    <row r="154" spans="1:35"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row>
    <row r="155" spans="1:35" x14ac:dyDescent="0.25">
      <c r="A155" s="11"/>
      <c r="B155" s="11"/>
      <c r="C155" s="11"/>
      <c r="D155" s="11"/>
      <c r="E155" s="267"/>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row>
    <row r="156" spans="1:35"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row>
    <row r="157" spans="1:35"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row>
    <row r="158" spans="1:35"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row>
    <row r="159" spans="1:35" x14ac:dyDescent="0.25">
      <c r="A159" s="11"/>
      <c r="B159" s="11"/>
      <c r="C159" s="11"/>
      <c r="D159" s="11"/>
      <c r="E159" s="267"/>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row>
    <row r="160" spans="1:35"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row>
    <row r="161" spans="1:35"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row>
    <row r="162" spans="1:35"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row>
    <row r="163" spans="1:35"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row>
    <row r="164" spans="1:35"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row>
    <row r="165" spans="1:35"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row>
    <row r="166" spans="1:35"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row>
    <row r="167" spans="1:35"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row>
    <row r="168" spans="1:35"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row>
    <row r="169" spans="1:35"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row>
    <row r="170" spans="1:35"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row>
    <row r="171" spans="1:35"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row>
    <row r="172" spans="1:35"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row>
    <row r="173" spans="1:35"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row>
    <row r="174" spans="1:35"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row>
    <row r="175" spans="1:35"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row>
    <row r="176" spans="1:35"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row>
    <row r="177" spans="1:35"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row>
    <row r="178" spans="1:35"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row>
    <row r="179" spans="1:35"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row>
    <row r="180" spans="1:35"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row>
    <row r="181" spans="1:35"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row>
    <row r="182" spans="1:35"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row>
    <row r="183" spans="1:35"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row>
    <row r="184" spans="1:35"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row>
    <row r="185" spans="1:35"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row>
    <row r="186" spans="1:35"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row>
    <row r="187" spans="1:35"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row>
    <row r="188" spans="1:35" x14ac:dyDescent="0.2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row>
    <row r="189" spans="1:35"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row>
    <row r="190" spans="1:35"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row>
    <row r="191" spans="1:35"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row>
    <row r="192" spans="1:35" x14ac:dyDescent="0.2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row>
  </sheetData>
  <sheetProtection algorithmName="SHA-512" hashValue="oYp5Hc4jIunn2Xi36bkBNy/lXXjlhTAwrvyWaV9HkLiXmOpQHnz3nBZEK7brtlWXchBoB5jkv7SV903ykpRKmw==" saltValue="2vuz+wYKVvMbkhYPrP6uwg==" spinCount="100000" sheet="1" scenarios="1"/>
  <mergeCells count="2">
    <mergeCell ref="AD31:AE31"/>
    <mergeCell ref="AG31:AH31"/>
  </mergeCells>
  <dataValidations disablePrompts="1" count="2">
    <dataValidation type="list" allowBlank="1" sqref="B87 B58 B29" xr:uid="{00000000-0002-0000-1F00-000000000000}">
      <formula1>"SELF,ALL,BAS,DEP,BASMEMBERS,MEMBERS,NOEXPAND,GDEP"</formula1>
    </dataValidation>
    <dataValidation type="list" allowBlank="1" sqref="B57 B86 B28" xr:uid="{00000000-0002-0000-1F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6">
    <tabColor theme="9" tint="0.39997558519241921"/>
    <pageSetUpPr fitToPage="1"/>
  </sheetPr>
  <dimension ref="A1:AO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366</v>
      </c>
      <c r="C6" s="11" t="str">
        <f>IF(_epmOfflineCondition_,"Health Club/Spa",_xll.EVDES(B6,$B$1))</f>
        <v>Health Club/Spa</v>
      </c>
      <c r="D6" s="11"/>
      <c r="E6" s="58" t="str">
        <f>IF(_epmOfflineCondition_,"D1132",_xll.EVPRO($B$1,$B$6,$F$6))</f>
        <v>D1132</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IF(_epmOfflineCondition_,"'HC_SPA'!$B$2:$B$10",_xll.EVRNG($B$2:$B$10))</f>
        <v>'HC_SPA'!$B$2:$B$10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IF(_epmOfflineCondition_,"'HC_SPA'!$O$16:$AN$18",_xll.EVRNG($O$16:$AN$18))</f>
        <v>'HC_SPA'!$O$16:$AN$18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IF(_epmOfflineCondition_,"'HC_SPA'!$H$34:$H$44",_xll.EVRNG(H34:H44))</f>
        <v>'HC_SPA'!$H$34:$H$44</v>
      </c>
      <c r="C19" s="11"/>
      <c r="D19" s="11"/>
      <c r="E19" s="11"/>
      <c r="F19" s="11"/>
      <c r="G19" s="67" t="str">
        <f>$B$6</f>
        <v>D1132</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2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IF(_epmOfflineCondition_,3762,_xll.EVGTS($B$1,1,$B$3,$B$5,$B$7,$B$9,O$16,O$17,O$18,$G$20,$H$20))</f>
        <v>3762</v>
      </c>
      <c r="P20" s="69">
        <f>IF(_epmOfflineCondition_,3568,_xll.EVGTS($B$1,1,$B$3,$B$5,$B$7,$B$9,P$16,P$17,P$18,$G$20,$H$20))</f>
        <v>3568</v>
      </c>
      <c r="Q20" s="69">
        <f>IF(_epmOfflineCondition_,3855,_xll.EVGTS($B$1,1,$B$3,$B$5,$B$7,$B$9,Q$16,Q$17,Q$18,$G$20,$H$20))</f>
        <v>3855</v>
      </c>
      <c r="R20" s="69">
        <f>IF(_epmOfflineCondition_,3602,_xll.EVGTS($B$1,1,$B$3,$B$5,$B$7,$B$9,R$16,R$17,R$18,$G$20,$H$20))</f>
        <v>3602</v>
      </c>
      <c r="S20" s="69">
        <f>IF(_epmOfflineCondition_,3580,_xll.EVGTS($B$1,1,$B$3,$B$5,$B$7,$B$9,S$16,S$17,S$18,$G$20,$H$20))</f>
        <v>3580</v>
      </c>
      <c r="T20" s="69">
        <f>IF(_epmOfflineCondition_,3259,_xll.EVGTS($B$1,1,$B$3,$B$5,$B$7,$B$9,T$16,T$17,T$18,$G$20,$H$20))</f>
        <v>3259</v>
      </c>
      <c r="U20" s="69">
        <f>IF(_epmOfflineCondition_,3548,_xll.EVGTS($B$1,1,$B$3,$B$5,$B$7,$B$9,U$16,U$17,U$18,$G$20,$H$20))</f>
        <v>3548</v>
      </c>
      <c r="V20" s="69">
        <f>IF(_epmOfflineCondition_,3348,_xll.EVGTS($B$1,1,$B$3,$B$5,$B$7,$B$9,V$16,V$17,V$18,$G$20,$H$20))</f>
        <v>3348</v>
      </c>
      <c r="W20" s="69">
        <f>IF(_epmOfflineCondition_,2744,_xll.EVGTS($B$1,1,$B$3,$B$5,$B$7,$B$9,W$16,W$17,W$18,$G$20,$H$20))</f>
        <v>2744</v>
      </c>
      <c r="X20" s="69">
        <f>IF(_epmOfflineCondition_,3076,_xll.EVGTS($B$1,1,$B$3,$B$5,$B$7,$B$9,X$16,X$17,X$18,$G$20,$H$20))</f>
        <v>3076</v>
      </c>
      <c r="Y20" s="69">
        <f>IF(_epmOfflineCondition_,3431,_xll.EVGTS($B$1,1,$B$3,$B$5,$B$7,$B$9,Y$16,Y$17,Y$18,$G$20,$H$20))</f>
        <v>3431</v>
      </c>
      <c r="Z20" s="69">
        <f>IF(_epmOfflineCondition_,3541,_xll.EVGTS($B$1,1,$B$3,$B$5,$B$7,$B$9,Z$16,Z$17,Z$18,$G$20,$H$20))</f>
        <v>3541</v>
      </c>
      <c r="AA20" s="69">
        <f>SUM(O20:Z20)</f>
        <v>41314</v>
      </c>
      <c r="AB20" s="67"/>
      <c r="AC20" s="67"/>
      <c r="AD20" s="69">
        <f>IF(_epmOfflineCondition_,39032,_xll.EVGTS($B$1,1,$B$3,$B$5,$B$7,$B$9,AD$16,AD$17,AD$18,$G$20,$H$20))</f>
        <v>39032</v>
      </c>
      <c r="AE20" s="67"/>
      <c r="AF20" s="67"/>
      <c r="AG20" s="69">
        <f>IF(_epmOfflineCondition_,40219,_xll.EVGTS($B$1,1,$B$3,$B$5,$B$7,$B$9,AG$16,AG$17,AG$18,$G$20,$H$20))</f>
        <v>40219</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IF(_epmOfflineCondition_,"'HC_SPA'!$A$36:$F$40",_xll.EVRNG(A36:F40))</f>
        <v>'HC_SPA'!$A$36:$F$40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IF(_epmOfflineCondition_,"'HC_SPA'!$A$116:$B$137",_xll.EVRNG($A$116:$B$137))</f>
        <v>'HC_SPA'!$A$116:$B$137</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IF(_epmOfflineCondition_,"Health Club/Spa Department",IF(_xll.EVDES(B6,$B$1)="#NODATA","",_xll.EVDES(B6,$B$1)&amp;" Department"))</f>
        <v>Health Club/Spa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"DEP(420100) AND "&amp;$E$6&amp;"=Y,400000"</f>
        <v>DEP(420100) AND D1132=Y,400000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88" t="s">
        <v>367</v>
      </c>
      <c r="I34" s="122" t="str">
        <f>IF(_epmOfflineCondition_,"N",_xll.EVPRO($B$1,$H34,"STYLE"))</f>
        <v>N</v>
      </c>
      <c r="J34" s="122" t="str">
        <f>IF(_epmOfflineCondition_,"N",_xll.EVPRO($B$1,$H34,"CALC"))</f>
        <v>N</v>
      </c>
      <c r="K34" s="179" t="str">
        <f t="shared" ref="K34:K44" si="0">IF(AND(I34&gt;="T5"),"&gt;","")</f>
        <v/>
      </c>
      <c r="L34" s="90" t="str">
        <f>IF(_epmOfflineCondition_,"420300",_xll.EVPRO($B$1,H34,"JDEID"))</f>
        <v>420300</v>
      </c>
      <c r="M34" s="90" t="str">
        <f>IF(_epmOfflineCondition_,"205020",IF(AND(I34="N",J34="N"),_xll.EVPRO($B$1,H34,"PSFTID"),""))</f>
        <v>205020</v>
      </c>
      <c r="N34" s="90" t="str">
        <f>IF(_epmOfflineCondition_,"Massage &amp; Body Treatment Rev",IF(_xll.EVDES(H34,$B$1)="#NODATA","",_xll.EVDES(H34,$B$1)))</f>
        <v>Massage &amp; Body Treatment Rev</v>
      </c>
      <c r="O34" s="138"/>
      <c r="P34" s="138"/>
      <c r="Q34" s="138"/>
      <c r="R34" s="138"/>
      <c r="S34" s="138"/>
      <c r="T34" s="138"/>
      <c r="U34" s="138"/>
      <c r="V34" s="138"/>
      <c r="W34" s="138"/>
      <c r="X34" s="138"/>
      <c r="Y34" s="138"/>
      <c r="Z34" s="138"/>
      <c r="AA34" s="210">
        <f t="shared" ref="AA34:AA44" si="1">IF($I34="B1","",SUM(O34:Z34))</f>
        <v>0</v>
      </c>
      <c r="AB34" s="142" t="str">
        <f t="shared" ref="AB34:AB44" si="2">IF(AA34=0,"",IFERROR(AA34/AA$19,""))</f>
        <v/>
      </c>
      <c r="AC34" s="140"/>
      <c r="AD34" s="138"/>
      <c r="AE34" s="142" t="str">
        <f t="shared" ref="AE34:AE44" si="3">IF(AD34=0,"",IFERROR(AD34/AD$19,""))</f>
        <v/>
      </c>
      <c r="AF34" s="141">
        <f t="shared" ref="AF34:AF44" si="4">IF(AND($AA34="",AD34=""),"",$AA34-AD34)</f>
        <v>0</v>
      </c>
      <c r="AG34" s="138"/>
      <c r="AH34" s="142" t="str">
        <f t="shared" ref="AH34:AH44" si="5">IF(AG34=0,"",IFERROR(AG34/AG$19,""))</f>
        <v/>
      </c>
      <c r="AI34" s="141">
        <f t="shared" ref="AI34:AI44" si="6">IF(AND($AA34="",AG34=""),"",$AA34-AG34)</f>
        <v>0</v>
      </c>
      <c r="AJ34" s="462">
        <f t="shared" ref="AJ34:AJ44" si="7">IFERROR(AA34/AA$20,0)</f>
        <v>0</v>
      </c>
      <c r="AK34" s="463">
        <f t="shared" ref="AK34:AK44" si="8">IFERROR(AD34/AD$20,0)</f>
        <v>0</v>
      </c>
      <c r="AL34" s="464">
        <f t="shared" ref="AL34:AL44" si="9">IFERROR(AG34/AG$20,0)</f>
        <v>0</v>
      </c>
      <c r="AM34" s="465">
        <f t="shared" ref="AM34:AM44" si="10">+IFERROR(ROUND(($AB34-AE34)*100,2)&amp;" pts.",0)</f>
        <v>0</v>
      </c>
      <c r="AN34" s="466">
        <f t="shared" ref="AN34:AN44" si="11">+IFERROR(ROUND(($AB34-AH34)*100,2)&amp;" pts.",0)</f>
        <v>0</v>
      </c>
      <c r="AO34" s="11"/>
    </row>
    <row r="35" spans="1:41" x14ac:dyDescent="0.25">
      <c r="A35" s="97" t="s">
        <v>92</v>
      </c>
      <c r="B35" s="98" t="s">
        <v>93</v>
      </c>
      <c r="C35" s="98" t="s">
        <v>94</v>
      </c>
      <c r="D35" s="98" t="s">
        <v>95</v>
      </c>
      <c r="E35" s="98" t="s">
        <v>96</v>
      </c>
      <c r="F35" s="99" t="s">
        <v>97</v>
      </c>
      <c r="G35" s="11"/>
      <c r="H35" s="88" t="s">
        <v>368</v>
      </c>
      <c r="I35" s="122" t="str">
        <f>IF(_epmOfflineCondition_,"T5",_xll.EVPRO($B$1,$H35,"STYLE"))</f>
        <v>T5</v>
      </c>
      <c r="J35" s="122" t="str">
        <f>IF(_epmOfflineCondition_,"Y",_xll.EVPRO($B$1,$H35,"CALC"))</f>
        <v>Y</v>
      </c>
      <c r="K35" s="179" t="str">
        <f t="shared" si="0"/>
        <v>&gt;</v>
      </c>
      <c r="L35" s="90" t="str">
        <f>IF(_epmOfflineCondition_,"",_xll.EVPRO($B$1,H35,"JDEID"))</f>
        <v/>
      </c>
      <c r="M35" s="90" t="str">
        <f>IF(_epmOfflineCondition_,"",IF(AND(I35="N",J35="N"),_xll.EVPRO($B$1,H35,"PSFTID"),""))</f>
        <v/>
      </c>
      <c r="N35" s="90" t="str">
        <f>IF(_epmOfflineCondition_,"Skin Care Revenue",IF(_xll.EVDES(H35,$B$1)="#NODATA","",_xll.EVDES(H35,$B$1)))</f>
        <v>Skin Care Revenue</v>
      </c>
      <c r="O35" s="138"/>
      <c r="P35" s="138"/>
      <c r="Q35" s="138"/>
      <c r="R35" s="138"/>
      <c r="S35" s="138"/>
      <c r="T35" s="138"/>
      <c r="U35" s="138"/>
      <c r="V35" s="138"/>
      <c r="W35" s="138"/>
      <c r="X35" s="138"/>
      <c r="Y35" s="138"/>
      <c r="Z35" s="138"/>
      <c r="AA35" s="210">
        <f t="shared" si="1"/>
        <v>0</v>
      </c>
      <c r="AB35" s="142" t="str">
        <f t="shared" si="2"/>
        <v/>
      </c>
      <c r="AC35" s="140"/>
      <c r="AD35" s="138"/>
      <c r="AE35" s="142" t="str">
        <f t="shared" si="3"/>
        <v/>
      </c>
      <c r="AF35" s="141">
        <f t="shared" si="4"/>
        <v>0</v>
      </c>
      <c r="AG35" s="138"/>
      <c r="AH35" s="142" t="str">
        <f t="shared" si="5"/>
        <v/>
      </c>
      <c r="AI35" s="141">
        <f t="shared" si="6"/>
        <v>0</v>
      </c>
      <c r="AJ35" s="462">
        <f t="shared" si="7"/>
        <v>0</v>
      </c>
      <c r="AK35" s="463">
        <f t="shared" si="8"/>
        <v>0</v>
      </c>
      <c r="AL35" s="464">
        <f t="shared" si="9"/>
        <v>0</v>
      </c>
      <c r="AM35" s="465">
        <f t="shared" si="10"/>
        <v>0</v>
      </c>
      <c r="AN35" s="466">
        <f t="shared" si="11"/>
        <v>0</v>
      </c>
      <c r="AO35" s="11"/>
    </row>
    <row r="36" spans="1:41" x14ac:dyDescent="0.25">
      <c r="A36" s="11"/>
      <c r="B36" s="11"/>
      <c r="C36" s="11"/>
      <c r="D36" s="11"/>
      <c r="E36" s="11"/>
      <c r="F36" s="11"/>
      <c r="G36" s="11"/>
      <c r="H36" s="88" t="s">
        <v>369</v>
      </c>
      <c r="I36" s="122" t="str">
        <f>IF(_epmOfflineCondition_,"T5",_xll.EVPRO($B$1,$H36,"STYLE"))</f>
        <v>T5</v>
      </c>
      <c r="J36" s="122" t="str">
        <f>IF(_epmOfflineCondition_,"Y",_xll.EVPRO($B$1,$H36,"CALC"))</f>
        <v>Y</v>
      </c>
      <c r="K36" s="179" t="str">
        <f t="shared" si="0"/>
        <v>&gt;</v>
      </c>
      <c r="L36" s="90" t="str">
        <f>IF(_epmOfflineCondition_,"",_xll.EVPRO($B$1,H36,"JDEID"))</f>
        <v/>
      </c>
      <c r="M36" s="90" t="str">
        <f>IF(_epmOfflineCondition_,"",IF(AND(I36="N",J36="N"),_xll.EVPRO($B$1,H36,"PSFTID"),""))</f>
        <v/>
      </c>
      <c r="N36" s="90" t="str">
        <f>IF(_epmOfflineCondition_,"Hair Care Revenue",IF(_xll.EVDES(H36,$B$1)="#NODATA","",_xll.EVDES(H36,$B$1)))</f>
        <v>Hair Care Revenue</v>
      </c>
      <c r="O36" s="138"/>
      <c r="P36" s="138"/>
      <c r="Q36" s="138"/>
      <c r="R36" s="138"/>
      <c r="S36" s="138"/>
      <c r="T36" s="138"/>
      <c r="U36" s="138"/>
      <c r="V36" s="138"/>
      <c r="W36" s="138"/>
      <c r="X36" s="138"/>
      <c r="Y36" s="138"/>
      <c r="Z36" s="138"/>
      <c r="AA36" s="210">
        <f t="shared" si="1"/>
        <v>0</v>
      </c>
      <c r="AB36" s="142" t="str">
        <f t="shared" si="2"/>
        <v/>
      </c>
      <c r="AC36" s="140"/>
      <c r="AD36" s="138"/>
      <c r="AE36" s="142" t="str">
        <f t="shared" si="3"/>
        <v/>
      </c>
      <c r="AF36" s="141">
        <f t="shared" si="4"/>
        <v>0</v>
      </c>
      <c r="AG36" s="138"/>
      <c r="AH36" s="142" t="str">
        <f t="shared" si="5"/>
        <v/>
      </c>
      <c r="AI36" s="141">
        <f t="shared" si="6"/>
        <v>0</v>
      </c>
      <c r="AJ36" s="462">
        <f t="shared" si="7"/>
        <v>0</v>
      </c>
      <c r="AK36" s="463">
        <f t="shared" si="8"/>
        <v>0</v>
      </c>
      <c r="AL36" s="464">
        <f t="shared" si="9"/>
        <v>0</v>
      </c>
      <c r="AM36" s="465">
        <f t="shared" si="10"/>
        <v>0</v>
      </c>
      <c r="AN36" s="466">
        <f t="shared" si="11"/>
        <v>0</v>
      </c>
      <c r="AO36" s="11"/>
    </row>
    <row r="37" spans="1:41" x14ac:dyDescent="0.25">
      <c r="A37" s="11" t="s">
        <v>105</v>
      </c>
      <c r="B37" s="11"/>
      <c r="C37" s="104" t="s">
        <v>101</v>
      </c>
      <c r="D37" s="11" t="s">
        <v>106</v>
      </c>
      <c r="E37" s="11"/>
      <c r="F37" s="11" t="s">
        <v>98</v>
      </c>
      <c r="G37" s="11"/>
      <c r="H37" s="88" t="s">
        <v>370</v>
      </c>
      <c r="I37" s="122" t="str">
        <f>IF(_epmOfflineCondition_,"T5",_xll.EVPRO($B$1,$H37,"STYLE"))</f>
        <v>T5</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IF(_epmOfflineCondition_,"Nail Care Revenue",IF(_xll.EVDES(H37,$B$1)="#NODATA","",_xll.EVDES(H37,$B$1)))</f>
        <v>Nail Care Revenue</v>
      </c>
      <c r="O37" s="138"/>
      <c r="P37" s="138"/>
      <c r="Q37" s="138"/>
      <c r="R37" s="138"/>
      <c r="S37" s="138"/>
      <c r="T37" s="138"/>
      <c r="U37" s="138"/>
      <c r="V37" s="138"/>
      <c r="W37" s="138"/>
      <c r="X37" s="138"/>
      <c r="Y37" s="138"/>
      <c r="Z37" s="138"/>
      <c r="AA37" s="210">
        <f t="shared" si="1"/>
        <v>0</v>
      </c>
      <c r="AB37" s="142" t="str">
        <f t="shared" si="2"/>
        <v/>
      </c>
      <c r="AC37" s="140"/>
      <c r="AD37" s="138"/>
      <c r="AE37" s="142" t="str">
        <f t="shared" si="3"/>
        <v/>
      </c>
      <c r="AF37" s="141">
        <f t="shared" si="4"/>
        <v>0</v>
      </c>
      <c r="AG37" s="138"/>
      <c r="AH37" s="142" t="str">
        <f t="shared" si="5"/>
        <v/>
      </c>
      <c r="AI37" s="141">
        <f t="shared" si="6"/>
        <v>0</v>
      </c>
      <c r="AJ37" s="462">
        <f t="shared" si="7"/>
        <v>0</v>
      </c>
      <c r="AK37" s="463">
        <f t="shared" si="8"/>
        <v>0</v>
      </c>
      <c r="AL37" s="464">
        <f t="shared" si="9"/>
        <v>0</v>
      </c>
      <c r="AM37" s="465">
        <f t="shared" si="10"/>
        <v>0</v>
      </c>
      <c r="AN37" s="466">
        <f t="shared" si="11"/>
        <v>0</v>
      </c>
      <c r="AO37" s="11"/>
    </row>
    <row r="38" spans="1:41" x14ac:dyDescent="0.25">
      <c r="A38" s="11" t="s">
        <v>104</v>
      </c>
      <c r="B38" s="11"/>
      <c r="C38" s="104" t="s">
        <v>101</v>
      </c>
      <c r="D38" s="11" t="s">
        <v>106</v>
      </c>
      <c r="E38" s="11"/>
      <c r="F38" s="11" t="s">
        <v>98</v>
      </c>
      <c r="G38" s="11"/>
      <c r="H38" s="88" t="s">
        <v>371</v>
      </c>
      <c r="I38" s="122" t="str">
        <f>IF(_epmOfflineCondition_,"T5",_xll.EVPRO($B$1,$H38,"STYLE"))</f>
        <v>T5</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IF(_epmOfflineCondition_,"Fitness Revenue",IF(_xll.EVDES(H38,$B$1)="#NODATA","",_xll.EVDES(H38,$B$1)))</f>
        <v>Fitness Revenue</v>
      </c>
      <c r="O38" s="138"/>
      <c r="P38" s="138"/>
      <c r="Q38" s="138"/>
      <c r="R38" s="138"/>
      <c r="S38" s="138"/>
      <c r="T38" s="138"/>
      <c r="U38" s="138"/>
      <c r="V38" s="138"/>
      <c r="W38" s="138"/>
      <c r="X38" s="138"/>
      <c r="Y38" s="138"/>
      <c r="Z38" s="138"/>
      <c r="AA38" s="210">
        <f t="shared" si="1"/>
        <v>0</v>
      </c>
      <c r="AB38" s="142" t="str">
        <f t="shared" si="2"/>
        <v/>
      </c>
      <c r="AC38" s="140"/>
      <c r="AD38" s="138"/>
      <c r="AE38" s="142" t="str">
        <f t="shared" si="3"/>
        <v/>
      </c>
      <c r="AF38" s="141">
        <f t="shared" si="4"/>
        <v>0</v>
      </c>
      <c r="AG38" s="138"/>
      <c r="AH38" s="142" t="str">
        <f t="shared" si="5"/>
        <v/>
      </c>
      <c r="AI38" s="141">
        <f t="shared" si="6"/>
        <v>0</v>
      </c>
      <c r="AJ38" s="462">
        <f t="shared" si="7"/>
        <v>0</v>
      </c>
      <c r="AK38" s="463">
        <f t="shared" si="8"/>
        <v>0</v>
      </c>
      <c r="AL38" s="464">
        <f t="shared" si="9"/>
        <v>0</v>
      </c>
      <c r="AM38" s="465">
        <f t="shared" si="10"/>
        <v>0</v>
      </c>
      <c r="AN38" s="466">
        <f t="shared" si="11"/>
        <v>0</v>
      </c>
      <c r="AO38" s="11"/>
    </row>
    <row r="39" spans="1:41" x14ac:dyDescent="0.25">
      <c r="A39" s="11" t="s">
        <v>108</v>
      </c>
      <c r="B39" s="11"/>
      <c r="C39" s="106" t="s">
        <v>101</v>
      </c>
      <c r="D39" s="11" t="s">
        <v>106</v>
      </c>
      <c r="E39" s="11"/>
      <c r="F39" s="11" t="s">
        <v>98</v>
      </c>
      <c r="G39" s="11"/>
      <c r="H39" s="88" t="s">
        <v>372</v>
      </c>
      <c r="I39" s="122" t="str">
        <f>IF(_epmOfflineCondition_,"N",_xll.EVPRO($B$1,$H39,"STYLE"))</f>
        <v>N</v>
      </c>
      <c r="J39" s="122" t="str">
        <f>IF(_epmOfflineCondition_,"N",_xll.EVPRO($B$1,$H39,"CALC"))</f>
        <v>N</v>
      </c>
      <c r="K39" s="179" t="str">
        <f t="shared" si="0"/>
        <v/>
      </c>
      <c r="L39" s="90" t="str">
        <f>IF(_epmOfflineCondition_,"420350",_xll.EVPRO($B$1,H39,"JDEID"))</f>
        <v>420350</v>
      </c>
      <c r="M39" s="90" t="str">
        <f>IF(_epmOfflineCondition_,"205018",IF(AND(I39="N",J39="N"),_xll.EVPRO($B$1,H39,"PSFTID"),""))</f>
        <v>205018</v>
      </c>
      <c r="N39" s="90" t="str">
        <f>IF(_epmOfflineCondition_,"Health &amp; Wellness Revenue",IF(_xll.EVDES(H39,$B$1)="#NODATA","",_xll.EVDES(H39,$B$1)))</f>
        <v>Health &amp; Wellness Revenue</v>
      </c>
      <c r="O39" s="138"/>
      <c r="P39" s="138"/>
      <c r="Q39" s="138"/>
      <c r="R39" s="138"/>
      <c r="S39" s="138"/>
      <c r="T39" s="138"/>
      <c r="U39" s="138"/>
      <c r="V39" s="138"/>
      <c r="W39" s="138"/>
      <c r="X39" s="138"/>
      <c r="Y39" s="138"/>
      <c r="Z39" s="138"/>
      <c r="AA39" s="210">
        <f t="shared" si="1"/>
        <v>0</v>
      </c>
      <c r="AB39" s="142" t="str">
        <f t="shared" si="2"/>
        <v/>
      </c>
      <c r="AC39" s="140"/>
      <c r="AD39" s="138"/>
      <c r="AE39" s="142" t="str">
        <f t="shared" si="3"/>
        <v/>
      </c>
      <c r="AF39" s="141">
        <f t="shared" si="4"/>
        <v>0</v>
      </c>
      <c r="AG39" s="138"/>
      <c r="AH39" s="142" t="str">
        <f t="shared" si="5"/>
        <v/>
      </c>
      <c r="AI39" s="141">
        <f t="shared" si="6"/>
        <v>0</v>
      </c>
      <c r="AJ39" s="462">
        <f t="shared" si="7"/>
        <v>0</v>
      </c>
      <c r="AK39" s="463">
        <f t="shared" si="8"/>
        <v>0</v>
      </c>
      <c r="AL39" s="464">
        <f t="shared" si="9"/>
        <v>0</v>
      </c>
      <c r="AM39" s="465">
        <f t="shared" si="10"/>
        <v>0</v>
      </c>
      <c r="AN39" s="466">
        <f t="shared" si="11"/>
        <v>0</v>
      </c>
      <c r="AO39" s="11"/>
    </row>
    <row r="40" spans="1:41" x14ac:dyDescent="0.25">
      <c r="A40" s="11" t="s">
        <v>108</v>
      </c>
      <c r="B40" s="11"/>
      <c r="C40" s="196" t="s">
        <v>101</v>
      </c>
      <c r="D40" s="11" t="s">
        <v>107</v>
      </c>
      <c r="E40" s="11"/>
      <c r="F40" s="11" t="s">
        <v>99</v>
      </c>
      <c r="G40" s="11"/>
      <c r="H40" s="88" t="s">
        <v>373</v>
      </c>
      <c r="I40" s="122" t="str">
        <f>IF(_epmOfflineCondition_,"T5",_xll.EVPRO($B$1,$H40,"STYLE"))</f>
        <v>T5</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IF(_epmOfflineCondition_,"Membership Fee Revenue",IF(_xll.EVDES(H40,$B$1)="#NODATA","",_xll.EVDES(H40,$B$1)))</f>
        <v>Membership Fee Revenue</v>
      </c>
      <c r="O40" s="138"/>
      <c r="P40" s="138"/>
      <c r="Q40" s="138"/>
      <c r="R40" s="138"/>
      <c r="S40" s="138"/>
      <c r="T40" s="138"/>
      <c r="U40" s="138"/>
      <c r="V40" s="138"/>
      <c r="W40" s="138"/>
      <c r="X40" s="138"/>
      <c r="Y40" s="138"/>
      <c r="Z40" s="138"/>
      <c r="AA40" s="210">
        <f t="shared" si="1"/>
        <v>0</v>
      </c>
      <c r="AB40" s="142" t="str">
        <f t="shared" si="2"/>
        <v/>
      </c>
      <c r="AC40" s="140"/>
      <c r="AD40" s="138"/>
      <c r="AE40" s="142" t="str">
        <f t="shared" si="3"/>
        <v/>
      </c>
      <c r="AF40" s="141">
        <f t="shared" si="4"/>
        <v>0</v>
      </c>
      <c r="AG40" s="138"/>
      <c r="AH40" s="142" t="str">
        <f t="shared" si="5"/>
        <v/>
      </c>
      <c r="AI40" s="141">
        <f t="shared" si="6"/>
        <v>0</v>
      </c>
      <c r="AJ40" s="462">
        <f t="shared" si="7"/>
        <v>0</v>
      </c>
      <c r="AK40" s="463">
        <f t="shared" si="8"/>
        <v>0</v>
      </c>
      <c r="AL40" s="464">
        <f t="shared" si="9"/>
        <v>0</v>
      </c>
      <c r="AM40" s="465">
        <f t="shared" si="10"/>
        <v>0</v>
      </c>
      <c r="AN40" s="466">
        <f t="shared" si="11"/>
        <v>0</v>
      </c>
      <c r="AO40" s="11"/>
    </row>
    <row r="41" spans="1:41" x14ac:dyDescent="0.25">
      <c r="A41" s="11"/>
      <c r="B41" s="11"/>
      <c r="C41" s="11"/>
      <c r="D41" s="11"/>
      <c r="E41" s="11"/>
      <c r="F41" s="11"/>
      <c r="G41" s="11"/>
      <c r="H41" s="88" t="s">
        <v>374</v>
      </c>
      <c r="I41" s="122" t="str">
        <f>IF(_epmOfflineCondition_,"T5",_xll.EVPRO($B$1,$H41,"STYLE"))</f>
        <v>T5</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IF(_epmOfflineCondition_,"Retail Revenue",IF(_xll.EVDES(H41,$B$1)="#NODATA","",_xll.EVDES(H41,$B$1)))</f>
        <v>Retail Revenue</v>
      </c>
      <c r="O41" s="138"/>
      <c r="P41" s="138"/>
      <c r="Q41" s="138"/>
      <c r="R41" s="138"/>
      <c r="S41" s="138"/>
      <c r="T41" s="138"/>
      <c r="U41" s="138"/>
      <c r="V41" s="138"/>
      <c r="W41" s="138"/>
      <c r="X41" s="138"/>
      <c r="Y41" s="138"/>
      <c r="Z41" s="138"/>
      <c r="AA41" s="210">
        <f t="shared" si="1"/>
        <v>0</v>
      </c>
      <c r="AB41" s="142" t="str">
        <f t="shared" si="2"/>
        <v/>
      </c>
      <c r="AC41" s="140"/>
      <c r="AD41" s="138"/>
      <c r="AE41" s="142" t="str">
        <f t="shared" si="3"/>
        <v/>
      </c>
      <c r="AF41" s="141">
        <f t="shared" si="4"/>
        <v>0</v>
      </c>
      <c r="AG41" s="138"/>
      <c r="AH41" s="142" t="str">
        <f t="shared" si="5"/>
        <v/>
      </c>
      <c r="AI41" s="141">
        <f t="shared" si="6"/>
        <v>0</v>
      </c>
      <c r="AJ41" s="462">
        <f t="shared" si="7"/>
        <v>0</v>
      </c>
      <c r="AK41" s="463">
        <f t="shared" si="8"/>
        <v>0</v>
      </c>
      <c r="AL41" s="464">
        <f t="shared" si="9"/>
        <v>0</v>
      </c>
      <c r="AM41" s="465">
        <f t="shared" si="10"/>
        <v>0</v>
      </c>
      <c r="AN41" s="466">
        <f t="shared" si="11"/>
        <v>0</v>
      </c>
      <c r="AO41" s="11"/>
    </row>
    <row r="42" spans="1:41" x14ac:dyDescent="0.25">
      <c r="A42" s="11"/>
      <c r="B42" s="11"/>
      <c r="C42" s="11"/>
      <c r="D42" s="11"/>
      <c r="E42" s="11"/>
      <c r="F42" s="11"/>
      <c r="G42" s="11"/>
      <c r="H42" s="185" t="s">
        <v>375</v>
      </c>
      <c r="I42" s="122" t="str">
        <f>IF(_epmOfflineCondition_,"N",_xll.EVPRO($B$1,$H42,"STYLE"))</f>
        <v>N</v>
      </c>
      <c r="J42" s="122" t="str">
        <f>IF(_epmOfflineCondition_,"N",_xll.EVPRO($B$1,$H42,"CALC"))</f>
        <v>N</v>
      </c>
      <c r="K42" s="179" t="str">
        <f t="shared" si="0"/>
        <v/>
      </c>
      <c r="L42" s="90" t="str">
        <f>IF(_epmOfflineCondition_,"420700",_xll.EVPRO($B$1,H42,"JDEID"))</f>
        <v>420700</v>
      </c>
      <c r="M42" s="90" t="str">
        <f>IF(_epmOfflineCondition_,"205035",IF(AND(I42="N",J42="N"),_xll.EVPRO($B$1,H42,"PSFTID"),""))</f>
        <v>205035</v>
      </c>
      <c r="N42" s="90" t="str">
        <f>IF(_epmOfflineCondition_,"Other Revenue",IF(_xll.EVDES(H42,$B$1)="#NODATA","",_xll.EVDES(H42,$B$1)))</f>
        <v>Other Revenue</v>
      </c>
      <c r="O42" s="138"/>
      <c r="P42" s="138"/>
      <c r="Q42" s="138"/>
      <c r="R42" s="138"/>
      <c r="S42" s="138"/>
      <c r="T42" s="138"/>
      <c r="U42" s="138"/>
      <c r="V42" s="138"/>
      <c r="W42" s="138"/>
      <c r="X42" s="138"/>
      <c r="Y42" s="138"/>
      <c r="Z42" s="138"/>
      <c r="AA42" s="210">
        <f t="shared" si="1"/>
        <v>0</v>
      </c>
      <c r="AB42" s="142" t="str">
        <f t="shared" si="2"/>
        <v/>
      </c>
      <c r="AC42" s="140"/>
      <c r="AD42" s="138"/>
      <c r="AE42" s="142" t="str">
        <f t="shared" si="3"/>
        <v/>
      </c>
      <c r="AF42" s="141">
        <f t="shared" si="4"/>
        <v>0</v>
      </c>
      <c r="AG42" s="138"/>
      <c r="AH42" s="142" t="str">
        <f t="shared" si="5"/>
        <v/>
      </c>
      <c r="AI42" s="141">
        <f t="shared" si="6"/>
        <v>0</v>
      </c>
      <c r="AJ42" s="462">
        <f t="shared" si="7"/>
        <v>0</v>
      </c>
      <c r="AK42" s="463">
        <f t="shared" si="8"/>
        <v>0</v>
      </c>
      <c r="AL42" s="464">
        <f t="shared" si="9"/>
        <v>0</v>
      </c>
      <c r="AM42" s="465">
        <f t="shared" si="10"/>
        <v>0</v>
      </c>
      <c r="AN42" s="466">
        <f t="shared" si="11"/>
        <v>0</v>
      </c>
      <c r="AO42" s="11"/>
    </row>
    <row r="43" spans="1:41" x14ac:dyDescent="0.25">
      <c r="A43" s="61" t="str">
        <f>IF(_epmOfflineCondition_,"Evdre:Ok",_xll.EVDRE($B$1,A46:B53,A56:B62))</f>
        <v>Evdre:Ok</v>
      </c>
      <c r="B43" s="11"/>
      <c r="C43" s="11"/>
      <c r="D43" s="11"/>
      <c r="E43" s="11"/>
      <c r="F43" s="11"/>
      <c r="G43" s="11"/>
      <c r="H43" s="185" t="s">
        <v>376</v>
      </c>
      <c r="I43" s="122" t="str">
        <f>IF(_epmOfflineCondition_,"N",_xll.EVPRO($B$1,$H43,"STYLE"))</f>
        <v>N</v>
      </c>
      <c r="J43" s="122" t="str">
        <f>IF(_epmOfflineCondition_,"N",_xll.EVPRO($B$1,$H43,"CALC"))</f>
        <v>N</v>
      </c>
      <c r="K43" s="179" t="str">
        <f t="shared" si="0"/>
        <v/>
      </c>
      <c r="L43" s="90" t="str">
        <f>IF(_epmOfflineCondition_,"420990",_xll.EVPRO($B$1,H43,"JDEID"))</f>
        <v>420990</v>
      </c>
      <c r="M43" s="90" t="str">
        <f>IF(_epmOfflineCondition_,"200529",IF(AND(I43="N",J43="N"),_xll.EVPRO($B$1,H43,"PSFTID"),""))</f>
        <v>200529</v>
      </c>
      <c r="N43" s="90" t="str">
        <f>IF(_epmOfflineCondition_,"Spa: Allowances",IF(_xll.EVDES(H43,$B$1)="#NODATA","",_xll.EVDES(H43,$B$1)))</f>
        <v>Spa: Allowances</v>
      </c>
      <c r="O43" s="215"/>
      <c r="P43" s="215"/>
      <c r="Q43" s="215"/>
      <c r="R43" s="215"/>
      <c r="S43" s="215"/>
      <c r="T43" s="215"/>
      <c r="U43" s="215"/>
      <c r="V43" s="215"/>
      <c r="W43" s="215"/>
      <c r="X43" s="215"/>
      <c r="Y43" s="215"/>
      <c r="Z43" s="215"/>
      <c r="AA43" s="216">
        <f t="shared" si="1"/>
        <v>0</v>
      </c>
      <c r="AB43" s="217" t="str">
        <f t="shared" si="2"/>
        <v/>
      </c>
      <c r="AC43" s="140"/>
      <c r="AD43" s="215"/>
      <c r="AE43" s="217" t="str">
        <f t="shared" si="3"/>
        <v/>
      </c>
      <c r="AF43" s="218">
        <f t="shared" si="4"/>
        <v>0</v>
      </c>
      <c r="AG43" s="215"/>
      <c r="AH43" s="217" t="str">
        <f t="shared" si="5"/>
        <v/>
      </c>
      <c r="AI43" s="218">
        <f t="shared" si="6"/>
        <v>0</v>
      </c>
      <c r="AJ43" s="471">
        <f t="shared" si="7"/>
        <v>0</v>
      </c>
      <c r="AK43" s="472">
        <f t="shared" si="8"/>
        <v>0</v>
      </c>
      <c r="AL43" s="473">
        <f t="shared" si="9"/>
        <v>0</v>
      </c>
      <c r="AM43" s="474">
        <f t="shared" si="10"/>
        <v>0</v>
      </c>
      <c r="AN43" s="475">
        <f t="shared" si="11"/>
        <v>0</v>
      </c>
      <c r="AO43" s="11"/>
    </row>
    <row r="44" spans="1:41" x14ac:dyDescent="0.25">
      <c r="A44" s="11"/>
      <c r="B44" s="11"/>
      <c r="C44" s="11"/>
      <c r="D44" s="11"/>
      <c r="E44" s="11"/>
      <c r="F44" s="11"/>
      <c r="G44" s="11"/>
      <c r="H44" s="88" t="s">
        <v>280</v>
      </c>
      <c r="I44" s="188" t="str">
        <f>IF(_epmOfflineCondition_,"T3",_xll.EVPRO($B$1,$H44,"STYLE"))</f>
        <v>T3</v>
      </c>
      <c r="J44" s="188" t="str">
        <f>IF(_epmOfflineCondition_,"Y",_xll.EVPRO($B$1,$H44,"CALC"))</f>
        <v>Y</v>
      </c>
      <c r="K44" s="189" t="str">
        <f t="shared" si="0"/>
        <v/>
      </c>
      <c r="L44" s="190" t="str">
        <f>IF(_epmOfflineCondition_,"400000",_xll.EVPRO($B$1,H44,"JDEID"))</f>
        <v>400000</v>
      </c>
      <c r="M44" s="190" t="str">
        <f>IF(_epmOfflineCondition_,"",IF(AND(I44="N",J44="N"),_xll.EVPRO($B$1,H44,"PSFTID"),""))</f>
        <v/>
      </c>
      <c r="N44" s="190" t="str">
        <f>IF(_epmOfflineCondition_,"Total Revenue",IF(_xll.EVDES(H44,$B$1)="#NODATA","",_xll.EVDES(H44,$B$1)))</f>
        <v>Total Revenue</v>
      </c>
      <c r="O44" s="223"/>
      <c r="P44" s="223"/>
      <c r="Q44" s="223"/>
      <c r="R44" s="223"/>
      <c r="S44" s="223"/>
      <c r="T44" s="223"/>
      <c r="U44" s="223"/>
      <c r="V44" s="223"/>
      <c r="W44" s="223"/>
      <c r="X44" s="223"/>
      <c r="Y44" s="223"/>
      <c r="Z44" s="223"/>
      <c r="AA44" s="223">
        <f t="shared" si="1"/>
        <v>0</v>
      </c>
      <c r="AB44" s="224" t="str">
        <f t="shared" si="2"/>
        <v/>
      </c>
      <c r="AC44" s="225"/>
      <c r="AD44" s="223"/>
      <c r="AE44" s="224" t="str">
        <f t="shared" si="3"/>
        <v/>
      </c>
      <c r="AF44" s="226">
        <f t="shared" si="4"/>
        <v>0</v>
      </c>
      <c r="AG44" s="223"/>
      <c r="AH44" s="224" t="str">
        <f t="shared" si="5"/>
        <v/>
      </c>
      <c r="AI44" s="226">
        <f t="shared" si="6"/>
        <v>0</v>
      </c>
      <c r="AJ44" s="227">
        <f t="shared" si="7"/>
        <v>0</v>
      </c>
      <c r="AK44" s="228">
        <f t="shared" si="8"/>
        <v>0</v>
      </c>
      <c r="AL44" s="230">
        <f t="shared" si="9"/>
        <v>0</v>
      </c>
      <c r="AM44" s="427">
        <f t="shared" si="10"/>
        <v>0</v>
      </c>
      <c r="AN44" s="478">
        <f t="shared" si="11"/>
        <v>0</v>
      </c>
      <c r="AO44" s="11"/>
    </row>
    <row r="45" spans="1:41" x14ac:dyDescent="0.25">
      <c r="A45" s="62" t="s">
        <v>0</v>
      </c>
      <c r="B45" s="63" t="s">
        <v>1</v>
      </c>
      <c r="C45" s="11"/>
      <c r="D45" s="11"/>
      <c r="E45" s="11"/>
      <c r="F45" s="11"/>
      <c r="G45" s="11"/>
      <c r="H45" s="11"/>
      <c r="I45" s="59"/>
      <c r="J45" s="59"/>
      <c r="K45" s="11"/>
      <c r="L45" s="11"/>
      <c r="M45" s="11"/>
      <c r="N45" s="11"/>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25">
      <c r="A46" s="65" t="s">
        <v>2</v>
      </c>
      <c r="B46" s="66" t="str">
        <f>IF(_epmOfflineCondition_,"'HC_SPA'!$B$2:$B$10",_xll.EVRNG($B$2:$B$10))</f>
        <v>'HC_SPA'!$B$2:$B$10</v>
      </c>
      <c r="C46" s="11"/>
      <c r="D46" s="11"/>
      <c r="E46" s="11"/>
      <c r="F46" s="11"/>
      <c r="G46" s="11"/>
      <c r="H46" s="11" t="s">
        <v>281</v>
      </c>
      <c r="I46" s="59" t="str">
        <f>IF(_epmOfflineCondition_,"B1",_xll.EVPRO($B$1,$H46,"STYLE"))</f>
        <v>B1</v>
      </c>
      <c r="J46" s="59" t="str">
        <f>IF(_epmOfflineCondition_,"Y",_xll.EVPRO($B$1,$H46,"CALC"))</f>
        <v>Y</v>
      </c>
      <c r="K46" s="11"/>
      <c r="L46" s="11"/>
      <c r="M46" s="11"/>
      <c r="N46" s="105" t="str">
        <f>IF(_epmOfflineCondition_,"Cost of Sales",IF(_xll.EVDES(H46,$B$1)="#NODATA","",_xll.EVDES(H46,$B$1)))</f>
        <v>Cost of Sales</v>
      </c>
      <c r="O46" s="203"/>
      <c r="P46" s="204"/>
      <c r="Q46" s="204"/>
      <c r="R46" s="204"/>
      <c r="S46" s="204"/>
      <c r="T46" s="204"/>
      <c r="U46" s="204"/>
      <c r="V46" s="204"/>
      <c r="W46" s="204"/>
      <c r="X46" s="204"/>
      <c r="Y46" s="204"/>
      <c r="Z46" s="204"/>
      <c r="AA46" s="204"/>
      <c r="AB46" s="118"/>
      <c r="AC46" s="11"/>
      <c r="AD46" s="203"/>
      <c r="AE46" s="204"/>
      <c r="AF46" s="118"/>
      <c r="AG46" s="203"/>
      <c r="AH46" s="204"/>
      <c r="AI46" s="118"/>
      <c r="AJ46" s="11"/>
      <c r="AK46" s="11"/>
      <c r="AL46" s="11"/>
      <c r="AM46" s="11"/>
      <c r="AN46" s="11"/>
      <c r="AO46" s="11"/>
    </row>
    <row r="47" spans="1:41" x14ac:dyDescent="0.25">
      <c r="A47" s="65" t="s">
        <v>3</v>
      </c>
      <c r="B47" s="66" t="str">
        <f>IF(_epmOfflineCondition_,"'HC_SPA'!$O$16:$AN$18",_xll.EVRNG($O$16:$AN$18))</f>
        <v>'HC_SPA'!$O$16:$AN$18</v>
      </c>
      <c r="C47" s="11"/>
      <c r="D47" s="11"/>
      <c r="E47" s="11"/>
      <c r="F47" s="11"/>
      <c r="G47" s="11"/>
      <c r="H47" s="88" t="s">
        <v>377</v>
      </c>
      <c r="I47" s="122" t="str">
        <f>IF(_epmOfflineCondition_,"N",_xll.EVPRO($B$1,$H47,"STYLE"))</f>
        <v>N</v>
      </c>
      <c r="J47" s="122" t="str">
        <f>IF(_epmOfflineCondition_,"N",_xll.EVPRO($B$1,$H47,"CALC"))</f>
        <v>N</v>
      </c>
      <c r="K47" s="179" t="str">
        <f>IF(AND(I47&gt;="T5"),"&gt;","")</f>
        <v/>
      </c>
      <c r="L47" s="90" t="str">
        <f>IF(_epmOfflineCondition_,"520600",_xll.EVPRO($B$1,H47,"JDEID"))</f>
        <v>520600</v>
      </c>
      <c r="M47" s="90" t="str">
        <f>IF(_epmOfflineCondition_,"300030",IF(AND(I47="N",J47="N"),_xll.EVPRO($B$1,H47,"PSFTID"),""))</f>
        <v>300030</v>
      </c>
      <c r="N47" s="90" t="str">
        <f>IF(_epmOfflineCondition_,"Merchandise Cost Of Sales",IF(_xll.EVDES(H47,$B$1)="#NODATA","",_xll.EVDES(H47,$B$1)))</f>
        <v>Merchandise Cost Of Sales</v>
      </c>
      <c r="O47" s="138"/>
      <c r="P47" s="138"/>
      <c r="Q47" s="138"/>
      <c r="R47" s="138"/>
      <c r="S47" s="138"/>
      <c r="T47" s="138"/>
      <c r="U47" s="138"/>
      <c r="V47" s="138"/>
      <c r="W47" s="138"/>
      <c r="X47" s="138"/>
      <c r="Y47" s="138"/>
      <c r="Z47" s="138"/>
      <c r="AA47" s="138">
        <f>IF($I47="B1","",SUM(O47:Z47))</f>
        <v>0</v>
      </c>
      <c r="AB47" s="142" t="str">
        <f>IF(_epmOfflineCondition_,"",IF(AA47=0,"",IFERROR(AA47/_xll.EVGTS($B$1,1,_xll.EVPRO($B$1,$H47,"COSBASIS"),$B$3,$B$5,$B$6,$B$7,$B$9,AA$16,AA$17,AA$11),"")))</f>
        <v/>
      </c>
      <c r="AC47" s="140"/>
      <c r="AD47" s="138"/>
      <c r="AE47" s="142" t="str">
        <f>IF(_epmOfflineCondition_,"",IF(AD47=0,"",IFERROR(AD47/_xll.EVGTS($B$1,1,_xll.EVPRO($B$1,$H47,"COSBASIS"),$B$3,$B$5,$B$6,$B$7,$B$9,AD$16,AD$17,AD$18),"")))</f>
        <v/>
      </c>
      <c r="AF47" s="141">
        <f>IF(AND($AA47="",AD47=""),"",$AA47-AD47)</f>
        <v>0</v>
      </c>
      <c r="AG47" s="138"/>
      <c r="AH47" s="142" t="str">
        <f>IF(_epmOfflineCondition_,"",IF(AG47=0,"",IFERROR(AG47/_xll.EVGTS($B$1,1,_xll.EVPRO($B$1,$H47,"COSBASIS"),$B$3,$B$5,$B$6,$B$7,$B$9,AG$16,AG$17,AG$18),"")))</f>
        <v/>
      </c>
      <c r="AI47" s="141">
        <f>IF(AND($AA47="",AG47=""),"",$AA47-AG47)</f>
        <v>0</v>
      </c>
      <c r="AJ47" s="462">
        <f>IFERROR(AA47/AA$20,0)</f>
        <v>0</v>
      </c>
      <c r="AK47" s="463">
        <f>IFERROR(AD47/AD$20,0)</f>
        <v>0</v>
      </c>
      <c r="AL47" s="464">
        <f>IFERROR(AG47/AG$20,0)</f>
        <v>0</v>
      </c>
      <c r="AM47" s="465">
        <f>+IFERROR(ROUND(($AB47-AE47)*100,2)&amp;" pts.",0)</f>
        <v>0</v>
      </c>
      <c r="AN47" s="466">
        <f>+IFERROR(ROUND(($AB47-AH47)*100,2)&amp;" pts.",0)</f>
        <v>0</v>
      </c>
      <c r="AO47" s="11"/>
    </row>
    <row r="48" spans="1:41" x14ac:dyDescent="0.25">
      <c r="A48" s="65" t="s">
        <v>4</v>
      </c>
      <c r="B48" s="66" t="str">
        <f>IF(_epmOfflineCondition_,"'HC_SPA'!$H$47:$H$49",_xll.EVRNG(H47:H49))</f>
        <v>'HC_SPA'!$H$47:$H$49</v>
      </c>
      <c r="C48" s="11"/>
      <c r="D48" s="11"/>
      <c r="E48" s="11"/>
      <c r="F48" s="11"/>
      <c r="G48" s="11"/>
      <c r="H48" s="185" t="s">
        <v>378</v>
      </c>
      <c r="I48" s="122" t="str">
        <f>IF(_epmOfflineCondition_,"N",_xll.EVPRO($B$1,$H48,"STYLE"))</f>
        <v>N</v>
      </c>
      <c r="J48" s="122" t="str">
        <f>IF(_epmOfflineCondition_,"N",_xll.EVPRO($B$1,$H48,"CALC"))</f>
        <v>N</v>
      </c>
      <c r="K48" s="179" t="str">
        <f>IF(AND(I48&gt;="T5"),"&gt;","")</f>
        <v/>
      </c>
      <c r="L48" s="90" t="str">
        <f>IF(_epmOfflineCondition_,"520650",_xll.EVPRO($B$1,H48,"JDEID"))</f>
        <v>520650</v>
      </c>
      <c r="M48" s="90" t="str">
        <f>IF(_epmOfflineCondition_,"305023",IF(AND(I48="N",J48="N"),_xll.EVPRO($B$1,H48,"PSFTID"),""))</f>
        <v>305023</v>
      </c>
      <c r="N48" s="90" t="str">
        <f>IF(_epmOfflineCondition_,"Clothing Cost Of Sales",IF(_xll.EVDES(H48,$B$1)="#NODATA","",_xll.EVDES(H48,$B$1)))</f>
        <v>Clothing Cost Of Sales</v>
      </c>
      <c r="O48" s="215"/>
      <c r="P48" s="215"/>
      <c r="Q48" s="215"/>
      <c r="R48" s="215"/>
      <c r="S48" s="215"/>
      <c r="T48" s="215"/>
      <c r="U48" s="215"/>
      <c r="V48" s="215"/>
      <c r="W48" s="215"/>
      <c r="X48" s="215"/>
      <c r="Y48" s="215"/>
      <c r="Z48" s="215"/>
      <c r="AA48" s="215">
        <f>IF($I48="B1","",SUM(O48:Z48))</f>
        <v>0</v>
      </c>
      <c r="AB48" s="217" t="str">
        <f>IF(_epmOfflineCondition_,"",IF(AA48=0,"",IFERROR(AA48/_xll.EVGTS($B$1,1,_xll.EVPRO($B$1,$H48,"COSBASIS"),$B$3,$B$5,$B$6,$B$7,$B$9,AA$16,AA$17,AA$11),"")))</f>
        <v/>
      </c>
      <c r="AC48" s="140"/>
      <c r="AD48" s="215"/>
      <c r="AE48" s="217" t="str">
        <f>IF(_epmOfflineCondition_,"",IF(AD48=0,"",IFERROR(AD48/_xll.EVGTS($B$1,1,_xll.EVPRO($B$1,$H48,"COSBASIS"),$B$3,$B$5,$B$6,$B$7,$B$9,AD$16,AD$17,AD$18),"")))</f>
        <v/>
      </c>
      <c r="AF48" s="218">
        <f>IF(AND($AA48="",AD48=""),"",$AA48-AD48)</f>
        <v>0</v>
      </c>
      <c r="AG48" s="215"/>
      <c r="AH48" s="217" t="str">
        <f>IF(_epmOfflineCondition_,"",IF(AG48=0,"",IFERROR(AG48/_xll.EVGTS($B$1,1,_xll.EVPRO($B$1,$H48,"COSBASIS"),$B$3,$B$5,$B$6,$B$7,$B$9,AG$16,AG$17,AG$18),"")))</f>
        <v/>
      </c>
      <c r="AI48" s="218">
        <f>IF(AND($AA48="",AG48=""),"",$AA48-AG48)</f>
        <v>0</v>
      </c>
      <c r="AJ48" s="471">
        <f>IFERROR(AA48/AA$20,0)</f>
        <v>0</v>
      </c>
      <c r="AK48" s="472">
        <f>IFERROR(AD48/AD$20,0)</f>
        <v>0</v>
      </c>
      <c r="AL48" s="473">
        <f>IFERROR(AG48/AG$20,0)</f>
        <v>0</v>
      </c>
      <c r="AM48" s="474">
        <f>+IFERROR(ROUND(($AB48-AE48)*100,2)&amp;" pts.",0)</f>
        <v>0</v>
      </c>
      <c r="AN48" s="475">
        <f>+IFERROR(ROUND(($AB48-AH48)*100,2)&amp;" pts.",0)</f>
        <v>0</v>
      </c>
      <c r="AO48" s="11"/>
    </row>
    <row r="49" spans="1:41" x14ac:dyDescent="0.25">
      <c r="A49" s="65" t="s">
        <v>5</v>
      </c>
      <c r="B49" s="66"/>
      <c r="C49" s="11"/>
      <c r="D49" s="11"/>
      <c r="E49" s="11"/>
      <c r="F49" s="384"/>
      <c r="G49" s="11"/>
      <c r="H49" s="185" t="s">
        <v>379</v>
      </c>
      <c r="I49" s="188" t="str">
        <f>IF(_epmOfflineCondition_,"T4",_xll.EVPRO($B$1,$H49,"STYLE"))</f>
        <v>T4</v>
      </c>
      <c r="J49" s="188" t="str">
        <f>IF(_epmOfflineCondition_,"Y",_xll.EVPRO($B$1,$H49,"CALC"))</f>
        <v>Y</v>
      </c>
      <c r="K49" s="189" t="str">
        <f>IF(AND(I49&gt;="T5"),"&gt;","")</f>
        <v/>
      </c>
      <c r="L49" s="190" t="str">
        <f>IF(_epmOfflineCondition_,"",_xll.EVPRO($B$1,H49,"JDEID"))</f>
        <v/>
      </c>
      <c r="M49" s="190" t="str">
        <f>IF(_epmOfflineCondition_,"",IF(AND(I49="N",J49="N"),_xll.EVPRO($B$1,H49,"PSFTID"),""))</f>
        <v/>
      </c>
      <c r="N49" s="190" t="str">
        <f>IF(_epmOfflineCondition_,"Total Retail HC/ Spa Cost of Sales",IF(_xll.EVDES(H49,$B$1)="#NODATA","",_xll.EVDES(H49,$B$1)))</f>
        <v>Total Retail HC/ Spa Cost of Sales</v>
      </c>
      <c r="O49" s="223"/>
      <c r="P49" s="223"/>
      <c r="Q49" s="223"/>
      <c r="R49" s="223"/>
      <c r="S49" s="223"/>
      <c r="T49" s="223"/>
      <c r="U49" s="223"/>
      <c r="V49" s="223"/>
      <c r="W49" s="223"/>
      <c r="X49" s="223"/>
      <c r="Y49" s="223"/>
      <c r="Z49" s="223"/>
      <c r="AA49" s="223">
        <f>IF($I49="B1","",SUM(O49:Z49))</f>
        <v>0</v>
      </c>
      <c r="AB49" s="224" t="str">
        <f>IF(_epmOfflineCondition_,"",IF(AA49=0,"",IFERROR(AA49/_xll.EVGTS($B$1,1,_xll.EVPRO($B$1,$H49,"COSBASIS"),$B$3,$B$5,$B$6,$B$7,$B$9,AA$16,AA$17,AA$11),"")))</f>
        <v/>
      </c>
      <c r="AC49" s="225"/>
      <c r="AD49" s="223"/>
      <c r="AE49" s="224" t="str">
        <f>IF(_epmOfflineCondition_,"",IF(AD49=0,"",IFERROR(AD49/_xll.EVGTS($B$1,1,_xll.EVPRO($B$1,$H49,"COSBASIS"),$B$3,$B$5,$B$6,$B$7,$B$9,AD$16,AD$17,AD$18),"")))</f>
        <v/>
      </c>
      <c r="AF49" s="226">
        <f>IF(AND($AA49="",AD49=""),"",$AA49-AD49)</f>
        <v>0</v>
      </c>
      <c r="AG49" s="223"/>
      <c r="AH49" s="224" t="str">
        <f>IF(_epmOfflineCondition_,"",IF(AG49=0,"",IFERROR(AG49/_xll.EVGTS($B$1,1,_xll.EVPRO($B$1,$H49,"COSBASIS"),$B$3,$B$5,$B$6,$B$7,$B$9,AG$16,AG$17,AG$18),"")))</f>
        <v/>
      </c>
      <c r="AI49" s="226">
        <f>IF(AND($AA49="",AG49=""),"",$AA49-AG49)</f>
        <v>0</v>
      </c>
      <c r="AJ49" s="227">
        <f>IFERROR(AA49/AA$20,0)</f>
        <v>0</v>
      </c>
      <c r="AK49" s="228">
        <f>IFERROR(AD49/AD$20,0)</f>
        <v>0</v>
      </c>
      <c r="AL49" s="230">
        <f>IFERROR(AG49/AG$20,0)</f>
        <v>0</v>
      </c>
      <c r="AM49" s="427">
        <f>+IFERROR(ROUND(($AB49-AE49)*100,2)&amp;" pts.",0)</f>
        <v>0</v>
      </c>
      <c r="AN49" s="478">
        <f>+IFERROR(ROUND(($AB49-AH49)*100,2)&amp;" pts.",0)</f>
        <v>0</v>
      </c>
      <c r="AO49" s="11"/>
    </row>
    <row r="50" spans="1:41" x14ac:dyDescent="0.25">
      <c r="A50" s="65" t="s">
        <v>6</v>
      </c>
      <c r="B50" s="66"/>
      <c r="C50" s="11"/>
      <c r="D50" s="11"/>
      <c r="E50" s="11"/>
      <c r="F50" s="384"/>
      <c r="G50" s="11"/>
      <c r="H50" s="185" t="s">
        <v>175</v>
      </c>
      <c r="I50" s="89" t="str">
        <f>IF(_epmOfflineCondition_,"B1",_xll.EVPRO($B$1,$H50,"STYLE"))</f>
        <v>B1</v>
      </c>
      <c r="J50" s="89" t="str">
        <f>IF(_epmOfflineCondition_,"Y",_xll.EVPRO($B$1,$H50,"CALC"))</f>
        <v>Y</v>
      </c>
      <c r="K50" s="265" t="str">
        <f>IF(AND(I50&gt;="T5"),"&gt;","")</f>
        <v/>
      </c>
      <c r="L50" s="265"/>
      <c r="M50" s="265"/>
      <c r="N50" s="106" t="str">
        <f>IF(_epmOfflineCondition_,"BLANKROW",IF(_xll.EVDES(H50,$B$1)="#NODATA","",_xll.EVDES(H50,$B$1)))</f>
        <v>BLANKROW</v>
      </c>
      <c r="O50" s="205"/>
      <c r="P50" s="205"/>
      <c r="Q50" s="205"/>
      <c r="R50" s="205"/>
      <c r="S50" s="205"/>
      <c r="T50" s="205"/>
      <c r="U50" s="205"/>
      <c r="V50" s="205"/>
      <c r="W50" s="205"/>
      <c r="X50" s="205"/>
      <c r="Y50" s="205"/>
      <c r="Z50" s="205"/>
      <c r="AA50" s="205" t="str">
        <f>IF($I50="B1","",SUM(O50:Z50))</f>
        <v/>
      </c>
      <c r="AB50" s="206" t="str">
        <f>IF(_epmOfflineCondition_,"",IF(O50=0,"",IFERROR(O50/_xll.EVGTS($B$1,1,INDEX($C$143:$C$166,MATCH($H50,$A$143:$A$166,0)),$B$3,$B$5,$B$6,$B$7,$B$9,O$16,O$17,O$18),"")))</f>
        <v/>
      </c>
      <c r="AC50" s="11"/>
      <c r="AD50" s="205"/>
      <c r="AE50" s="206" t="str">
        <f>IF(_epmOfflineCondition_,"",IF(AD50=0,"",IFERROR(AD50/_xll.EVGTS($B$1,1,INDEX($C$143:$C$166,MATCH($H50,$A$143:$A$166,0)),$B$3,$B$5,$B$6,$B$7,$B$9,AD$16,AD$17,AD$18),"")))</f>
        <v/>
      </c>
      <c r="AF50" s="207" t="str">
        <f>IF(AND($AA50="",AD50=""),"",$AA50-AD50)</f>
        <v/>
      </c>
      <c r="AG50" s="205"/>
      <c r="AH50" s="206" t="str">
        <f>IF(_epmOfflineCondition_,"",IF(AG50=0,"",IFERROR(AG50/_xll.EVGTS($B$1,1,INDEX($C$143:$C$166,MATCH($H50,$A$143:$A$166,0)),$B$3,$B$5,$B$6,$B$7,$B$9,AG$16,AG$17,AG$18),"")))</f>
        <v/>
      </c>
      <c r="AI50" s="207" t="str">
        <f>IF(AND($AA50="",AG50=""),"",$AA50-AG50)</f>
        <v/>
      </c>
      <c r="AJ50" s="200">
        <f>IFERROR(AA50/AA$20,0)</f>
        <v>0</v>
      </c>
      <c r="AK50" s="201">
        <f>IFERROR(AD50/AD$20,0)</f>
        <v>0</v>
      </c>
      <c r="AL50" s="202">
        <f>IFERROR(AG50/AG$20,0)</f>
        <v>0</v>
      </c>
      <c r="AM50" s="392">
        <f>+IFERROR(ROUND(($AB50-AE50)*100,2)&amp;" pts.",0)</f>
        <v>0</v>
      </c>
      <c r="AN50" s="409">
        <f>+IFERROR(ROUND(($AB50-AH50)*100,2)&amp;" pts.",0)</f>
        <v>0</v>
      </c>
      <c r="AO50" s="11"/>
    </row>
    <row r="51" spans="1:41" x14ac:dyDescent="0.25">
      <c r="A51" s="65" t="s">
        <v>7</v>
      </c>
      <c r="B51" s="66" t="str">
        <f>IF(_epmOfflineCondition_,"'HC_SPA'!$A$65:$F$68",_xll.EVRNG(A65:F68))</f>
        <v>'HC_SPA'!$A$65:$F$68</v>
      </c>
      <c r="C51" s="11"/>
      <c r="D51" s="11"/>
      <c r="E51" s="11"/>
      <c r="F51" s="384"/>
      <c r="G51" s="11"/>
      <c r="H51" s="185" t="s">
        <v>292</v>
      </c>
      <c r="I51" s="89" t="str">
        <f>IF(_epmOfflineCondition_,"T3",_xll.EVPRO($B$1,$H51,"STYLE"))</f>
        <v>T3</v>
      </c>
      <c r="J51" s="89" t="str">
        <f>IF(_epmOfflineCondition_,"Y",_xll.EVPRO($B$1,$H51,"CALC"))</f>
        <v>Y</v>
      </c>
      <c r="K51" s="265" t="str">
        <f>IF(AND(I51&gt;="T5"),"&gt;","")</f>
        <v/>
      </c>
      <c r="L51" s="265"/>
      <c r="M51" s="265"/>
      <c r="N51" s="106" t="str">
        <f>IF(_epmOfflineCondition_,"Gross Profit",IF(_xll.EVDES(H51,$B$1)="#NODATA","",_xll.EVDES(H51,$B$1)))</f>
        <v>Gross Profit</v>
      </c>
      <c r="O51" s="123">
        <f t="shared" ref="O51:Z51" si="12">SUMIF($H$34:$H$49,"400000",O34:O49)-SUMIF($H$34:$H$49,"COS_SPARET",O34:O49)</f>
        <v>0</v>
      </c>
      <c r="P51" s="123">
        <f t="shared" si="12"/>
        <v>0</v>
      </c>
      <c r="Q51" s="123">
        <f t="shared" si="12"/>
        <v>0</v>
      </c>
      <c r="R51" s="123">
        <f t="shared" si="12"/>
        <v>0</v>
      </c>
      <c r="S51" s="123">
        <f t="shared" si="12"/>
        <v>0</v>
      </c>
      <c r="T51" s="123">
        <f t="shared" si="12"/>
        <v>0</v>
      </c>
      <c r="U51" s="123">
        <f t="shared" si="12"/>
        <v>0</v>
      </c>
      <c r="V51" s="123">
        <f t="shared" si="12"/>
        <v>0</v>
      </c>
      <c r="W51" s="123">
        <f t="shared" si="12"/>
        <v>0</v>
      </c>
      <c r="X51" s="123">
        <f t="shared" si="12"/>
        <v>0</v>
      </c>
      <c r="Y51" s="123">
        <f t="shared" si="12"/>
        <v>0</v>
      </c>
      <c r="Z51" s="123">
        <f t="shared" si="12"/>
        <v>0</v>
      </c>
      <c r="AA51" s="191">
        <f>IF($I51="B1","",SUM(O51:Z51))</f>
        <v>0</v>
      </c>
      <c r="AB51" s="192" t="str">
        <f>IF(AA51=0,"",IFERROR(AA51/AA$19,""))</f>
        <v/>
      </c>
      <c r="AC51" s="11"/>
      <c r="AD51" s="123">
        <f>SUMIF($H$34:$H$49,"400000",AD34:AD49)-SUMIF($H$34:$H$49,"COS_SPARET",AD34:AD49)</f>
        <v>0</v>
      </c>
      <c r="AE51" s="192" t="str">
        <f>IF(AD51=0,"",IFERROR(AD51/AD$19,""))</f>
        <v/>
      </c>
      <c r="AF51" s="125">
        <f>IF(AND($AA51="",AD51=""),"",$AA51-AD51)</f>
        <v>0</v>
      </c>
      <c r="AG51" s="123">
        <f>SUMIF($H$34:$H$49,"400000",AG34:AG49)-SUMIF($H$34:$H$49,"COS_SPARET",AG34:AG49)</f>
        <v>0</v>
      </c>
      <c r="AH51" s="192" t="str">
        <f>IF(AG51=0,"",IFERROR(AG51/AG$19,""))</f>
        <v/>
      </c>
      <c r="AI51" s="125">
        <f>IF(AND($AA51="",AG51=""),"",$AA51-AG51)</f>
        <v>0</v>
      </c>
      <c r="AJ51" s="193">
        <f>IFERROR(AA51/AA$20,0)</f>
        <v>0</v>
      </c>
      <c r="AK51" s="194">
        <f>IFERROR(AD51/AD$20,0)</f>
        <v>0</v>
      </c>
      <c r="AL51" s="195">
        <f>IFERROR(AG51/AG$20,0)</f>
        <v>0</v>
      </c>
      <c r="AM51" s="407">
        <f>+IFERROR(ROUND(($AB51-AE51)*100,2)&amp;" pts.",0)</f>
        <v>0</v>
      </c>
      <c r="AN51" s="408">
        <f>+IFERROR(ROUND(($AB51-AH51)*100,2)&amp;" pts.",0)</f>
        <v>0</v>
      </c>
      <c r="AO51" s="11"/>
    </row>
    <row r="52" spans="1:41" x14ac:dyDescent="0.25">
      <c r="A52" s="65" t="s">
        <v>47</v>
      </c>
      <c r="B52" s="66" t="str">
        <f>IF(_epmOfflineCondition_,"'HC_SPA'!$A$116:$B$137",_xll.EVRNG($A$116:$B$137))</f>
        <v>'HC_SPA'!$A$116:$B$137</v>
      </c>
      <c r="C52" s="11"/>
      <c r="D52" s="11"/>
      <c r="E52" s="11"/>
      <c r="F52" s="11"/>
      <c r="G52" s="11"/>
      <c r="H52" s="11"/>
      <c r="I52" s="59"/>
      <c r="J52" s="59"/>
      <c r="K52" s="11"/>
      <c r="L52" s="11"/>
      <c r="M52" s="11"/>
      <c r="N52" s="11"/>
      <c r="O52" s="393"/>
      <c r="P52" s="394"/>
      <c r="Q52" s="394"/>
      <c r="R52" s="394"/>
      <c r="S52" s="394"/>
      <c r="T52" s="394"/>
      <c r="U52" s="394"/>
      <c r="V52" s="394"/>
      <c r="W52" s="394"/>
      <c r="X52" s="394"/>
      <c r="Y52" s="394"/>
      <c r="Z52" s="394"/>
      <c r="AA52" s="394"/>
      <c r="AB52" s="118"/>
      <c r="AC52" s="11"/>
      <c r="AD52" s="203"/>
      <c r="AE52" s="204"/>
      <c r="AF52" s="118"/>
      <c r="AG52" s="204"/>
      <c r="AH52" s="204"/>
      <c r="AI52" s="118"/>
      <c r="AJ52" s="11"/>
      <c r="AK52" s="11"/>
      <c r="AL52" s="11"/>
      <c r="AM52" s="11"/>
      <c r="AN52" s="11"/>
      <c r="AO52" s="11"/>
    </row>
    <row r="53" spans="1:41" x14ac:dyDescent="0.25">
      <c r="A53" s="65" t="s">
        <v>8</v>
      </c>
      <c r="B53" s="66"/>
      <c r="C53" s="11"/>
      <c r="D53" s="11"/>
      <c r="E53" s="11"/>
      <c r="F53" s="11"/>
      <c r="G53" s="11"/>
      <c r="H53" s="11" t="s">
        <v>73</v>
      </c>
      <c r="I53" s="59" t="str">
        <f>IF(_epmOfflineCondition_,"B1",_xll.EVPRO($B$1,$H53,"STYLE"))</f>
        <v>B1</v>
      </c>
      <c r="J53" s="59" t="str">
        <f>IF(_epmOfflineCondition_,"Y",_xll.EVPRO($B$1,$H53,"CALC"))</f>
        <v>Y</v>
      </c>
      <c r="K53" s="11"/>
      <c r="L53" s="11"/>
      <c r="M53" s="11"/>
      <c r="N53" s="105" t="str">
        <f>IF(_epmOfflineCondition_,"Labor &amp; Related Expenses",IF(_xll.EVDES(H53,$B$1)="#NODATA","",_xll.EVDES(H53,$B$1)))</f>
        <v>Labor &amp; Related Expenses</v>
      </c>
      <c r="O53" s="203"/>
      <c r="P53" s="204"/>
      <c r="Q53" s="204"/>
      <c r="R53" s="204"/>
      <c r="S53" s="204"/>
      <c r="T53" s="204"/>
      <c r="U53" s="204"/>
      <c r="V53" s="204"/>
      <c r="W53" s="204"/>
      <c r="X53" s="204"/>
      <c r="Y53" s="204"/>
      <c r="Z53" s="204"/>
      <c r="AA53" s="204"/>
      <c r="AB53" s="410"/>
      <c r="AC53" s="11"/>
      <c r="AD53" s="411"/>
      <c r="AE53" s="412"/>
      <c r="AF53" s="118"/>
      <c r="AG53" s="204"/>
      <c r="AH53" s="412"/>
      <c r="AI53" s="118"/>
      <c r="AJ53" s="11"/>
      <c r="AK53" s="11"/>
      <c r="AL53" s="11"/>
      <c r="AM53" s="11"/>
      <c r="AN53" s="11"/>
      <c r="AO53" s="11"/>
    </row>
    <row r="54" spans="1:41" x14ac:dyDescent="0.25">
      <c r="A54" s="11"/>
      <c r="B54" s="11"/>
      <c r="C54" s="11"/>
      <c r="D54" s="11"/>
      <c r="E54" s="11"/>
      <c r="F54" s="11"/>
      <c r="G54" s="11"/>
      <c r="H54" s="11" t="s">
        <v>74</v>
      </c>
      <c r="I54" s="59" t="str">
        <f>IF(_epmOfflineCondition_,"B1",_xll.EVPRO($B$1,$H54,"STYLE"))</f>
        <v>B1</v>
      </c>
      <c r="J54" s="59" t="str">
        <f>IF(_epmOfflineCondition_,"Y",_xll.EVPRO($B$1,$H54,"CALC"))</f>
        <v>Y</v>
      </c>
      <c r="K54" s="11"/>
      <c r="L54" s="11"/>
      <c r="M54" s="11"/>
      <c r="N54" s="53" t="str">
        <f>IF(_epmOfflineCondition_,"Salaries &amp; Wages",IF(_xll.EVDES(H54,$B$1)="#NODATA","",_xll.EVDES(H54,$B$1)))</f>
        <v>Salaries &amp; Wages</v>
      </c>
      <c r="O54" s="119"/>
      <c r="P54" s="120"/>
      <c r="Q54" s="120"/>
      <c r="R54" s="120"/>
      <c r="S54" s="120"/>
      <c r="T54" s="120"/>
      <c r="U54" s="120"/>
      <c r="V54" s="120"/>
      <c r="W54" s="120"/>
      <c r="X54" s="120"/>
      <c r="Y54" s="120"/>
      <c r="Z54" s="120"/>
      <c r="AA54" s="120"/>
      <c r="AB54" s="121"/>
      <c r="AC54" s="11"/>
      <c r="AD54" s="119"/>
      <c r="AE54" s="120"/>
      <c r="AF54" s="121"/>
      <c r="AG54" s="120"/>
      <c r="AH54" s="120"/>
      <c r="AI54" s="121"/>
      <c r="AJ54" s="11"/>
      <c r="AK54" s="11"/>
      <c r="AL54" s="11"/>
      <c r="AM54" s="11"/>
      <c r="AN54" s="11"/>
      <c r="AO54" s="11"/>
    </row>
    <row r="55" spans="1:41" hidden="1" x14ac:dyDescent="0.25">
      <c r="A55" s="62" t="s">
        <v>9</v>
      </c>
      <c r="B55" s="63" t="s">
        <v>10</v>
      </c>
      <c r="C55" s="11"/>
      <c r="D55" s="11"/>
      <c r="E55" s="11"/>
      <c r="F55" s="11"/>
      <c r="G55" s="11"/>
      <c r="H55" s="88" t="s">
        <v>667</v>
      </c>
      <c r="I55" s="122" t="str">
        <f>IF(_epmOfflineCondition_,"",_xll.EVPRO($B$1,$H55,"STYLE"))</f>
        <v/>
      </c>
      <c r="J55" s="122" t="str">
        <f>IF(_epmOfflineCondition_,"",_xll.EVPRO($B$1,$H55,"CALC"))</f>
        <v/>
      </c>
      <c r="K55" s="179" t="str">
        <f>IF(AND(I55&gt;="T3"),"&gt;","")</f>
        <v/>
      </c>
      <c r="L55" s="90" t="str">
        <f>IF(_epmOfflineCondition_,"",_xll.EVPRO($B$1,H55,"JDEID"))</f>
        <v/>
      </c>
      <c r="M55" s="90" t="str">
        <f>IF(_epmOfflineCondition_,"",IF(AND(I55="N",J55="N"),_xll.EVPRO($B$1,H55,"PSFTID"),""))</f>
        <v/>
      </c>
      <c r="N55" s="90" t="str">
        <f>IF(_epmOfflineCondition_,"",IF(_xll.EVDES(H55,$B$1)="#NODATA","",_xll.EVDES(H55,$B$1)))</f>
        <v/>
      </c>
      <c r="O55" s="231"/>
      <c r="P55" s="231"/>
      <c r="Q55" s="231"/>
      <c r="R55" s="231"/>
      <c r="S55" s="231"/>
      <c r="T55" s="231"/>
      <c r="U55" s="231"/>
      <c r="V55" s="231"/>
      <c r="W55" s="231"/>
      <c r="X55" s="231"/>
      <c r="Y55" s="231"/>
      <c r="Z55" s="231"/>
      <c r="AA55" s="231">
        <f>IF($I55="B1","",SUM(O55:Z55))</f>
        <v>0</v>
      </c>
      <c r="AB55" s="233" t="str">
        <f>IF(AA55=0,"",IFERROR(AA55/AA$19,""))</f>
        <v/>
      </c>
      <c r="AC55" s="140"/>
      <c r="AD55" s="231"/>
      <c r="AE55" s="233" t="str">
        <f>IF(AD55=0,"",IFERROR(AD55/AD$19,""))</f>
        <v/>
      </c>
      <c r="AF55" s="234">
        <f>IF(AND($AA55="",AD55=""),"",$AA55-AD55)</f>
        <v>0</v>
      </c>
      <c r="AG55" s="231"/>
      <c r="AH55" s="233" t="str">
        <f>IF(AG55=0,"",IFERROR(AG55/AG$19,""))</f>
        <v/>
      </c>
      <c r="AI55" s="234">
        <f>IF(AND($AA55="",AG55=""),"",$AA55-AG55)</f>
        <v>0</v>
      </c>
      <c r="AJ55" s="462">
        <f>IFERROR(AA55/AA$20,0)</f>
        <v>0</v>
      </c>
      <c r="AK55" s="463">
        <f>IFERROR(AD55/AD$20,0)</f>
        <v>0</v>
      </c>
      <c r="AL55" s="464">
        <f>IFERROR(AG55/AG$20,0)</f>
        <v>0</v>
      </c>
      <c r="AM55" s="465">
        <f>+IFERROR(ROUND(($AB55-AE55)*100,2)&amp;" pts.",0)</f>
        <v>0</v>
      </c>
      <c r="AN55" s="466">
        <f>+IFERROR(ROUND(($AB55-AH55)*100,2)&amp;" pts.",0)</f>
        <v>0</v>
      </c>
      <c r="AO55" s="11"/>
    </row>
    <row r="56" spans="1:41" hidden="1" x14ac:dyDescent="0.25">
      <c r="A56" s="65" t="s">
        <v>11</v>
      </c>
      <c r="B56" s="66" t="s">
        <v>21</v>
      </c>
      <c r="C56" s="11"/>
      <c r="D56" s="11"/>
      <c r="E56" s="11"/>
      <c r="F56" s="11"/>
      <c r="G56" s="76"/>
      <c r="H56" s="88"/>
      <c r="I56" s="122" t="str">
        <f>IF(_epmOfflineCondition_,"",_xll.EVPRO($B$1,$H56,"STYLE"))</f>
        <v/>
      </c>
      <c r="J56" s="122" t="str">
        <f>IF(_epmOfflineCondition_,"",_xll.EVPRO($B$1,$H56,"CALC"))</f>
        <v/>
      </c>
      <c r="K56" s="179" t="str">
        <f>IF(AND(I56&gt;="T3"),"&gt;","")</f>
        <v/>
      </c>
      <c r="L56" s="90" t="str">
        <f>IF(_epmOfflineCondition_,"",_xll.EVPRO($B$1,H56,"JDEID"))</f>
        <v/>
      </c>
      <c r="M56" s="90" t="str">
        <f>IF(_epmOfflineCondition_,"",IF(AND(I56="N",J56="N"),_xll.EVPRO($B$1,H56,"PSFTID"),""))</f>
        <v/>
      </c>
      <c r="N56" s="90" t="str">
        <f>IF(_epmOfflineCondition_,"",IF(_xll.EVDES(H56,$B$1)="#NODATA","",_xll.EVDES(H56,$B$1)))</f>
        <v/>
      </c>
      <c r="O56" s="231"/>
      <c r="P56" s="231"/>
      <c r="Q56" s="231"/>
      <c r="R56" s="231"/>
      <c r="S56" s="231"/>
      <c r="T56" s="231"/>
      <c r="U56" s="231"/>
      <c r="V56" s="231"/>
      <c r="W56" s="231"/>
      <c r="X56" s="231"/>
      <c r="Y56" s="231"/>
      <c r="Z56" s="231"/>
      <c r="AA56" s="231">
        <f>IF($I56="B1","",SUM(O56:Z56))</f>
        <v>0</v>
      </c>
      <c r="AB56" s="233" t="str">
        <f>IF(AA56=0,"",IFERROR(AA56/AA$19,""))</f>
        <v/>
      </c>
      <c r="AC56" s="140"/>
      <c r="AD56" s="231"/>
      <c r="AE56" s="233" t="str">
        <f>IF(AD56=0,"",IFERROR(AD56/AD$19,""))</f>
        <v/>
      </c>
      <c r="AF56" s="234">
        <f>IF(AND($AA56="",AD56=""),"",$AA56-AD56)</f>
        <v>0</v>
      </c>
      <c r="AG56" s="231"/>
      <c r="AH56" s="233" t="str">
        <f>IF(AG56=0,"",IFERROR(AG56/AG$19,""))</f>
        <v/>
      </c>
      <c r="AI56" s="234">
        <f>IF(AND($AA56="",AG56=""),"",$AA56-AG56)</f>
        <v>0</v>
      </c>
      <c r="AJ56" s="462">
        <f>IFERROR(AA56/AA$20,0)</f>
        <v>0</v>
      </c>
      <c r="AK56" s="463">
        <f>IFERROR(AD56/AD$20,0)</f>
        <v>0</v>
      </c>
      <c r="AL56" s="464">
        <f>IFERROR(AG56/AG$20,0)</f>
        <v>0</v>
      </c>
      <c r="AM56" s="465">
        <f>+IFERROR(ROUND(($AB56-AE56)*100,2)&amp;" pts.",0)</f>
        <v>0</v>
      </c>
      <c r="AN56" s="466">
        <f>+IFERROR(ROUND(($AB56-AH56)*100,2)&amp;" pts.",0)</f>
        <v>0</v>
      </c>
      <c r="AO56" s="11"/>
    </row>
    <row r="57" spans="1:41" x14ac:dyDescent="0.25">
      <c r="A57" s="65" t="s">
        <v>12</v>
      </c>
      <c r="B57" s="66" t="s">
        <v>22</v>
      </c>
      <c r="C57" s="11"/>
      <c r="D57" s="11"/>
      <c r="E57" s="11"/>
      <c r="F57" s="11"/>
      <c r="G57" s="11"/>
      <c r="H57" s="88" t="s">
        <v>75</v>
      </c>
      <c r="I57" s="89" t="str">
        <f>IF(_epmOfflineCondition_,"B1",_xll.EVPRO($B$1,$H57,"STYLE"))</f>
        <v>B1</v>
      </c>
      <c r="J57" s="89" t="str">
        <f>IF(_epmOfflineCondition_,"Y",_xll.EVPRO($B$1,$H57,"CALC"))</f>
        <v>Y</v>
      </c>
      <c r="K57" s="265" t="str">
        <f>IF(AND(I57&gt;="T3"),"&gt;","")</f>
        <v/>
      </c>
      <c r="L57" s="106" t="str">
        <f>IF(_epmOfflineCondition_,"",_xll.EVPRO($B$1,H57,"JDEID"))</f>
        <v/>
      </c>
      <c r="M57" s="90" t="str">
        <f>IF(_epmOfflineCondition_,"",IF(AND(I57="N",J57="N"),_xll.EVPRO($B$1,H57,"PSFTID"),""))</f>
        <v/>
      </c>
      <c r="N57" s="106" t="str">
        <f>IF(_epmOfflineCondition_,"Non-Management",IF(_xll.EVDES(H57,$B$1)="#NODATA","",_xll.EVDES(H57,$B$1)))</f>
        <v>Non-Management</v>
      </c>
      <c r="O57" s="197"/>
      <c r="P57" s="197"/>
      <c r="Q57" s="197"/>
      <c r="R57" s="197"/>
      <c r="S57" s="197"/>
      <c r="T57" s="197"/>
      <c r="U57" s="197"/>
      <c r="V57" s="197"/>
      <c r="W57" s="197"/>
      <c r="X57" s="197"/>
      <c r="Y57" s="197"/>
      <c r="Z57" s="197"/>
      <c r="AA57" s="197" t="str">
        <f>IF($I57="B1","",SUM(O57:Z57))</f>
        <v/>
      </c>
      <c r="AB57" s="198" t="str">
        <f>IF(AA57=0,"",IFERROR(AA57/AA$19,""))</f>
        <v/>
      </c>
      <c r="AC57" s="11"/>
      <c r="AD57" s="197"/>
      <c r="AE57" s="198" t="str">
        <f>IF(AD57=0,"",IFERROR(AD57/AD$19,""))</f>
        <v/>
      </c>
      <c r="AF57" s="199" t="str">
        <f>IF(AND($AA57="",AD57=""),"",$AA57-AD57)</f>
        <v/>
      </c>
      <c r="AG57" s="197"/>
      <c r="AH57" s="198" t="str">
        <f>IF(AG57=0,"",IFERROR(AG57/AG$19,""))</f>
        <v/>
      </c>
      <c r="AI57" s="199" t="str">
        <f>IF(AND($AA57="",AG57=""),"",$AA57-AG57)</f>
        <v/>
      </c>
      <c r="AJ57" s="397">
        <f>IFERROR(AA57/AA$20,0)</f>
        <v>0</v>
      </c>
      <c r="AK57" s="398">
        <f>IFERROR(AD57/AD$20,0)</f>
        <v>0</v>
      </c>
      <c r="AL57" s="399">
        <f>IFERROR(AG57/AG$20,0)</f>
        <v>0</v>
      </c>
      <c r="AM57" s="400">
        <f>+IFERROR(ROUND(($AB57-AE57)*100,2)&amp;" pts.",0)</f>
        <v>0</v>
      </c>
      <c r="AN57" s="401">
        <f>+IFERROR(ROUND(($AB57-AH57)*100,2)&amp;" pts.",0)</f>
        <v>0</v>
      </c>
      <c r="AO57" s="11"/>
    </row>
    <row r="58" spans="1:41" hidden="1" x14ac:dyDescent="0.25">
      <c r="A58" s="65" t="s">
        <v>13</v>
      </c>
      <c r="B58" s="66" t="str">
        <f>"DEP(COS_SPARET) AND "&amp;$E$6&amp;"=Y,COS_SPARET"</f>
        <v>DEP(COS_SPARET) AND D1132=Y,COS_SPARET</v>
      </c>
      <c r="C58" s="11"/>
      <c r="D58" s="11"/>
      <c r="E58" s="11"/>
      <c r="F58" s="11"/>
      <c r="G58" s="11"/>
      <c r="H58" s="88" t="s">
        <v>667</v>
      </c>
      <c r="I58" s="122" t="str">
        <f>IF(_epmOfflineCondition_,"",_xll.EVPRO($B$1,$H58,"STYLE"))</f>
        <v/>
      </c>
      <c r="J58" s="122" t="str">
        <f>IF(_epmOfflineCondition_,"",_xll.EVPRO($B$1,$H58,"CALC"))</f>
        <v/>
      </c>
      <c r="K58" s="179" t="str">
        <f>IF(AND(I58&gt;="T3"),"&gt;","")</f>
        <v/>
      </c>
      <c r="L58" s="90" t="str">
        <f>IF(_epmOfflineCondition_,"",_xll.EVPRO($B$1,H58,"JDEID"))</f>
        <v/>
      </c>
      <c r="M58" s="90" t="str">
        <f>IF(_epmOfflineCondition_,"",IF(AND(I58="N",J58="N"),_xll.EVPRO($B$1,H58,"PSFTID"),""))</f>
        <v/>
      </c>
      <c r="N58" s="90" t="str">
        <f>IF(_epmOfflineCondition_,"",IF(_xll.EVDES(H58,$B$1)="#NODATA","",_xll.EVDES(H58,$B$1)))</f>
        <v/>
      </c>
      <c r="O58" s="239"/>
      <c r="P58" s="239"/>
      <c r="Q58" s="239"/>
      <c r="R58" s="239"/>
      <c r="S58" s="239"/>
      <c r="T58" s="239"/>
      <c r="U58" s="239"/>
      <c r="V58" s="239"/>
      <c r="W58" s="239"/>
      <c r="X58" s="239"/>
      <c r="Y58" s="239"/>
      <c r="Z58" s="239"/>
      <c r="AA58" s="239">
        <f>IF($I58="B1","",SUM(O58:Z58))</f>
        <v>0</v>
      </c>
      <c r="AB58" s="240" t="str">
        <f>IF(AA58=0,"",IFERROR(AA58/AA$19,""))</f>
        <v/>
      </c>
      <c r="AC58" s="140"/>
      <c r="AD58" s="239"/>
      <c r="AE58" s="240" t="str">
        <f>IF(AD58=0,"",IFERROR(AD58/AD$19,""))</f>
        <v/>
      </c>
      <c r="AF58" s="241">
        <f>IF(AND($AA58="",AD58=""),"",$AA58-AD58)</f>
        <v>0</v>
      </c>
      <c r="AG58" s="239"/>
      <c r="AH58" s="240" t="str">
        <f>IF(AG58=0,"",IFERROR(AG58/AG$19,""))</f>
        <v/>
      </c>
      <c r="AI58" s="241">
        <f>IF(AND($AA58="",AG58=""),"",$AA58-AG58)</f>
        <v>0</v>
      </c>
      <c r="AJ58" s="462">
        <f>IFERROR(AA58/AA$20,0)</f>
        <v>0</v>
      </c>
      <c r="AK58" s="463">
        <f>IFERROR(AD58/AD$20,0)</f>
        <v>0</v>
      </c>
      <c r="AL58" s="464">
        <f>IFERROR(AG58/AG$20,0)</f>
        <v>0</v>
      </c>
      <c r="AM58" s="465">
        <f>+IFERROR(ROUND(($AB58-AE58)*100,2)&amp;" pts.",0)</f>
        <v>0</v>
      </c>
      <c r="AN58" s="466">
        <f>+IFERROR(ROUND(($AB58-AH58)*100,2)&amp;" pts.",0)</f>
        <v>0</v>
      </c>
      <c r="AO58" s="11"/>
    </row>
    <row r="59" spans="1:41" hidden="1" x14ac:dyDescent="0.25">
      <c r="A59" s="65" t="s">
        <v>14</v>
      </c>
      <c r="B59" s="66"/>
      <c r="C59" s="11"/>
      <c r="D59" s="11"/>
      <c r="E59" s="11"/>
      <c r="F59" s="11"/>
      <c r="G59" s="11"/>
      <c r="H59" s="88"/>
      <c r="I59" s="122" t="str">
        <f>IF(_epmOfflineCondition_,"",_xll.EVPRO($B$1,$H59,"STYLE"))</f>
        <v/>
      </c>
      <c r="J59" s="122" t="str">
        <f>IF(_epmOfflineCondition_,"",_xll.EVPRO($B$1,$H59,"CALC"))</f>
        <v/>
      </c>
      <c r="K59" s="179" t="str">
        <f>IF(AND(I59&gt;="T3"),"&gt;","")</f>
        <v/>
      </c>
      <c r="L59" s="90" t="str">
        <f>IF(_epmOfflineCondition_,"",_xll.EVPRO($B$1,H59,"JDEID"))</f>
        <v/>
      </c>
      <c r="M59" s="90" t="str">
        <f>IF(_epmOfflineCondition_,"",IF(AND(I59="N",J59="N"),_xll.EVPRO($B$1,H59,"PSFTID"),""))</f>
        <v/>
      </c>
      <c r="N59" s="90" t="str">
        <f>IF(_epmOfflineCondition_,"",IF(_xll.EVDES(H59,$B$1)="#NODATA","",_xll.EVDES(H59,$B$1)))</f>
        <v/>
      </c>
      <c r="O59" s="239"/>
      <c r="P59" s="239"/>
      <c r="Q59" s="239"/>
      <c r="R59" s="239"/>
      <c r="S59" s="239"/>
      <c r="T59" s="239"/>
      <c r="U59" s="239"/>
      <c r="V59" s="239"/>
      <c r="W59" s="239"/>
      <c r="X59" s="239"/>
      <c r="Y59" s="239"/>
      <c r="Z59" s="239"/>
      <c r="AA59" s="239">
        <f>IF($I59="B1","",SUM(O59:Z59))</f>
        <v>0</v>
      </c>
      <c r="AB59" s="240" t="str">
        <f>IF(AA59=0,"",IFERROR(AA59/AA$19,""))</f>
        <v/>
      </c>
      <c r="AC59" s="140"/>
      <c r="AD59" s="239"/>
      <c r="AE59" s="240" t="str">
        <f>IF(AD59=0,"",IFERROR(AD59/AD$19,""))</f>
        <v/>
      </c>
      <c r="AF59" s="241">
        <f>IF(AND($AA59="",AD59=""),"",$AA59-AD59)</f>
        <v>0</v>
      </c>
      <c r="AG59" s="239"/>
      <c r="AH59" s="240" t="str">
        <f>IF(AG59=0,"",IFERROR(AG59/AG$19,""))</f>
        <v/>
      </c>
      <c r="AI59" s="241">
        <f>IF(AND($AA59="",AG59=""),"",$AA59-AG59)</f>
        <v>0</v>
      </c>
      <c r="AJ59" s="462">
        <f>IFERROR(AA59/AA$20,0)</f>
        <v>0</v>
      </c>
      <c r="AK59" s="463">
        <f>IFERROR(AD59/AD$20,0)</f>
        <v>0</v>
      </c>
      <c r="AL59" s="464">
        <f>IFERROR(AG59/AG$20,0)</f>
        <v>0</v>
      </c>
      <c r="AM59" s="465">
        <f>+IFERROR(ROUND(($AB59-AE59)*100,2)&amp;" pts.",0)</f>
        <v>0</v>
      </c>
      <c r="AN59" s="466">
        <f>+IFERROR(ROUND(($AB59-AH59)*100,2)&amp;" pts.",0)</f>
        <v>0</v>
      </c>
      <c r="AO59" s="11"/>
    </row>
    <row r="60" spans="1:41" x14ac:dyDescent="0.25">
      <c r="A60" s="65" t="s">
        <v>15</v>
      </c>
      <c r="B60" s="66"/>
      <c r="C60" s="11"/>
      <c r="D60" s="11"/>
      <c r="E60" s="11"/>
      <c r="F60" s="11"/>
      <c r="G60" s="11"/>
      <c r="H60" s="11"/>
      <c r="I60" s="59"/>
      <c r="J60" s="59"/>
      <c r="K60" s="11"/>
      <c r="L60" s="11"/>
      <c r="M60" s="11"/>
      <c r="N60" s="11"/>
      <c r="O60" s="129"/>
      <c r="P60" s="130"/>
      <c r="Q60" s="130"/>
      <c r="R60" s="130"/>
      <c r="S60" s="130"/>
      <c r="T60" s="130"/>
      <c r="U60" s="130"/>
      <c r="V60" s="130"/>
      <c r="W60" s="130"/>
      <c r="X60" s="130"/>
      <c r="Y60" s="130"/>
      <c r="Z60" s="130"/>
      <c r="AA60" s="130"/>
      <c r="AB60" s="131"/>
      <c r="AC60" s="11"/>
      <c r="AD60" s="129"/>
      <c r="AE60" s="130"/>
      <c r="AF60" s="131"/>
      <c r="AG60" s="129"/>
      <c r="AH60" s="130"/>
      <c r="AI60" s="131"/>
      <c r="AJ60" s="11"/>
      <c r="AK60" s="11"/>
      <c r="AL60" s="11"/>
      <c r="AM60" s="11"/>
      <c r="AN60" s="11"/>
      <c r="AO60" s="11"/>
    </row>
    <row r="61" spans="1:41" x14ac:dyDescent="0.25">
      <c r="A61" s="65" t="s">
        <v>16</v>
      </c>
      <c r="B61" s="66"/>
      <c r="C61" s="11"/>
      <c r="D61" s="11"/>
      <c r="E61" s="11"/>
      <c r="F61" s="11"/>
      <c r="G61" s="11"/>
      <c r="H61" s="11" t="s">
        <v>82</v>
      </c>
      <c r="I61" s="59" t="str">
        <f>IF(_epmOfflineCondition_,"B1",_xll.EVPRO($B$1,$H61,"STYLE"))</f>
        <v>B1</v>
      </c>
      <c r="J61" s="59" t="str">
        <f>IF(_epmOfflineCondition_,"Y",_xll.EVPRO($B$1,$H61,"CALC"))</f>
        <v>Y</v>
      </c>
      <c r="K61" s="11"/>
      <c r="L61" s="11"/>
      <c r="M61" s="11"/>
      <c r="N61" s="105" t="str">
        <f>IF(_epmOfflineCondition_,"Other Expenses",IF(_xll.EVDES(H61,$B$1)="#NODATA","",_xll.EVDES(H61,$B$1)))</f>
        <v>Other Expenses</v>
      </c>
      <c r="O61" s="119"/>
      <c r="P61" s="120"/>
      <c r="Q61" s="120"/>
      <c r="R61" s="120"/>
      <c r="S61" s="120"/>
      <c r="T61" s="120"/>
      <c r="U61" s="120"/>
      <c r="V61" s="120"/>
      <c r="W61" s="120"/>
      <c r="X61" s="120"/>
      <c r="Y61" s="120"/>
      <c r="Z61" s="120"/>
      <c r="AA61" s="120"/>
      <c r="AB61" s="121"/>
      <c r="AC61" s="11"/>
      <c r="AD61" s="119"/>
      <c r="AE61" s="120"/>
      <c r="AF61" s="121"/>
      <c r="AG61" s="119"/>
      <c r="AH61" s="120"/>
      <c r="AI61" s="121"/>
      <c r="AJ61" s="11"/>
      <c r="AK61" s="11"/>
      <c r="AL61" s="11"/>
      <c r="AM61" s="11"/>
      <c r="AN61" s="11"/>
      <c r="AO61" s="11"/>
    </row>
    <row r="62" spans="1:41" hidden="1" x14ac:dyDescent="0.25">
      <c r="A62" s="65" t="s">
        <v>17</v>
      </c>
      <c r="B62" s="66"/>
      <c r="C62" s="11"/>
      <c r="D62" s="11"/>
      <c r="E62" s="11"/>
      <c r="F62" s="11"/>
      <c r="G62" s="11"/>
      <c r="H62" s="88" t="s">
        <v>667</v>
      </c>
      <c r="I62" s="122" t="str">
        <f>IF(_epmOfflineCondition_,"",_xll.EVPRO($B$1,$H62,"STYLE"))</f>
        <v/>
      </c>
      <c r="J62" s="122" t="str">
        <f>IF(_epmOfflineCondition_,"",_xll.EVPRO($B$1,$H62,"CALC"))</f>
        <v/>
      </c>
      <c r="K62" s="179" t="str">
        <f>IF(AND(I62&lt;&gt;"B1",J62="Y"),"&gt;","")</f>
        <v/>
      </c>
      <c r="L62" s="90" t="str">
        <f>IF(_epmOfflineCondition_,"",_xll.EVPRO($B$1,H62,"JDEID"))</f>
        <v/>
      </c>
      <c r="M62" s="90" t="str">
        <f>IF(_epmOfflineCondition_,"",IF(AND(I62="N",J62="N"),_xll.EVPRO($B$1,H62,"PSFTID"),""))</f>
        <v/>
      </c>
      <c r="N62" s="90" t="str">
        <f>IF(_epmOfflineCondition_,"",IF(_xll.EVDES(H62,$B$1)="#NODATA","",_xll.EVDES(H62,$B$1)))</f>
        <v/>
      </c>
      <c r="O62" s="138"/>
      <c r="P62" s="138"/>
      <c r="Q62" s="138"/>
      <c r="R62" s="138"/>
      <c r="S62" s="138"/>
      <c r="T62" s="138"/>
      <c r="U62" s="138"/>
      <c r="V62" s="138"/>
      <c r="W62" s="138"/>
      <c r="X62" s="138"/>
      <c r="Y62" s="138"/>
      <c r="Z62" s="138"/>
      <c r="AA62" s="138">
        <f>IF($I62="B1","",SUM(O62:Z62))</f>
        <v>0</v>
      </c>
      <c r="AB62" s="142" t="str">
        <f>IF(AA62=0,"",IFERROR(AA62/AA$19,""))</f>
        <v/>
      </c>
      <c r="AC62" s="140"/>
      <c r="AD62" s="138"/>
      <c r="AE62" s="142" t="str">
        <f>IF(AD62=0,"",IFERROR(AD62/AD$19,""))</f>
        <v/>
      </c>
      <c r="AF62" s="141">
        <f>IF(AND($AA62="",AD62=""),"",$AA62-AD62)</f>
        <v>0</v>
      </c>
      <c r="AG62" s="138"/>
      <c r="AH62" s="142" t="str">
        <f>IF(AG62=0,"",IFERROR(AG62/AG$19,""))</f>
        <v/>
      </c>
      <c r="AI62" s="141">
        <f>IF(AND($AA62="",AG62=""),"",$AA62-AG62)</f>
        <v>0</v>
      </c>
      <c r="AJ62" s="462">
        <f>IFERROR(AA62/AA$20,0)</f>
        <v>0</v>
      </c>
      <c r="AK62" s="463">
        <f>IFERROR(AD62/AD$20,0)</f>
        <v>0</v>
      </c>
      <c r="AL62" s="464">
        <f>IFERROR(AG62/AG$20,0)</f>
        <v>0</v>
      </c>
      <c r="AM62" s="465">
        <f>+IFERROR(ROUND(($AB62-AE62)*100,2)&amp;" pts.",0)</f>
        <v>0</v>
      </c>
      <c r="AN62" s="466">
        <f>+IFERROR(ROUND(($AB62-AH62)*100,2)&amp;" pts.",0)</f>
        <v>0</v>
      </c>
      <c r="AO62" s="11"/>
    </row>
    <row r="63" spans="1:41" hidden="1" x14ac:dyDescent="0.25">
      <c r="A63" s="11"/>
      <c r="B63" s="11"/>
      <c r="C63" s="11"/>
      <c r="D63" s="11"/>
      <c r="E63" s="11"/>
      <c r="F63" s="11"/>
      <c r="G63" s="11"/>
      <c r="H63" s="88"/>
      <c r="I63" s="122" t="str">
        <f>IF(_epmOfflineCondition_,"",_xll.EVPRO($B$1,$H63,"STYLE"))</f>
        <v/>
      </c>
      <c r="J63" s="122" t="str">
        <f>IF(_epmOfflineCondition_,"",_xll.EVPRO($B$1,$H63,"CALC"))</f>
        <v/>
      </c>
      <c r="K63" s="179" t="str">
        <f>IF(AND(I63&lt;&gt;"B1",J63="Y"),"&gt;","")</f>
        <v/>
      </c>
      <c r="L63" s="90" t="str">
        <f>IF(_epmOfflineCondition_,"",_xll.EVPRO($B$1,H63,"JDEID"))</f>
        <v/>
      </c>
      <c r="M63" s="90" t="str">
        <f>IF(_epmOfflineCondition_,"",IF(AND(I63="N",J63="N"),_xll.EVPRO($B$1,H63,"PSFTID"),""))</f>
        <v/>
      </c>
      <c r="N63" s="90" t="str">
        <f>IF(_epmOfflineCondition_,"",IF(_xll.EVDES(H63,$B$1)="#NODATA","",_xll.EVDES(H63,$B$1)))</f>
        <v/>
      </c>
      <c r="O63" s="138"/>
      <c r="P63" s="138"/>
      <c r="Q63" s="138"/>
      <c r="R63" s="138"/>
      <c r="S63" s="138"/>
      <c r="T63" s="138"/>
      <c r="U63" s="138"/>
      <c r="V63" s="138"/>
      <c r="W63" s="138"/>
      <c r="X63" s="138"/>
      <c r="Y63" s="138"/>
      <c r="Z63" s="138"/>
      <c r="AA63" s="138">
        <f>IF($I63="B1","",SUM(O63:Z63))</f>
        <v>0</v>
      </c>
      <c r="AB63" s="142" t="str">
        <f>IF(AA63=0,"",IFERROR(AA63/AA$19,""))</f>
        <v/>
      </c>
      <c r="AC63" s="140"/>
      <c r="AD63" s="138"/>
      <c r="AE63" s="142" t="str">
        <f>IF(AD63=0,"",IFERROR(AD63/AD$19,""))</f>
        <v/>
      </c>
      <c r="AF63" s="141">
        <f>IF(AND($AA63="",AD63=""),"",$AA63-AD63)</f>
        <v>0</v>
      </c>
      <c r="AG63" s="138"/>
      <c r="AH63" s="142" t="str">
        <f>IF(AG63=0,"",IFERROR(AG63/AG$19,""))</f>
        <v/>
      </c>
      <c r="AI63" s="141">
        <f>IF(AND($AA63="",AG63=""),"",$AA63-AG63)</f>
        <v>0</v>
      </c>
      <c r="AJ63" s="462">
        <f>IFERROR(AA63/AA$20,0)</f>
        <v>0</v>
      </c>
      <c r="AK63" s="463">
        <f>IFERROR(AD63/AD$20,0)</f>
        <v>0</v>
      </c>
      <c r="AL63" s="464">
        <f>IFERROR(AG63/AG$20,0)</f>
        <v>0</v>
      </c>
      <c r="AM63" s="465">
        <f>+IFERROR(ROUND(($AB63-AE63)*100,2)&amp;" pts.",0)</f>
        <v>0</v>
      </c>
      <c r="AN63" s="466">
        <f>+IFERROR(ROUND(($AB63-AH63)*100,2)&amp;" pts.",0)</f>
        <v>0</v>
      </c>
      <c r="AO63" s="11"/>
    </row>
    <row r="64" spans="1:41" x14ac:dyDescent="0.25">
      <c r="A64" s="97" t="s">
        <v>92</v>
      </c>
      <c r="B64" s="98" t="s">
        <v>93</v>
      </c>
      <c r="C64" s="98" t="s">
        <v>94</v>
      </c>
      <c r="D64" s="98" t="s">
        <v>95</v>
      </c>
      <c r="E64" s="98" t="s">
        <v>96</v>
      </c>
      <c r="F64" s="99" t="s">
        <v>97</v>
      </c>
      <c r="G64" s="11"/>
      <c r="H64" s="88" t="s">
        <v>79</v>
      </c>
      <c r="I64" s="136" t="str">
        <f>IF(_epmOfflineCondition_,"T3",_xll.EVPRO($B$1,$H64,"STYLE"))</f>
        <v>T3</v>
      </c>
      <c r="J64" s="136" t="str">
        <f>IF(_epmOfflineCondition_,"Y",_xll.EVPRO($B$1,$H64,"CALC"))</f>
        <v>Y</v>
      </c>
      <c r="K64" s="104"/>
      <c r="L64" s="104"/>
      <c r="M64" s="104"/>
      <c r="N64" s="106" t="str">
        <f>IF(_epmOfflineCondition_,"Total Operations Expense",IF(_xll.EVDES(H64,$B$1)="#NODATA","",_xll.EVDES(H64,$B$1)))</f>
        <v>Total Operations Expense</v>
      </c>
      <c r="O64" s="150"/>
      <c r="P64" s="150"/>
      <c r="Q64" s="150"/>
      <c r="R64" s="150"/>
      <c r="S64" s="150"/>
      <c r="T64" s="150"/>
      <c r="U64" s="150"/>
      <c r="V64" s="150"/>
      <c r="W64" s="150"/>
      <c r="X64" s="150"/>
      <c r="Y64" s="150"/>
      <c r="Z64" s="150"/>
      <c r="AA64" s="150">
        <f>IF($I64="B1","",SUM(O64:Z64))</f>
        <v>0</v>
      </c>
      <c r="AB64" s="151" t="str">
        <f>IF(AA64=0,"",IFERROR(AA64/AA$19,""))</f>
        <v/>
      </c>
      <c r="AC64" s="140"/>
      <c r="AD64" s="150"/>
      <c r="AE64" s="151" t="str">
        <f>IF(AD64=0,"",IFERROR(AD64/AD$19,""))</f>
        <v/>
      </c>
      <c r="AF64" s="152">
        <f>IF(AND($AA64="",AD64=""),"",$AA64-AD64)</f>
        <v>0</v>
      </c>
      <c r="AG64" s="150"/>
      <c r="AH64" s="151" t="str">
        <f>IF(AG64=0,"",IFERROR(AG64/AG$19,""))</f>
        <v/>
      </c>
      <c r="AI64" s="152">
        <f>IF(AND($AA64="",AG64=""),"",$AA64-AG64)</f>
        <v>0</v>
      </c>
      <c r="AJ64" s="446">
        <f>IFERROR(AA64/AA$20,0)</f>
        <v>0</v>
      </c>
      <c r="AK64" s="447">
        <f>IFERROR(AD64/AD$20,0)</f>
        <v>0</v>
      </c>
      <c r="AL64" s="448">
        <f>IFERROR(AG64/AG$20,0)</f>
        <v>0</v>
      </c>
      <c r="AM64" s="449">
        <f>+IFERROR(ROUND(($AB64-AE64)*100,2)&amp;" pts.",0)</f>
        <v>0</v>
      </c>
      <c r="AN64" s="546">
        <f>+IFERROR(ROUND(($AB64-AH64)*100,2)&amp;" pts.",0)</f>
        <v>0</v>
      </c>
      <c r="AO64" s="11"/>
    </row>
    <row r="65" spans="1:41" x14ac:dyDescent="0.25">
      <c r="A65" s="11"/>
      <c r="B65" s="11"/>
      <c r="C65" s="11"/>
      <c r="D65" s="11"/>
      <c r="E65" s="11"/>
      <c r="F65" s="11"/>
      <c r="G65" s="11"/>
      <c r="H65" s="11"/>
      <c r="I65" s="59"/>
      <c r="J65" s="59"/>
      <c r="K65" s="11"/>
      <c r="L65" s="11"/>
      <c r="M65" s="11"/>
      <c r="N65" s="11"/>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1"/>
    </row>
    <row r="66" spans="1:41" x14ac:dyDescent="0.25">
      <c r="A66" s="11" t="s">
        <v>105</v>
      </c>
      <c r="B66" s="11"/>
      <c r="C66" s="104" t="s">
        <v>101</v>
      </c>
      <c r="D66" s="11" t="s">
        <v>106</v>
      </c>
      <c r="E66" s="11"/>
      <c r="F66" s="11" t="s">
        <v>98</v>
      </c>
      <c r="G66" s="11"/>
      <c r="H66" s="88" t="s">
        <v>80</v>
      </c>
      <c r="I66" s="136" t="str">
        <f>IF(_epmOfflineCondition_,"T3",_xll.EVPRO($B$1,$H66,"STYLE"))</f>
        <v>T3</v>
      </c>
      <c r="J66" s="136" t="str">
        <f>IF(_epmOfflineCondition_,"Y",_xll.EVPRO($B$1,$H66,"CALC"))</f>
        <v>Y</v>
      </c>
      <c r="K66" s="106"/>
      <c r="L66" s="106"/>
      <c r="M66" s="106"/>
      <c r="N66" s="106" t="str">
        <f>IF(_epmOfflineCondition_,"Total Expenses",IF(_xll.EVDES(H66,$B$1)="#NODATA","",_xll.EVDES(H66,$B$1)))</f>
        <v>Total Expenses</v>
      </c>
      <c r="O66" s="242"/>
      <c r="P66" s="242"/>
      <c r="Q66" s="242"/>
      <c r="R66" s="242"/>
      <c r="S66" s="242"/>
      <c r="T66" s="242"/>
      <c r="U66" s="242"/>
      <c r="V66" s="242"/>
      <c r="W66" s="242"/>
      <c r="X66" s="242"/>
      <c r="Y66" s="242"/>
      <c r="Z66" s="242"/>
      <c r="AA66" s="242">
        <f>IF($I66="B1","",SUM(O66:Z66))</f>
        <v>0</v>
      </c>
      <c r="AB66" s="243" t="str">
        <f>IF(AA66=0,"",IFERROR(AA66/AA$19,""))</f>
        <v/>
      </c>
      <c r="AC66" s="140"/>
      <c r="AD66" s="242"/>
      <c r="AE66" s="243" t="str">
        <f>IF(AD66=0,"",IFERROR(AD66/AD$19,""))</f>
        <v/>
      </c>
      <c r="AF66" s="254">
        <f>IF(AND($AA66="",AD66=""),"",$AA66-AD66)</f>
        <v>0</v>
      </c>
      <c r="AG66" s="255"/>
      <c r="AH66" s="256" t="str">
        <f>IF(AG66=0,"",IFERROR(AG66/AG$19,""))</f>
        <v/>
      </c>
      <c r="AI66" s="254">
        <f>IF(AND($AA66="",AG66=""),"",$AA66-AG66)</f>
        <v>0</v>
      </c>
      <c r="AJ66" s="435">
        <f>IFERROR(AA66/AA$20,0)</f>
        <v>0</v>
      </c>
      <c r="AK66" s="436">
        <f>IFERROR(AD66/AD$20,0)</f>
        <v>0</v>
      </c>
      <c r="AL66" s="437">
        <f>IFERROR(AG66/AG$20,0)</f>
        <v>0</v>
      </c>
      <c r="AM66" s="438">
        <f>+IFERROR(ROUND(($AB66-AE66)*100,2)&amp;" pts.",0)</f>
        <v>0</v>
      </c>
      <c r="AN66" s="547">
        <f>+IFERROR(ROUND(($AB66-AH66)*100,2)&amp;" pts.",0)</f>
        <v>0</v>
      </c>
      <c r="AO66" s="11"/>
    </row>
    <row r="67" spans="1:41" ht="15.75" thickBot="1" x14ac:dyDescent="0.3">
      <c r="A67" s="11" t="s">
        <v>102</v>
      </c>
      <c r="B67" s="11"/>
      <c r="C67" s="106" t="s">
        <v>101</v>
      </c>
      <c r="D67" s="11" t="s">
        <v>106</v>
      </c>
      <c r="E67" s="11"/>
      <c r="F67" s="11" t="s">
        <v>98</v>
      </c>
      <c r="G67" s="11"/>
      <c r="H67" s="88" t="s">
        <v>81</v>
      </c>
      <c r="I67" s="136" t="str">
        <f>IF(_epmOfflineCondition_,"T3",_xll.EVPRO($B$1,$H67,"STYLE"))</f>
        <v>T3</v>
      </c>
      <c r="J67" s="136" t="str">
        <f>IF(_epmOfflineCondition_,"Y",_xll.EVPRO($B$1,$H67,"CALC"))</f>
        <v>Y</v>
      </c>
      <c r="K67" s="106"/>
      <c r="L67" s="106"/>
      <c r="M67" s="106"/>
      <c r="N67" s="106" t="str">
        <f>IF(_epmOfflineCondition_,"Department Profit (Loss)",IF(_xll.EVDES(H67,$B$1)="#NODATA","",_xll.EVDES(H67,$B$1)))</f>
        <v>Department Profit (Loss)</v>
      </c>
      <c r="O67" s="165"/>
      <c r="P67" s="165"/>
      <c r="Q67" s="165"/>
      <c r="R67" s="165"/>
      <c r="S67" s="165"/>
      <c r="T67" s="165"/>
      <c r="U67" s="165"/>
      <c r="V67" s="165"/>
      <c r="W67" s="165"/>
      <c r="X67" s="165"/>
      <c r="Y67" s="165"/>
      <c r="Z67" s="165"/>
      <c r="AA67" s="165">
        <f>IF($I67="B1","",SUM(O67:Z67))</f>
        <v>0</v>
      </c>
      <c r="AB67" s="166" t="str">
        <f>IF(AA67=0,"",IFERROR(AA67/AA$19,""))</f>
        <v/>
      </c>
      <c r="AC67" s="140"/>
      <c r="AD67" s="165"/>
      <c r="AE67" s="166" t="str">
        <f>IF(AD67=0,"",IFERROR(AD67/AD$19,""))</f>
        <v/>
      </c>
      <c r="AF67" s="167">
        <f>IF(AND($AA67="",AD67=""),"",$AA67-AD67)</f>
        <v>0</v>
      </c>
      <c r="AG67" s="165"/>
      <c r="AH67" s="166" t="str">
        <f>IF(AG67=0,"",IFERROR(AG67/AG$19,""))</f>
        <v/>
      </c>
      <c r="AI67" s="167">
        <f>IF(AND($AA67="",AG67=""),"",$AA67-AG67)</f>
        <v>0</v>
      </c>
      <c r="AJ67" s="452">
        <f>IFERROR(AA67/AA$20,0)</f>
        <v>0</v>
      </c>
      <c r="AK67" s="453">
        <f>IFERROR(AD67/AD$20,0)</f>
        <v>0</v>
      </c>
      <c r="AL67" s="454">
        <f>IFERROR(AG67/AG$20,0)</f>
        <v>0</v>
      </c>
      <c r="AM67" s="455">
        <f>+IFERROR(ROUND(($AB67-AE67)*100,2)&amp;" pts.",0)</f>
        <v>0</v>
      </c>
      <c r="AN67" s="548">
        <f>+IFERROR(ROUND(($AB67-AH67)*100,2)&amp;" pts.",0)</f>
        <v>0</v>
      </c>
      <c r="AO67" s="11"/>
    </row>
    <row r="68" spans="1:41" ht="15.75" thickTop="1" x14ac:dyDescent="0.25">
      <c r="A68" s="11" t="s">
        <v>102</v>
      </c>
      <c r="B68" s="11"/>
      <c r="C68" s="196" t="s">
        <v>101</v>
      </c>
      <c r="D68" s="11" t="s">
        <v>107</v>
      </c>
      <c r="E68" s="11"/>
      <c r="F68" s="11" t="s">
        <v>99</v>
      </c>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11"/>
      <c r="B69" s="11"/>
      <c r="C69" s="11"/>
      <c r="D69" s="11"/>
      <c r="E69" s="11"/>
      <c r="F69" s="11"/>
      <c r="G69" s="11"/>
      <c r="H69" s="11"/>
      <c r="I69" s="59"/>
      <c r="J69" s="59"/>
      <c r="K69" s="11"/>
      <c r="L69" s="11"/>
      <c r="M69" s="11"/>
      <c r="N69" s="104" t="str">
        <f>N66&amp;" - Check"</f>
        <v>Total Expenses - Check</v>
      </c>
      <c r="O69" s="209">
        <f t="shared" ref="O69:AA69" si="13">SUMIF($H$34:$H$67,"600000",O$34:O$67)+SUMIF($H$34:$H$67,"700000",O$34:O$67)-SUMIF($H$34:$H$67,"TOTDEPTEXP",O$34:O$67)</f>
        <v>0</v>
      </c>
      <c r="P69" s="209">
        <f t="shared" si="13"/>
        <v>0</v>
      </c>
      <c r="Q69" s="209">
        <f t="shared" si="13"/>
        <v>0</v>
      </c>
      <c r="R69" s="209">
        <f t="shared" si="13"/>
        <v>0</v>
      </c>
      <c r="S69" s="209">
        <f t="shared" si="13"/>
        <v>0</v>
      </c>
      <c r="T69" s="209">
        <f t="shared" si="13"/>
        <v>0</v>
      </c>
      <c r="U69" s="209">
        <f t="shared" si="13"/>
        <v>0</v>
      </c>
      <c r="V69" s="209">
        <f t="shared" si="13"/>
        <v>0</v>
      </c>
      <c r="W69" s="209">
        <f t="shared" si="13"/>
        <v>0</v>
      </c>
      <c r="X69" s="209">
        <f t="shared" si="13"/>
        <v>0</v>
      </c>
      <c r="Y69" s="209">
        <f t="shared" si="13"/>
        <v>0</v>
      </c>
      <c r="Z69" s="209">
        <f t="shared" si="13"/>
        <v>0</v>
      </c>
      <c r="AA69" s="209">
        <f t="shared" si="13"/>
        <v>0</v>
      </c>
      <c r="AB69" s="100"/>
      <c r="AC69" s="11"/>
      <c r="AD69" s="209">
        <f>SUMIF($H$34:$H$67,"600000",AD$34:AD$67)+SUMIF($H$34:$H$67,"700000",AD$34:AD$67)-SUMIF($H$34:$H$67,"TOTDEPTEXP",AD$34:AD$67)</f>
        <v>0</v>
      </c>
      <c r="AE69" s="100"/>
      <c r="AF69" s="91"/>
      <c r="AG69" s="209">
        <f>SUMIF($H$34:$H$67,"600000",AG$34:AG$67)+SUMIF($H$34:$H$67,"700000",AG$34:AG$67)-SUMIF($H$34:$H$67,"TOTDEPTEXP",AG$34:AG$67)</f>
        <v>0</v>
      </c>
      <c r="AH69" s="100"/>
      <c r="AI69" s="91"/>
      <c r="AJ69" s="11"/>
      <c r="AK69" s="11"/>
      <c r="AL69" s="11"/>
      <c r="AM69" s="11"/>
      <c r="AN69" s="11"/>
      <c r="AO69" s="11"/>
    </row>
    <row r="70" spans="1:41" x14ac:dyDescent="0.25">
      <c r="A70" s="11"/>
      <c r="B70" s="11"/>
      <c r="C70" s="208"/>
      <c r="D70" s="11"/>
      <c r="E70" s="11"/>
      <c r="F70" s="11"/>
      <c r="G70" s="11"/>
      <c r="H70" s="11"/>
      <c r="I70" s="59"/>
      <c r="J70" s="59"/>
      <c r="K70" s="11"/>
      <c r="L70" s="11"/>
      <c r="M70" s="11"/>
      <c r="N70" s="104" t="str">
        <f>N67&amp;" - Check"</f>
        <v>Department Profit (Loss) - Check</v>
      </c>
      <c r="O70" s="209">
        <f t="shared" ref="O70:AA70" si="14">SUMIF($H$34:$H$67,"KPI_GP",O$34:O$67)-SUMIF($H$34:$H$67,"TOTDEPTEXP",O$34:O$67)-SUMIF($H$34:$H$67,"TOTDEPTPL",O$34:O$67)</f>
        <v>0</v>
      </c>
      <c r="P70" s="209">
        <f t="shared" si="14"/>
        <v>0</v>
      </c>
      <c r="Q70" s="209">
        <f t="shared" si="14"/>
        <v>0</v>
      </c>
      <c r="R70" s="209">
        <f t="shared" si="14"/>
        <v>0</v>
      </c>
      <c r="S70" s="209">
        <f t="shared" si="14"/>
        <v>0</v>
      </c>
      <c r="T70" s="209">
        <f t="shared" si="14"/>
        <v>0</v>
      </c>
      <c r="U70" s="209">
        <f t="shared" si="14"/>
        <v>0</v>
      </c>
      <c r="V70" s="209">
        <f t="shared" si="14"/>
        <v>0</v>
      </c>
      <c r="W70" s="209">
        <f t="shared" si="14"/>
        <v>0</v>
      </c>
      <c r="X70" s="209">
        <f t="shared" si="14"/>
        <v>0</v>
      </c>
      <c r="Y70" s="209">
        <f t="shared" si="14"/>
        <v>0</v>
      </c>
      <c r="Z70" s="209">
        <f t="shared" si="14"/>
        <v>0</v>
      </c>
      <c r="AA70" s="209">
        <f t="shared" si="14"/>
        <v>0</v>
      </c>
      <c r="AB70" s="100"/>
      <c r="AC70" s="11"/>
      <c r="AD70" s="209">
        <f>SUMIF($H$34:$H$67,"KPI_GP",AD$34:AD$67)-SUMIF($H$34:$H$67,"TOTDEPTEXP",AD$34:AD$67)-SUMIF($H$34:$H$67,"TOTDEPTPL",AD$34:AD$67)</f>
        <v>0</v>
      </c>
      <c r="AE70" s="100"/>
      <c r="AF70" s="91"/>
      <c r="AG70" s="209">
        <f>SUMIF($H$34:$H$67,"KPI_GP",AG$34:AG$67)-SUMIF($H$34:$H$67,"TOTDEPTEXP",AG$34:AG$67)-SUMIF($H$34:$H$67,"TOTDEPTPL",AG$34:AG$67)</f>
        <v>0</v>
      </c>
      <c r="AH70" s="100"/>
      <c r="AI70" s="91"/>
      <c r="AJ70" s="11"/>
      <c r="AK70" s="11"/>
      <c r="AL70" s="11"/>
      <c r="AM70" s="11"/>
      <c r="AN70" s="11"/>
      <c r="AO70" s="11"/>
    </row>
    <row r="71" spans="1:41" x14ac:dyDescent="0.25">
      <c r="A71" s="61" t="str">
        <f>IF(_epmOfflineCondition_,"Evdre:Ok",_xll.EVDRE($B$1,A74:B81,A84:B90))</f>
        <v>Evdre:Ok</v>
      </c>
      <c r="B71" s="11"/>
      <c r="C71" s="11"/>
      <c r="D71" s="11"/>
      <c r="E71" s="11"/>
      <c r="F71" s="11"/>
      <c r="G71" s="11"/>
      <c r="H71" s="11"/>
      <c r="I71" s="59"/>
      <c r="J71" s="59"/>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11"/>
      <c r="B72" s="11"/>
      <c r="C72" s="11"/>
      <c r="D72" s="11"/>
      <c r="E72" s="11"/>
      <c r="F72" s="11"/>
      <c r="G72" s="11"/>
      <c r="H72" s="11"/>
      <c r="I72" s="59"/>
      <c r="J72" s="59"/>
      <c r="K72" s="11"/>
      <c r="L72" s="11"/>
      <c r="M72" s="11"/>
      <c r="N72" s="11"/>
      <c r="O72" s="137"/>
      <c r="P72" s="137"/>
      <c r="Q72" s="137"/>
      <c r="R72" s="137"/>
      <c r="S72" s="137"/>
      <c r="T72" s="137"/>
      <c r="U72" s="137"/>
      <c r="V72" s="137"/>
      <c r="W72" s="137"/>
      <c r="X72" s="137"/>
      <c r="Y72" s="137"/>
      <c r="Z72" s="137"/>
      <c r="AA72" s="137"/>
      <c r="AB72" s="11"/>
      <c r="AC72" s="11"/>
      <c r="AD72" s="137"/>
      <c r="AE72" s="11"/>
      <c r="AF72" s="11"/>
      <c r="AG72" s="137"/>
      <c r="AH72" s="11"/>
      <c r="AI72" s="11"/>
      <c r="AJ72" s="11"/>
      <c r="AK72" s="11"/>
      <c r="AL72" s="11"/>
      <c r="AM72" s="11"/>
      <c r="AN72" s="11"/>
      <c r="AO72" s="11"/>
    </row>
    <row r="73" spans="1:41" x14ac:dyDescent="0.25">
      <c r="A73" s="62" t="s">
        <v>0</v>
      </c>
      <c r="B73" s="63" t="s">
        <v>1</v>
      </c>
      <c r="C73" s="11"/>
      <c r="D73" s="11"/>
      <c r="E73" s="11"/>
      <c r="F73" s="11"/>
      <c r="G73" s="11"/>
      <c r="H73" s="11"/>
      <c r="I73" s="59"/>
      <c r="J73" s="59"/>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25">
      <c r="A74" s="65" t="s">
        <v>2</v>
      </c>
      <c r="B74" s="66" t="str">
        <f>IF(_epmOfflineCondition_,"'HC_SPA'!$B$2:$B$10",_xll.EVRNG($B$2:$B$10))</f>
        <v>'HC_SPA'!$B$2:$B$10</v>
      </c>
      <c r="C74" s="11"/>
      <c r="D74" s="11"/>
      <c r="E74" s="11"/>
      <c r="F74" s="11"/>
      <c r="G74" s="11"/>
      <c r="H74" s="11"/>
      <c r="I74" s="59"/>
      <c r="J74" s="59"/>
      <c r="K74" s="11"/>
      <c r="L74" s="11"/>
      <c r="M74" s="11"/>
      <c r="N74" s="11"/>
      <c r="O74" s="137"/>
      <c r="P74" s="137"/>
      <c r="Q74" s="137"/>
      <c r="R74" s="137"/>
      <c r="S74" s="137"/>
      <c r="T74" s="137"/>
      <c r="U74" s="137"/>
      <c r="V74" s="137"/>
      <c r="W74" s="137"/>
      <c r="X74" s="137"/>
      <c r="Y74" s="137"/>
      <c r="Z74" s="137"/>
      <c r="AA74" s="137"/>
      <c r="AB74" s="11"/>
      <c r="AC74" s="11"/>
      <c r="AD74" s="137"/>
      <c r="AE74" s="11"/>
      <c r="AF74" s="11"/>
      <c r="AG74" s="137"/>
      <c r="AH74" s="11"/>
      <c r="AI74" s="11"/>
      <c r="AJ74" s="11"/>
      <c r="AK74" s="11"/>
      <c r="AL74" s="11"/>
      <c r="AM74" s="11"/>
      <c r="AN74" s="11"/>
      <c r="AO74" s="11"/>
    </row>
    <row r="75" spans="1:41" x14ac:dyDescent="0.25">
      <c r="A75" s="65" t="s">
        <v>3</v>
      </c>
      <c r="B75" s="66" t="str">
        <f>IF(_epmOfflineCondition_,"'HC_SPA'!$O$16:$AN$18",_xll.EVRNG($O$16:$AN$18))</f>
        <v>'HC_SPA'!$O$16:$AN$18</v>
      </c>
      <c r="C75" s="11"/>
      <c r="D75" s="11"/>
      <c r="E75" s="11"/>
      <c r="F75" s="11"/>
      <c r="G75" s="11"/>
      <c r="H75" s="11"/>
      <c r="I75" s="59"/>
      <c r="J75" s="59"/>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65" t="s">
        <v>4</v>
      </c>
      <c r="B76" s="66" t="str">
        <f>IF(_epmOfflineCondition_,"'HC_SPA'!$H$55:$H$56,'HC_SPA'!$H$58:$H$59,'HC_SPA'!$H$62:$H$63",_xll.EVRNG(H55:H56,H58:H59,H62:H63))</f>
        <v>'HC_SPA'!$H$55:$H$56,'HC_SPA'!$H$58:$H$59,'HC_SPA'!$H$62:$H$63</v>
      </c>
      <c r="C76" s="11"/>
      <c r="D76" s="11"/>
      <c r="E76" s="11"/>
      <c r="F76" s="11"/>
      <c r="G76" s="11"/>
      <c r="H76" s="11"/>
      <c r="I76" s="59"/>
      <c r="J76" s="59"/>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25">
      <c r="A77" s="65" t="s">
        <v>5</v>
      </c>
      <c r="B77" s="66"/>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65" t="s">
        <v>6</v>
      </c>
      <c r="B78" s="66"/>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65" t="s">
        <v>7</v>
      </c>
      <c r="B79" s="66" t="str">
        <f>IF(_epmOfflineCondition_,"'HC_SPA'!$A$93:$F$99",_xll.EVRNG(A93:F99))</f>
        <v>'HC_SPA'!$A$93:$F$99</v>
      </c>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65" t="s">
        <v>47</v>
      </c>
      <c r="B80" s="66" t="str">
        <f>IF(_epmOfflineCondition_,"'HC_SPA'!$A$116:$B$137",_xll.EVRNG($A$116:$B$137))</f>
        <v>'HC_SPA'!$A$116:$B$137</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65" t="s">
        <v>8</v>
      </c>
      <c r="B81" s="66"/>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62" t="s">
        <v>9</v>
      </c>
      <c r="B83" s="63" t="s">
        <v>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11</v>
      </c>
      <c r="B84" s="66" t="s">
        <v>21</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65" t="s">
        <v>12</v>
      </c>
      <c r="B85" s="66" t="s">
        <v>22</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13</v>
      </c>
      <c r="B86" s="66" t="s">
        <v>737</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14</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15</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65" t="s">
        <v>16</v>
      </c>
      <c r="B89" s="66" t="s">
        <v>78</v>
      </c>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17</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97" t="s">
        <v>92</v>
      </c>
      <c r="B92" s="98" t="s">
        <v>93</v>
      </c>
      <c r="C92" s="98" t="s">
        <v>94</v>
      </c>
      <c r="D92" s="98" t="s">
        <v>95</v>
      </c>
      <c r="E92" s="98" t="s">
        <v>96</v>
      </c>
      <c r="F92" s="99" t="s">
        <v>97</v>
      </c>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11"/>
      <c r="B93" s="11"/>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11" t="s">
        <v>108</v>
      </c>
      <c r="B94" s="11"/>
      <c r="C94" s="104"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11" t="s">
        <v>100</v>
      </c>
      <c r="B95" s="11"/>
      <c r="C95" s="53"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11" t="s">
        <v>109</v>
      </c>
      <c r="B96" s="11"/>
      <c r="C96" s="106"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11" t="s">
        <v>109</v>
      </c>
      <c r="B97" s="11"/>
      <c r="C97" s="196" t="s">
        <v>101</v>
      </c>
      <c r="D97" s="11" t="s">
        <v>107</v>
      </c>
      <c r="E97" s="11"/>
      <c r="F97" s="11" t="s">
        <v>99</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11" t="s">
        <v>110</v>
      </c>
      <c r="B98" s="11"/>
      <c r="C98" s="106" t="s">
        <v>101</v>
      </c>
      <c r="D98" s="11" t="s">
        <v>106</v>
      </c>
      <c r="E98" s="11"/>
      <c r="F98" s="11" t="s">
        <v>98</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11" t="s">
        <v>110</v>
      </c>
      <c r="B99" s="11"/>
      <c r="C99" s="109" t="s">
        <v>101</v>
      </c>
      <c r="D99" s="11" t="s">
        <v>107</v>
      </c>
      <c r="E99" s="11"/>
      <c r="F99" s="11" t="s">
        <v>99</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208"/>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61" t="str">
        <f>IF(_epmOfflineCondition_,"Evdre:Ok",_xll.EVDRE($B$1,A105:B112))</f>
        <v>Evdre:Ok</v>
      </c>
      <c r="B102" s="11" t="s">
        <v>736</v>
      </c>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c r="B103" s="11"/>
      <c r="C103" s="11"/>
      <c r="D103" s="11"/>
      <c r="E103" s="11"/>
      <c r="F103" s="11"/>
      <c r="G103" s="76"/>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62" t="s">
        <v>0</v>
      </c>
      <c r="B104" s="63" t="s">
        <v>1</v>
      </c>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65" t="s">
        <v>2</v>
      </c>
      <c r="B105" s="66" t="str">
        <f>IF(_epmOfflineCondition_,"'HC_SPA'!$B$2:$B$10",_xll.EVRNG($B$2:$B$10))</f>
        <v>'HC_SPA'!$B$2:$B$10</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65" t="s">
        <v>3</v>
      </c>
      <c r="B106" s="66" t="str">
        <f>IF(_epmOfflineCondition_,"'HC_SPA'!$O$16:$AN$18",_xll.EVRNG($O$16:$AN$18))</f>
        <v>'HC_SPA'!$O$16:$AN$18</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65" t="s">
        <v>4</v>
      </c>
      <c r="B107" s="66" t="str">
        <f>IF(_epmOfflineCondition_,"'HC_SPA'!$H$64:$H$67",_xll.EVRNG(H64:H67))</f>
        <v>'HC_SPA'!$H$64:$H$67</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65" t="s">
        <v>5</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65" t="s">
        <v>6</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65" t="s">
        <v>7</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5" t="s">
        <v>47</v>
      </c>
      <c r="B111" s="66" t="str">
        <f>IF(_epmOfflineCondition_,"'HC_SPA'!$A$116:$B$137",_xll.EVRNG($A$116:$B$137))</f>
        <v>'HC_SPA'!$A$116:$B$137</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65" t="s">
        <v>8</v>
      </c>
      <c r="B112" s="66"/>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2" t="s">
        <v>23</v>
      </c>
      <c r="B115" s="63" t="s">
        <v>24</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25</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26</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27</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28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29</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30</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65" t="s">
        <v>31</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65" t="s">
        <v>32</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5" t="s">
        <v>33</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34</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35</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36</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37</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38</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39</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40</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41</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42</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43</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44</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45</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46</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11"/>
      <c r="B140" s="11"/>
      <c r="C140" s="11"/>
      <c r="D140" s="11"/>
      <c r="E140" s="11"/>
      <c r="F140" s="11"/>
      <c r="G140" s="11"/>
      <c r="H140" s="11"/>
      <c r="I140" s="267"/>
      <c r="J140" s="11"/>
      <c r="K140" s="267"/>
      <c r="L140" s="267"/>
      <c r="M140" s="267"/>
      <c r="N140" s="11"/>
      <c r="O140" s="267"/>
      <c r="P140" s="267"/>
      <c r="Q140" s="267"/>
      <c r="R140" s="267"/>
      <c r="S140" s="267"/>
      <c r="T140" s="267"/>
      <c r="U140" s="267"/>
      <c r="V140" s="267"/>
      <c r="W140" s="267"/>
      <c r="X140" s="267"/>
      <c r="Y140" s="267"/>
      <c r="Z140" s="267"/>
      <c r="AA140" s="267"/>
      <c r="AB140" s="11"/>
      <c r="AC140" s="11"/>
      <c r="AD140" s="267"/>
      <c r="AE140" s="11"/>
      <c r="AF140" s="267"/>
      <c r="AG140" s="11"/>
      <c r="AH140" s="267"/>
      <c r="AI140" s="11"/>
      <c r="AJ140" s="11"/>
      <c r="AK140" s="11"/>
      <c r="AL140" s="11"/>
      <c r="AM140" s="11"/>
      <c r="AN140" s="11"/>
      <c r="AO140" s="11"/>
    </row>
    <row r="141" spans="1:41" x14ac:dyDescent="0.2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11"/>
      <c r="B144" s="11"/>
      <c r="C144" s="11"/>
      <c r="D144" s="11"/>
      <c r="E144" s="11"/>
      <c r="F144" s="11"/>
      <c r="G144" s="11"/>
      <c r="H144" s="11"/>
      <c r="I144" s="267"/>
      <c r="J144" s="11"/>
      <c r="K144" s="267"/>
      <c r="L144" s="267"/>
      <c r="M144" s="267"/>
      <c r="N144" s="11"/>
      <c r="O144" s="267"/>
      <c r="P144" s="267"/>
      <c r="Q144" s="267"/>
      <c r="R144" s="267"/>
      <c r="S144" s="267"/>
      <c r="T144" s="267"/>
      <c r="U144" s="267"/>
      <c r="V144" s="267"/>
      <c r="W144" s="267"/>
      <c r="X144" s="267"/>
      <c r="Y144" s="267"/>
      <c r="Z144" s="267"/>
      <c r="AA144" s="267"/>
      <c r="AB144" s="11"/>
      <c r="AC144" s="11"/>
      <c r="AD144" s="267"/>
      <c r="AE144" s="11"/>
      <c r="AF144" s="267"/>
      <c r="AG144" s="11"/>
      <c r="AH144" s="267"/>
      <c r="AI144" s="11"/>
      <c r="AJ144" s="11"/>
      <c r="AK144" s="11"/>
      <c r="AL144" s="11"/>
      <c r="AM144" s="11"/>
      <c r="AN144" s="11"/>
      <c r="AO144" s="11"/>
    </row>
    <row r="145" spans="1:41" x14ac:dyDescent="0.2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267"/>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267"/>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sheetData>
  <sheetProtection algorithmName="SHA-512" hashValue="no3Hq88zcrDk4MmkFowlDgrJTbj6qDm5jyCuMtyMcZskUTowvSfuanJKUjLnvXLvuSlXVfVCJwxHC71R3GA4fA==" saltValue="yzc3PX2n+4BQrDPrn3X/rw==" spinCount="100000" sheet="1" scenarios="1"/>
  <mergeCells count="2">
    <mergeCell ref="AD31:AE31"/>
    <mergeCell ref="AG31:AH31"/>
  </mergeCells>
  <dataValidations disablePrompts="1" count="2">
    <dataValidation type="list" allowBlank="1" sqref="B28 B57 B85" xr:uid="{00000000-0002-0000-2000-000000000000}">
      <formula1>"ACCOUNT,BUSINESSUNIT,CATEGORY,DATASRC,DEPARTMENT,INTCO,MEASURES,RPTCURRENCY,TIME"</formula1>
    </dataValidation>
    <dataValidation type="list" allowBlank="1" sqref="B86 B58 B29" xr:uid="{00000000-0002-0000-20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4827"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34827" r:id="rId7" name="FPMExcelClientSheetOptionstb1"/>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tabColor theme="9" tint="0.39997558519241921"/>
    <pageSetUpPr fitToPage="1"/>
  </sheetPr>
  <dimension ref="A1:AO169"/>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380</v>
      </c>
      <c r="C6" s="11" t="str">
        <f>IF(_epmOfflineCondition_,"Parking",_xll.EVDES(B6,$B$1))</f>
        <v>Parking</v>
      </c>
      <c r="D6" s="11"/>
      <c r="E6" s="58" t="str">
        <f>IF(_epmOfflineCondition_,"D1133",_xll.EVPRO($B$1,$B$6,$F$6))</f>
        <v>D1133</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IF(_epmOfflineCondition_,"'Parking'!$B$2:$B$10",_xll.EVRNG($B$2:$B$10))</f>
        <v>'Parking'!$B$2:$B$10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IF(_epmOfflineCondition_,"'Parking'!$O$16:$AN$18",_xll.EVRNG($O$16:$AN$18))</f>
        <v>'Parking'!$O$16:$AN$18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IF(_epmOfflineCondition_,"'Parking'!$H$34:$H$38",_xll.EVRNG(H34:H38))</f>
        <v>'Parking'!$H$34:$H$38</v>
      </c>
      <c r="C19" s="11"/>
      <c r="D19" s="11"/>
      <c r="E19" s="11"/>
      <c r="F19" s="11"/>
      <c r="G19" s="67" t="str">
        <f>$B$6</f>
        <v>D1133</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2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IF(_epmOfflineCondition_,3762,_xll.EVGTS($B$1,1,$B$3,$B$5,$B$7,$B$9,O$16,O$17,O$18,$G$20,$H$20))</f>
        <v>3762</v>
      </c>
      <c r="P20" s="69">
        <f>IF(_epmOfflineCondition_,3568,_xll.EVGTS($B$1,1,$B$3,$B$5,$B$7,$B$9,P$16,P$17,P$18,$G$20,$H$20))</f>
        <v>3568</v>
      </c>
      <c r="Q20" s="69">
        <f>IF(_epmOfflineCondition_,3855,_xll.EVGTS($B$1,1,$B$3,$B$5,$B$7,$B$9,Q$16,Q$17,Q$18,$G$20,$H$20))</f>
        <v>3855</v>
      </c>
      <c r="R20" s="69">
        <f>IF(_epmOfflineCondition_,3602,_xll.EVGTS($B$1,1,$B$3,$B$5,$B$7,$B$9,R$16,R$17,R$18,$G$20,$H$20))</f>
        <v>3602</v>
      </c>
      <c r="S20" s="69">
        <f>IF(_epmOfflineCondition_,3580,_xll.EVGTS($B$1,1,$B$3,$B$5,$B$7,$B$9,S$16,S$17,S$18,$G$20,$H$20))</f>
        <v>3580</v>
      </c>
      <c r="T20" s="69">
        <f>IF(_epmOfflineCondition_,3259,_xll.EVGTS($B$1,1,$B$3,$B$5,$B$7,$B$9,T$16,T$17,T$18,$G$20,$H$20))</f>
        <v>3259</v>
      </c>
      <c r="U20" s="69">
        <f>IF(_epmOfflineCondition_,3548,_xll.EVGTS($B$1,1,$B$3,$B$5,$B$7,$B$9,U$16,U$17,U$18,$G$20,$H$20))</f>
        <v>3548</v>
      </c>
      <c r="V20" s="69">
        <f>IF(_epmOfflineCondition_,3348,_xll.EVGTS($B$1,1,$B$3,$B$5,$B$7,$B$9,V$16,V$17,V$18,$G$20,$H$20))</f>
        <v>3348</v>
      </c>
      <c r="W20" s="69">
        <f>IF(_epmOfflineCondition_,2744,_xll.EVGTS($B$1,1,$B$3,$B$5,$B$7,$B$9,W$16,W$17,W$18,$G$20,$H$20))</f>
        <v>2744</v>
      </c>
      <c r="X20" s="69">
        <f>IF(_epmOfflineCondition_,3076,_xll.EVGTS($B$1,1,$B$3,$B$5,$B$7,$B$9,X$16,X$17,X$18,$G$20,$H$20))</f>
        <v>3076</v>
      </c>
      <c r="Y20" s="69">
        <f>IF(_epmOfflineCondition_,3431,_xll.EVGTS($B$1,1,$B$3,$B$5,$B$7,$B$9,Y$16,Y$17,Y$18,$G$20,$H$20))</f>
        <v>3431</v>
      </c>
      <c r="Z20" s="69">
        <f>IF(_epmOfflineCondition_,3541,_xll.EVGTS($B$1,1,$B$3,$B$5,$B$7,$B$9,Z$16,Z$17,Z$18,$G$20,$H$20))</f>
        <v>3541</v>
      </c>
      <c r="AA20" s="69">
        <f>SUM(O20:Z20)</f>
        <v>41314</v>
      </c>
      <c r="AB20" s="67"/>
      <c r="AC20" s="67"/>
      <c r="AD20" s="69">
        <f>IF(_epmOfflineCondition_,39032,_xll.EVGTS($B$1,1,$B$3,$B$5,$B$7,$B$9,AD$16,AD$17,AD$18,$G$20,$H$20))</f>
        <v>39032</v>
      </c>
      <c r="AE20" s="67"/>
      <c r="AF20" s="67"/>
      <c r="AG20" s="69">
        <f>IF(_epmOfflineCondition_,40219,_xll.EVGTS($B$1,1,$B$3,$B$5,$B$7,$B$9,AG$16,AG$17,AG$18,$G$20,$H$20))</f>
        <v>40219</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IF(_epmOfflineCondition_,"'Parking'!$A$36:$F$40",_xll.EVRNG(A36:F40))</f>
        <v>'Parking'!$A$36:$F$40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IF(_epmOfflineCondition_,"'Parking'!$A$116:$B$137",_xll.EVRNG($A$116:$B$137))</f>
        <v>'Parking'!$A$116:$B$137</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IF(_epmOfflineCondition_,"Parking Department",IF(_xll.EVDES(B6,$B$1)="#NODATA","",_xll.EVDES(B6,$B$1)&amp;" Department"))</f>
        <v>Parking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"DEP(430000) AND "&amp;$E$6&amp;"=Y,400000"</f>
        <v>DEP(430000) AND D1133=Y,400000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88" t="s">
        <v>381</v>
      </c>
      <c r="I34" s="122" t="str">
        <f>IF(_epmOfflineCondition_,"N",_xll.EVPRO($B$1,$H34,"STYLE"))</f>
        <v>N</v>
      </c>
      <c r="J34" s="122" t="str">
        <f>IF(_epmOfflineCondition_,"N",_xll.EVPRO($B$1,$H34,"CALC"))</f>
        <v>N</v>
      </c>
      <c r="K34" s="179" t="str">
        <f>IF(AND(I34&gt;="T5"),"&gt;","")</f>
        <v/>
      </c>
      <c r="L34" s="90" t="str">
        <f>IF(_epmOfflineCondition_,"430100",_xll.EVPRO($B$1,H34,"JDEID"))</f>
        <v>430100</v>
      </c>
      <c r="M34" s="90" t="str">
        <f>IF(_epmOfflineCondition_,"206012",IF(AND(I34="N",J34="N"),_xll.EVPRO($B$1,H34,"PSFTID"),""))</f>
        <v>206012</v>
      </c>
      <c r="N34" s="90" t="str">
        <f>IF(_epmOfflineCondition_,"Self-Parking Revenue",IF(_xll.EVDES(H34,$B$1)="#NODATA","",_xll.EVDES(H34,$B$1)))</f>
        <v>Self-Parking Revenue</v>
      </c>
      <c r="O34" s="138"/>
      <c r="P34" s="138"/>
      <c r="Q34" s="138"/>
      <c r="R34" s="138"/>
      <c r="S34" s="138"/>
      <c r="T34" s="138"/>
      <c r="U34" s="138"/>
      <c r="V34" s="138"/>
      <c r="W34" s="138"/>
      <c r="X34" s="138"/>
      <c r="Y34" s="138"/>
      <c r="Z34" s="138"/>
      <c r="AA34" s="210">
        <f>IF($I34="B1","",SUM(O34:Z34))</f>
        <v>0</v>
      </c>
      <c r="AB34" s="142" t="str">
        <f>IF(AA34=0,"",IFERROR(AA34/AA$19,""))</f>
        <v/>
      </c>
      <c r="AC34" s="140"/>
      <c r="AD34" s="138"/>
      <c r="AE34" s="142" t="str">
        <f>IF(AD34=0,"",IFERROR(AD34/AD$19,""))</f>
        <v/>
      </c>
      <c r="AF34" s="141">
        <f>IF(AND($AA34="",AD34=""),"",$AA34-AD34)</f>
        <v>0</v>
      </c>
      <c r="AG34" s="138"/>
      <c r="AH34" s="142" t="str">
        <f>IF(AG34=0,"",IFERROR(AG34/AG$19,""))</f>
        <v/>
      </c>
      <c r="AI34" s="141">
        <f>IF(AND($AA34="",AG34=""),"",$AA34-AG34)</f>
        <v>0</v>
      </c>
      <c r="AJ34" s="462">
        <f>IFERROR(AA34/AA$20,0)</f>
        <v>0</v>
      </c>
      <c r="AK34" s="463">
        <f>IFERROR(AD34/AD$20,0)</f>
        <v>0</v>
      </c>
      <c r="AL34" s="464">
        <f>IFERROR(AG34/AG$20,0)</f>
        <v>0</v>
      </c>
      <c r="AM34" s="465">
        <f>+IFERROR(ROUND(($AB34-AE34)*100,2)&amp;" pts.",0)</f>
        <v>0</v>
      </c>
      <c r="AN34" s="466">
        <f>+IFERROR(ROUND(($AB34-AH34)*100,2)&amp;" pts.",0)</f>
        <v>0</v>
      </c>
      <c r="AO34" s="11"/>
    </row>
    <row r="35" spans="1:41" x14ac:dyDescent="0.25">
      <c r="A35" s="97" t="s">
        <v>92</v>
      </c>
      <c r="B35" s="98" t="s">
        <v>93</v>
      </c>
      <c r="C35" s="98" t="s">
        <v>94</v>
      </c>
      <c r="D35" s="98" t="s">
        <v>95</v>
      </c>
      <c r="E35" s="98" t="s">
        <v>96</v>
      </c>
      <c r="F35" s="99" t="s">
        <v>97</v>
      </c>
      <c r="G35" s="11"/>
      <c r="H35" s="88" t="s">
        <v>382</v>
      </c>
      <c r="I35" s="122" t="str">
        <f>IF(_epmOfflineCondition_,"T5",_xll.EVPRO($B$1,$H35,"STYLE"))</f>
        <v>T5</v>
      </c>
      <c r="J35" s="122" t="str">
        <f>IF(_epmOfflineCondition_,"Y",_xll.EVPRO($B$1,$H35,"CALC"))</f>
        <v>Y</v>
      </c>
      <c r="K35" s="179" t="str">
        <f>IF(AND(I35&gt;="T5"),"&gt;","")</f>
        <v>&gt;</v>
      </c>
      <c r="L35" s="90" t="str">
        <f>IF(_epmOfflineCondition_,"",_xll.EVPRO($B$1,H35,"JDEID"))</f>
        <v/>
      </c>
      <c r="M35" s="90" t="str">
        <f>IF(_epmOfflineCondition_,"",IF(AND(I35="N",J35="N"),_xll.EVPRO($B$1,H35,"PSFTID"),""))</f>
        <v/>
      </c>
      <c r="N35" s="90" t="str">
        <f>IF(_epmOfflineCondition_,"Valet Parking Revenue",IF(_xll.EVDES(H35,$B$1)="#NODATA","",_xll.EVDES(H35,$B$1)))</f>
        <v>Valet Parking Revenue</v>
      </c>
      <c r="O35" s="138"/>
      <c r="P35" s="138"/>
      <c r="Q35" s="138"/>
      <c r="R35" s="138"/>
      <c r="S35" s="138"/>
      <c r="T35" s="138"/>
      <c r="U35" s="138"/>
      <c r="V35" s="138"/>
      <c r="W35" s="138"/>
      <c r="X35" s="138"/>
      <c r="Y35" s="138"/>
      <c r="Z35" s="138"/>
      <c r="AA35" s="210">
        <f>IF($I35="B1","",SUM(O35:Z35))</f>
        <v>0</v>
      </c>
      <c r="AB35" s="142" t="str">
        <f>IF(AA35=0,"",IFERROR(AA35/AA$19,""))</f>
        <v/>
      </c>
      <c r="AC35" s="140"/>
      <c r="AD35" s="138"/>
      <c r="AE35" s="142" t="str">
        <f>IF(AD35=0,"",IFERROR(AD35/AD$19,""))</f>
        <v/>
      </c>
      <c r="AF35" s="141">
        <f>IF(AND($AA35="",AD35=""),"",$AA35-AD35)</f>
        <v>0</v>
      </c>
      <c r="AG35" s="138"/>
      <c r="AH35" s="142" t="str">
        <f>IF(AG35=0,"",IFERROR(AG35/AG$19,""))</f>
        <v/>
      </c>
      <c r="AI35" s="141">
        <f>IF(AND($AA35="",AG35=""),"",$AA35-AG35)</f>
        <v>0</v>
      </c>
      <c r="AJ35" s="462">
        <f>IFERROR(AA35/AA$20,0)</f>
        <v>0</v>
      </c>
      <c r="AK35" s="463">
        <f>IFERROR(AD35/AD$20,0)</f>
        <v>0</v>
      </c>
      <c r="AL35" s="464">
        <f>IFERROR(AG35/AG$20,0)</f>
        <v>0</v>
      </c>
      <c r="AM35" s="465">
        <f>+IFERROR(ROUND(($AB35-AE35)*100,2)&amp;" pts.",0)</f>
        <v>0</v>
      </c>
      <c r="AN35" s="466">
        <f>+IFERROR(ROUND(($AB35-AH35)*100,2)&amp;" pts.",0)</f>
        <v>0</v>
      </c>
      <c r="AO35" s="11"/>
    </row>
    <row r="36" spans="1:41" x14ac:dyDescent="0.25">
      <c r="A36" s="11"/>
      <c r="B36" s="11"/>
      <c r="C36" s="11"/>
      <c r="D36" s="11"/>
      <c r="E36" s="11"/>
      <c r="F36" s="11"/>
      <c r="G36" s="11"/>
      <c r="H36" s="88" t="s">
        <v>383</v>
      </c>
      <c r="I36" s="122" t="str">
        <f>IF(_epmOfflineCondition_,"N",_xll.EVPRO($B$1,$H36,"STYLE"))</f>
        <v>N</v>
      </c>
      <c r="J36" s="122" t="str">
        <f>IF(_epmOfflineCondition_,"N",_xll.EVPRO($B$1,$H36,"CALC"))</f>
        <v>N</v>
      </c>
      <c r="K36" s="179" t="str">
        <f>IF(AND(I36&gt;="T5"),"&gt;","")</f>
        <v/>
      </c>
      <c r="L36" s="90" t="str">
        <f>IF(_epmOfflineCondition_,"430300",_xll.EVPRO($B$1,H36,"JDEID"))</f>
        <v>430300</v>
      </c>
      <c r="M36" s="90" t="str">
        <f>IF(_epmOfflineCondition_,"206098",IF(AND(I36="N",J36="N"),_xll.EVPRO($B$1,H36,"PSFTID"),""))</f>
        <v>206098</v>
      </c>
      <c r="N36" s="90" t="str">
        <f>IF(_epmOfflineCondition_,"Other Revenue",IF(_xll.EVDES(H36,$B$1)="#NODATA","",_xll.EVDES(H36,$B$1)))</f>
        <v>Other Revenue</v>
      </c>
      <c r="O36" s="138"/>
      <c r="P36" s="138"/>
      <c r="Q36" s="138"/>
      <c r="R36" s="138"/>
      <c r="S36" s="138"/>
      <c r="T36" s="138"/>
      <c r="U36" s="138"/>
      <c r="V36" s="138"/>
      <c r="W36" s="138"/>
      <c r="X36" s="138"/>
      <c r="Y36" s="138"/>
      <c r="Z36" s="138"/>
      <c r="AA36" s="210">
        <f>IF($I36="B1","",SUM(O36:Z36))</f>
        <v>0</v>
      </c>
      <c r="AB36" s="142" t="str">
        <f>IF(AA36=0,"",IFERROR(AA36/AA$19,""))</f>
        <v/>
      </c>
      <c r="AC36" s="140"/>
      <c r="AD36" s="138"/>
      <c r="AE36" s="142" t="str">
        <f>IF(AD36=0,"",IFERROR(AD36/AD$19,""))</f>
        <v/>
      </c>
      <c r="AF36" s="141">
        <f>IF(AND($AA36="",AD36=""),"",$AA36-AD36)</f>
        <v>0</v>
      </c>
      <c r="AG36" s="138"/>
      <c r="AH36" s="142" t="str">
        <f>IF(AG36=0,"",IFERROR(AG36/AG$19,""))</f>
        <v/>
      </c>
      <c r="AI36" s="141">
        <f>IF(AND($AA36="",AG36=""),"",$AA36-AG36)</f>
        <v>0</v>
      </c>
      <c r="AJ36" s="462">
        <f>IFERROR(AA36/AA$20,0)</f>
        <v>0</v>
      </c>
      <c r="AK36" s="463">
        <f>IFERROR(AD36/AD$20,0)</f>
        <v>0</v>
      </c>
      <c r="AL36" s="464">
        <f>IFERROR(AG36/AG$20,0)</f>
        <v>0</v>
      </c>
      <c r="AM36" s="465">
        <f>+IFERROR(ROUND(($AB36-AE36)*100,2)&amp;" pts.",0)</f>
        <v>0</v>
      </c>
      <c r="AN36" s="466">
        <f>+IFERROR(ROUND(($AB36-AH36)*100,2)&amp;" pts.",0)</f>
        <v>0</v>
      </c>
      <c r="AO36" s="11"/>
    </row>
    <row r="37" spans="1:41" x14ac:dyDescent="0.25">
      <c r="A37" s="11" t="s">
        <v>105</v>
      </c>
      <c r="B37" s="11"/>
      <c r="C37" s="104" t="s">
        <v>101</v>
      </c>
      <c r="D37" s="11" t="s">
        <v>106</v>
      </c>
      <c r="E37" s="11"/>
      <c r="F37" s="11" t="s">
        <v>98</v>
      </c>
      <c r="G37" s="11"/>
      <c r="H37" s="88" t="s">
        <v>384</v>
      </c>
      <c r="I37" s="122" t="str">
        <f>IF(_epmOfflineCondition_,"N",_xll.EVPRO($B$1,$H37,"STYLE"))</f>
        <v>N</v>
      </c>
      <c r="J37" s="122" t="str">
        <f>IF(_epmOfflineCondition_,"N",_xll.EVPRO($B$1,$H37,"CALC"))</f>
        <v>N</v>
      </c>
      <c r="K37" s="179" t="str">
        <f>IF(AND(I37&gt;="T5"),"&gt;","")</f>
        <v/>
      </c>
      <c r="L37" s="90" t="str">
        <f>IF(_epmOfflineCondition_,"430990",_xll.EVPRO($B$1,H37,"JDEID"))</f>
        <v>430990</v>
      </c>
      <c r="M37" s="90" t="str">
        <f>IF(_epmOfflineCondition_,"206022",IF(AND(I37="N",J37="N"),_xll.EVPRO($B$1,H37,"PSFTID"),""))</f>
        <v>206022</v>
      </c>
      <c r="N37" s="90" t="str">
        <f>IF(_epmOfflineCondition_,"Parking: Allowances",IF(_xll.EVDES(H37,$B$1)="#NODATA","",_xll.EVDES(H37,$B$1)))</f>
        <v>Parking: Allowances</v>
      </c>
      <c r="O37" s="215"/>
      <c r="P37" s="215"/>
      <c r="Q37" s="215"/>
      <c r="R37" s="215"/>
      <c r="S37" s="215"/>
      <c r="T37" s="215"/>
      <c r="U37" s="215"/>
      <c r="V37" s="215"/>
      <c r="W37" s="215"/>
      <c r="X37" s="215"/>
      <c r="Y37" s="215"/>
      <c r="Z37" s="215"/>
      <c r="AA37" s="216">
        <f>IF($I37="B1","",SUM(O37:Z37))</f>
        <v>0</v>
      </c>
      <c r="AB37" s="217" t="str">
        <f>IF(AA37=0,"",IFERROR(AA37/AA$19,""))</f>
        <v/>
      </c>
      <c r="AC37" s="140"/>
      <c r="AD37" s="215"/>
      <c r="AE37" s="217" t="str">
        <f>IF(AD37=0,"",IFERROR(AD37/AD$19,""))</f>
        <v/>
      </c>
      <c r="AF37" s="218">
        <f>IF(AND($AA37="",AD37=""),"",$AA37-AD37)</f>
        <v>0</v>
      </c>
      <c r="AG37" s="215"/>
      <c r="AH37" s="217" t="str">
        <f>IF(AG37=0,"",IFERROR(AG37/AG$19,""))</f>
        <v/>
      </c>
      <c r="AI37" s="218">
        <f>IF(AND($AA37="",AG37=""),"",$AA37-AG37)</f>
        <v>0</v>
      </c>
      <c r="AJ37" s="471">
        <f>IFERROR(AA37/AA$20,0)</f>
        <v>0</v>
      </c>
      <c r="AK37" s="472">
        <f>IFERROR(AD37/AD$20,0)</f>
        <v>0</v>
      </c>
      <c r="AL37" s="473">
        <f>IFERROR(AG37/AG$20,0)</f>
        <v>0</v>
      </c>
      <c r="AM37" s="474">
        <f>+IFERROR(ROUND(($AB37-AE37)*100,2)&amp;" pts.",0)</f>
        <v>0</v>
      </c>
      <c r="AN37" s="475">
        <f>+IFERROR(ROUND(($AB37-AH37)*100,2)&amp;" pts.",0)</f>
        <v>0</v>
      </c>
      <c r="AO37" s="11"/>
    </row>
    <row r="38" spans="1:41" x14ac:dyDescent="0.25">
      <c r="A38" s="11" t="s">
        <v>104</v>
      </c>
      <c r="B38" s="11"/>
      <c r="C38" s="104" t="s">
        <v>101</v>
      </c>
      <c r="D38" s="11" t="s">
        <v>106</v>
      </c>
      <c r="E38" s="11"/>
      <c r="F38" s="11" t="s">
        <v>98</v>
      </c>
      <c r="G38" s="11"/>
      <c r="H38" s="88" t="s">
        <v>280</v>
      </c>
      <c r="I38" s="188" t="str">
        <f>IF(_epmOfflineCondition_,"T3",_xll.EVPRO($B$1,$H38,"STYLE"))</f>
        <v>T3</v>
      </c>
      <c r="J38" s="188" t="str">
        <f>IF(_epmOfflineCondition_,"Y",_xll.EVPRO($B$1,$H38,"CALC"))</f>
        <v>Y</v>
      </c>
      <c r="K38" s="189" t="str">
        <f>IF(AND(I38&gt;="T5"),"&gt;","")</f>
        <v/>
      </c>
      <c r="L38" s="190" t="str">
        <f>IF(_epmOfflineCondition_,"400000",_xll.EVPRO($B$1,H38,"JDEID"))</f>
        <v>400000</v>
      </c>
      <c r="M38" s="190" t="str">
        <f>IF(_epmOfflineCondition_,"",IF(AND(I38="N",J38="N"),_xll.EVPRO($B$1,H38,"PSFTID"),""))</f>
        <v/>
      </c>
      <c r="N38" s="190" t="str">
        <f>IF(_epmOfflineCondition_,"Total Revenue",IF(_xll.EVDES(H38,$B$1)="#NODATA","",_xll.EVDES(H38,$B$1)))</f>
        <v>Total Revenue</v>
      </c>
      <c r="O38" s="223"/>
      <c r="P38" s="223"/>
      <c r="Q38" s="223"/>
      <c r="R38" s="223"/>
      <c r="S38" s="223"/>
      <c r="T38" s="223"/>
      <c r="U38" s="223"/>
      <c r="V38" s="223"/>
      <c r="W38" s="223"/>
      <c r="X38" s="223"/>
      <c r="Y38" s="223"/>
      <c r="Z38" s="223"/>
      <c r="AA38" s="223">
        <f>IF($I38="B1","",SUM(O38:Z38))</f>
        <v>0</v>
      </c>
      <c r="AB38" s="224" t="str">
        <f>IF(AA38=0,"",IFERROR(AA38/AA$19,""))</f>
        <v/>
      </c>
      <c r="AC38" s="225"/>
      <c r="AD38" s="223"/>
      <c r="AE38" s="224" t="str">
        <f>IF(AD38=0,"",IFERROR(AD38/AD$19,""))</f>
        <v/>
      </c>
      <c r="AF38" s="226">
        <f>IF(AND($AA38="",AD38=""),"",$AA38-AD38)</f>
        <v>0</v>
      </c>
      <c r="AG38" s="223"/>
      <c r="AH38" s="224" t="str">
        <f>IF(AG38=0,"",IFERROR(AG38/AG$19,""))</f>
        <v/>
      </c>
      <c r="AI38" s="226">
        <f>IF(AND($AA38="",AG38=""),"",$AA38-AG38)</f>
        <v>0</v>
      </c>
      <c r="AJ38" s="227">
        <f>IFERROR(AA38/AA$20,0)</f>
        <v>0</v>
      </c>
      <c r="AK38" s="228">
        <f>IFERROR(AD38/AD$20,0)</f>
        <v>0</v>
      </c>
      <c r="AL38" s="230">
        <f>IFERROR(AG38/AG$20,0)</f>
        <v>0</v>
      </c>
      <c r="AM38" s="427">
        <f>+IFERROR(ROUND(($AB38-AE38)*100,2)&amp;" pts.",0)</f>
        <v>0</v>
      </c>
      <c r="AN38" s="478">
        <f>+IFERROR(ROUND(($AB38-AH38)*100,2)&amp;" pts.",0)</f>
        <v>0</v>
      </c>
      <c r="AO38" s="11"/>
    </row>
    <row r="39" spans="1:41" x14ac:dyDescent="0.25">
      <c r="A39" s="11" t="s">
        <v>108</v>
      </c>
      <c r="B39" s="11"/>
      <c r="C39" s="106" t="s">
        <v>101</v>
      </c>
      <c r="D39" s="11" t="s">
        <v>106</v>
      </c>
      <c r="E39" s="11"/>
      <c r="F39" s="11" t="s">
        <v>98</v>
      </c>
      <c r="G39" s="11"/>
      <c r="H39" s="11"/>
      <c r="I39" s="59"/>
      <c r="J39" s="59"/>
      <c r="K39" s="11"/>
      <c r="L39" s="11"/>
      <c r="M39" s="11"/>
      <c r="N39" s="11"/>
      <c r="O39" s="203"/>
      <c r="P39" s="204"/>
      <c r="Q39" s="204"/>
      <c r="R39" s="204"/>
      <c r="S39" s="204"/>
      <c r="T39" s="204"/>
      <c r="U39" s="204"/>
      <c r="V39" s="204"/>
      <c r="W39" s="204"/>
      <c r="X39" s="204"/>
      <c r="Y39" s="204"/>
      <c r="Z39" s="204"/>
      <c r="AA39" s="204"/>
      <c r="AB39" s="118"/>
      <c r="AC39" s="11"/>
      <c r="AD39" s="203"/>
      <c r="AE39" s="204"/>
      <c r="AF39" s="118"/>
      <c r="AG39" s="203"/>
      <c r="AH39" s="204"/>
      <c r="AI39" s="118"/>
      <c r="AJ39" s="11"/>
      <c r="AK39" s="11"/>
      <c r="AL39" s="11"/>
      <c r="AM39" s="11"/>
      <c r="AN39" s="11"/>
      <c r="AO39" s="11"/>
    </row>
    <row r="40" spans="1:41" x14ac:dyDescent="0.25">
      <c r="A40" s="11" t="s">
        <v>108</v>
      </c>
      <c r="B40" s="11"/>
      <c r="C40" s="196" t="s">
        <v>101</v>
      </c>
      <c r="D40" s="11" t="s">
        <v>107</v>
      </c>
      <c r="E40" s="11"/>
      <c r="F40" s="11" t="s">
        <v>99</v>
      </c>
      <c r="G40" s="11"/>
      <c r="H40" s="11" t="s">
        <v>281</v>
      </c>
      <c r="I40" s="59" t="str">
        <f>IF(_epmOfflineCondition_,"B1",_xll.EVPRO($B$1,$H40,"STYLE"))</f>
        <v>B1</v>
      </c>
      <c r="J40" s="59" t="str">
        <f>IF(_epmOfflineCondition_,"Y",_xll.EVPRO($B$1,$H40,"CALC"))</f>
        <v>Y</v>
      </c>
      <c r="K40" s="11"/>
      <c r="L40" s="11"/>
      <c r="M40" s="11"/>
      <c r="N40" s="105" t="str">
        <f>IF(_epmOfflineCondition_,"Cost of Sales",IF(_xll.EVDES(H40,$B$1)="#NODATA","",_xll.EVDES(H40,$B$1)))</f>
        <v>Cost of Sales</v>
      </c>
      <c r="O40" s="203"/>
      <c r="P40" s="204"/>
      <c r="Q40" s="204"/>
      <c r="R40" s="204"/>
      <c r="S40" s="204"/>
      <c r="T40" s="204"/>
      <c r="U40" s="204"/>
      <c r="V40" s="204"/>
      <c r="W40" s="204"/>
      <c r="X40" s="204"/>
      <c r="Y40" s="204"/>
      <c r="Z40" s="204"/>
      <c r="AA40" s="204"/>
      <c r="AB40" s="118"/>
      <c r="AC40" s="11"/>
      <c r="AD40" s="203"/>
      <c r="AE40" s="204"/>
      <c r="AF40" s="118"/>
      <c r="AG40" s="203"/>
      <c r="AH40" s="204"/>
      <c r="AI40" s="118"/>
      <c r="AJ40" s="11"/>
      <c r="AK40" s="11"/>
      <c r="AL40" s="11"/>
      <c r="AM40" s="11"/>
      <c r="AN40" s="11"/>
      <c r="AO40" s="11"/>
    </row>
    <row r="41" spans="1:41" x14ac:dyDescent="0.25">
      <c r="A41" s="11"/>
      <c r="B41" s="11"/>
      <c r="C41" s="11"/>
      <c r="D41" s="11"/>
      <c r="E41" s="11"/>
      <c r="F41" s="11"/>
      <c r="G41" s="11"/>
      <c r="H41" s="88" t="s">
        <v>385</v>
      </c>
      <c r="I41" s="122" t="str">
        <f>IF(_epmOfflineCondition_,"N",_xll.EVPRO($B$1,$H41,"STYLE"))</f>
        <v>N</v>
      </c>
      <c r="J41" s="122" t="str">
        <f>IF(_epmOfflineCondition_,"N",_xll.EVPRO($B$1,$H41,"CALC"))</f>
        <v>N</v>
      </c>
      <c r="K41" s="179" t="str">
        <f>IF(AND(I41&gt;="T5"),"&gt;","")</f>
        <v/>
      </c>
      <c r="L41" s="90" t="str">
        <f>IF(_epmOfflineCondition_,"530100",_xll.EVPRO($B$1,H41,"JDEID"))</f>
        <v>530100</v>
      </c>
      <c r="M41" s="90" t="str">
        <f>IF(_epmOfflineCondition_,"306010",IF(AND(I41="N",J41="N"),_xll.EVPRO($B$1,H41,"PSFTID"),""))</f>
        <v>306010</v>
      </c>
      <c r="N41" s="90" t="str">
        <f>IF(_epmOfflineCondition_,"Parking Cost of Sales",IF(_xll.EVDES(H41,$B$1)="#NODATA","",_xll.EVDES(H41,$B$1)))</f>
        <v>Parking Cost of Sales</v>
      </c>
      <c r="O41" s="215"/>
      <c r="P41" s="215"/>
      <c r="Q41" s="215"/>
      <c r="R41" s="215"/>
      <c r="S41" s="215"/>
      <c r="T41" s="215"/>
      <c r="U41" s="215"/>
      <c r="V41" s="215"/>
      <c r="W41" s="215"/>
      <c r="X41" s="215"/>
      <c r="Y41" s="215"/>
      <c r="Z41" s="215"/>
      <c r="AA41" s="215">
        <f>IF($I41="B1","",SUM(O41:Z41))</f>
        <v>0</v>
      </c>
      <c r="AB41" s="217" t="str">
        <f>IF(_epmOfflineCondition_,"",IF(AA41=0,"",IFERROR(AA41/_xll.EVGTS($B$1,1,_xll.EVPRO($B$1,$H41,"COSBASIS"),$B$3,$B$5,$B$6,$B$7,$B$9,AA$16,AA$17,AA$11),"")))</f>
        <v/>
      </c>
      <c r="AC41" s="140"/>
      <c r="AD41" s="215"/>
      <c r="AE41" s="217" t="str">
        <f>IF(_epmOfflineCondition_,"",IF(AD41=0,"",IFERROR(AD41/_xll.EVGTS($B$1,1,_xll.EVPRO($B$1,$H41,"COSBASIS"),$B$3,$B$5,$B$6,$B$7,$B$9,AD$16,AD$17,AD$18),"")))</f>
        <v/>
      </c>
      <c r="AF41" s="218">
        <f>IF(AND($AA41="",AD41=""),"",$AA41-AD41)</f>
        <v>0</v>
      </c>
      <c r="AG41" s="215"/>
      <c r="AH41" s="217" t="str">
        <f>IF(_epmOfflineCondition_,"",IF(AG41=0,"",IFERROR(AG41/_xll.EVGTS($B$1,1,_xll.EVPRO($B$1,$H41,"COSBASIS"),$B$3,$B$5,$B$6,$B$7,$B$9,AG$16,AG$17,AG$18),"")))</f>
        <v/>
      </c>
      <c r="AI41" s="218">
        <f>IF(AND($AA41="",AG41=""),"",$AA41-AG41)</f>
        <v>0</v>
      </c>
      <c r="AJ41" s="471">
        <f>IFERROR(AA41/AA$20,0)</f>
        <v>0</v>
      </c>
      <c r="AK41" s="472">
        <f>IFERROR(AD41/AD$20,0)</f>
        <v>0</v>
      </c>
      <c r="AL41" s="473">
        <f>IFERROR(AG41/AG$20,0)</f>
        <v>0</v>
      </c>
      <c r="AM41" s="474">
        <f>+IFERROR(ROUND(($AB41-AE41)*100,2)&amp;" pts.",0)</f>
        <v>0</v>
      </c>
      <c r="AN41" s="475">
        <f>+IFERROR(ROUND(($AB41-AH41)*100,2)&amp;" pts.",0)</f>
        <v>0</v>
      </c>
      <c r="AO41" s="11"/>
    </row>
    <row r="42" spans="1:41" x14ac:dyDescent="0.25">
      <c r="A42" s="11"/>
      <c r="B42" s="11"/>
      <c r="C42" s="11"/>
      <c r="D42" s="11"/>
      <c r="E42" s="11"/>
      <c r="F42" s="11"/>
      <c r="G42" s="11"/>
      <c r="H42" s="88" t="s">
        <v>289</v>
      </c>
      <c r="I42" s="188" t="str">
        <f>IF(_epmOfflineCondition_,"T3",_xll.EVPRO($B$1,$H42,"STYLE"))</f>
        <v>T3</v>
      </c>
      <c r="J42" s="188" t="str">
        <f>IF(_epmOfflineCondition_,"Y",_xll.EVPRO($B$1,$H42,"CALC"))</f>
        <v>Y</v>
      </c>
      <c r="K42" s="189" t="str">
        <f>IF(AND(I42&gt;="T5"),"&gt;","")</f>
        <v/>
      </c>
      <c r="L42" s="190" t="str">
        <f>IF(_epmOfflineCondition_,"500001",_xll.EVPRO($B$1,H42,"JDEID"))</f>
        <v>500001</v>
      </c>
      <c r="M42" s="190" t="str">
        <f>IF(_epmOfflineCondition_,"",IF(AND(I42="N",J42="N"),_xll.EVPRO($B$1,H42,"PSFTID"),""))</f>
        <v/>
      </c>
      <c r="N42" s="190" t="str">
        <f>IF(_epmOfflineCondition_,"Total Cost of Sales",IF(_xll.EVDES(H42,$B$1)="#NODATA","",_xll.EVDES(H42,$B$1)))</f>
        <v>Total Cost of Sales</v>
      </c>
      <c r="O42" s="223"/>
      <c r="P42" s="223"/>
      <c r="Q42" s="223"/>
      <c r="R42" s="223"/>
      <c r="S42" s="223"/>
      <c r="T42" s="223"/>
      <c r="U42" s="223"/>
      <c r="V42" s="223"/>
      <c r="W42" s="223"/>
      <c r="X42" s="223"/>
      <c r="Y42" s="223"/>
      <c r="Z42" s="223"/>
      <c r="AA42" s="223">
        <f>IF($I42="B1","",SUM(O42:Z42))</f>
        <v>0</v>
      </c>
      <c r="AB42" s="224" t="str">
        <f>IF(_epmOfflineCondition_,"",IF(AA42=0,"",IFERROR(AA42/_xll.EVGTS($B$1,1,_xll.EVPRO($B$1,$H42,"COSBASIS"),$B$3,$B$5,$B$6,$B$7,$B$9,AA$16,AA$17,AA$11),"")))</f>
        <v/>
      </c>
      <c r="AC42" s="225"/>
      <c r="AD42" s="223"/>
      <c r="AE42" s="224" t="str">
        <f>IF(_epmOfflineCondition_,"",IF(AD42=0,"",IFERROR(AD42/_xll.EVGTS($B$1,1,_xll.EVPRO($B$1,$H42,"COSBASIS"),$B$3,$B$5,$B$6,$B$7,$B$9,AD$16,AD$17,AD$18),"")))</f>
        <v/>
      </c>
      <c r="AF42" s="226">
        <f>IF(AND($AA42="",AD42=""),"",$AA42-AD42)</f>
        <v>0</v>
      </c>
      <c r="AG42" s="223"/>
      <c r="AH42" s="224" t="str">
        <f>IF(_epmOfflineCondition_,"",IF(AG42=0,"",IFERROR(AG42/_xll.EVGTS($B$1,1,_xll.EVPRO($B$1,$H42,"COSBASIS"),$B$3,$B$5,$B$6,$B$7,$B$9,AG$16,AG$17,AG$18),"")))</f>
        <v/>
      </c>
      <c r="AI42" s="226">
        <f>IF(AND($AA42="",AG42=""),"",$AA42-AG42)</f>
        <v>0</v>
      </c>
      <c r="AJ42" s="227">
        <f>IFERROR(AA42/AA$20,0)</f>
        <v>0</v>
      </c>
      <c r="AK42" s="228">
        <f>IFERROR(AD42/AD$20,0)</f>
        <v>0</v>
      </c>
      <c r="AL42" s="230">
        <f>IFERROR(AG42/AG$20,0)</f>
        <v>0</v>
      </c>
      <c r="AM42" s="427">
        <f>+IFERROR(ROUND(($AB42-AE42)*100,2)&amp;" pts.",0)</f>
        <v>0</v>
      </c>
      <c r="AN42" s="478">
        <f>+IFERROR(ROUND(($AB42-AH42)*100,2)&amp;" pts.",0)</f>
        <v>0</v>
      </c>
      <c r="AO42" s="11"/>
    </row>
    <row r="43" spans="1:41" x14ac:dyDescent="0.25">
      <c r="A43" s="61" t="str">
        <f>IF(_epmOfflineCondition_,"Evdre:Ok",_xll.EVDRE($B$1,A46:B53,A56:B62))</f>
        <v>Evdre:Ok</v>
      </c>
      <c r="B43" s="11"/>
      <c r="C43" s="11"/>
      <c r="D43" s="11"/>
      <c r="E43" s="11"/>
      <c r="F43" s="11"/>
      <c r="G43" s="11"/>
      <c r="H43" s="185" t="s">
        <v>175</v>
      </c>
      <c r="I43" s="89" t="str">
        <f>IF(_epmOfflineCondition_,"B1",_xll.EVPRO($B$1,$H43,"STYLE"))</f>
        <v>B1</v>
      </c>
      <c r="J43" s="89" t="str">
        <f>IF(_epmOfflineCondition_,"Y",_xll.EVPRO($B$1,$H43,"CALC"))</f>
        <v>Y</v>
      </c>
      <c r="K43" s="265" t="str">
        <f>IF(AND(I43&gt;="T5"),"&gt;","")</f>
        <v/>
      </c>
      <c r="L43" s="265"/>
      <c r="M43" s="265"/>
      <c r="N43" s="106" t="str">
        <f>IF(_epmOfflineCondition_,"BLANKROW",IF(_xll.EVDES(H43,$B$1)="#NODATA","",_xll.EVDES(H43,$B$1)))</f>
        <v>BLANKROW</v>
      </c>
      <c r="O43" s="205"/>
      <c r="P43" s="205"/>
      <c r="Q43" s="205"/>
      <c r="R43" s="205"/>
      <c r="S43" s="205"/>
      <c r="T43" s="205"/>
      <c r="U43" s="205"/>
      <c r="V43" s="205"/>
      <c r="W43" s="205"/>
      <c r="X43" s="205"/>
      <c r="Y43" s="205"/>
      <c r="Z43" s="205"/>
      <c r="AA43" s="205"/>
      <c r="AB43" s="206"/>
      <c r="AC43" s="11"/>
      <c r="AD43" s="205"/>
      <c r="AE43" s="206" t="str">
        <f>IF(_epmOfflineCondition_,"",IF(AD43=0,"",IFERROR(AD43/_xll.EVGTS($B$1,1,INDEX($C$143:$C$166,MATCH($H43,$A$143:$A$166,0)),$B$3,$B$5,$B$6,$B$7,$B$9,AD$16,AD$17,AD$18),"")))</f>
        <v/>
      </c>
      <c r="AF43" s="207" t="str">
        <f>IF(AND($AA43="",AD43=""),"",$AA43-AD43)</f>
        <v/>
      </c>
      <c r="AG43" s="205"/>
      <c r="AH43" s="206" t="str">
        <f>IF(_epmOfflineCondition_,"",IF(AG43=0,"",IFERROR(AG43/_xll.EVGTS($B$1,1,INDEX($C$143:$C$166,MATCH($H43,$A$143:$A$166,0)),$B$3,$B$5,$B$6,$B$7,$B$9,AG$16,AG$17,AG$18),"")))</f>
        <v/>
      </c>
      <c r="AI43" s="207" t="str">
        <f>IF(AND($AA43="",AG43=""),"",$AA43-AG43)</f>
        <v/>
      </c>
      <c r="AJ43" s="523">
        <f>IFERROR(AA43/AA$20,0)</f>
        <v>0</v>
      </c>
      <c r="AK43" s="524">
        <f>IFERROR(AD43/AD$20,0)</f>
        <v>0</v>
      </c>
      <c r="AL43" s="525">
        <f>IFERROR(AG43/AG$20,0)</f>
        <v>0</v>
      </c>
      <c r="AM43" s="526">
        <f>+IFERROR(ROUND(($AB43-AE43)*100,2)&amp;" pts.",0)</f>
        <v>0</v>
      </c>
      <c r="AN43" s="527">
        <f>+IFERROR(ROUND(($AB43-AH43)*100,2)&amp;" pts.",0)</f>
        <v>0</v>
      </c>
      <c r="AO43" s="11"/>
    </row>
    <row r="44" spans="1:41" x14ac:dyDescent="0.25">
      <c r="A44" s="11"/>
      <c r="B44" s="11"/>
      <c r="C44" s="11"/>
      <c r="D44" s="11"/>
      <c r="E44" s="11"/>
      <c r="F44" s="11"/>
      <c r="G44" s="11"/>
      <c r="H44" s="185" t="s">
        <v>292</v>
      </c>
      <c r="I44" s="89" t="str">
        <f>IF(_epmOfflineCondition_,"T3",_xll.EVPRO($B$1,$H44,"STYLE"))</f>
        <v>T3</v>
      </c>
      <c r="J44" s="89" t="str">
        <f>IF(_epmOfflineCondition_,"Y",_xll.EVPRO($B$1,$H44,"CALC"))</f>
        <v>Y</v>
      </c>
      <c r="K44" s="265" t="str">
        <f>IF(AND(I44&gt;="T5"),"&gt;","")</f>
        <v/>
      </c>
      <c r="L44" s="265"/>
      <c r="M44" s="265"/>
      <c r="N44" s="106" t="str">
        <f>IF(_epmOfflineCondition_,"Gross Profit",IF(_xll.EVDES(H44,$B$1)="#NODATA","",_xll.EVDES(H44,$B$1)))</f>
        <v>Gross Profit</v>
      </c>
      <c r="O44" s="123">
        <f t="shared" ref="O44:Z44" si="0">SUMIF($H$34:$H$42,"400000",O34:O42)-SUMIF($H$34:$H$42,"500001",O34:O42)</f>
        <v>0</v>
      </c>
      <c r="P44" s="123">
        <f t="shared" si="0"/>
        <v>0</v>
      </c>
      <c r="Q44" s="123">
        <f t="shared" si="0"/>
        <v>0</v>
      </c>
      <c r="R44" s="123">
        <f t="shared" si="0"/>
        <v>0</v>
      </c>
      <c r="S44" s="123">
        <f t="shared" si="0"/>
        <v>0</v>
      </c>
      <c r="T44" s="123">
        <f t="shared" si="0"/>
        <v>0</v>
      </c>
      <c r="U44" s="123">
        <f t="shared" si="0"/>
        <v>0</v>
      </c>
      <c r="V44" s="123">
        <f t="shared" si="0"/>
        <v>0</v>
      </c>
      <c r="W44" s="123">
        <f t="shared" si="0"/>
        <v>0</v>
      </c>
      <c r="X44" s="123">
        <f t="shared" si="0"/>
        <v>0</v>
      </c>
      <c r="Y44" s="123">
        <f t="shared" si="0"/>
        <v>0</v>
      </c>
      <c r="Z44" s="123">
        <f t="shared" si="0"/>
        <v>0</v>
      </c>
      <c r="AA44" s="191">
        <f>IF($I44="B1","",SUM(O44:Z44))</f>
        <v>0</v>
      </c>
      <c r="AB44" s="192" t="str">
        <f>IF(AA44=0,"",IFERROR(AA44/AA$19,""))</f>
        <v/>
      </c>
      <c r="AC44" s="11"/>
      <c r="AD44" s="123">
        <f>SUMIF($H$34:$H$42,"400000",AD34:AD42)-SUMIF($H$34:$H$42,"500001",AD34:AD42)</f>
        <v>0</v>
      </c>
      <c r="AE44" s="192" t="str">
        <f>IF(AD44=0,"",IFERROR(AD44/AD$19,""))</f>
        <v/>
      </c>
      <c r="AF44" s="125">
        <f>IF(AND($AA44="",AD44=""),"",$AA44-AD44)</f>
        <v>0</v>
      </c>
      <c r="AG44" s="123">
        <f>SUMIF($H$34:$H$42,"400000",AG34:AG42)-SUMIF($H$34:$H$42,"500001",AG34:AG42)</f>
        <v>0</v>
      </c>
      <c r="AH44" s="192" t="str">
        <f>IF(AG44=0,"",IFERROR(AG44/AG$19,""))</f>
        <v/>
      </c>
      <c r="AI44" s="125">
        <f>IF(AND($AA44="",AG44=""),"",$AA44-AG44)</f>
        <v>0</v>
      </c>
      <c r="AJ44" s="388">
        <f>IFERROR(AA44/AA$20,0)</f>
        <v>0</v>
      </c>
      <c r="AK44" s="389">
        <f>IFERROR(AD44/AD$20,0)</f>
        <v>0</v>
      </c>
      <c r="AL44" s="390">
        <f>IFERROR(AG44/AG$20,0)</f>
        <v>0</v>
      </c>
      <c r="AM44" s="391">
        <f>+IFERROR(ROUND(($AB44-AE44)*100,2)&amp;" pts.",0)</f>
        <v>0</v>
      </c>
      <c r="AN44" s="544">
        <f>+IFERROR(ROUND(($AB44-AH44)*100,2)&amp;" pts.",0)</f>
        <v>0</v>
      </c>
      <c r="AO44" s="11"/>
    </row>
    <row r="45" spans="1:41" x14ac:dyDescent="0.25">
      <c r="A45" s="62" t="s">
        <v>0</v>
      </c>
      <c r="B45" s="63" t="s">
        <v>1</v>
      </c>
      <c r="C45" s="11"/>
      <c r="D45" s="11"/>
      <c r="E45" s="11"/>
      <c r="F45" s="11"/>
      <c r="G45" s="11"/>
      <c r="H45" s="11"/>
      <c r="I45" s="59"/>
      <c r="J45" s="59"/>
      <c r="K45" s="11"/>
      <c r="L45" s="11"/>
      <c r="M45" s="11"/>
      <c r="N45" s="11"/>
      <c r="O45" s="393"/>
      <c r="P45" s="394"/>
      <c r="Q45" s="394"/>
      <c r="R45" s="394"/>
      <c r="S45" s="394"/>
      <c r="T45" s="394"/>
      <c r="U45" s="394"/>
      <c r="V45" s="394"/>
      <c r="W45" s="394"/>
      <c r="X45" s="394"/>
      <c r="Y45" s="394"/>
      <c r="Z45" s="394"/>
      <c r="AA45" s="394"/>
      <c r="AB45" s="118"/>
      <c r="AC45" s="11"/>
      <c r="AD45" s="203"/>
      <c r="AE45" s="204"/>
      <c r="AF45" s="118"/>
      <c r="AG45" s="204"/>
      <c r="AH45" s="204"/>
      <c r="AI45" s="118"/>
      <c r="AJ45" s="11"/>
      <c r="AK45" s="11"/>
      <c r="AL45" s="11"/>
      <c r="AM45" s="11"/>
      <c r="AN45" s="11"/>
      <c r="AO45" s="11"/>
    </row>
    <row r="46" spans="1:41" x14ac:dyDescent="0.25">
      <c r="A46" s="65" t="s">
        <v>2</v>
      </c>
      <c r="B46" s="66" t="str">
        <f>IF(_epmOfflineCondition_,"'Parking'!$B$2:$B$10",_xll.EVRNG($B$2:$B$10))</f>
        <v>'Parking'!$B$2:$B$10</v>
      </c>
      <c r="C46" s="11"/>
      <c r="D46" s="11"/>
      <c r="E46" s="11"/>
      <c r="F46" s="11"/>
      <c r="G46" s="11"/>
      <c r="H46" s="11" t="s">
        <v>73</v>
      </c>
      <c r="I46" s="59" t="str">
        <f>IF(_epmOfflineCondition_,"B1",_xll.EVPRO($B$1,$H46,"STYLE"))</f>
        <v>B1</v>
      </c>
      <c r="J46" s="59" t="str">
        <f>IF(_epmOfflineCondition_,"Y",_xll.EVPRO($B$1,$H46,"CALC"))</f>
        <v>Y</v>
      </c>
      <c r="K46" s="11"/>
      <c r="L46" s="11"/>
      <c r="M46" s="11"/>
      <c r="N46" s="105" t="str">
        <f>IF(_epmOfflineCondition_,"Labor &amp; Related Expenses",IF(_xll.EVDES(H46,$B$1)="#NODATA","",_xll.EVDES(H46,$B$1)))</f>
        <v>Labor &amp; Related Expenses</v>
      </c>
      <c r="O46" s="203"/>
      <c r="P46" s="204"/>
      <c r="Q46" s="204"/>
      <c r="R46" s="204"/>
      <c r="S46" s="204"/>
      <c r="T46" s="204"/>
      <c r="U46" s="204"/>
      <c r="V46" s="204"/>
      <c r="W46" s="204"/>
      <c r="X46" s="204"/>
      <c r="Y46" s="204"/>
      <c r="Z46" s="204"/>
      <c r="AA46" s="204"/>
      <c r="AB46" s="410"/>
      <c r="AC46" s="11"/>
      <c r="AD46" s="411"/>
      <c r="AE46" s="412"/>
      <c r="AF46" s="118"/>
      <c r="AG46" s="204"/>
      <c r="AH46" s="412"/>
      <c r="AI46" s="118"/>
      <c r="AJ46" s="11"/>
      <c r="AK46" s="11"/>
      <c r="AL46" s="11"/>
      <c r="AM46" s="11"/>
      <c r="AN46" s="11"/>
      <c r="AO46" s="11"/>
    </row>
    <row r="47" spans="1:41" x14ac:dyDescent="0.25">
      <c r="A47" s="65" t="s">
        <v>3</v>
      </c>
      <c r="B47" s="66" t="str">
        <f>IF(_epmOfflineCondition_,"'Parking'!$O$16:$AN$18",_xll.EVRNG($O$16:$AN$18))</f>
        <v>'Parking'!$O$16:$AN$18</v>
      </c>
      <c r="C47" s="11"/>
      <c r="D47" s="11"/>
      <c r="E47" s="11"/>
      <c r="F47" s="11"/>
      <c r="G47" s="11"/>
      <c r="H47" s="11" t="s">
        <v>74</v>
      </c>
      <c r="I47" s="59" t="str">
        <f>IF(_epmOfflineCondition_,"B1",_xll.EVPRO($B$1,$H47,"STYLE"))</f>
        <v>B1</v>
      </c>
      <c r="J47" s="59" t="str">
        <f>IF(_epmOfflineCondition_,"Y",_xll.EVPRO($B$1,$H47,"CALC"))</f>
        <v>Y</v>
      </c>
      <c r="K47" s="11"/>
      <c r="L47" s="11"/>
      <c r="M47" s="11"/>
      <c r="N47" s="53" t="str">
        <f>IF(_epmOfflineCondition_,"Salaries &amp; Wages",IF(_xll.EVDES(H47,$B$1)="#NODATA","",_xll.EVDES(H47,$B$1)))</f>
        <v>Salaries &amp; Wages</v>
      </c>
      <c r="O47" s="119"/>
      <c r="P47" s="120"/>
      <c r="Q47" s="120"/>
      <c r="R47" s="120"/>
      <c r="S47" s="120"/>
      <c r="T47" s="120"/>
      <c r="U47" s="120"/>
      <c r="V47" s="120"/>
      <c r="W47" s="120"/>
      <c r="X47" s="120"/>
      <c r="Y47" s="120"/>
      <c r="Z47" s="120"/>
      <c r="AA47" s="120"/>
      <c r="AB47" s="121"/>
      <c r="AC47" s="11"/>
      <c r="AD47" s="119"/>
      <c r="AE47" s="120"/>
      <c r="AF47" s="121"/>
      <c r="AG47" s="120"/>
      <c r="AH47" s="120"/>
      <c r="AI47" s="121"/>
      <c r="AJ47" s="11"/>
      <c r="AK47" s="11"/>
      <c r="AL47" s="11"/>
      <c r="AM47" s="11"/>
      <c r="AN47" s="11"/>
      <c r="AO47" s="11"/>
    </row>
    <row r="48" spans="1:41" hidden="1" x14ac:dyDescent="0.25">
      <c r="A48" s="65" t="s">
        <v>4</v>
      </c>
      <c r="B48" s="66" t="str">
        <f>IF(_epmOfflineCondition_,"'Parking'!$H$41:$H$42",_xll.EVRNG(H41:H42))</f>
        <v>'Parking'!$H$41:$H$42</v>
      </c>
      <c r="C48" s="11"/>
      <c r="D48" s="11"/>
      <c r="E48" s="11"/>
      <c r="F48" s="11"/>
      <c r="G48" s="11"/>
      <c r="H48" s="88" t="s">
        <v>667</v>
      </c>
      <c r="I48" s="122" t="str">
        <f>IF(_epmOfflineCondition_,"",_xll.EVPRO($B$1,$H48,"STYLE"))</f>
        <v/>
      </c>
      <c r="J48" s="122" t="str">
        <f>IF(_epmOfflineCondition_,"",_xll.EVPRO($B$1,$H48,"CALC"))</f>
        <v/>
      </c>
      <c r="K48" s="179" t="str">
        <f>IF(AND(I48&gt;="T3"),"&gt;","")</f>
        <v/>
      </c>
      <c r="L48" s="90" t="str">
        <f>IF(_epmOfflineCondition_,"",_xll.EVPRO($B$1,H48,"JDEID"))</f>
        <v/>
      </c>
      <c r="M48" s="90" t="str">
        <f>IF(_epmOfflineCondition_,"",IF(AND(I48="N",J48="N"),_xll.EVPRO($B$1,H48,"PSFTID"),""))</f>
        <v/>
      </c>
      <c r="N48" s="90" t="str">
        <f>IF(_epmOfflineCondition_,"",IF(_xll.EVDES(H48,$B$1)="#NODATA","",_xll.EVDES(H48,$B$1)))</f>
        <v/>
      </c>
      <c r="O48" s="239"/>
      <c r="P48" s="239"/>
      <c r="Q48" s="239"/>
      <c r="R48" s="239"/>
      <c r="S48" s="239"/>
      <c r="T48" s="239"/>
      <c r="U48" s="239"/>
      <c r="V48" s="239"/>
      <c r="W48" s="239"/>
      <c r="X48" s="239"/>
      <c r="Y48" s="239"/>
      <c r="Z48" s="239"/>
      <c r="AA48" s="216">
        <f>IF($I48="B1","",SUM(O48:Z48))</f>
        <v>0</v>
      </c>
      <c r="AB48" s="240" t="str">
        <f>IF(AA48=0,"",IFERROR(AA48/AA$19,""))</f>
        <v/>
      </c>
      <c r="AC48" s="140"/>
      <c r="AD48" s="239"/>
      <c r="AE48" s="240" t="str">
        <f>IF(AD48=0,"",IFERROR(AD48/AD$19,""))</f>
        <v/>
      </c>
      <c r="AF48" s="241">
        <f>IF(AND($AA48="",AD48=""),"",$AA48-AD48)</f>
        <v>0</v>
      </c>
      <c r="AG48" s="239"/>
      <c r="AH48" s="240" t="str">
        <f>IF(AG48=0,"",IFERROR(AG48/AG$19,""))</f>
        <v/>
      </c>
      <c r="AI48" s="241">
        <f>IF(AND($AA48="",AG48=""),"",$AA48-AG48)</f>
        <v>0</v>
      </c>
      <c r="AJ48" s="462">
        <f>IFERROR(AA48/AA$20,0)</f>
        <v>0</v>
      </c>
      <c r="AK48" s="463">
        <f>IFERROR(AD48/AD$20,0)</f>
        <v>0</v>
      </c>
      <c r="AL48" s="464">
        <f>IFERROR(AG48/AG$20,0)</f>
        <v>0</v>
      </c>
      <c r="AM48" s="465">
        <f>+IFERROR(ROUND(($AB48-AE48)*100,2)&amp;" pts.",0)</f>
        <v>0</v>
      </c>
      <c r="AN48" s="466">
        <f>+IFERROR(ROUND(($AB48-AH48)*100,2)&amp;" pts.",0)</f>
        <v>0</v>
      </c>
      <c r="AO48" s="11"/>
    </row>
    <row r="49" spans="1:41" hidden="1" x14ac:dyDescent="0.25">
      <c r="A49" s="65" t="s">
        <v>5</v>
      </c>
      <c r="B49" s="66"/>
      <c r="C49" s="11"/>
      <c r="D49" s="11"/>
      <c r="E49" s="11"/>
      <c r="F49" s="384"/>
      <c r="G49" s="11"/>
      <c r="H49" s="88"/>
      <c r="I49" s="122" t="str">
        <f>IF(_epmOfflineCondition_,"",_xll.EVPRO($B$1,$H49,"STYLE"))</f>
        <v/>
      </c>
      <c r="J49" s="122" t="str">
        <f>IF(_epmOfflineCondition_,"",_xll.EVPRO($B$1,$H49,"CALC"))</f>
        <v/>
      </c>
      <c r="K49" s="179" t="str">
        <f>IF(AND(I49&gt;="T3"),"&gt;","")</f>
        <v/>
      </c>
      <c r="L49" s="90" t="str">
        <f>IF(_epmOfflineCondition_,"",_xll.EVPRO($B$1,H49,"JDEID"))</f>
        <v/>
      </c>
      <c r="M49" s="90" t="str">
        <f>IF(_epmOfflineCondition_,"",IF(AND(I49="N",J49="N"),_xll.EVPRO($B$1,H49,"PSFTID"),""))</f>
        <v/>
      </c>
      <c r="N49" s="90" t="str">
        <f>IF(_epmOfflineCondition_,"",IF(_xll.EVDES(H49,$B$1)="#NODATA","",_xll.EVDES(H49,$B$1)))</f>
        <v/>
      </c>
      <c r="O49" s="239"/>
      <c r="P49" s="239"/>
      <c r="Q49" s="239"/>
      <c r="R49" s="239"/>
      <c r="S49" s="239"/>
      <c r="T49" s="239"/>
      <c r="U49" s="239"/>
      <c r="V49" s="239"/>
      <c r="W49" s="239"/>
      <c r="X49" s="239"/>
      <c r="Y49" s="239"/>
      <c r="Z49" s="239"/>
      <c r="AA49" s="216">
        <f>IF($I49="B1","",SUM(O49:Z49))</f>
        <v>0</v>
      </c>
      <c r="AB49" s="240" t="str">
        <f>IF(AA49=0,"",IFERROR(AA49/AA$19,""))</f>
        <v/>
      </c>
      <c r="AC49" s="140"/>
      <c r="AD49" s="239"/>
      <c r="AE49" s="240" t="str">
        <f>IF(AD49=0,"",IFERROR(AD49/AD$19,""))</f>
        <v/>
      </c>
      <c r="AF49" s="241">
        <f>IF(AND($AA49="",AD49=""),"",$AA49-AD49)</f>
        <v>0</v>
      </c>
      <c r="AG49" s="239"/>
      <c r="AH49" s="240" t="str">
        <f>IF(AG49=0,"",IFERROR(AG49/AG$19,""))</f>
        <v/>
      </c>
      <c r="AI49" s="241">
        <f>IF(AND($AA49="",AG49=""),"",$AA49-AG49)</f>
        <v>0</v>
      </c>
      <c r="AJ49" s="462">
        <f>IFERROR(AA49/AA$20,0)</f>
        <v>0</v>
      </c>
      <c r="AK49" s="463">
        <f>IFERROR(AD49/AD$20,0)</f>
        <v>0</v>
      </c>
      <c r="AL49" s="464">
        <f>IFERROR(AG49/AG$20,0)</f>
        <v>0</v>
      </c>
      <c r="AM49" s="465">
        <f>+IFERROR(ROUND(($AB49-AE49)*100,2)&amp;" pts.",0)</f>
        <v>0</v>
      </c>
      <c r="AN49" s="466">
        <f>+IFERROR(ROUND(($AB49-AH49)*100,2)&amp;" pts.",0)</f>
        <v>0</v>
      </c>
      <c r="AO49" s="11"/>
    </row>
    <row r="50" spans="1:41" x14ac:dyDescent="0.25">
      <c r="A50" s="65" t="s">
        <v>6</v>
      </c>
      <c r="B50" s="66"/>
      <c r="C50" s="11"/>
      <c r="D50" s="11"/>
      <c r="E50" s="11"/>
      <c r="F50" s="384"/>
      <c r="G50" s="11"/>
      <c r="H50" s="88" t="s">
        <v>75</v>
      </c>
      <c r="I50" s="89" t="str">
        <f>IF(_epmOfflineCondition_,"B1",_xll.EVPRO($B$1,$H50,"STYLE"))</f>
        <v>B1</v>
      </c>
      <c r="J50" s="89" t="str">
        <f>IF(_epmOfflineCondition_,"Y",_xll.EVPRO($B$1,$H50,"CALC"))</f>
        <v>Y</v>
      </c>
      <c r="K50" s="265" t="str">
        <f>IF(AND(I50&gt;="T3"),"&gt;","")</f>
        <v/>
      </c>
      <c r="L50" s="106" t="str">
        <f>IF(_epmOfflineCondition_,"",_xll.EVPRO($B$1,H50,"JDEID"))</f>
        <v/>
      </c>
      <c r="M50" s="90" t="str">
        <f>IF(_epmOfflineCondition_,"",IF(AND(I50="N",J50="N"),_xll.EVPRO($B$1,H50,"PSFTID"),""))</f>
        <v/>
      </c>
      <c r="N50" s="106" t="str">
        <f>IF(_epmOfflineCondition_,"Non-Management",IF(_xll.EVDES(H50,$B$1)="#NODATA","",_xll.EVDES(H50,$B$1)))</f>
        <v>Non-Management</v>
      </c>
      <c r="O50" s="197"/>
      <c r="P50" s="197"/>
      <c r="Q50" s="197"/>
      <c r="R50" s="197"/>
      <c r="S50" s="197"/>
      <c r="T50" s="197"/>
      <c r="U50" s="197"/>
      <c r="V50" s="197"/>
      <c r="W50" s="197"/>
      <c r="X50" s="197"/>
      <c r="Y50" s="197"/>
      <c r="Z50" s="197"/>
      <c r="AA50" s="180" t="str">
        <f>IF($I50="B1","",SUM(O50:Z50))</f>
        <v/>
      </c>
      <c r="AB50" s="198" t="str">
        <f>IF(AA50=0,"",IFERROR(AA50/AA$19,""))</f>
        <v/>
      </c>
      <c r="AC50" s="11"/>
      <c r="AD50" s="197"/>
      <c r="AE50" s="198" t="str">
        <f>IF(AD50=0,"",IFERROR(AD50/AD$19,""))</f>
        <v/>
      </c>
      <c r="AF50" s="199" t="str">
        <f>IF(AND($AA50="",AD50=""),"",$AA50-AD50)</f>
        <v/>
      </c>
      <c r="AG50" s="197"/>
      <c r="AH50" s="198" t="str">
        <f>IF(AG50=0,"",IFERROR(AG50/AG$19,""))</f>
        <v/>
      </c>
      <c r="AI50" s="199" t="str">
        <f>IF(AND($AA50="",AG50=""),"",$AA50-AG50)</f>
        <v/>
      </c>
      <c r="AJ50" s="397">
        <f>IFERROR(AA50/AA$20,0)</f>
        <v>0</v>
      </c>
      <c r="AK50" s="398">
        <f>IFERROR(AD50/AD$20,0)</f>
        <v>0</v>
      </c>
      <c r="AL50" s="399">
        <f>IFERROR(AG50/AG$20,0)</f>
        <v>0</v>
      </c>
      <c r="AM50" s="400">
        <f>+IFERROR(ROUND(($AB50-AE50)*100,2)&amp;" pts.",0)</f>
        <v>0</v>
      </c>
      <c r="AN50" s="401">
        <f>+IFERROR(ROUND(($AB50-AH50)*100,2)&amp;" pts.",0)</f>
        <v>0</v>
      </c>
      <c r="AO50" s="11"/>
    </row>
    <row r="51" spans="1:41" hidden="1" x14ac:dyDescent="0.25">
      <c r="A51" s="65" t="s">
        <v>7</v>
      </c>
      <c r="B51" s="66" t="str">
        <f>IF(_epmOfflineCondition_,"'Parking'!$A$65:$F$68",_xll.EVRNG(A65:F68))</f>
        <v>'Parking'!$A$65:$F$68</v>
      </c>
      <c r="C51" s="11"/>
      <c r="D51" s="11"/>
      <c r="E51" s="11"/>
      <c r="F51" s="384"/>
      <c r="G51" s="11"/>
      <c r="H51" s="88" t="s">
        <v>667</v>
      </c>
      <c r="I51" s="122" t="str">
        <f>IF(_epmOfflineCondition_,"",_xll.EVPRO($B$1,$H51,"STYLE"))</f>
        <v/>
      </c>
      <c r="J51" s="122" t="str">
        <f>IF(_epmOfflineCondition_,"",_xll.EVPRO($B$1,$H51,"CALC"))</f>
        <v/>
      </c>
      <c r="K51" s="179" t="str">
        <f>IF(AND(I51&gt;="T3"),"&gt;","")</f>
        <v/>
      </c>
      <c r="L51" s="90" t="str">
        <f>IF(_epmOfflineCondition_,"",_xll.EVPRO($B$1,H51,"JDEID"))</f>
        <v/>
      </c>
      <c r="M51" s="90" t="str">
        <f>IF(_epmOfflineCondition_,"",IF(AND(I51="N",J51="N"),_xll.EVPRO($B$1,H51,"PSFTID"),""))</f>
        <v/>
      </c>
      <c r="N51" s="90" t="str">
        <f>IF(_epmOfflineCondition_,"",IF(_xll.EVDES(H51,$B$1)="#NODATA","",_xll.EVDES(H51,$B$1)))</f>
        <v/>
      </c>
      <c r="O51" s="239"/>
      <c r="P51" s="239"/>
      <c r="Q51" s="239"/>
      <c r="R51" s="239"/>
      <c r="S51" s="239"/>
      <c r="T51" s="239"/>
      <c r="U51" s="239"/>
      <c r="V51" s="239"/>
      <c r="W51" s="239"/>
      <c r="X51" s="239"/>
      <c r="Y51" s="239"/>
      <c r="Z51" s="239"/>
      <c r="AA51" s="216">
        <f>IF($I51="B1","",SUM(O51:Z51))</f>
        <v>0</v>
      </c>
      <c r="AB51" s="240" t="str">
        <f>IF(AA51=0,"",IFERROR(AA51/AA$19,""))</f>
        <v/>
      </c>
      <c r="AC51" s="140"/>
      <c r="AD51" s="239"/>
      <c r="AE51" s="240" t="str">
        <f>IF(AD51=0,"",IFERROR(AD51/AD$19,""))</f>
        <v/>
      </c>
      <c r="AF51" s="241">
        <f>IF(AND($AA51="",AD51=""),"",$AA51-AD51)</f>
        <v>0</v>
      </c>
      <c r="AG51" s="239"/>
      <c r="AH51" s="240" t="str">
        <f>IF(AG51=0,"",IFERROR(AG51/AG$19,""))</f>
        <v/>
      </c>
      <c r="AI51" s="241">
        <f>IF(AND($AA51="",AG51=""),"",$AA51-AG51)</f>
        <v>0</v>
      </c>
      <c r="AJ51" s="471">
        <f>IFERROR(AA51/AA$20,0)</f>
        <v>0</v>
      </c>
      <c r="AK51" s="472">
        <f>IFERROR(AD51/AD$20,0)</f>
        <v>0</v>
      </c>
      <c r="AL51" s="473">
        <f>IFERROR(AG51/AG$20,0)</f>
        <v>0</v>
      </c>
      <c r="AM51" s="474">
        <f>+IFERROR(ROUND(($AB51-AE51)*100,2)&amp;" pts.",0)</f>
        <v>0</v>
      </c>
      <c r="AN51" s="475">
        <f>+IFERROR(ROUND(($AB51-AH51)*100,2)&amp;" pts.",0)</f>
        <v>0</v>
      </c>
      <c r="AO51" s="11"/>
    </row>
    <row r="52" spans="1:41" hidden="1" x14ac:dyDescent="0.25">
      <c r="A52" s="65" t="s">
        <v>47</v>
      </c>
      <c r="B52" s="66" t="str">
        <f>IF(_epmOfflineCondition_,"'Parking'!$A$116:$B$137",_xll.EVRNG($A$116:$B$137))</f>
        <v>'Parking'!$A$116:$B$137</v>
      </c>
      <c r="C52" s="11"/>
      <c r="D52" s="11"/>
      <c r="E52" s="11"/>
      <c r="F52" s="11"/>
      <c r="G52" s="11"/>
      <c r="H52" s="88"/>
      <c r="I52" s="122" t="str">
        <f>IF(_epmOfflineCondition_,"",_xll.EVPRO($B$1,$H52,"STYLE"))</f>
        <v/>
      </c>
      <c r="J52" s="122" t="str">
        <f>IF(_epmOfflineCondition_,"",_xll.EVPRO($B$1,$H52,"CALC"))</f>
        <v/>
      </c>
      <c r="K52" s="179" t="str">
        <f>IF(AND(I52&gt;="T3"),"&gt;","")</f>
        <v/>
      </c>
      <c r="L52" s="90" t="str">
        <f>IF(_epmOfflineCondition_,"",_xll.EVPRO($B$1,H52,"JDEID"))</f>
        <v/>
      </c>
      <c r="M52" s="90" t="str">
        <f>IF(_epmOfflineCondition_,"",IF(AND(I52="N",J52="N"),_xll.EVPRO($B$1,H52,"PSFTID"),""))</f>
        <v/>
      </c>
      <c r="N52" s="90" t="str">
        <f>IF(_epmOfflineCondition_,"",IF(_xll.EVDES(H52,$B$1)="#NODATA","",_xll.EVDES(H52,$B$1)))</f>
        <v/>
      </c>
      <c r="O52" s="239"/>
      <c r="P52" s="239"/>
      <c r="Q52" s="239"/>
      <c r="R52" s="239"/>
      <c r="S52" s="239"/>
      <c r="T52" s="239"/>
      <c r="U52" s="239"/>
      <c r="V52" s="239"/>
      <c r="W52" s="239"/>
      <c r="X52" s="239"/>
      <c r="Y52" s="239"/>
      <c r="Z52" s="239"/>
      <c r="AA52" s="216">
        <f>IF($I52="B1","",SUM(O52:Z52))</f>
        <v>0</v>
      </c>
      <c r="AB52" s="240" t="str">
        <f>IF(AA52=0,"",IFERROR(AA52/AA$19,""))</f>
        <v/>
      </c>
      <c r="AC52" s="140"/>
      <c r="AD52" s="239"/>
      <c r="AE52" s="240" t="str">
        <f>IF(AD52=0,"",IFERROR(AD52/AD$19,""))</f>
        <v/>
      </c>
      <c r="AF52" s="241">
        <f>IF(AND($AA52="",AD52=""),"",$AA52-AD52)</f>
        <v>0</v>
      </c>
      <c r="AG52" s="239"/>
      <c r="AH52" s="240" t="str">
        <f>IF(AG52=0,"",IFERROR(AG52/AG$19,""))</f>
        <v/>
      </c>
      <c r="AI52" s="241">
        <f>IF(AND($AA52="",AG52=""),"",$AA52-AG52)</f>
        <v>0</v>
      </c>
      <c r="AJ52" s="471">
        <f>IFERROR(AA52/AA$20,0)</f>
        <v>0</v>
      </c>
      <c r="AK52" s="472">
        <f>IFERROR(AD52/AD$20,0)</f>
        <v>0</v>
      </c>
      <c r="AL52" s="473">
        <f>IFERROR(AG52/AG$20,0)</f>
        <v>0</v>
      </c>
      <c r="AM52" s="474">
        <f>+IFERROR(ROUND(($AB52-AE52)*100,2)&amp;" pts.",0)</f>
        <v>0</v>
      </c>
      <c r="AN52" s="475">
        <f>+IFERROR(ROUND(($AB52-AH52)*100,2)&amp;" pts.",0)</f>
        <v>0</v>
      </c>
      <c r="AO52" s="11"/>
    </row>
    <row r="53" spans="1:41" x14ac:dyDescent="0.25">
      <c r="A53" s="65" t="s">
        <v>8</v>
      </c>
      <c r="B53" s="66"/>
      <c r="C53" s="11"/>
      <c r="D53" s="11"/>
      <c r="E53" s="11"/>
      <c r="F53" s="11"/>
      <c r="G53" s="11"/>
      <c r="H53" s="11"/>
      <c r="I53" s="59"/>
      <c r="J53" s="59"/>
      <c r="K53" s="11"/>
      <c r="L53" s="11"/>
      <c r="M53" s="11"/>
      <c r="N53" s="11"/>
      <c r="O53" s="129"/>
      <c r="P53" s="130"/>
      <c r="Q53" s="130"/>
      <c r="R53" s="130"/>
      <c r="S53" s="130"/>
      <c r="T53" s="130"/>
      <c r="U53" s="130"/>
      <c r="V53" s="130"/>
      <c r="W53" s="130"/>
      <c r="X53" s="130"/>
      <c r="Y53" s="130"/>
      <c r="Z53" s="130"/>
      <c r="AA53" s="130"/>
      <c r="AB53" s="131"/>
      <c r="AC53" s="11"/>
      <c r="AD53" s="129"/>
      <c r="AE53" s="130"/>
      <c r="AF53" s="131"/>
      <c r="AG53" s="129"/>
      <c r="AH53" s="130"/>
      <c r="AI53" s="131"/>
      <c r="AJ53" s="11"/>
      <c r="AK53" s="11"/>
      <c r="AL53" s="11"/>
      <c r="AM53" s="11"/>
      <c r="AN53" s="11"/>
      <c r="AO53" s="11"/>
    </row>
    <row r="54" spans="1:41" x14ac:dyDescent="0.25">
      <c r="A54" s="11"/>
      <c r="B54" s="11"/>
      <c r="C54" s="11"/>
      <c r="D54" s="11"/>
      <c r="E54" s="11"/>
      <c r="F54" s="11"/>
      <c r="G54" s="11"/>
      <c r="H54" s="11" t="s">
        <v>82</v>
      </c>
      <c r="I54" s="59" t="str">
        <f>IF(_epmOfflineCondition_,"B1",_xll.EVPRO($B$1,$H54,"STYLE"))</f>
        <v>B1</v>
      </c>
      <c r="J54" s="59" t="str">
        <f>IF(_epmOfflineCondition_,"Y",_xll.EVPRO($B$1,$H54,"CALC"))</f>
        <v>Y</v>
      </c>
      <c r="K54" s="11"/>
      <c r="L54" s="11"/>
      <c r="M54" s="11"/>
      <c r="N54" s="105" t="str">
        <f>IF(_epmOfflineCondition_,"Other Expenses",IF(_xll.EVDES(H54,$B$1)="#NODATA","",_xll.EVDES(H54,$B$1)))</f>
        <v>Other Expenses</v>
      </c>
      <c r="O54" s="119"/>
      <c r="P54" s="120"/>
      <c r="Q54" s="120"/>
      <c r="R54" s="120"/>
      <c r="S54" s="120"/>
      <c r="T54" s="120"/>
      <c r="U54" s="120"/>
      <c r="V54" s="120"/>
      <c r="W54" s="120"/>
      <c r="X54" s="120"/>
      <c r="Y54" s="120"/>
      <c r="Z54" s="120"/>
      <c r="AA54" s="120"/>
      <c r="AB54" s="121"/>
      <c r="AC54" s="11"/>
      <c r="AD54" s="119"/>
      <c r="AE54" s="120"/>
      <c r="AF54" s="121"/>
      <c r="AG54" s="119"/>
      <c r="AH54" s="120"/>
      <c r="AI54" s="121"/>
      <c r="AJ54" s="11"/>
      <c r="AK54" s="11"/>
      <c r="AL54" s="11"/>
      <c r="AM54" s="11"/>
      <c r="AN54" s="11"/>
      <c r="AO54" s="11"/>
    </row>
    <row r="55" spans="1:41" hidden="1" x14ac:dyDescent="0.25">
      <c r="A55" s="62" t="s">
        <v>9</v>
      </c>
      <c r="B55" s="63" t="s">
        <v>10</v>
      </c>
      <c r="C55" s="11"/>
      <c r="D55" s="11"/>
      <c r="E55" s="11"/>
      <c r="F55" s="11"/>
      <c r="G55" s="11"/>
      <c r="H55" s="88" t="s">
        <v>667</v>
      </c>
      <c r="I55" s="122" t="str">
        <f>IF(_epmOfflineCondition_,"",_xll.EVPRO($B$1,$H55,"STYLE"))</f>
        <v/>
      </c>
      <c r="J55" s="122" t="str">
        <f>IF(_epmOfflineCondition_,"",_xll.EVPRO($B$1,$H55,"CALC"))</f>
        <v/>
      </c>
      <c r="K55" s="179" t="str">
        <f>IF(AND(I55&lt;&gt;"B1",J55="Y"),"&gt;","")</f>
        <v/>
      </c>
      <c r="L55" s="90" t="str">
        <f>IF(_epmOfflineCondition_,"",_xll.EVPRO($B$1,H55,"JDEID"))</f>
        <v/>
      </c>
      <c r="M55" s="90" t="str">
        <f>IF(_epmOfflineCondition_,"",IF(AND(I55="N",J55="N"),_xll.EVPRO($B$1,H55,"PSFTID"),""))</f>
        <v/>
      </c>
      <c r="N55" s="90" t="str">
        <f>IF(_epmOfflineCondition_,"",IF(_xll.EVDES(H55,$B$1)="#NODATA","",_xll.EVDES(H55,$B$1)))</f>
        <v/>
      </c>
      <c r="O55" s="215"/>
      <c r="P55" s="215"/>
      <c r="Q55" s="215"/>
      <c r="R55" s="215"/>
      <c r="S55" s="215"/>
      <c r="T55" s="215"/>
      <c r="U55" s="215"/>
      <c r="V55" s="215"/>
      <c r="W55" s="215"/>
      <c r="X55" s="215"/>
      <c r="Y55" s="215"/>
      <c r="Z55" s="215"/>
      <c r="AA55" s="216">
        <f>IF($I55="B1","",SUM(O55:Z55))</f>
        <v>0</v>
      </c>
      <c r="AB55" s="217" t="str">
        <f>IF(AA55=0,"",IFERROR(AA55/AA$19,""))</f>
        <v/>
      </c>
      <c r="AC55" s="140"/>
      <c r="AD55" s="215"/>
      <c r="AE55" s="217" t="str">
        <f>IF(AD55=0,"",IFERROR(AD55/AD$19,""))</f>
        <v/>
      </c>
      <c r="AF55" s="218">
        <f>IF(AND($AA55="",AD55=""),"",$AA55-AD55)</f>
        <v>0</v>
      </c>
      <c r="AG55" s="215"/>
      <c r="AH55" s="217" t="str">
        <f>IF(AG55=0,"",IFERROR(AG55/AG$19,""))</f>
        <v/>
      </c>
      <c r="AI55" s="218">
        <f>IF(AND($AA55="",AG55=""),"",$AA55-AG55)</f>
        <v>0</v>
      </c>
      <c r="AJ55" s="462">
        <f>IFERROR(AA55/AA$20,0)</f>
        <v>0</v>
      </c>
      <c r="AK55" s="463">
        <f>IFERROR(AD55/AD$20,0)</f>
        <v>0</v>
      </c>
      <c r="AL55" s="464">
        <f>IFERROR(AG55/AG$20,0)</f>
        <v>0</v>
      </c>
      <c r="AM55" s="465">
        <f>+IFERROR(ROUND(($AB55-AE55)*100,2)&amp;" pts.",0)</f>
        <v>0</v>
      </c>
      <c r="AN55" s="466">
        <f>+IFERROR(ROUND(($AB55-AH55)*100,2)&amp;" pts.",0)</f>
        <v>0</v>
      </c>
      <c r="AO55" s="11"/>
    </row>
    <row r="56" spans="1:41" hidden="1" x14ac:dyDescent="0.25">
      <c r="A56" s="65" t="s">
        <v>11</v>
      </c>
      <c r="B56" s="66" t="s">
        <v>21</v>
      </c>
      <c r="C56" s="11"/>
      <c r="D56" s="11"/>
      <c r="E56" s="11"/>
      <c r="F56" s="11"/>
      <c r="G56" s="76"/>
      <c r="H56" s="88"/>
      <c r="I56" s="122" t="str">
        <f>IF(_epmOfflineCondition_,"",_xll.EVPRO($B$1,$H56,"STYLE"))</f>
        <v/>
      </c>
      <c r="J56" s="122" t="str">
        <f>IF(_epmOfflineCondition_,"",_xll.EVPRO($B$1,$H56,"CALC"))</f>
        <v/>
      </c>
      <c r="K56" s="179" t="str">
        <f>IF(AND(I56&lt;&gt;"B1",J56="Y"),"&gt;","")</f>
        <v/>
      </c>
      <c r="L56" s="90" t="str">
        <f>IF(_epmOfflineCondition_,"",_xll.EVPRO($B$1,H56,"JDEID"))</f>
        <v/>
      </c>
      <c r="M56" s="90" t="str">
        <f>IF(_epmOfflineCondition_,"",IF(AND(I56="N",J56="N"),_xll.EVPRO($B$1,H56,"PSFTID"),""))</f>
        <v/>
      </c>
      <c r="N56" s="90" t="str">
        <f>IF(_epmOfflineCondition_,"",IF(_xll.EVDES(H56,$B$1)="#NODATA","",_xll.EVDES(H56,$B$1)))</f>
        <v/>
      </c>
      <c r="O56" s="215"/>
      <c r="P56" s="215"/>
      <c r="Q56" s="215"/>
      <c r="R56" s="215"/>
      <c r="S56" s="215"/>
      <c r="T56" s="215"/>
      <c r="U56" s="215"/>
      <c r="V56" s="215"/>
      <c r="W56" s="215"/>
      <c r="X56" s="215"/>
      <c r="Y56" s="215"/>
      <c r="Z56" s="215"/>
      <c r="AA56" s="216">
        <f>IF($I56="B1","",SUM(O56:Z56))</f>
        <v>0</v>
      </c>
      <c r="AB56" s="217" t="str">
        <f>IF(AA56=0,"",IFERROR(AA56/AA$19,""))</f>
        <v/>
      </c>
      <c r="AC56" s="140"/>
      <c r="AD56" s="215"/>
      <c r="AE56" s="217" t="str">
        <f>IF(AD56=0,"",IFERROR(AD56/AD$19,""))</f>
        <v/>
      </c>
      <c r="AF56" s="218">
        <f>IF(AND($AA56="",AD56=""),"",$AA56-AD56)</f>
        <v>0</v>
      </c>
      <c r="AG56" s="215"/>
      <c r="AH56" s="217" t="str">
        <f>IF(AG56=0,"",IFERROR(AG56/AG$19,""))</f>
        <v/>
      </c>
      <c r="AI56" s="218">
        <f>IF(AND($AA56="",AG56=""),"",$AA56-AG56)</f>
        <v>0</v>
      </c>
      <c r="AJ56" s="462">
        <f>IFERROR(AA56/AA$20,0)</f>
        <v>0</v>
      </c>
      <c r="AK56" s="463">
        <f>IFERROR(AD56/AD$20,0)</f>
        <v>0</v>
      </c>
      <c r="AL56" s="464">
        <f>IFERROR(AG56/AG$20,0)</f>
        <v>0</v>
      </c>
      <c r="AM56" s="465">
        <f>+IFERROR(ROUND(($AB56-AE56)*100,2)&amp;" pts.",0)</f>
        <v>0</v>
      </c>
      <c r="AN56" s="466">
        <f>+IFERROR(ROUND(($AB56-AH56)*100,2)&amp;" pts.",0)</f>
        <v>0</v>
      </c>
      <c r="AO56" s="11"/>
    </row>
    <row r="57" spans="1:41" x14ac:dyDescent="0.25">
      <c r="A57" s="65" t="s">
        <v>12</v>
      </c>
      <c r="B57" s="66" t="s">
        <v>22</v>
      </c>
      <c r="C57" s="11"/>
      <c r="D57" s="11"/>
      <c r="E57" s="11"/>
      <c r="F57" s="11"/>
      <c r="G57" s="11"/>
      <c r="H57" s="88" t="s">
        <v>79</v>
      </c>
      <c r="I57" s="136" t="str">
        <f>IF(_epmOfflineCondition_,"T3",_xll.EVPRO($B$1,$H57,"STYLE"))</f>
        <v>T3</v>
      </c>
      <c r="J57" s="136" t="str">
        <f>IF(_epmOfflineCondition_,"Y",_xll.EVPRO($B$1,$H57,"CALC"))</f>
        <v>Y</v>
      </c>
      <c r="K57" s="104"/>
      <c r="L57" s="104"/>
      <c r="M57" s="104"/>
      <c r="N57" s="106" t="str">
        <f>IF(_epmOfflineCondition_,"Total Operations Expense",IF(_xll.EVDES(H57,$B$1)="#NODATA","",_xll.EVDES(H57,$B$1)))</f>
        <v>Total Operations Expense</v>
      </c>
      <c r="O57" s="150"/>
      <c r="P57" s="150"/>
      <c r="Q57" s="150"/>
      <c r="R57" s="150"/>
      <c r="S57" s="150"/>
      <c r="T57" s="150"/>
      <c r="U57" s="150"/>
      <c r="V57" s="150"/>
      <c r="W57" s="150"/>
      <c r="X57" s="150"/>
      <c r="Y57" s="150"/>
      <c r="Z57" s="150"/>
      <c r="AA57" s="150">
        <f>IF($I57="B1","",SUM(O57:Z57))</f>
        <v>0</v>
      </c>
      <c r="AB57" s="151" t="str">
        <f>IF(AA57=0,"",IFERROR(AA57/AA$19,""))</f>
        <v/>
      </c>
      <c r="AC57" s="140"/>
      <c r="AD57" s="150"/>
      <c r="AE57" s="151" t="str">
        <f>IF(AD57=0,"",IFERROR(AD57/AD$19,""))</f>
        <v/>
      </c>
      <c r="AF57" s="152">
        <f>IF(AND($AA57="",AD57=""),"",$AA57-AD57)</f>
        <v>0</v>
      </c>
      <c r="AG57" s="150"/>
      <c r="AH57" s="151" t="str">
        <f>IF(AG57=0,"",IFERROR(AG57/AG$19,""))</f>
        <v/>
      </c>
      <c r="AI57" s="152">
        <f>IF(AND($AA57="",AG57=""),"",$AA57-AG57)</f>
        <v>0</v>
      </c>
      <c r="AJ57" s="446">
        <f>IFERROR(AA57/AA$20,0)</f>
        <v>0</v>
      </c>
      <c r="AK57" s="447">
        <f>IFERROR(AD57/AD$20,0)</f>
        <v>0</v>
      </c>
      <c r="AL57" s="448">
        <f>IFERROR(AG57/AG$20,0)</f>
        <v>0</v>
      </c>
      <c r="AM57" s="449">
        <f>+IFERROR(ROUND(($AB57-AE57)*100,2)&amp;" pts.",0)</f>
        <v>0</v>
      </c>
      <c r="AN57" s="546">
        <f>+IFERROR(ROUND(($AB57-AH57)*100,2)&amp;" pts.",0)</f>
        <v>0</v>
      </c>
      <c r="AO57" s="11"/>
    </row>
    <row r="58" spans="1:41" x14ac:dyDescent="0.25">
      <c r="A58" s="65" t="s">
        <v>13</v>
      </c>
      <c r="B58" s="66" t="str">
        <f>"DEP(500001) AND "&amp;$E$6&amp;"=Y,500001"</f>
        <v>DEP(500001) AND D1133=Y,500001</v>
      </c>
      <c r="C58" s="11"/>
      <c r="D58" s="11"/>
      <c r="E58" s="11"/>
      <c r="F58" s="11"/>
      <c r="G58" s="11"/>
      <c r="H58" s="11"/>
      <c r="I58" s="59"/>
      <c r="J58" s="59"/>
      <c r="K58" s="11"/>
      <c r="L58" s="11"/>
      <c r="M58" s="11"/>
      <c r="N58" s="11"/>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1"/>
    </row>
    <row r="59" spans="1:41" x14ac:dyDescent="0.25">
      <c r="A59" s="65" t="s">
        <v>14</v>
      </c>
      <c r="B59" s="66"/>
      <c r="C59" s="11"/>
      <c r="D59" s="11"/>
      <c r="E59" s="11"/>
      <c r="F59" s="11"/>
      <c r="G59" s="11"/>
      <c r="H59" s="88" t="s">
        <v>80</v>
      </c>
      <c r="I59" s="136" t="str">
        <f>IF(_epmOfflineCondition_,"T3",_xll.EVPRO($B$1,$H59,"STYLE"))</f>
        <v>T3</v>
      </c>
      <c r="J59" s="136" t="str">
        <f>IF(_epmOfflineCondition_,"Y",_xll.EVPRO($B$1,$H59,"CALC"))</f>
        <v>Y</v>
      </c>
      <c r="K59" s="106"/>
      <c r="L59" s="106"/>
      <c r="M59" s="106"/>
      <c r="N59" s="106" t="str">
        <f>IF(_epmOfflineCondition_,"Total Expenses",IF(_xll.EVDES(H59,$B$1)="#NODATA","",_xll.EVDES(H59,$B$1)))</f>
        <v>Total Expenses</v>
      </c>
      <c r="O59" s="242"/>
      <c r="P59" s="242"/>
      <c r="Q59" s="242"/>
      <c r="R59" s="242"/>
      <c r="S59" s="242"/>
      <c r="T59" s="242"/>
      <c r="U59" s="242"/>
      <c r="V59" s="242"/>
      <c r="W59" s="242"/>
      <c r="X59" s="242"/>
      <c r="Y59" s="242"/>
      <c r="Z59" s="242"/>
      <c r="AA59" s="242">
        <f>IF($I59="B1","",SUM(O59:Z59))</f>
        <v>0</v>
      </c>
      <c r="AB59" s="243" t="str">
        <f>IF(AA59=0,"",IFERROR(AA59/AA$19,""))</f>
        <v/>
      </c>
      <c r="AC59" s="140"/>
      <c r="AD59" s="242"/>
      <c r="AE59" s="243" t="str">
        <f>IF(AD59=0,"",IFERROR(AD59/AD$19,""))</f>
        <v/>
      </c>
      <c r="AF59" s="254">
        <f>IF(AND($AA59="",AD59=""),"",$AA59-AD59)</f>
        <v>0</v>
      </c>
      <c r="AG59" s="255"/>
      <c r="AH59" s="256" t="str">
        <f>IF(AG59=0,"",IFERROR(AG59/AG$19,""))</f>
        <v/>
      </c>
      <c r="AI59" s="254">
        <f>IF(AND($AA59="",AG59=""),"",$AA59-AG59)</f>
        <v>0</v>
      </c>
      <c r="AJ59" s="435">
        <f>IFERROR(AA59/AA$20,0)</f>
        <v>0</v>
      </c>
      <c r="AK59" s="436">
        <f>IFERROR(AD59/AD$20,0)</f>
        <v>0</v>
      </c>
      <c r="AL59" s="437">
        <f>IFERROR(AG59/AG$20,0)</f>
        <v>0</v>
      </c>
      <c r="AM59" s="438">
        <f>+IFERROR(ROUND(($AB59-AE59)*100,2)&amp;" pts.",0)</f>
        <v>0</v>
      </c>
      <c r="AN59" s="547">
        <f>+IFERROR(ROUND(($AB59-AH59)*100,2)&amp;" pts.",0)</f>
        <v>0</v>
      </c>
      <c r="AO59" s="11"/>
    </row>
    <row r="60" spans="1:41" ht="15.75" thickBot="1" x14ac:dyDescent="0.3">
      <c r="A60" s="65" t="s">
        <v>15</v>
      </c>
      <c r="B60" s="66"/>
      <c r="C60" s="11"/>
      <c r="D60" s="11"/>
      <c r="E60" s="11"/>
      <c r="F60" s="11"/>
      <c r="G60" s="11"/>
      <c r="H60" s="88" t="s">
        <v>81</v>
      </c>
      <c r="I60" s="136" t="str">
        <f>IF(_epmOfflineCondition_,"T3",_xll.EVPRO($B$1,$H60,"STYLE"))</f>
        <v>T3</v>
      </c>
      <c r="J60" s="136" t="str">
        <f>IF(_epmOfflineCondition_,"Y",_xll.EVPRO($B$1,$H60,"CALC"))</f>
        <v>Y</v>
      </c>
      <c r="K60" s="106"/>
      <c r="L60" s="106"/>
      <c r="M60" s="106"/>
      <c r="N60" s="106" t="str">
        <f>IF(_epmOfflineCondition_,"Department Profit (Loss)",IF(_xll.EVDES(H60,$B$1)="#NODATA","",_xll.EVDES(H60,$B$1)))</f>
        <v>Department Profit (Loss)</v>
      </c>
      <c r="O60" s="165"/>
      <c r="P60" s="165"/>
      <c r="Q60" s="165"/>
      <c r="R60" s="165"/>
      <c r="S60" s="165"/>
      <c r="T60" s="165"/>
      <c r="U60" s="165"/>
      <c r="V60" s="165"/>
      <c r="W60" s="165"/>
      <c r="X60" s="165"/>
      <c r="Y60" s="165"/>
      <c r="Z60" s="165"/>
      <c r="AA60" s="165">
        <f>IF($I60="B1","",SUM(O60:Z60))</f>
        <v>0</v>
      </c>
      <c r="AB60" s="166" t="str">
        <f>IF(AA60=0,"",IFERROR(AA60/AA$19,""))</f>
        <v/>
      </c>
      <c r="AC60" s="140"/>
      <c r="AD60" s="165"/>
      <c r="AE60" s="166" t="str">
        <f>IF(AD60=0,"",IFERROR(AD60/AD$19,""))</f>
        <v/>
      </c>
      <c r="AF60" s="167">
        <f>IF(AND($AA60="",AD60=""),"",$AA60-AD60)</f>
        <v>0</v>
      </c>
      <c r="AG60" s="165"/>
      <c r="AH60" s="166" t="str">
        <f>IF(AG60=0,"",IFERROR(AG60/AG$19,""))</f>
        <v/>
      </c>
      <c r="AI60" s="167">
        <f>IF(AND($AA60="",AG60=""),"",$AA60-AG60)</f>
        <v>0</v>
      </c>
      <c r="AJ60" s="452">
        <f>IFERROR(AA60/AA$20,0)</f>
        <v>0</v>
      </c>
      <c r="AK60" s="453">
        <f>IFERROR(AD60/AD$20,0)</f>
        <v>0</v>
      </c>
      <c r="AL60" s="454">
        <f>IFERROR(AG60/AG$20,0)</f>
        <v>0</v>
      </c>
      <c r="AM60" s="455">
        <f>+IFERROR(ROUND(($AB60-AE60)*100,2)&amp;" pts.",0)</f>
        <v>0</v>
      </c>
      <c r="AN60" s="548">
        <f>+IFERROR(ROUND(($AB60-AH60)*100,2)&amp;" pts.",0)</f>
        <v>0</v>
      </c>
      <c r="AO60" s="11"/>
    </row>
    <row r="61" spans="1:41" ht="15.75" thickTop="1" x14ac:dyDescent="0.25">
      <c r="A61" s="65" t="s">
        <v>16</v>
      </c>
      <c r="B61" s="66"/>
      <c r="C61" s="11"/>
      <c r="D61" s="11"/>
      <c r="E61" s="11"/>
      <c r="F61" s="11"/>
      <c r="G61" s="11"/>
      <c r="H61" s="11"/>
      <c r="I61" s="59"/>
      <c r="J61" s="59"/>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25">
      <c r="A62" s="65" t="s">
        <v>17</v>
      </c>
      <c r="B62" s="66"/>
      <c r="C62" s="11"/>
      <c r="D62" s="11"/>
      <c r="E62" s="11"/>
      <c r="F62" s="11"/>
      <c r="G62" s="11"/>
      <c r="H62" s="11"/>
      <c r="I62" s="59"/>
      <c r="J62" s="59"/>
      <c r="K62" s="11"/>
      <c r="L62" s="11"/>
      <c r="M62" s="11"/>
      <c r="N62" s="104" t="str">
        <f>N59&amp;" - Check"</f>
        <v>Total Expenses - Check</v>
      </c>
      <c r="O62" s="209">
        <f t="shared" ref="O62:AA62" si="1">SUMIF($H$34:$H$60,"600000",O$34:O$60)+SUMIF($H$34:$H$60,"700000",O$34:O$60)-SUMIF($H$34:$H$60,"TOTDEPTEXP",O$34:O$60)</f>
        <v>0</v>
      </c>
      <c r="P62" s="209">
        <f t="shared" si="1"/>
        <v>0</v>
      </c>
      <c r="Q62" s="209">
        <f t="shared" si="1"/>
        <v>0</v>
      </c>
      <c r="R62" s="209">
        <f t="shared" si="1"/>
        <v>0</v>
      </c>
      <c r="S62" s="209">
        <f t="shared" si="1"/>
        <v>0</v>
      </c>
      <c r="T62" s="209">
        <f t="shared" si="1"/>
        <v>0</v>
      </c>
      <c r="U62" s="209">
        <f t="shared" si="1"/>
        <v>0</v>
      </c>
      <c r="V62" s="209">
        <f t="shared" si="1"/>
        <v>0</v>
      </c>
      <c r="W62" s="209">
        <f t="shared" si="1"/>
        <v>0</v>
      </c>
      <c r="X62" s="209">
        <f t="shared" si="1"/>
        <v>0</v>
      </c>
      <c r="Y62" s="209">
        <f t="shared" si="1"/>
        <v>0</v>
      </c>
      <c r="Z62" s="209">
        <f t="shared" si="1"/>
        <v>0</v>
      </c>
      <c r="AA62" s="209">
        <f t="shared" si="1"/>
        <v>0</v>
      </c>
      <c r="AB62" s="100"/>
      <c r="AC62" s="11"/>
      <c r="AD62" s="209">
        <f>SUMIF($H$34:$H$60,"600000",AD$34:AD$60)+SUMIF($H$34:$H$60,"700000",AD$34:AD$60)-SUMIF($H$34:$H$60,"TOTDEPTEXP",AD$34:AD$60)</f>
        <v>0</v>
      </c>
      <c r="AE62" s="100"/>
      <c r="AF62" s="91"/>
      <c r="AG62" s="209">
        <f>SUMIF($H$34:$H$60,"600000",AG$34:AG$60)+SUMIF($H$34:$H$60,"700000",AG$34:AG$60)-SUMIF($H$34:$H$60,"TOTDEPTEXP",AG$34:AG$60)</f>
        <v>0</v>
      </c>
      <c r="AH62" s="100"/>
      <c r="AI62" s="91"/>
      <c r="AJ62" s="11"/>
      <c r="AK62" s="11"/>
      <c r="AL62" s="11"/>
      <c r="AM62" s="11"/>
      <c r="AN62" s="11"/>
      <c r="AO62" s="11"/>
    </row>
    <row r="63" spans="1:41" x14ac:dyDescent="0.25">
      <c r="A63" s="11"/>
      <c r="B63" s="11"/>
      <c r="C63" s="11"/>
      <c r="D63" s="11"/>
      <c r="E63" s="11"/>
      <c r="F63" s="11"/>
      <c r="G63" s="11"/>
      <c r="H63" s="11"/>
      <c r="I63" s="59"/>
      <c r="J63" s="59"/>
      <c r="K63" s="11"/>
      <c r="L63" s="11"/>
      <c r="M63" s="11"/>
      <c r="N63" s="104" t="str">
        <f>N60&amp;" - Check"</f>
        <v>Department Profit (Loss) - Check</v>
      </c>
      <c r="O63" s="209">
        <f t="shared" ref="O63:AA63" si="2">SUMIF($H$34:$H$60,"KPI_GP",O$34:O$60)-SUMIF($H$34:$H$60,"TOTDEPTEXP",O$34:O$60)-SUMIF($H$34:$H$60,"TOTDEPTPL",O$34:O$60)</f>
        <v>0</v>
      </c>
      <c r="P63" s="209">
        <f t="shared" si="2"/>
        <v>0</v>
      </c>
      <c r="Q63" s="209">
        <f t="shared" si="2"/>
        <v>0</v>
      </c>
      <c r="R63" s="209">
        <f t="shared" si="2"/>
        <v>0</v>
      </c>
      <c r="S63" s="209">
        <f t="shared" si="2"/>
        <v>0</v>
      </c>
      <c r="T63" s="209">
        <f t="shared" si="2"/>
        <v>0</v>
      </c>
      <c r="U63" s="209">
        <f t="shared" si="2"/>
        <v>0</v>
      </c>
      <c r="V63" s="209">
        <f t="shared" si="2"/>
        <v>0</v>
      </c>
      <c r="W63" s="209">
        <f t="shared" si="2"/>
        <v>0</v>
      </c>
      <c r="X63" s="209">
        <f t="shared" si="2"/>
        <v>0</v>
      </c>
      <c r="Y63" s="209">
        <f t="shared" si="2"/>
        <v>0</v>
      </c>
      <c r="Z63" s="209">
        <f t="shared" si="2"/>
        <v>0</v>
      </c>
      <c r="AA63" s="209">
        <f t="shared" si="2"/>
        <v>0</v>
      </c>
      <c r="AB63" s="100"/>
      <c r="AC63" s="11"/>
      <c r="AD63" s="209">
        <f>SUMIF($H$34:$H$60,"KPI_GP",AD$34:AD$60)-SUMIF($H$34:$H$60,"TOTDEPTEXP",AD$34:AD$60)-SUMIF($H$34:$H$60,"TOTDEPTPL",AD$34:AD$60)</f>
        <v>0</v>
      </c>
      <c r="AE63" s="100"/>
      <c r="AF63" s="91"/>
      <c r="AG63" s="209">
        <f>SUMIF($H$34:$H$60,"KPI_GP",AG$34:AG$60)-SUMIF($H$34:$H$60,"TOTDEPTEXP",AG$34:AG$60)-SUMIF($H$34:$H$60,"TOTDEPTPL",AG$34:AG$60)</f>
        <v>0</v>
      </c>
      <c r="AH63" s="100"/>
      <c r="AI63" s="91"/>
      <c r="AJ63" s="11"/>
      <c r="AK63" s="11"/>
      <c r="AL63" s="11"/>
      <c r="AM63" s="11"/>
      <c r="AN63" s="11"/>
      <c r="AO63" s="11"/>
    </row>
    <row r="64" spans="1:41" x14ac:dyDescent="0.25">
      <c r="A64" s="97" t="s">
        <v>92</v>
      </c>
      <c r="B64" s="98" t="s">
        <v>93</v>
      </c>
      <c r="C64" s="98" t="s">
        <v>94</v>
      </c>
      <c r="D64" s="98" t="s">
        <v>95</v>
      </c>
      <c r="E64" s="98" t="s">
        <v>96</v>
      </c>
      <c r="F64" s="99" t="s">
        <v>97</v>
      </c>
      <c r="G64" s="11"/>
      <c r="H64" s="11"/>
      <c r="I64" s="59"/>
      <c r="J64" s="59"/>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25">
      <c r="A65" s="11"/>
      <c r="B65" s="11"/>
      <c r="C65" s="11"/>
      <c r="D65" s="11"/>
      <c r="E65" s="11"/>
      <c r="F65" s="11"/>
      <c r="G65" s="11"/>
      <c r="H65" s="11"/>
      <c r="I65" s="59"/>
      <c r="J65" s="59"/>
      <c r="K65" s="11"/>
      <c r="L65" s="11"/>
      <c r="M65" s="11"/>
      <c r="N65" s="11"/>
      <c r="O65" s="137"/>
      <c r="P65" s="137"/>
      <c r="Q65" s="137"/>
      <c r="R65" s="137"/>
      <c r="S65" s="137"/>
      <c r="T65" s="137"/>
      <c r="U65" s="137"/>
      <c r="V65" s="137"/>
      <c r="W65" s="137"/>
      <c r="X65" s="137"/>
      <c r="Y65" s="137"/>
      <c r="Z65" s="137"/>
      <c r="AA65" s="137"/>
      <c r="AB65" s="11"/>
      <c r="AC65" s="11"/>
      <c r="AD65" s="137"/>
      <c r="AE65" s="11"/>
      <c r="AF65" s="11"/>
      <c r="AG65" s="137"/>
      <c r="AH65" s="11"/>
      <c r="AI65" s="11"/>
      <c r="AJ65" s="11"/>
      <c r="AK65" s="11"/>
      <c r="AL65" s="11"/>
      <c r="AM65" s="11"/>
      <c r="AN65" s="11"/>
      <c r="AO65" s="11"/>
    </row>
    <row r="66" spans="1:41" x14ac:dyDescent="0.25">
      <c r="A66" s="11" t="s">
        <v>105</v>
      </c>
      <c r="B66" s="11"/>
      <c r="C66" s="104" t="s">
        <v>101</v>
      </c>
      <c r="D66" s="11" t="s">
        <v>106</v>
      </c>
      <c r="E66" s="11"/>
      <c r="F66" s="11" t="s">
        <v>98</v>
      </c>
      <c r="G66" s="11"/>
      <c r="H66" s="11"/>
      <c r="I66" s="59"/>
      <c r="J66" s="59"/>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25">
      <c r="A67" s="11" t="s">
        <v>108</v>
      </c>
      <c r="B67" s="11"/>
      <c r="C67" s="106" t="s">
        <v>101</v>
      </c>
      <c r="D67" s="11" t="s">
        <v>106</v>
      </c>
      <c r="E67" s="11"/>
      <c r="F67" s="11" t="s">
        <v>98</v>
      </c>
      <c r="G67" s="11"/>
      <c r="H67" s="11"/>
      <c r="I67" s="59"/>
      <c r="J67" s="59"/>
      <c r="K67" s="11"/>
      <c r="L67" s="11"/>
      <c r="M67" s="11"/>
      <c r="N67" s="11"/>
      <c r="O67" s="137"/>
      <c r="P67" s="137"/>
      <c r="Q67" s="137"/>
      <c r="R67" s="137"/>
      <c r="S67" s="137"/>
      <c r="T67" s="137"/>
      <c r="U67" s="137"/>
      <c r="V67" s="137"/>
      <c r="W67" s="137"/>
      <c r="X67" s="137"/>
      <c r="Y67" s="137"/>
      <c r="Z67" s="137"/>
      <c r="AA67" s="137"/>
      <c r="AB67" s="11"/>
      <c r="AC67" s="11"/>
      <c r="AD67" s="137"/>
      <c r="AE67" s="11"/>
      <c r="AF67" s="11"/>
      <c r="AG67" s="137"/>
      <c r="AH67" s="11"/>
      <c r="AI67" s="11"/>
      <c r="AJ67" s="11"/>
      <c r="AK67" s="11"/>
      <c r="AL67" s="11"/>
      <c r="AM67" s="11"/>
      <c r="AN67" s="11"/>
      <c r="AO67" s="11"/>
    </row>
    <row r="68" spans="1:41" x14ac:dyDescent="0.25">
      <c r="A68" s="11" t="s">
        <v>108</v>
      </c>
      <c r="B68" s="11"/>
      <c r="C68" s="196" t="s">
        <v>101</v>
      </c>
      <c r="D68" s="11" t="s">
        <v>107</v>
      </c>
      <c r="E68" s="11"/>
      <c r="F68" s="11" t="s">
        <v>99</v>
      </c>
      <c r="G68" s="11"/>
      <c r="H68" s="11"/>
      <c r="I68" s="59"/>
      <c r="J68" s="59"/>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11"/>
      <c r="B69" s="11"/>
      <c r="C69" s="11"/>
      <c r="D69" s="11"/>
      <c r="E69" s="11"/>
      <c r="F69" s="11"/>
      <c r="G69" s="11"/>
      <c r="H69" s="11"/>
      <c r="I69" s="59"/>
      <c r="J69" s="59"/>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25">
      <c r="A70" s="11"/>
      <c r="B70" s="11"/>
      <c r="C70" s="208"/>
      <c r="D70" s="11"/>
      <c r="E70" s="11"/>
      <c r="F70" s="11"/>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25">
      <c r="A71" s="61" t="str">
        <f>IF(_epmOfflineCondition_,"Evdre:Ok",_xll.EVDRE($B$1,A74:B81,A84:B90))</f>
        <v>Evdre:Ok</v>
      </c>
      <c r="B71" s="11"/>
      <c r="C71" s="11"/>
      <c r="D71" s="11"/>
      <c r="E71" s="11"/>
      <c r="F71" s="11"/>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11"/>
      <c r="B72" s="11"/>
      <c r="C72" s="11"/>
      <c r="D72" s="11"/>
      <c r="E72" s="11"/>
      <c r="F72" s="11"/>
      <c r="G72" s="11"/>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62" t="s">
        <v>0</v>
      </c>
      <c r="B73" s="63" t="s">
        <v>1</v>
      </c>
      <c r="C73" s="11"/>
      <c r="D73" s="11"/>
      <c r="E73" s="11"/>
      <c r="F73" s="11"/>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25">
      <c r="A74" s="65" t="s">
        <v>2</v>
      </c>
      <c r="B74" s="66" t="str">
        <f>IF(_epmOfflineCondition_,"'Parking'!$B$2:$B$10",_xll.EVRNG($B$2:$B$10))</f>
        <v>'Parking'!$B$2:$B$10</v>
      </c>
      <c r="C74" s="11"/>
      <c r="D74" s="11"/>
      <c r="E74" s="11"/>
      <c r="F74" s="11"/>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25">
      <c r="A75" s="65" t="s">
        <v>3</v>
      </c>
      <c r="B75" s="66" t="str">
        <f>IF(_epmOfflineCondition_,"'Parking'!$O$16:$AN$18",_xll.EVRNG($O$16:$AN$18))</f>
        <v>'Parking'!$O$16:$AN$18</v>
      </c>
      <c r="C75" s="11"/>
      <c r="D75" s="11"/>
      <c r="E75" s="11"/>
      <c r="F75" s="11"/>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65" t="s">
        <v>4</v>
      </c>
      <c r="B76" s="66" t="str">
        <f>IF(_epmOfflineCondition_,"'Parking'!$H$48:$H$49,'Parking'!$H$51:$H$52,'Parking'!$H$55:$H$56",_xll.EVRNG(H48:H49,H51:H52,H55:H56))</f>
        <v>'Parking'!$H$48:$H$49,'Parking'!$H$51:$H$52,'Parking'!$H$55:$H$56</v>
      </c>
      <c r="C76" s="11"/>
      <c r="D76" s="11"/>
      <c r="E76" s="11"/>
      <c r="F76" s="11"/>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25">
      <c r="A77" s="65" t="s">
        <v>5</v>
      </c>
      <c r="B77" s="66"/>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65" t="s">
        <v>6</v>
      </c>
      <c r="B78" s="66"/>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65" t="s">
        <v>7</v>
      </c>
      <c r="B79" s="66" t="str">
        <f>IF(_epmOfflineCondition_,"'Parking'!$A$93:$F$99",_xll.EVRNG(A93:F99))</f>
        <v>'Parking'!$A$93:$F$99</v>
      </c>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65" t="s">
        <v>47</v>
      </c>
      <c r="B80" s="66" t="str">
        <f>IF(_epmOfflineCondition_,"'Parking'!$A$116:$B$137",_xll.EVRNG($A$116:$B$137))</f>
        <v>'Parking'!$A$116:$B$137</v>
      </c>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65" t="s">
        <v>8</v>
      </c>
      <c r="B81" s="66"/>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62" t="s">
        <v>9</v>
      </c>
      <c r="B83" s="63" t="s">
        <v>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11</v>
      </c>
      <c r="B84" s="66" t="s">
        <v>21</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65" t="s">
        <v>12</v>
      </c>
      <c r="B85" s="66" t="s">
        <v>22</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13</v>
      </c>
      <c r="B86" s="66" t="s">
        <v>737</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14</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15</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65" t="s">
        <v>16</v>
      </c>
      <c r="B89" s="66" t="s">
        <v>78</v>
      </c>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17</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97" t="s">
        <v>92</v>
      </c>
      <c r="B92" s="98" t="s">
        <v>93</v>
      </c>
      <c r="C92" s="98" t="s">
        <v>94</v>
      </c>
      <c r="D92" s="98" t="s">
        <v>95</v>
      </c>
      <c r="E92" s="98" t="s">
        <v>96</v>
      </c>
      <c r="F92" s="99" t="s">
        <v>97</v>
      </c>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11"/>
      <c r="B93" s="11"/>
      <c r="C93" s="11"/>
      <c r="D93" s="11"/>
      <c r="E93" s="11"/>
      <c r="F93" s="11"/>
      <c r="G93" s="11"/>
      <c r="H93" s="59"/>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11" t="s">
        <v>108</v>
      </c>
      <c r="B94" s="11"/>
      <c r="C94" s="104" t="s">
        <v>101</v>
      </c>
      <c r="D94" s="11" t="s">
        <v>106</v>
      </c>
      <c r="E94" s="11"/>
      <c r="F94" s="11" t="s">
        <v>98</v>
      </c>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11" t="s">
        <v>100</v>
      </c>
      <c r="B95" s="11"/>
      <c r="C95" s="53" t="s">
        <v>101</v>
      </c>
      <c r="D95" s="11" t="s">
        <v>106</v>
      </c>
      <c r="E95" s="11"/>
      <c r="F95" s="11" t="s">
        <v>98</v>
      </c>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11" t="s">
        <v>109</v>
      </c>
      <c r="B96" s="11"/>
      <c r="C96" s="106" t="s">
        <v>101</v>
      </c>
      <c r="D96" s="11" t="s">
        <v>106</v>
      </c>
      <c r="E96" s="11"/>
      <c r="F96" s="11" t="s">
        <v>98</v>
      </c>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11" t="s">
        <v>109</v>
      </c>
      <c r="B97" s="11"/>
      <c r="C97" s="196" t="s">
        <v>101</v>
      </c>
      <c r="D97" s="11" t="s">
        <v>107</v>
      </c>
      <c r="E97" s="11"/>
      <c r="F97" s="11" t="s">
        <v>99</v>
      </c>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11" t="s">
        <v>110</v>
      </c>
      <c r="B98" s="11"/>
      <c r="C98" s="106" t="s">
        <v>101</v>
      </c>
      <c r="D98" s="11" t="s">
        <v>106</v>
      </c>
      <c r="E98" s="11"/>
      <c r="F98" s="11" t="s">
        <v>98</v>
      </c>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11" t="s">
        <v>110</v>
      </c>
      <c r="B99" s="11"/>
      <c r="C99" s="109" t="s">
        <v>101</v>
      </c>
      <c r="D99" s="11" t="s">
        <v>107</v>
      </c>
      <c r="E99" s="11"/>
      <c r="F99" s="11" t="s">
        <v>99</v>
      </c>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208"/>
      <c r="D100" s="11"/>
      <c r="E100" s="11"/>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61" t="str">
        <f>IF(_epmOfflineCondition_,"Evdre:Ok",_xll.EVDRE($B$1,A105:B112))</f>
        <v>Evdre:Ok</v>
      </c>
      <c r="B102" s="11" t="s">
        <v>736</v>
      </c>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62" t="s">
        <v>0</v>
      </c>
      <c r="B104" s="63" t="s">
        <v>1</v>
      </c>
      <c r="C104" s="11"/>
      <c r="D104" s="11"/>
      <c r="E104" s="11"/>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65" t="s">
        <v>2</v>
      </c>
      <c r="B105" s="66" t="str">
        <f>IF(_epmOfflineCondition_,"'Parking'!$B$2:$B$10",_xll.EVRNG($B$2:$B$10))</f>
        <v>'Parking'!$B$2:$B$10</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65" t="s">
        <v>3</v>
      </c>
      <c r="B106" s="66" t="str">
        <f>IF(_epmOfflineCondition_,"'Parking'!$O$16:$AN$18",_xll.EVRNG($O$16:$AN$18))</f>
        <v>'Parking'!$O$16:$AN$18</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65" t="s">
        <v>4</v>
      </c>
      <c r="B107" s="66" t="str">
        <f>IF(_epmOfflineCondition_,"'Parking'!$H$57:$H$60",_xll.EVRNG(H57:H60))</f>
        <v>'Parking'!$H$57:$H$60</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65" t="s">
        <v>5</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65" t="s">
        <v>6</v>
      </c>
      <c r="B109" s="66"/>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65" t="s">
        <v>7</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5" t="s">
        <v>47</v>
      </c>
      <c r="B111" s="66" t="str">
        <f>IF(_epmOfflineCondition_,"'Parking'!$A$116:$B$137",_xll.EVRNG($A$116:$B$137))</f>
        <v>'Parking'!$A$116:$B$137</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65" t="s">
        <v>8</v>
      </c>
      <c r="B112" s="66"/>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2" t="s">
        <v>23</v>
      </c>
      <c r="B115" s="63" t="s">
        <v>24</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25</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26</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27</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28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29</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30</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65" t="s">
        <v>31</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65" t="s">
        <v>32</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5" t="s">
        <v>33</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34</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35</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36</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37</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38</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39</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40</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41</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42</v>
      </c>
      <c r="B133" s="66"/>
      <c r="C133" s="11"/>
      <c r="D133" s="11"/>
      <c r="E133" s="11"/>
      <c r="F133" s="11"/>
      <c r="G133" s="11"/>
      <c r="H133" s="11"/>
      <c r="I133" s="267"/>
      <c r="J133" s="11"/>
      <c r="K133" s="267"/>
      <c r="L133" s="267"/>
      <c r="M133" s="267"/>
      <c r="N133" s="11"/>
      <c r="O133" s="267"/>
      <c r="P133" s="267"/>
      <c r="Q133" s="267"/>
      <c r="R133" s="267"/>
      <c r="S133" s="267"/>
      <c r="T133" s="267"/>
      <c r="U133" s="267"/>
      <c r="V133" s="267"/>
      <c r="W133" s="267"/>
      <c r="X133" s="267"/>
      <c r="Y133" s="267"/>
      <c r="Z133" s="267"/>
      <c r="AA133" s="267"/>
      <c r="AB133" s="11"/>
      <c r="AC133" s="11"/>
      <c r="AD133" s="267"/>
      <c r="AE133" s="11"/>
      <c r="AF133" s="267"/>
      <c r="AG133" s="11"/>
      <c r="AH133" s="267"/>
      <c r="AI133" s="11"/>
      <c r="AJ133" s="11"/>
      <c r="AK133" s="11"/>
      <c r="AL133" s="11"/>
      <c r="AM133" s="11"/>
      <c r="AN133" s="11"/>
      <c r="AO133" s="11"/>
    </row>
    <row r="134" spans="1:41" x14ac:dyDescent="0.25">
      <c r="A134" s="65" t="s">
        <v>43</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44</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45</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46</v>
      </c>
      <c r="B137" s="66"/>
      <c r="C137" s="11"/>
      <c r="D137" s="11"/>
      <c r="E137" s="11"/>
      <c r="F137" s="11"/>
      <c r="G137" s="11"/>
      <c r="H137" s="11"/>
      <c r="I137" s="267"/>
      <c r="J137" s="11"/>
      <c r="K137" s="267"/>
      <c r="L137" s="267"/>
      <c r="M137" s="267"/>
      <c r="N137" s="11"/>
      <c r="O137" s="267"/>
      <c r="P137" s="267"/>
      <c r="Q137" s="267"/>
      <c r="R137" s="267"/>
      <c r="S137" s="267"/>
      <c r="T137" s="267"/>
      <c r="U137" s="267"/>
      <c r="V137" s="267"/>
      <c r="W137" s="267"/>
      <c r="X137" s="267"/>
      <c r="Y137" s="267"/>
      <c r="Z137" s="267"/>
      <c r="AA137" s="267"/>
      <c r="AB137" s="11"/>
      <c r="AC137" s="11"/>
      <c r="AD137" s="267"/>
      <c r="AE137" s="11"/>
      <c r="AF137" s="267"/>
      <c r="AG137" s="11"/>
      <c r="AH137" s="267"/>
      <c r="AI137" s="11"/>
      <c r="AJ137" s="11"/>
      <c r="AK137" s="11"/>
      <c r="AL137" s="11"/>
      <c r="AM137" s="11"/>
      <c r="AN137" s="11"/>
      <c r="AO137" s="11"/>
    </row>
    <row r="138" spans="1:41" x14ac:dyDescent="0.2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267"/>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267"/>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267"/>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267"/>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sheetData>
  <sheetProtection algorithmName="SHA-512" hashValue="NTvwefxQ/6yX0hWy5M+65Z+JfMHhBlqkTBfs599JjDv/jl3AQQuypca7Nr5O8DDTOHzcoai9Bc+RskqQ4W/H6A==" saltValue="x8zSWDsNu2/n4LdwGy1xlA==" spinCount="100000" sheet="1" scenarios="1"/>
  <mergeCells count="2">
    <mergeCell ref="AD31:AE31"/>
    <mergeCell ref="AG31:AH31"/>
  </mergeCells>
  <dataValidations disablePrompts="1" count="2">
    <dataValidation type="list" allowBlank="1" sqref="B57 B85 B28" xr:uid="{00000000-0002-0000-2100-000000000000}">
      <formula1>"ACCOUNT,BUSINESSUNIT,CATEGORY,DATASRC,DEPARTMENT,INTCO,MEASURES,RPTCURRENCY,TIME"</formula1>
    </dataValidation>
    <dataValidation type="list" allowBlank="1" sqref="B58 B29 B86" xr:uid="{00000000-0002-0000-21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6872"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36872" r:id="rId7" name="FPMExcelClientSheetOptionstb1"/>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tabColor theme="9" tint="0.39997558519241921"/>
    <pageSetUpPr fitToPage="1"/>
  </sheetPr>
  <dimension ref="A1:AO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386</v>
      </c>
      <c r="C6" s="11" t="str">
        <f>IF(_epmOfflineCondition_,"Retail Shop",_xll.EVDES(B6,$B$1))</f>
        <v>Retail Shop</v>
      </c>
      <c r="D6" s="11"/>
      <c r="E6" s="58" t="str">
        <f>IF(_epmOfflineCondition_,"D1136",_xll.EVPRO($B$1,$B$6,$F$6))</f>
        <v>D1136</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IF(_epmOfflineCondition_,"'Retail'!$B$2:$B$10",_xll.EVRNG($B$2:$B$10))</f>
        <v>'Retail'!$B$2:$B$10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IF(_epmOfflineCondition_,"'Retail'!$O$16:$AN$18",_xll.EVRNG($O$16:$AN$18))</f>
        <v>'Retail'!$O$16:$AN$18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IF(_epmOfflineCondition_,"'Retail'!$H$34:$H$44",_xll.EVRNG(H34:H44))</f>
        <v>'Retail'!$H$34:$H$44</v>
      </c>
      <c r="C19" s="11"/>
      <c r="D19" s="11"/>
      <c r="E19" s="11"/>
      <c r="F19" s="11"/>
      <c r="G19" s="67" t="str">
        <f>$B$6</f>
        <v>D1136</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2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IF(_epmOfflineCondition_,3762,_xll.EVGTS($B$1,1,$B$3,$B$5,$B$7,$B$9,O$16,O$17,O$18,$G$20,$H$20))</f>
        <v>3762</v>
      </c>
      <c r="P20" s="69">
        <f>IF(_epmOfflineCondition_,3568,_xll.EVGTS($B$1,1,$B$3,$B$5,$B$7,$B$9,P$16,P$17,P$18,$G$20,$H$20))</f>
        <v>3568</v>
      </c>
      <c r="Q20" s="69">
        <f>IF(_epmOfflineCondition_,3855,_xll.EVGTS($B$1,1,$B$3,$B$5,$B$7,$B$9,Q$16,Q$17,Q$18,$G$20,$H$20))</f>
        <v>3855</v>
      </c>
      <c r="R20" s="69">
        <f>IF(_epmOfflineCondition_,3602,_xll.EVGTS($B$1,1,$B$3,$B$5,$B$7,$B$9,R$16,R$17,R$18,$G$20,$H$20))</f>
        <v>3602</v>
      </c>
      <c r="S20" s="69">
        <f>IF(_epmOfflineCondition_,3580,_xll.EVGTS($B$1,1,$B$3,$B$5,$B$7,$B$9,S$16,S$17,S$18,$G$20,$H$20))</f>
        <v>3580</v>
      </c>
      <c r="T20" s="69">
        <f>IF(_epmOfflineCondition_,3259,_xll.EVGTS($B$1,1,$B$3,$B$5,$B$7,$B$9,T$16,T$17,T$18,$G$20,$H$20))</f>
        <v>3259</v>
      </c>
      <c r="U20" s="69">
        <f>IF(_epmOfflineCondition_,3548,_xll.EVGTS($B$1,1,$B$3,$B$5,$B$7,$B$9,U$16,U$17,U$18,$G$20,$H$20))</f>
        <v>3548</v>
      </c>
      <c r="V20" s="69">
        <f>IF(_epmOfflineCondition_,3348,_xll.EVGTS($B$1,1,$B$3,$B$5,$B$7,$B$9,V$16,V$17,V$18,$G$20,$H$20))</f>
        <v>3348</v>
      </c>
      <c r="W20" s="69">
        <f>IF(_epmOfflineCondition_,2744,_xll.EVGTS($B$1,1,$B$3,$B$5,$B$7,$B$9,W$16,W$17,W$18,$G$20,$H$20))</f>
        <v>2744</v>
      </c>
      <c r="X20" s="69">
        <f>IF(_epmOfflineCondition_,3076,_xll.EVGTS($B$1,1,$B$3,$B$5,$B$7,$B$9,X$16,X$17,X$18,$G$20,$H$20))</f>
        <v>3076</v>
      </c>
      <c r="Y20" s="69">
        <f>IF(_epmOfflineCondition_,3431,_xll.EVGTS($B$1,1,$B$3,$B$5,$B$7,$B$9,Y$16,Y$17,Y$18,$G$20,$H$20))</f>
        <v>3431</v>
      </c>
      <c r="Z20" s="69">
        <f>IF(_epmOfflineCondition_,3541,_xll.EVGTS($B$1,1,$B$3,$B$5,$B$7,$B$9,Z$16,Z$17,Z$18,$G$20,$H$20))</f>
        <v>3541</v>
      </c>
      <c r="AA20" s="69">
        <f>SUM(O20:Z20)</f>
        <v>41314</v>
      </c>
      <c r="AB20" s="67"/>
      <c r="AC20" s="67"/>
      <c r="AD20" s="69">
        <f>IF(_epmOfflineCondition_,39032,_xll.EVGTS($B$1,1,$B$3,$B$5,$B$7,$B$9,AD$16,AD$17,AD$18,$G$20,$H$20))</f>
        <v>39032</v>
      </c>
      <c r="AE20" s="67"/>
      <c r="AF20" s="67"/>
      <c r="AG20" s="69">
        <f>IF(_epmOfflineCondition_,40219,_xll.EVGTS($B$1,1,$B$3,$B$5,$B$7,$B$9,AG$16,AG$17,AG$18,$G$20,$H$20))</f>
        <v>40219</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IF(_epmOfflineCondition_,"'Retail'!$A$36:$F$39",_xll.EVRNG(A36:F39))</f>
        <v>'Retail'!$A$36:$F$39</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IF(_epmOfflineCondition_,"'Retail'!$A$115:$B$136",_xll.EVRNG($A$115:$B$136))</f>
        <v>'Retail'!$A$115:$B$136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IF(_epmOfflineCondition_,"Retail Shop Department",IF(_xll.EVDES(B6,$B$1)="#NODATA","",_xll.EVDES(B6,$B$1)&amp;" Department"))</f>
        <v>Retail Shop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"DEP(440000) AND "&amp;$E$6&amp;"=Y,400000"</f>
        <v>DEP(440000) AND D1136=Y,400000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88" t="s">
        <v>387</v>
      </c>
      <c r="I34" s="122" t="str">
        <f>IF(_epmOfflineCondition_,"N",_xll.EVPRO($B$1,$H34,"STYLE"))</f>
        <v>N</v>
      </c>
      <c r="J34" s="122" t="str">
        <f>IF(_epmOfflineCondition_,"N",_xll.EVPRO($B$1,$H34,"CALC"))</f>
        <v>N</v>
      </c>
      <c r="K34" s="179" t="str">
        <f t="shared" ref="K34:K44" si="0">IF(AND(I34&gt;="T5"),"&gt;","")</f>
        <v/>
      </c>
      <c r="L34" s="90" t="str">
        <f>IF(_epmOfflineCondition_,"440100",_xll.EVPRO($B$1,H34,"JDEID"))</f>
        <v>440100</v>
      </c>
      <c r="M34" s="90" t="str">
        <f>IF(_epmOfflineCondition_,"206036",IF(AND(I34="N",J34="N"),_xll.EVPRO($B$1,H34,"PSFTID"),""))</f>
        <v>206036</v>
      </c>
      <c r="N34" s="90" t="str">
        <f>IF(_epmOfflineCondition_,"Accessories",IF(_xll.EVDES(H34,$B$1)="#NODATA","",_xll.EVDES(H34,$B$1)))</f>
        <v>Accessories</v>
      </c>
      <c r="O34" s="138"/>
      <c r="P34" s="138"/>
      <c r="Q34" s="138"/>
      <c r="R34" s="138"/>
      <c r="S34" s="138"/>
      <c r="T34" s="138"/>
      <c r="U34" s="138"/>
      <c r="V34" s="138"/>
      <c r="W34" s="138"/>
      <c r="X34" s="138"/>
      <c r="Y34" s="138"/>
      <c r="Z34" s="138"/>
      <c r="AA34" s="210">
        <f t="shared" ref="AA34:AA44" si="1">IF($I34="B1","",SUM(O34:Z34))</f>
        <v>0</v>
      </c>
      <c r="AB34" s="142" t="str">
        <f t="shared" ref="AB34:AB44" si="2">IF(AA34=0,"",IFERROR(AA34/AA$19,""))</f>
        <v/>
      </c>
      <c r="AC34" s="140"/>
      <c r="AD34" s="138"/>
      <c r="AE34" s="142" t="str">
        <f t="shared" ref="AE34:AE44" si="3">IF(AD34=0,"",IFERROR(AD34/AD$19,""))</f>
        <v/>
      </c>
      <c r="AF34" s="141">
        <f t="shared" ref="AF34:AF44" si="4">IF(AND($AA34="",AD34=""),"",$AA34-AD34)</f>
        <v>0</v>
      </c>
      <c r="AG34" s="138"/>
      <c r="AH34" s="142" t="str">
        <f t="shared" ref="AH34:AH44" si="5">IF(AG34=0,"",IFERROR(AG34/AG$19,""))</f>
        <v/>
      </c>
      <c r="AI34" s="141">
        <f t="shared" ref="AI34:AI44" si="6">IF(AND($AA34="",AG34=""),"",$AA34-AG34)</f>
        <v>0</v>
      </c>
      <c r="AJ34" s="462">
        <f t="shared" ref="AJ34:AJ44" si="7">IFERROR(AA34/AA$20,0)</f>
        <v>0</v>
      </c>
      <c r="AK34" s="463">
        <f t="shared" ref="AK34:AK44" si="8">IFERROR(AD34/AD$20,0)</f>
        <v>0</v>
      </c>
      <c r="AL34" s="464">
        <f t="shared" ref="AL34:AL44" si="9">IFERROR(AG34/AG$20,0)</f>
        <v>0</v>
      </c>
      <c r="AM34" s="465">
        <f t="shared" ref="AM34:AM44" si="10">+IFERROR(ROUND(($AB34-AE34)*100,2)&amp;" pts.",0)</f>
        <v>0</v>
      </c>
      <c r="AN34" s="466">
        <f t="shared" ref="AN34:AN44" si="11">+IFERROR(ROUND(($AB34-AH34)*100,2)&amp;" pts.",0)</f>
        <v>0</v>
      </c>
      <c r="AO34" s="11"/>
    </row>
    <row r="35" spans="1:41" x14ac:dyDescent="0.25">
      <c r="A35" s="97" t="s">
        <v>92</v>
      </c>
      <c r="B35" s="98" t="s">
        <v>93</v>
      </c>
      <c r="C35" s="98" t="s">
        <v>94</v>
      </c>
      <c r="D35" s="98" t="s">
        <v>95</v>
      </c>
      <c r="E35" s="98" t="s">
        <v>96</v>
      </c>
      <c r="F35" s="99" t="s">
        <v>97</v>
      </c>
      <c r="G35" s="11"/>
      <c r="H35" s="88" t="s">
        <v>388</v>
      </c>
      <c r="I35" s="122" t="str">
        <f>IF(_epmOfflineCondition_,"N",_xll.EVPRO($B$1,$H35,"STYLE"))</f>
        <v>N</v>
      </c>
      <c r="J35" s="122" t="str">
        <f>IF(_epmOfflineCondition_,"N",_xll.EVPRO($B$1,$H35,"CALC"))</f>
        <v>N</v>
      </c>
      <c r="K35" s="179" t="str">
        <f t="shared" si="0"/>
        <v/>
      </c>
      <c r="L35" s="90" t="str">
        <f>IF(_epmOfflineCondition_,"440200",_xll.EVPRO($B$1,H35,"JDEID"))</f>
        <v>440200</v>
      </c>
      <c r="M35" s="90" t="str">
        <f>IF(_epmOfflineCondition_,"206037",IF(AND(I35="N",J35="N"),_xll.EVPRO($B$1,H35,"PSFTID"),""))</f>
        <v>206037</v>
      </c>
      <c r="N35" s="90" t="str">
        <f>IF(_epmOfflineCondition_,"Apparel",IF(_xll.EVDES(H35,$B$1)="#NODATA","",_xll.EVDES(H35,$B$1)))</f>
        <v>Apparel</v>
      </c>
      <c r="O35" s="138"/>
      <c r="P35" s="138"/>
      <c r="Q35" s="138"/>
      <c r="R35" s="138"/>
      <c r="S35" s="138"/>
      <c r="T35" s="138"/>
      <c r="U35" s="138"/>
      <c r="V35" s="138"/>
      <c r="W35" s="138"/>
      <c r="X35" s="138"/>
      <c r="Y35" s="138"/>
      <c r="Z35" s="138"/>
      <c r="AA35" s="210">
        <f t="shared" si="1"/>
        <v>0</v>
      </c>
      <c r="AB35" s="142" t="str">
        <f t="shared" si="2"/>
        <v/>
      </c>
      <c r="AC35" s="140"/>
      <c r="AD35" s="138"/>
      <c r="AE35" s="142" t="str">
        <f t="shared" si="3"/>
        <v/>
      </c>
      <c r="AF35" s="141">
        <f t="shared" si="4"/>
        <v>0</v>
      </c>
      <c r="AG35" s="138"/>
      <c r="AH35" s="142" t="str">
        <f t="shared" si="5"/>
        <v/>
      </c>
      <c r="AI35" s="141">
        <f t="shared" si="6"/>
        <v>0</v>
      </c>
      <c r="AJ35" s="462">
        <f t="shared" si="7"/>
        <v>0</v>
      </c>
      <c r="AK35" s="463">
        <f t="shared" si="8"/>
        <v>0</v>
      </c>
      <c r="AL35" s="464">
        <f t="shared" si="9"/>
        <v>0</v>
      </c>
      <c r="AM35" s="465">
        <f t="shared" si="10"/>
        <v>0</v>
      </c>
      <c r="AN35" s="466">
        <f t="shared" si="11"/>
        <v>0</v>
      </c>
      <c r="AO35" s="11"/>
    </row>
    <row r="36" spans="1:41" x14ac:dyDescent="0.25">
      <c r="A36" s="11"/>
      <c r="B36" s="11"/>
      <c r="C36" s="11"/>
      <c r="D36" s="11"/>
      <c r="E36" s="11"/>
      <c r="F36" s="11"/>
      <c r="G36" s="11"/>
      <c r="H36" s="88" t="s">
        <v>389</v>
      </c>
      <c r="I36" s="122" t="str">
        <f>IF(_epmOfflineCondition_,"N",_xll.EVPRO($B$1,$H36,"STYLE"))</f>
        <v>N</v>
      </c>
      <c r="J36" s="122" t="str">
        <f>IF(_epmOfflineCondition_,"N",_xll.EVPRO($B$1,$H36,"CALC"))</f>
        <v>N</v>
      </c>
      <c r="K36" s="179" t="str">
        <f t="shared" si="0"/>
        <v/>
      </c>
      <c r="L36" s="90" t="str">
        <f>IF(_epmOfflineCondition_,"440300",_xll.EVPRO($B$1,H36,"JDEID"))</f>
        <v>440300</v>
      </c>
      <c r="M36" s="90" t="str">
        <f>IF(_epmOfflineCondition_,"206038",IF(AND(I36="N",J36="N"),_xll.EVPRO($B$1,H36,"PSFTID"),""))</f>
        <v>206038</v>
      </c>
      <c r="N36" s="90" t="str">
        <f>IF(_epmOfflineCondition_,"Sundries",IF(_xll.EVDES(H36,$B$1)="#NODATA","",_xll.EVDES(H36,$B$1)))</f>
        <v>Sundries</v>
      </c>
      <c r="O36" s="138"/>
      <c r="P36" s="138"/>
      <c r="Q36" s="138"/>
      <c r="R36" s="138"/>
      <c r="S36" s="138"/>
      <c r="T36" s="138"/>
      <c r="U36" s="138"/>
      <c r="V36" s="138"/>
      <c r="W36" s="138"/>
      <c r="X36" s="138"/>
      <c r="Y36" s="138"/>
      <c r="Z36" s="138"/>
      <c r="AA36" s="210">
        <f t="shared" si="1"/>
        <v>0</v>
      </c>
      <c r="AB36" s="142" t="str">
        <f t="shared" si="2"/>
        <v/>
      </c>
      <c r="AC36" s="140"/>
      <c r="AD36" s="138"/>
      <c r="AE36" s="142" t="str">
        <f t="shared" si="3"/>
        <v/>
      </c>
      <c r="AF36" s="141">
        <f t="shared" si="4"/>
        <v>0</v>
      </c>
      <c r="AG36" s="138"/>
      <c r="AH36" s="142" t="str">
        <f t="shared" si="5"/>
        <v/>
      </c>
      <c r="AI36" s="141">
        <f t="shared" si="6"/>
        <v>0</v>
      </c>
      <c r="AJ36" s="462">
        <f t="shared" si="7"/>
        <v>0</v>
      </c>
      <c r="AK36" s="463">
        <f t="shared" si="8"/>
        <v>0</v>
      </c>
      <c r="AL36" s="464">
        <f t="shared" si="9"/>
        <v>0</v>
      </c>
      <c r="AM36" s="465">
        <f t="shared" si="10"/>
        <v>0</v>
      </c>
      <c r="AN36" s="466">
        <f t="shared" si="11"/>
        <v>0</v>
      </c>
      <c r="AO36" s="11"/>
    </row>
    <row r="37" spans="1:41" x14ac:dyDescent="0.25">
      <c r="A37" s="11" t="s">
        <v>105</v>
      </c>
      <c r="B37" s="11"/>
      <c r="C37" s="104" t="s">
        <v>101</v>
      </c>
      <c r="D37" s="11" t="s">
        <v>106</v>
      </c>
      <c r="E37" s="11"/>
      <c r="F37" s="11" t="s">
        <v>98</v>
      </c>
      <c r="G37" s="11"/>
      <c r="H37" s="88" t="s">
        <v>390</v>
      </c>
      <c r="I37" s="122" t="str">
        <f>IF(_epmOfflineCondition_,"N",_xll.EVPRO($B$1,$H37,"STYLE"))</f>
        <v>N</v>
      </c>
      <c r="J37" s="122" t="str">
        <f>IF(_epmOfflineCondition_,"N",_xll.EVPRO($B$1,$H37,"CALC"))</f>
        <v>N</v>
      </c>
      <c r="K37" s="179" t="str">
        <f t="shared" si="0"/>
        <v/>
      </c>
      <c r="L37" s="90" t="str">
        <f>IF(_epmOfflineCondition_,"440400",_xll.EVPRO($B$1,H37,"JDEID"))</f>
        <v>440400</v>
      </c>
      <c r="M37" s="90" t="str">
        <f>IF(_epmOfflineCondition_,"206039",IF(AND(I37="N",J37="N"),_xll.EVPRO($B$1,H37,"PSFTID"),""))</f>
        <v>206039</v>
      </c>
      <c r="N37" s="90" t="str">
        <f>IF(_epmOfflineCondition_,"Souvenir &amp; Gifts",IF(_xll.EVDES(H37,$B$1)="#NODATA","",_xll.EVDES(H37,$B$1)))</f>
        <v>Souvenir &amp; Gifts</v>
      </c>
      <c r="O37" s="138"/>
      <c r="P37" s="138"/>
      <c r="Q37" s="138"/>
      <c r="R37" s="138"/>
      <c r="S37" s="138"/>
      <c r="T37" s="138"/>
      <c r="U37" s="138"/>
      <c r="V37" s="138"/>
      <c r="W37" s="138"/>
      <c r="X37" s="138"/>
      <c r="Y37" s="138"/>
      <c r="Z37" s="138"/>
      <c r="AA37" s="210">
        <f t="shared" si="1"/>
        <v>0</v>
      </c>
      <c r="AB37" s="142" t="str">
        <f t="shared" si="2"/>
        <v/>
      </c>
      <c r="AC37" s="140"/>
      <c r="AD37" s="138"/>
      <c r="AE37" s="142" t="str">
        <f t="shared" si="3"/>
        <v/>
      </c>
      <c r="AF37" s="141">
        <f t="shared" si="4"/>
        <v>0</v>
      </c>
      <c r="AG37" s="138"/>
      <c r="AH37" s="142" t="str">
        <f t="shared" si="5"/>
        <v/>
      </c>
      <c r="AI37" s="141">
        <f t="shared" si="6"/>
        <v>0</v>
      </c>
      <c r="AJ37" s="462">
        <f t="shared" si="7"/>
        <v>0</v>
      </c>
      <c r="AK37" s="463">
        <f t="shared" si="8"/>
        <v>0</v>
      </c>
      <c r="AL37" s="464">
        <f t="shared" si="9"/>
        <v>0</v>
      </c>
      <c r="AM37" s="465">
        <f t="shared" si="10"/>
        <v>0</v>
      </c>
      <c r="AN37" s="466">
        <f t="shared" si="11"/>
        <v>0</v>
      </c>
      <c r="AO37" s="11"/>
    </row>
    <row r="38" spans="1:41" x14ac:dyDescent="0.25">
      <c r="A38" s="11" t="s">
        <v>108</v>
      </c>
      <c r="B38" s="11"/>
      <c r="C38" s="106" t="s">
        <v>101</v>
      </c>
      <c r="D38" s="11" t="s">
        <v>106</v>
      </c>
      <c r="E38" s="11"/>
      <c r="F38" s="11" t="s">
        <v>98</v>
      </c>
      <c r="G38" s="11"/>
      <c r="H38" s="88" t="s">
        <v>391</v>
      </c>
      <c r="I38" s="122" t="str">
        <f>IF(_epmOfflineCondition_,"N",_xll.EVPRO($B$1,$H38,"STYLE"))</f>
        <v>N</v>
      </c>
      <c r="J38" s="122" t="str">
        <f>IF(_epmOfflineCondition_,"N",_xll.EVPRO($B$1,$H38,"CALC"))</f>
        <v>N</v>
      </c>
      <c r="K38" s="179" t="str">
        <f t="shared" si="0"/>
        <v/>
      </c>
      <c r="L38" s="90" t="str">
        <f>IF(_epmOfflineCondition_,"440500",_xll.EVPRO($B$1,H38,"JDEID"))</f>
        <v>440500</v>
      </c>
      <c r="M38" s="90" t="str">
        <f>IF(_epmOfflineCondition_,"206041",IF(AND(I38="N",J38="N"),_xll.EVPRO($B$1,H38,"PSFTID"),""))</f>
        <v>206041</v>
      </c>
      <c r="N38" s="90" t="str">
        <f>IF(_epmOfflineCondition_,"Stationary &amp; Books",IF(_xll.EVDES(H38,$B$1)="#NODATA","",_xll.EVDES(H38,$B$1)))</f>
        <v>Stationary &amp; Books</v>
      </c>
      <c r="O38" s="138"/>
      <c r="P38" s="138"/>
      <c r="Q38" s="138"/>
      <c r="R38" s="138"/>
      <c r="S38" s="138"/>
      <c r="T38" s="138"/>
      <c r="U38" s="138"/>
      <c r="V38" s="138"/>
      <c r="W38" s="138"/>
      <c r="X38" s="138"/>
      <c r="Y38" s="138"/>
      <c r="Z38" s="138"/>
      <c r="AA38" s="210">
        <f t="shared" si="1"/>
        <v>0</v>
      </c>
      <c r="AB38" s="142" t="str">
        <f t="shared" si="2"/>
        <v/>
      </c>
      <c r="AC38" s="140"/>
      <c r="AD38" s="138"/>
      <c r="AE38" s="142" t="str">
        <f t="shared" si="3"/>
        <v/>
      </c>
      <c r="AF38" s="141">
        <f t="shared" si="4"/>
        <v>0</v>
      </c>
      <c r="AG38" s="138"/>
      <c r="AH38" s="142" t="str">
        <f t="shared" si="5"/>
        <v/>
      </c>
      <c r="AI38" s="141">
        <f t="shared" si="6"/>
        <v>0</v>
      </c>
      <c r="AJ38" s="462">
        <f t="shared" si="7"/>
        <v>0</v>
      </c>
      <c r="AK38" s="463">
        <f t="shared" si="8"/>
        <v>0</v>
      </c>
      <c r="AL38" s="464">
        <f t="shared" si="9"/>
        <v>0</v>
      </c>
      <c r="AM38" s="465">
        <f t="shared" si="10"/>
        <v>0</v>
      </c>
      <c r="AN38" s="466">
        <f t="shared" si="11"/>
        <v>0</v>
      </c>
      <c r="AO38" s="11"/>
    </row>
    <row r="39" spans="1:41" x14ac:dyDescent="0.25">
      <c r="A39" s="11" t="s">
        <v>108</v>
      </c>
      <c r="B39" s="11"/>
      <c r="C39" s="196" t="s">
        <v>101</v>
      </c>
      <c r="D39" s="11" t="s">
        <v>107</v>
      </c>
      <c r="E39" s="11"/>
      <c r="F39" s="11" t="s">
        <v>99</v>
      </c>
      <c r="G39" s="11"/>
      <c r="H39" s="88" t="s">
        <v>392</v>
      </c>
      <c r="I39" s="122" t="str">
        <f>IF(_epmOfflineCondition_,"N",_xll.EVPRO($B$1,$H39,"STYLE"))</f>
        <v>N</v>
      </c>
      <c r="J39" s="122" t="str">
        <f>IF(_epmOfflineCondition_,"N",_xll.EVPRO($B$1,$H39,"CALC"))</f>
        <v>N</v>
      </c>
      <c r="K39" s="179" t="str">
        <f t="shared" si="0"/>
        <v/>
      </c>
      <c r="L39" s="90" t="str">
        <f>IF(_epmOfflineCondition_,"440600",_xll.EVPRO($B$1,H39,"JDEID"))</f>
        <v>440600</v>
      </c>
      <c r="M39" s="90" t="str">
        <f>IF(_epmOfflineCondition_,"206042",IF(AND(I39="N",J39="N"),_xll.EVPRO($B$1,H39,"PSFTID"),""))</f>
        <v>206042</v>
      </c>
      <c r="N39" s="90" t="str">
        <f>IF(_epmOfflineCondition_,"Newspaper &amp; Magazines",IF(_xll.EVDES(H39,$B$1)="#NODATA","",_xll.EVDES(H39,$B$1)))</f>
        <v>Newspaper &amp; Magazines</v>
      </c>
      <c r="O39" s="138"/>
      <c r="P39" s="138"/>
      <c r="Q39" s="138"/>
      <c r="R39" s="138"/>
      <c r="S39" s="138"/>
      <c r="T39" s="138"/>
      <c r="U39" s="138"/>
      <c r="V39" s="138"/>
      <c r="W39" s="138"/>
      <c r="X39" s="138"/>
      <c r="Y39" s="138"/>
      <c r="Z39" s="138"/>
      <c r="AA39" s="210">
        <f t="shared" si="1"/>
        <v>0</v>
      </c>
      <c r="AB39" s="142" t="str">
        <f t="shared" si="2"/>
        <v/>
      </c>
      <c r="AC39" s="140"/>
      <c r="AD39" s="138"/>
      <c r="AE39" s="142" t="str">
        <f t="shared" si="3"/>
        <v/>
      </c>
      <c r="AF39" s="141">
        <f t="shared" si="4"/>
        <v>0</v>
      </c>
      <c r="AG39" s="138"/>
      <c r="AH39" s="142" t="str">
        <f t="shared" si="5"/>
        <v/>
      </c>
      <c r="AI39" s="141">
        <f t="shared" si="6"/>
        <v>0</v>
      </c>
      <c r="AJ39" s="462">
        <f t="shared" si="7"/>
        <v>0</v>
      </c>
      <c r="AK39" s="463">
        <f t="shared" si="8"/>
        <v>0</v>
      </c>
      <c r="AL39" s="464">
        <f t="shared" si="9"/>
        <v>0</v>
      </c>
      <c r="AM39" s="465">
        <f t="shared" si="10"/>
        <v>0</v>
      </c>
      <c r="AN39" s="466">
        <f t="shared" si="11"/>
        <v>0</v>
      </c>
      <c r="AO39" s="11"/>
    </row>
    <row r="40" spans="1:41" x14ac:dyDescent="0.25">
      <c r="A40" s="11"/>
      <c r="B40" s="11"/>
      <c r="C40" s="11"/>
      <c r="D40" s="11"/>
      <c r="E40" s="11"/>
      <c r="F40" s="11"/>
      <c r="G40" s="11"/>
      <c r="H40" s="88" t="s">
        <v>393</v>
      </c>
      <c r="I40" s="122" t="str">
        <f>IF(_epmOfflineCondition_,"N",_xll.EVPRO($B$1,$H40,"STYLE"))</f>
        <v>N</v>
      </c>
      <c r="J40" s="122" t="str">
        <f>IF(_epmOfflineCondition_,"N",_xll.EVPRO($B$1,$H40,"CALC"))</f>
        <v>N</v>
      </c>
      <c r="K40" s="179" t="str">
        <f t="shared" si="0"/>
        <v/>
      </c>
      <c r="L40" s="90" t="str">
        <f>IF(_epmOfflineCondition_,"440700",_xll.EVPRO($B$1,H40,"JDEID"))</f>
        <v>440700</v>
      </c>
      <c r="M40" s="90" t="str">
        <f>IF(_epmOfflineCondition_,"206043",IF(AND(I40="N",J40="N"),_xll.EVPRO($B$1,H40,"PSFTID"),""))</f>
        <v>206043</v>
      </c>
      <c r="N40" s="90" t="str">
        <f>IF(_epmOfflineCondition_,"Youth Revenue",IF(_xll.EVDES(H40,$B$1)="#NODATA","",_xll.EVDES(H40,$B$1)))</f>
        <v>Youth Revenue</v>
      </c>
      <c r="O40" s="138"/>
      <c r="P40" s="138"/>
      <c r="Q40" s="138"/>
      <c r="R40" s="138"/>
      <c r="S40" s="138"/>
      <c r="T40" s="138"/>
      <c r="U40" s="138"/>
      <c r="V40" s="138"/>
      <c r="W40" s="138"/>
      <c r="X40" s="138"/>
      <c r="Y40" s="138"/>
      <c r="Z40" s="138"/>
      <c r="AA40" s="210">
        <f t="shared" si="1"/>
        <v>0</v>
      </c>
      <c r="AB40" s="142" t="str">
        <f t="shared" si="2"/>
        <v/>
      </c>
      <c r="AC40" s="140"/>
      <c r="AD40" s="138"/>
      <c r="AE40" s="142" t="str">
        <f t="shared" si="3"/>
        <v/>
      </c>
      <c r="AF40" s="141">
        <f t="shared" si="4"/>
        <v>0</v>
      </c>
      <c r="AG40" s="138"/>
      <c r="AH40" s="142" t="str">
        <f t="shared" si="5"/>
        <v/>
      </c>
      <c r="AI40" s="141">
        <f t="shared" si="6"/>
        <v>0</v>
      </c>
      <c r="AJ40" s="462">
        <f t="shared" si="7"/>
        <v>0</v>
      </c>
      <c r="AK40" s="463">
        <f t="shared" si="8"/>
        <v>0</v>
      </c>
      <c r="AL40" s="464">
        <f t="shared" si="9"/>
        <v>0</v>
      </c>
      <c r="AM40" s="465">
        <f t="shared" si="10"/>
        <v>0</v>
      </c>
      <c r="AN40" s="466">
        <f t="shared" si="11"/>
        <v>0</v>
      </c>
      <c r="AO40" s="11"/>
    </row>
    <row r="41" spans="1:41" x14ac:dyDescent="0.25">
      <c r="A41" s="11"/>
      <c r="B41" s="11"/>
      <c r="C41" s="11"/>
      <c r="D41" s="11"/>
      <c r="E41" s="11"/>
      <c r="F41" s="11"/>
      <c r="G41" s="11"/>
      <c r="H41" s="88" t="s">
        <v>394</v>
      </c>
      <c r="I41" s="122" t="str">
        <f>IF(_epmOfflineCondition_,"N",_xll.EVPRO($B$1,$H41,"STYLE"))</f>
        <v>N</v>
      </c>
      <c r="J41" s="122" t="str">
        <f>IF(_epmOfflineCondition_,"N",_xll.EVPRO($B$1,$H41,"CALC"))</f>
        <v>N</v>
      </c>
      <c r="K41" s="179" t="str">
        <f t="shared" si="0"/>
        <v/>
      </c>
      <c r="L41" s="90" t="str">
        <f>IF(_epmOfflineCondition_,"440800",_xll.EVPRO($B$1,H41,"JDEID"))</f>
        <v>440800</v>
      </c>
      <c r="M41" s="90" t="str">
        <f>IF(_epmOfflineCondition_,"206044",IF(AND(I41="N",J41="N"),_xll.EVPRO($B$1,H41,"PSFTID"),""))</f>
        <v>206044</v>
      </c>
      <c r="N41" s="90" t="str">
        <f>IF(_epmOfflineCondition_,"Food/Candy",IF(_xll.EVDES(H41,$B$1)="#NODATA","",_xll.EVDES(H41,$B$1)))</f>
        <v>Food/Candy</v>
      </c>
      <c r="O41" s="138"/>
      <c r="P41" s="138"/>
      <c r="Q41" s="138"/>
      <c r="R41" s="138"/>
      <c r="S41" s="138"/>
      <c r="T41" s="138"/>
      <c r="U41" s="138"/>
      <c r="V41" s="138"/>
      <c r="W41" s="138"/>
      <c r="X41" s="138"/>
      <c r="Y41" s="138"/>
      <c r="Z41" s="138"/>
      <c r="AA41" s="210">
        <f t="shared" si="1"/>
        <v>0</v>
      </c>
      <c r="AB41" s="142" t="str">
        <f t="shared" si="2"/>
        <v/>
      </c>
      <c r="AC41" s="140"/>
      <c r="AD41" s="138"/>
      <c r="AE41" s="142" t="str">
        <f t="shared" si="3"/>
        <v/>
      </c>
      <c r="AF41" s="141">
        <f t="shared" si="4"/>
        <v>0</v>
      </c>
      <c r="AG41" s="138"/>
      <c r="AH41" s="142" t="str">
        <f t="shared" si="5"/>
        <v/>
      </c>
      <c r="AI41" s="141">
        <f t="shared" si="6"/>
        <v>0</v>
      </c>
      <c r="AJ41" s="462">
        <f t="shared" si="7"/>
        <v>0</v>
      </c>
      <c r="AK41" s="463">
        <f t="shared" si="8"/>
        <v>0</v>
      </c>
      <c r="AL41" s="464">
        <f t="shared" si="9"/>
        <v>0</v>
      </c>
      <c r="AM41" s="465">
        <f t="shared" si="10"/>
        <v>0</v>
      </c>
      <c r="AN41" s="466">
        <f t="shared" si="11"/>
        <v>0</v>
      </c>
      <c r="AO41" s="11"/>
    </row>
    <row r="42" spans="1:41" x14ac:dyDescent="0.25">
      <c r="A42" s="61" t="str">
        <f>IF(_epmOfflineCondition_,"Evdre:Ok",_xll.EVDRE($B$1,A45:B52,A55:B61))</f>
        <v>Evdre:Ok</v>
      </c>
      <c r="B42" s="11"/>
      <c r="C42" s="11"/>
      <c r="D42" s="11"/>
      <c r="E42" s="11"/>
      <c r="F42" s="11"/>
      <c r="G42" s="11"/>
      <c r="H42" s="88" t="s">
        <v>395</v>
      </c>
      <c r="I42" s="122" t="str">
        <f>IF(_epmOfflineCondition_,"N",_xll.EVPRO($B$1,$H42,"STYLE"))</f>
        <v>N</v>
      </c>
      <c r="J42" s="122" t="str">
        <f>IF(_epmOfflineCondition_,"N",_xll.EVPRO($B$1,$H42,"CALC"))</f>
        <v>N</v>
      </c>
      <c r="K42" s="179" t="str">
        <f t="shared" si="0"/>
        <v/>
      </c>
      <c r="L42" s="90" t="str">
        <f>IF(_epmOfflineCondition_,"440900",_xll.EVPRO($B$1,H42,"JDEID"))</f>
        <v>440900</v>
      </c>
      <c r="M42" s="90" t="str">
        <f>IF(_epmOfflineCondition_,"206021",IF(AND(I42="N",J42="N"),_xll.EVPRO($B$1,H42,"PSFTID"),""))</f>
        <v>206021</v>
      </c>
      <c r="N42" s="90" t="str">
        <f>IF(_epmOfflineCondition_,"Tobacco",IF(_xll.EVDES(H42,$B$1)="#NODATA","",_xll.EVDES(H42,$B$1)))</f>
        <v>Tobacco</v>
      </c>
      <c r="O42" s="138"/>
      <c r="P42" s="138"/>
      <c r="Q42" s="138"/>
      <c r="R42" s="138"/>
      <c r="S42" s="138"/>
      <c r="T42" s="138"/>
      <c r="U42" s="138"/>
      <c r="V42" s="138"/>
      <c r="W42" s="138"/>
      <c r="X42" s="138"/>
      <c r="Y42" s="138"/>
      <c r="Z42" s="138"/>
      <c r="AA42" s="210">
        <f t="shared" si="1"/>
        <v>0</v>
      </c>
      <c r="AB42" s="142" t="str">
        <f t="shared" si="2"/>
        <v/>
      </c>
      <c r="AC42" s="140"/>
      <c r="AD42" s="138"/>
      <c r="AE42" s="142" t="str">
        <f t="shared" si="3"/>
        <v/>
      </c>
      <c r="AF42" s="141">
        <f t="shared" si="4"/>
        <v>0</v>
      </c>
      <c r="AG42" s="138"/>
      <c r="AH42" s="142" t="str">
        <f t="shared" si="5"/>
        <v/>
      </c>
      <c r="AI42" s="141">
        <f t="shared" si="6"/>
        <v>0</v>
      </c>
      <c r="AJ42" s="462">
        <f t="shared" si="7"/>
        <v>0</v>
      </c>
      <c r="AK42" s="463">
        <f t="shared" si="8"/>
        <v>0</v>
      </c>
      <c r="AL42" s="464">
        <f t="shared" si="9"/>
        <v>0</v>
      </c>
      <c r="AM42" s="465">
        <f t="shared" si="10"/>
        <v>0</v>
      </c>
      <c r="AN42" s="466">
        <f t="shared" si="11"/>
        <v>0</v>
      </c>
      <c r="AO42" s="11"/>
    </row>
    <row r="43" spans="1:41" x14ac:dyDescent="0.25">
      <c r="A43" s="11"/>
      <c r="B43" s="11"/>
      <c r="C43" s="11"/>
      <c r="D43" s="11"/>
      <c r="E43" s="11"/>
      <c r="F43" s="11"/>
      <c r="G43" s="11"/>
      <c r="H43" s="88" t="s">
        <v>396</v>
      </c>
      <c r="I43" s="122" t="str">
        <f>IF(_epmOfflineCondition_,"N",_xll.EVPRO($B$1,$H43,"STYLE"))</f>
        <v>N</v>
      </c>
      <c r="J43" s="122" t="str">
        <f>IF(_epmOfflineCondition_,"N",_xll.EVPRO($B$1,$H43,"CALC"))</f>
        <v>N</v>
      </c>
      <c r="K43" s="179" t="str">
        <f t="shared" si="0"/>
        <v/>
      </c>
      <c r="L43" s="90" t="str">
        <f>IF(_epmOfflineCondition_,"440990",_xll.EVPRO($B$1,H43,"JDEID"))</f>
        <v>440990</v>
      </c>
      <c r="M43" s="90" t="str">
        <f>IF(_epmOfflineCondition_,"NA",IF(AND(I43="N",J43="N"),_xll.EVPRO($B$1,H43,"PSFTID"),""))</f>
        <v>NA</v>
      </c>
      <c r="N43" s="90" t="str">
        <f>IF(_epmOfflineCondition_,"Gift Shop: Allowances",IF(_xll.EVDES(H43,$B$1)="#NODATA","",_xll.EVDES(H43,$B$1)))</f>
        <v>Gift Shop: Allowances</v>
      </c>
      <c r="O43" s="215"/>
      <c r="P43" s="215"/>
      <c r="Q43" s="215"/>
      <c r="R43" s="215"/>
      <c r="S43" s="215"/>
      <c r="T43" s="215"/>
      <c r="U43" s="215"/>
      <c r="V43" s="215"/>
      <c r="W43" s="215"/>
      <c r="X43" s="215"/>
      <c r="Y43" s="215"/>
      <c r="Z43" s="215"/>
      <c r="AA43" s="216">
        <f t="shared" si="1"/>
        <v>0</v>
      </c>
      <c r="AB43" s="217" t="str">
        <f t="shared" si="2"/>
        <v/>
      </c>
      <c r="AC43" s="140"/>
      <c r="AD43" s="215"/>
      <c r="AE43" s="217" t="str">
        <f t="shared" si="3"/>
        <v/>
      </c>
      <c r="AF43" s="218">
        <f t="shared" si="4"/>
        <v>0</v>
      </c>
      <c r="AG43" s="215"/>
      <c r="AH43" s="217" t="str">
        <f t="shared" si="5"/>
        <v/>
      </c>
      <c r="AI43" s="218">
        <f t="shared" si="6"/>
        <v>0</v>
      </c>
      <c r="AJ43" s="471">
        <f t="shared" si="7"/>
        <v>0</v>
      </c>
      <c r="AK43" s="472">
        <f t="shared" si="8"/>
        <v>0</v>
      </c>
      <c r="AL43" s="473">
        <f t="shared" si="9"/>
        <v>0</v>
      </c>
      <c r="AM43" s="474">
        <f t="shared" si="10"/>
        <v>0</v>
      </c>
      <c r="AN43" s="475">
        <f t="shared" si="11"/>
        <v>0</v>
      </c>
      <c r="AO43" s="11"/>
    </row>
    <row r="44" spans="1:41" x14ac:dyDescent="0.25">
      <c r="A44" s="62" t="s">
        <v>0</v>
      </c>
      <c r="B44" s="63" t="s">
        <v>1</v>
      </c>
      <c r="C44" s="11"/>
      <c r="D44" s="11"/>
      <c r="E44" s="11"/>
      <c r="F44" s="11"/>
      <c r="G44" s="11"/>
      <c r="H44" s="88" t="s">
        <v>280</v>
      </c>
      <c r="I44" s="188" t="str">
        <f>IF(_epmOfflineCondition_,"T3",_xll.EVPRO($B$1,$H44,"STYLE"))</f>
        <v>T3</v>
      </c>
      <c r="J44" s="188" t="str">
        <f>IF(_epmOfflineCondition_,"Y",_xll.EVPRO($B$1,$H44,"CALC"))</f>
        <v>Y</v>
      </c>
      <c r="K44" s="189" t="str">
        <f t="shared" si="0"/>
        <v/>
      </c>
      <c r="L44" s="190" t="str">
        <f>IF(_epmOfflineCondition_,"400000",_xll.EVPRO($B$1,H44,"JDEID"))</f>
        <v>400000</v>
      </c>
      <c r="M44" s="190" t="str">
        <f>IF(_epmOfflineCondition_,"",IF(AND(I44="N",J44="N"),_xll.EVPRO($B$1,H44,"PSFTID"),""))</f>
        <v/>
      </c>
      <c r="N44" s="190" t="str">
        <f>IF(_epmOfflineCondition_,"Total Revenue",IF(_xll.EVDES(H44,$B$1)="#NODATA","",_xll.EVDES(H44,$B$1)))</f>
        <v>Total Revenue</v>
      </c>
      <c r="O44" s="223"/>
      <c r="P44" s="223"/>
      <c r="Q44" s="223"/>
      <c r="R44" s="223"/>
      <c r="S44" s="223"/>
      <c r="T44" s="223"/>
      <c r="U44" s="223"/>
      <c r="V44" s="223"/>
      <c r="W44" s="223"/>
      <c r="X44" s="223"/>
      <c r="Y44" s="223"/>
      <c r="Z44" s="223"/>
      <c r="AA44" s="223">
        <f t="shared" si="1"/>
        <v>0</v>
      </c>
      <c r="AB44" s="224" t="str">
        <f t="shared" si="2"/>
        <v/>
      </c>
      <c r="AC44" s="225"/>
      <c r="AD44" s="223"/>
      <c r="AE44" s="224" t="str">
        <f t="shared" si="3"/>
        <v/>
      </c>
      <c r="AF44" s="226">
        <f t="shared" si="4"/>
        <v>0</v>
      </c>
      <c r="AG44" s="223"/>
      <c r="AH44" s="224" t="str">
        <f t="shared" si="5"/>
        <v/>
      </c>
      <c r="AI44" s="226">
        <f t="shared" si="6"/>
        <v>0</v>
      </c>
      <c r="AJ44" s="227">
        <f t="shared" si="7"/>
        <v>0</v>
      </c>
      <c r="AK44" s="228">
        <f t="shared" si="8"/>
        <v>0</v>
      </c>
      <c r="AL44" s="230">
        <f t="shared" si="9"/>
        <v>0</v>
      </c>
      <c r="AM44" s="427">
        <f t="shared" si="10"/>
        <v>0</v>
      </c>
      <c r="AN44" s="478">
        <f t="shared" si="11"/>
        <v>0</v>
      </c>
      <c r="AO44" s="11"/>
    </row>
    <row r="45" spans="1:41" x14ac:dyDescent="0.25">
      <c r="A45" s="65" t="s">
        <v>2</v>
      </c>
      <c r="B45" s="66" t="str">
        <f>IF(_epmOfflineCondition_,"'Retail'!$B$2:$B$10",_xll.EVRNG($B$2:$B$10))</f>
        <v>'Retail'!$B$2:$B$10</v>
      </c>
      <c r="C45" s="11"/>
      <c r="D45" s="11"/>
      <c r="E45" s="11"/>
      <c r="F45" s="11"/>
      <c r="G45" s="11"/>
      <c r="H45" s="11"/>
      <c r="I45" s="59"/>
      <c r="J45" s="59"/>
      <c r="K45" s="11"/>
      <c r="L45" s="11"/>
      <c r="M45" s="11"/>
      <c r="N45" s="11"/>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25">
      <c r="A46" s="65" t="s">
        <v>3</v>
      </c>
      <c r="B46" s="66" t="str">
        <f>IF(_epmOfflineCondition_,"'Retail'!$O$16:$AN$18",_xll.EVRNG($O$16:$AN$18))</f>
        <v>'Retail'!$O$16:$AN$18</v>
      </c>
      <c r="C46" s="11"/>
      <c r="D46" s="11"/>
      <c r="E46" s="11"/>
      <c r="F46" s="11"/>
      <c r="G46" s="11"/>
      <c r="H46" s="11" t="s">
        <v>281</v>
      </c>
      <c r="I46" s="59" t="str">
        <f>IF(_epmOfflineCondition_,"B1",_xll.EVPRO($B$1,$H46,"STYLE"))</f>
        <v>B1</v>
      </c>
      <c r="J46" s="59" t="str">
        <f>IF(_epmOfflineCondition_,"Y",_xll.EVPRO($B$1,$H46,"CALC"))</f>
        <v>Y</v>
      </c>
      <c r="K46" s="11"/>
      <c r="L46" s="11"/>
      <c r="M46" s="11"/>
      <c r="N46" s="105" t="str">
        <f>IF(_epmOfflineCondition_,"Cost of Sales",IF(_xll.EVDES(H46,$B$1)="#NODATA","",_xll.EVDES(H46,$B$1)))</f>
        <v>Cost of Sales</v>
      </c>
      <c r="O46" s="203"/>
      <c r="P46" s="204"/>
      <c r="Q46" s="204"/>
      <c r="R46" s="204"/>
      <c r="S46" s="204"/>
      <c r="T46" s="204"/>
      <c r="U46" s="204"/>
      <c r="V46" s="204"/>
      <c r="W46" s="204"/>
      <c r="X46" s="204"/>
      <c r="Y46" s="204"/>
      <c r="Z46" s="204"/>
      <c r="AA46" s="204"/>
      <c r="AB46" s="118"/>
      <c r="AC46" s="11"/>
      <c r="AD46" s="203"/>
      <c r="AE46" s="204"/>
      <c r="AF46" s="118"/>
      <c r="AG46" s="203"/>
      <c r="AH46" s="204"/>
      <c r="AI46" s="118"/>
      <c r="AJ46" s="11"/>
      <c r="AK46" s="11"/>
      <c r="AL46" s="11"/>
      <c r="AM46" s="11"/>
      <c r="AN46" s="11"/>
      <c r="AO46" s="11"/>
    </row>
    <row r="47" spans="1:41" x14ac:dyDescent="0.25">
      <c r="A47" s="65" t="s">
        <v>4</v>
      </c>
      <c r="B47" s="66" t="str">
        <f>IF(_epmOfflineCondition_,"'Retail'!$H$47:$H$56",_xll.EVRNG(H47:H56))</f>
        <v>'Retail'!$H$47:$H$56</v>
      </c>
      <c r="C47" s="11"/>
      <c r="D47" s="11"/>
      <c r="E47" s="11"/>
      <c r="F47" s="11"/>
      <c r="G47" s="11"/>
      <c r="H47" s="88" t="s">
        <v>397</v>
      </c>
      <c r="I47" s="122" t="str">
        <f>IF(_epmOfflineCondition_,"N",_xll.EVPRO($B$1,$H47,"STYLE"))</f>
        <v>N</v>
      </c>
      <c r="J47" s="122" t="str">
        <f>IF(_epmOfflineCondition_,"N",_xll.EVPRO($B$1,$H47,"CALC"))</f>
        <v>N</v>
      </c>
      <c r="K47" s="179" t="str">
        <f t="shared" ref="K47:K58" si="12">IF(AND(I47&gt;="T5"),"&gt;","")</f>
        <v/>
      </c>
      <c r="L47" s="90" t="str">
        <f>IF(_epmOfflineCondition_,"540100",_xll.EVPRO($B$1,H47,"JDEID"))</f>
        <v>540100</v>
      </c>
      <c r="M47" s="90" t="str">
        <f>IF(_epmOfflineCondition_,"306036",IF(AND(I47="N",J47="N"),_xll.EVPRO($B$1,H47,"PSFTID"),""))</f>
        <v>306036</v>
      </c>
      <c r="N47" s="90" t="str">
        <f>IF(_epmOfflineCondition_,"Accessories COS",IF(_xll.EVDES(H47,$B$1)="#NODATA","",_xll.EVDES(H47,$B$1)))</f>
        <v>Accessories COS</v>
      </c>
      <c r="O47" s="215"/>
      <c r="P47" s="215"/>
      <c r="Q47" s="215"/>
      <c r="R47" s="215"/>
      <c r="S47" s="215"/>
      <c r="T47" s="215"/>
      <c r="U47" s="215"/>
      <c r="V47" s="215"/>
      <c r="W47" s="215"/>
      <c r="X47" s="215"/>
      <c r="Y47" s="215"/>
      <c r="Z47" s="215"/>
      <c r="AA47" s="215">
        <f t="shared" ref="AA47:AA56" si="13">IF($I47="B1","",SUM(O47:Z47))</f>
        <v>0</v>
      </c>
      <c r="AB47" s="217" t="str">
        <f>IF(_epmOfflineCondition_,"",IF(AA47=0,"",IFERROR(AA47/_xll.EVGTS($B$1,1,_xll.EVPRO($B$1,$H47,"COSBASIS"),$B$3,$B$5,$B$6,$B$7,$B$9,AA$16,AA$17,AA$11),"")))</f>
        <v/>
      </c>
      <c r="AC47" s="140"/>
      <c r="AD47" s="215"/>
      <c r="AE47" s="217" t="str">
        <f>IF(_epmOfflineCondition_,"",IF(AD47=0,"",IFERROR(AD47/_xll.EVGTS($B$1,1,_xll.EVPRO($B$1,$H47,"COSBASIS"),$B$3,$B$5,$B$6,$B$7,$B$9,AD$16,AD$17,AD$18),"")))</f>
        <v/>
      </c>
      <c r="AF47" s="218">
        <f t="shared" ref="AF47:AF58" si="14">IF(AND($AA47="",AD47=""),"",$AA47-AD47)</f>
        <v>0</v>
      </c>
      <c r="AG47" s="215"/>
      <c r="AH47" s="217" t="str">
        <f>IF(_epmOfflineCondition_,"",IF(AG47=0,"",IFERROR(AG47/_xll.EVGTS($B$1,1,_xll.EVPRO($B$1,$H47,"COSBASIS"),$B$3,$B$5,$B$6,$B$7,$B$9,AG$16,AG$17,AG$18),"")))</f>
        <v/>
      </c>
      <c r="AI47" s="218">
        <f t="shared" ref="AI47:AI58" si="15">IF(AND($AA47="",AG47=""),"",$AA47-AG47)</f>
        <v>0</v>
      </c>
      <c r="AJ47" s="462">
        <f t="shared" ref="AJ47:AJ56" si="16">IFERROR(AA47/AA$20,0)</f>
        <v>0</v>
      </c>
      <c r="AK47" s="463">
        <f t="shared" ref="AK47:AK56" si="17">IFERROR(AD47/AD$20,0)</f>
        <v>0</v>
      </c>
      <c r="AL47" s="464">
        <f t="shared" ref="AL47:AL56" si="18">IFERROR(AG47/AG$20,0)</f>
        <v>0</v>
      </c>
      <c r="AM47" s="465">
        <f t="shared" ref="AM47:AM56" si="19">+IFERROR(ROUND(($AB47-AE47)*100,2)&amp;" pts.",0)</f>
        <v>0</v>
      </c>
      <c r="AN47" s="466">
        <f t="shared" ref="AN47:AN56" si="20">+IFERROR(ROUND(($AB47-AH47)*100,2)&amp;" pts.",0)</f>
        <v>0</v>
      </c>
      <c r="AO47" s="11"/>
    </row>
    <row r="48" spans="1:41" x14ac:dyDescent="0.25">
      <c r="A48" s="65" t="s">
        <v>5</v>
      </c>
      <c r="B48" s="66"/>
      <c r="C48" s="11"/>
      <c r="D48" s="11"/>
      <c r="E48" s="11"/>
      <c r="F48" s="384"/>
      <c r="G48" s="11"/>
      <c r="H48" s="88" t="s">
        <v>398</v>
      </c>
      <c r="I48" s="122" t="str">
        <f>IF(_epmOfflineCondition_,"N",_xll.EVPRO($B$1,$H48,"STYLE"))</f>
        <v>N</v>
      </c>
      <c r="J48" s="122" t="str">
        <f>IF(_epmOfflineCondition_,"N",_xll.EVPRO($B$1,$H48,"CALC"))</f>
        <v>N</v>
      </c>
      <c r="K48" s="179" t="str">
        <f t="shared" si="12"/>
        <v/>
      </c>
      <c r="L48" s="90" t="str">
        <f>IF(_epmOfflineCondition_,"540200",_xll.EVPRO($B$1,H48,"JDEID"))</f>
        <v>540200</v>
      </c>
      <c r="M48" s="90" t="str">
        <f>IF(_epmOfflineCondition_,"306037",IF(AND(I48="N",J48="N"),_xll.EVPRO($B$1,H48,"PSFTID"),""))</f>
        <v>306037</v>
      </c>
      <c r="N48" s="90" t="str">
        <f>IF(_epmOfflineCondition_,"Apparel COS",IF(_xll.EVDES(H48,$B$1)="#NODATA","",_xll.EVDES(H48,$B$1)))</f>
        <v>Apparel COS</v>
      </c>
      <c r="O48" s="215"/>
      <c r="P48" s="215"/>
      <c r="Q48" s="215"/>
      <c r="R48" s="215"/>
      <c r="S48" s="215"/>
      <c r="T48" s="215"/>
      <c r="U48" s="215"/>
      <c r="V48" s="215"/>
      <c r="W48" s="215"/>
      <c r="X48" s="215"/>
      <c r="Y48" s="215"/>
      <c r="Z48" s="215"/>
      <c r="AA48" s="215">
        <f t="shared" si="13"/>
        <v>0</v>
      </c>
      <c r="AB48" s="217" t="str">
        <f>IF(_epmOfflineCondition_,"",IF(AA48=0,"",IFERROR(AA48/_xll.EVGTS($B$1,1,_xll.EVPRO($B$1,$H48,"COSBASIS"),$B$3,$B$5,$B$6,$B$7,$B$9,AA$16,AA$17,AA$11),"")))</f>
        <v/>
      </c>
      <c r="AC48" s="140"/>
      <c r="AD48" s="215"/>
      <c r="AE48" s="217" t="str">
        <f>IF(_epmOfflineCondition_,"",IF(AD48=0,"",IFERROR(AD48/_xll.EVGTS($B$1,1,_xll.EVPRO($B$1,$H48,"COSBASIS"),$B$3,$B$5,$B$6,$B$7,$B$9,AD$16,AD$17,AD$18),"")))</f>
        <v/>
      </c>
      <c r="AF48" s="218">
        <f t="shared" si="14"/>
        <v>0</v>
      </c>
      <c r="AG48" s="215"/>
      <c r="AH48" s="217" t="str">
        <f>IF(_epmOfflineCondition_,"",IF(AG48=0,"",IFERROR(AG48/_xll.EVGTS($B$1,1,_xll.EVPRO($B$1,$H48,"COSBASIS"),$B$3,$B$5,$B$6,$B$7,$B$9,AG$16,AG$17,AG$18),"")))</f>
        <v/>
      </c>
      <c r="AI48" s="218">
        <f t="shared" si="15"/>
        <v>0</v>
      </c>
      <c r="AJ48" s="462">
        <f t="shared" si="16"/>
        <v>0</v>
      </c>
      <c r="AK48" s="463">
        <f t="shared" si="17"/>
        <v>0</v>
      </c>
      <c r="AL48" s="464">
        <f t="shared" si="18"/>
        <v>0</v>
      </c>
      <c r="AM48" s="465">
        <f t="shared" si="19"/>
        <v>0</v>
      </c>
      <c r="AN48" s="466">
        <f t="shared" si="20"/>
        <v>0</v>
      </c>
      <c r="AO48" s="11"/>
    </row>
    <row r="49" spans="1:41" x14ac:dyDescent="0.25">
      <c r="A49" s="65" t="s">
        <v>6</v>
      </c>
      <c r="B49" s="66"/>
      <c r="C49" s="11"/>
      <c r="D49" s="11"/>
      <c r="E49" s="11"/>
      <c r="F49" s="384"/>
      <c r="G49" s="11"/>
      <c r="H49" s="88" t="s">
        <v>399</v>
      </c>
      <c r="I49" s="122" t="str">
        <f>IF(_epmOfflineCondition_,"N",_xll.EVPRO($B$1,$H49,"STYLE"))</f>
        <v>N</v>
      </c>
      <c r="J49" s="122" t="str">
        <f>IF(_epmOfflineCondition_,"N",_xll.EVPRO($B$1,$H49,"CALC"))</f>
        <v>N</v>
      </c>
      <c r="K49" s="179" t="str">
        <f t="shared" si="12"/>
        <v/>
      </c>
      <c r="L49" s="90" t="str">
        <f>IF(_epmOfflineCondition_,"540300",_xll.EVPRO($B$1,H49,"JDEID"))</f>
        <v>540300</v>
      </c>
      <c r="M49" s="90" t="str">
        <f>IF(_epmOfflineCondition_,"306038",IF(AND(I49="N",J49="N"),_xll.EVPRO($B$1,H49,"PSFTID"),""))</f>
        <v>306038</v>
      </c>
      <c r="N49" s="90" t="str">
        <f>IF(_epmOfflineCondition_,"Sundries COS",IF(_xll.EVDES(H49,$B$1)="#NODATA","",_xll.EVDES(H49,$B$1)))</f>
        <v>Sundries COS</v>
      </c>
      <c r="O49" s="215"/>
      <c r="P49" s="215"/>
      <c r="Q49" s="215"/>
      <c r="R49" s="215"/>
      <c r="S49" s="215"/>
      <c r="T49" s="215"/>
      <c r="U49" s="215"/>
      <c r="V49" s="215"/>
      <c r="W49" s="215"/>
      <c r="X49" s="215"/>
      <c r="Y49" s="215"/>
      <c r="Z49" s="215"/>
      <c r="AA49" s="215">
        <f t="shared" si="13"/>
        <v>0</v>
      </c>
      <c r="AB49" s="217" t="str">
        <f>IF(_epmOfflineCondition_,"",IF(AA49=0,"",IFERROR(AA49/_xll.EVGTS($B$1,1,_xll.EVPRO($B$1,$H49,"COSBASIS"),$B$3,$B$5,$B$6,$B$7,$B$9,AA$16,AA$17,AA$11),"")))</f>
        <v/>
      </c>
      <c r="AC49" s="140"/>
      <c r="AD49" s="215"/>
      <c r="AE49" s="217" t="str">
        <f>IF(_epmOfflineCondition_,"",IF(AD49=0,"",IFERROR(AD49/_xll.EVGTS($B$1,1,_xll.EVPRO($B$1,$H49,"COSBASIS"),$B$3,$B$5,$B$6,$B$7,$B$9,AD$16,AD$17,AD$18),"")))</f>
        <v/>
      </c>
      <c r="AF49" s="218">
        <f t="shared" si="14"/>
        <v>0</v>
      </c>
      <c r="AG49" s="215"/>
      <c r="AH49" s="217" t="str">
        <f>IF(_epmOfflineCondition_,"",IF(AG49=0,"",IFERROR(AG49/_xll.EVGTS($B$1,1,_xll.EVPRO($B$1,$H49,"COSBASIS"),$B$3,$B$5,$B$6,$B$7,$B$9,AG$16,AG$17,AG$18),"")))</f>
        <v/>
      </c>
      <c r="AI49" s="218">
        <f t="shared" si="15"/>
        <v>0</v>
      </c>
      <c r="AJ49" s="462">
        <f t="shared" si="16"/>
        <v>0</v>
      </c>
      <c r="AK49" s="463">
        <f t="shared" si="17"/>
        <v>0</v>
      </c>
      <c r="AL49" s="464">
        <f t="shared" si="18"/>
        <v>0</v>
      </c>
      <c r="AM49" s="465">
        <f t="shared" si="19"/>
        <v>0</v>
      </c>
      <c r="AN49" s="466">
        <f t="shared" si="20"/>
        <v>0</v>
      </c>
      <c r="AO49" s="11"/>
    </row>
    <row r="50" spans="1:41" x14ac:dyDescent="0.25">
      <c r="A50" s="65" t="s">
        <v>7</v>
      </c>
      <c r="B50" s="66" t="str">
        <f>IF(_epmOfflineCondition_,"'Retail'!$A$64:$F$67",_xll.EVRNG(A64:F67))</f>
        <v>'Retail'!$A$64:$F$67</v>
      </c>
      <c r="C50" s="11"/>
      <c r="D50" s="11"/>
      <c r="E50" s="11"/>
      <c r="F50" s="384"/>
      <c r="G50" s="11"/>
      <c r="H50" s="88" t="s">
        <v>400</v>
      </c>
      <c r="I50" s="122" t="str">
        <f>IF(_epmOfflineCondition_,"N",_xll.EVPRO($B$1,$H50,"STYLE"))</f>
        <v>N</v>
      </c>
      <c r="J50" s="122" t="str">
        <f>IF(_epmOfflineCondition_,"N",_xll.EVPRO($B$1,$H50,"CALC"))</f>
        <v>N</v>
      </c>
      <c r="K50" s="179" t="str">
        <f t="shared" si="12"/>
        <v/>
      </c>
      <c r="L50" s="90" t="str">
        <f>IF(_epmOfflineCondition_,"540400",_xll.EVPRO($B$1,H50,"JDEID"))</f>
        <v>540400</v>
      </c>
      <c r="M50" s="90" t="str">
        <f>IF(_epmOfflineCondition_,"306039",IF(AND(I50="N",J50="N"),_xll.EVPRO($B$1,H50,"PSFTID"),""))</f>
        <v>306039</v>
      </c>
      <c r="N50" s="90" t="str">
        <f>IF(_epmOfflineCondition_,"Souvenir &amp; Gifts COS",IF(_xll.EVDES(H50,$B$1)="#NODATA","",_xll.EVDES(H50,$B$1)))</f>
        <v>Souvenir &amp; Gifts COS</v>
      </c>
      <c r="O50" s="215"/>
      <c r="P50" s="215"/>
      <c r="Q50" s="215"/>
      <c r="R50" s="215"/>
      <c r="S50" s="215"/>
      <c r="T50" s="215"/>
      <c r="U50" s="215"/>
      <c r="V50" s="215"/>
      <c r="W50" s="215"/>
      <c r="X50" s="215"/>
      <c r="Y50" s="215"/>
      <c r="Z50" s="215"/>
      <c r="AA50" s="215">
        <f t="shared" si="13"/>
        <v>0</v>
      </c>
      <c r="AB50" s="217" t="str">
        <f>IF(_epmOfflineCondition_,"",IF(AA50=0,"",IFERROR(AA50/_xll.EVGTS($B$1,1,_xll.EVPRO($B$1,$H50,"COSBASIS"),$B$3,$B$5,$B$6,$B$7,$B$9,AA$16,AA$17,AA$11),"")))</f>
        <v/>
      </c>
      <c r="AC50" s="140"/>
      <c r="AD50" s="215"/>
      <c r="AE50" s="217" t="str">
        <f>IF(_epmOfflineCondition_,"",IF(AD50=0,"",IFERROR(AD50/_xll.EVGTS($B$1,1,_xll.EVPRO($B$1,$H50,"COSBASIS"),$B$3,$B$5,$B$6,$B$7,$B$9,AD$16,AD$17,AD$18),"")))</f>
        <v/>
      </c>
      <c r="AF50" s="218">
        <f t="shared" si="14"/>
        <v>0</v>
      </c>
      <c r="AG50" s="215"/>
      <c r="AH50" s="217" t="str">
        <f>IF(_epmOfflineCondition_,"",IF(AG50=0,"",IFERROR(AG50/_xll.EVGTS($B$1,1,_xll.EVPRO($B$1,$H50,"COSBASIS"),$B$3,$B$5,$B$6,$B$7,$B$9,AG$16,AG$17,AG$18),"")))</f>
        <v/>
      </c>
      <c r="AI50" s="218">
        <f t="shared" si="15"/>
        <v>0</v>
      </c>
      <c r="AJ50" s="462">
        <f t="shared" si="16"/>
        <v>0</v>
      </c>
      <c r="AK50" s="463">
        <f t="shared" si="17"/>
        <v>0</v>
      </c>
      <c r="AL50" s="464">
        <f t="shared" si="18"/>
        <v>0</v>
      </c>
      <c r="AM50" s="465">
        <f t="shared" si="19"/>
        <v>0</v>
      </c>
      <c r="AN50" s="466">
        <f t="shared" si="20"/>
        <v>0</v>
      </c>
      <c r="AO50" s="11"/>
    </row>
    <row r="51" spans="1:41" x14ac:dyDescent="0.25">
      <c r="A51" s="65" t="s">
        <v>47</v>
      </c>
      <c r="B51" s="66" t="str">
        <f>IF(_epmOfflineCondition_,"'Retail'!$A$115:$B$136",_xll.EVRNG($A$115:$B$136))</f>
        <v>'Retail'!$A$115:$B$136</v>
      </c>
      <c r="C51" s="11"/>
      <c r="D51" s="11"/>
      <c r="E51" s="11"/>
      <c r="F51" s="11"/>
      <c r="G51" s="11"/>
      <c r="H51" s="88" t="s">
        <v>401</v>
      </c>
      <c r="I51" s="122" t="str">
        <f>IF(_epmOfflineCondition_,"N",_xll.EVPRO($B$1,$H51,"STYLE"))</f>
        <v>N</v>
      </c>
      <c r="J51" s="122" t="str">
        <f>IF(_epmOfflineCondition_,"N",_xll.EVPRO($B$1,$H51,"CALC"))</f>
        <v>N</v>
      </c>
      <c r="K51" s="179" t="str">
        <f t="shared" si="12"/>
        <v/>
      </c>
      <c r="L51" s="90" t="str">
        <f>IF(_epmOfflineCondition_,"540500",_xll.EVPRO($B$1,H51,"JDEID"))</f>
        <v>540500</v>
      </c>
      <c r="M51" s="90" t="str">
        <f>IF(_epmOfflineCondition_,"306055",IF(AND(I51="N",J51="N"),_xll.EVPRO($B$1,H51,"PSFTID"),""))</f>
        <v>306055</v>
      </c>
      <c r="N51" s="90" t="str">
        <f>IF(_epmOfflineCondition_,"Stationary &amp; Books COS",IF(_xll.EVDES(H51,$B$1)="#NODATA","",_xll.EVDES(H51,$B$1)))</f>
        <v>Stationary &amp; Books COS</v>
      </c>
      <c r="O51" s="215"/>
      <c r="P51" s="215"/>
      <c r="Q51" s="215"/>
      <c r="R51" s="215"/>
      <c r="S51" s="215"/>
      <c r="T51" s="215"/>
      <c r="U51" s="215"/>
      <c r="V51" s="215"/>
      <c r="W51" s="215"/>
      <c r="X51" s="215"/>
      <c r="Y51" s="215"/>
      <c r="Z51" s="215"/>
      <c r="AA51" s="215">
        <f t="shared" si="13"/>
        <v>0</v>
      </c>
      <c r="AB51" s="217" t="str">
        <f>IF(_epmOfflineCondition_,"",IF(AA51=0,"",IFERROR(AA51/_xll.EVGTS($B$1,1,_xll.EVPRO($B$1,$H51,"COSBASIS"),$B$3,$B$5,$B$6,$B$7,$B$9,AA$16,AA$17,AA$11),"")))</f>
        <v/>
      </c>
      <c r="AC51" s="140"/>
      <c r="AD51" s="215"/>
      <c r="AE51" s="217" t="str">
        <f>IF(_epmOfflineCondition_,"",IF(AD51=0,"",IFERROR(AD51/_xll.EVGTS($B$1,1,_xll.EVPRO($B$1,$H51,"COSBASIS"),$B$3,$B$5,$B$6,$B$7,$B$9,AD$16,AD$17,AD$18),"")))</f>
        <v/>
      </c>
      <c r="AF51" s="218">
        <f t="shared" si="14"/>
        <v>0</v>
      </c>
      <c r="AG51" s="215"/>
      <c r="AH51" s="217" t="str">
        <f>IF(_epmOfflineCondition_,"",IF(AG51=0,"",IFERROR(AG51/_xll.EVGTS($B$1,1,_xll.EVPRO($B$1,$H51,"COSBASIS"),$B$3,$B$5,$B$6,$B$7,$B$9,AG$16,AG$17,AG$18),"")))</f>
        <v/>
      </c>
      <c r="AI51" s="218">
        <f t="shared" si="15"/>
        <v>0</v>
      </c>
      <c r="AJ51" s="462">
        <f t="shared" si="16"/>
        <v>0</v>
      </c>
      <c r="AK51" s="463">
        <f t="shared" si="17"/>
        <v>0</v>
      </c>
      <c r="AL51" s="464">
        <f t="shared" si="18"/>
        <v>0</v>
      </c>
      <c r="AM51" s="465">
        <f t="shared" si="19"/>
        <v>0</v>
      </c>
      <c r="AN51" s="466">
        <f t="shared" si="20"/>
        <v>0</v>
      </c>
      <c r="AO51" s="11"/>
    </row>
    <row r="52" spans="1:41" x14ac:dyDescent="0.25">
      <c r="A52" s="65" t="s">
        <v>8</v>
      </c>
      <c r="B52" s="66"/>
      <c r="C52" s="11"/>
      <c r="D52" s="11"/>
      <c r="E52" s="11"/>
      <c r="F52" s="11"/>
      <c r="G52" s="11"/>
      <c r="H52" s="88" t="s">
        <v>402</v>
      </c>
      <c r="I52" s="122" t="str">
        <f>IF(_epmOfflineCondition_,"N",_xll.EVPRO($B$1,$H52,"STYLE"))</f>
        <v>N</v>
      </c>
      <c r="J52" s="122" t="str">
        <f>IF(_epmOfflineCondition_,"N",_xll.EVPRO($B$1,$H52,"CALC"))</f>
        <v>N</v>
      </c>
      <c r="K52" s="179" t="str">
        <f t="shared" si="12"/>
        <v/>
      </c>
      <c r="L52" s="90" t="str">
        <f>IF(_epmOfflineCondition_,"540600",_xll.EVPRO($B$1,H52,"JDEID"))</f>
        <v>540600</v>
      </c>
      <c r="M52" s="90" t="str">
        <f>IF(_epmOfflineCondition_,"306055",IF(AND(I52="N",J52="N"),_xll.EVPRO($B$1,H52,"PSFTID"),""))</f>
        <v>306055</v>
      </c>
      <c r="N52" s="90" t="str">
        <f>IF(_epmOfflineCondition_,"Newspaper &amp; Magazines COS",IF(_xll.EVDES(H52,$B$1)="#NODATA","",_xll.EVDES(H52,$B$1)))</f>
        <v>Newspaper &amp; Magazines COS</v>
      </c>
      <c r="O52" s="215"/>
      <c r="P52" s="215"/>
      <c r="Q52" s="215"/>
      <c r="R52" s="215"/>
      <c r="S52" s="215"/>
      <c r="T52" s="215"/>
      <c r="U52" s="215"/>
      <c r="V52" s="215"/>
      <c r="W52" s="215"/>
      <c r="X52" s="215"/>
      <c r="Y52" s="215"/>
      <c r="Z52" s="215"/>
      <c r="AA52" s="215">
        <f t="shared" si="13"/>
        <v>0</v>
      </c>
      <c r="AB52" s="217" t="str">
        <f>IF(_epmOfflineCondition_,"",IF(AA52=0,"",IFERROR(AA52/_xll.EVGTS($B$1,1,_xll.EVPRO($B$1,$H52,"COSBASIS"),$B$3,$B$5,$B$6,$B$7,$B$9,AA$16,AA$17,AA$11),"")))</f>
        <v/>
      </c>
      <c r="AC52" s="140"/>
      <c r="AD52" s="215"/>
      <c r="AE52" s="217" t="str">
        <f>IF(_epmOfflineCondition_,"",IF(AD52=0,"",IFERROR(AD52/_xll.EVGTS($B$1,1,_xll.EVPRO($B$1,$H52,"COSBASIS"),$B$3,$B$5,$B$6,$B$7,$B$9,AD$16,AD$17,AD$18),"")))</f>
        <v/>
      </c>
      <c r="AF52" s="218">
        <f t="shared" si="14"/>
        <v>0</v>
      </c>
      <c r="AG52" s="215"/>
      <c r="AH52" s="217" t="str">
        <f>IF(_epmOfflineCondition_,"",IF(AG52=0,"",IFERROR(AG52/_xll.EVGTS($B$1,1,_xll.EVPRO($B$1,$H52,"COSBASIS"),$B$3,$B$5,$B$6,$B$7,$B$9,AG$16,AG$17,AG$18),"")))</f>
        <v/>
      </c>
      <c r="AI52" s="218">
        <f t="shared" si="15"/>
        <v>0</v>
      </c>
      <c r="AJ52" s="462">
        <f t="shared" si="16"/>
        <v>0</v>
      </c>
      <c r="AK52" s="463">
        <f t="shared" si="17"/>
        <v>0</v>
      </c>
      <c r="AL52" s="464">
        <f t="shared" si="18"/>
        <v>0</v>
      </c>
      <c r="AM52" s="465">
        <f t="shared" si="19"/>
        <v>0</v>
      </c>
      <c r="AN52" s="466">
        <f t="shared" si="20"/>
        <v>0</v>
      </c>
      <c r="AO52" s="11"/>
    </row>
    <row r="53" spans="1:41" x14ac:dyDescent="0.25">
      <c r="A53" s="11"/>
      <c r="B53" s="11"/>
      <c r="C53" s="11"/>
      <c r="D53" s="11"/>
      <c r="E53" s="11"/>
      <c r="F53" s="11"/>
      <c r="G53" s="11"/>
      <c r="H53" s="88" t="s">
        <v>403</v>
      </c>
      <c r="I53" s="122" t="str">
        <f>IF(_epmOfflineCondition_,"N",_xll.EVPRO($B$1,$H53,"STYLE"))</f>
        <v>N</v>
      </c>
      <c r="J53" s="122" t="str">
        <f>IF(_epmOfflineCondition_,"N",_xll.EVPRO($B$1,$H53,"CALC"))</f>
        <v>N</v>
      </c>
      <c r="K53" s="179" t="str">
        <f t="shared" si="12"/>
        <v/>
      </c>
      <c r="L53" s="90" t="str">
        <f>IF(_epmOfflineCondition_,"540700",_xll.EVPRO($B$1,H53,"JDEID"))</f>
        <v>540700</v>
      </c>
      <c r="M53" s="90" t="str">
        <f>IF(_epmOfflineCondition_,"306055",IF(AND(I53="N",J53="N"),_xll.EVPRO($B$1,H53,"PSFTID"),""))</f>
        <v>306055</v>
      </c>
      <c r="N53" s="90" t="str">
        <f>IF(_epmOfflineCondition_,"Youth Revenue COS",IF(_xll.EVDES(H53,$B$1)="#NODATA","",_xll.EVDES(H53,$B$1)))</f>
        <v>Youth Revenue COS</v>
      </c>
      <c r="O53" s="215"/>
      <c r="P53" s="215"/>
      <c r="Q53" s="215"/>
      <c r="R53" s="215"/>
      <c r="S53" s="215"/>
      <c r="T53" s="215"/>
      <c r="U53" s="215"/>
      <c r="V53" s="215"/>
      <c r="W53" s="215"/>
      <c r="X53" s="215"/>
      <c r="Y53" s="215"/>
      <c r="Z53" s="215"/>
      <c r="AA53" s="215">
        <f t="shared" si="13"/>
        <v>0</v>
      </c>
      <c r="AB53" s="217" t="str">
        <f>IF(_epmOfflineCondition_,"",IF(AA53=0,"",IFERROR(AA53/_xll.EVGTS($B$1,1,_xll.EVPRO($B$1,$H53,"COSBASIS"),$B$3,$B$5,$B$6,$B$7,$B$9,AA$16,AA$17,AA$11),"")))</f>
        <v/>
      </c>
      <c r="AC53" s="140"/>
      <c r="AD53" s="215"/>
      <c r="AE53" s="217" t="str">
        <f>IF(_epmOfflineCondition_,"",IF(AD53=0,"",IFERROR(AD53/_xll.EVGTS($B$1,1,_xll.EVPRO($B$1,$H53,"COSBASIS"),$B$3,$B$5,$B$6,$B$7,$B$9,AD$16,AD$17,AD$18),"")))</f>
        <v/>
      </c>
      <c r="AF53" s="218">
        <f t="shared" si="14"/>
        <v>0</v>
      </c>
      <c r="AG53" s="215"/>
      <c r="AH53" s="217" t="str">
        <f>IF(_epmOfflineCondition_,"",IF(AG53=0,"",IFERROR(AG53/_xll.EVGTS($B$1,1,_xll.EVPRO($B$1,$H53,"COSBASIS"),$B$3,$B$5,$B$6,$B$7,$B$9,AG$16,AG$17,AG$18),"")))</f>
        <v/>
      </c>
      <c r="AI53" s="218">
        <f t="shared" si="15"/>
        <v>0</v>
      </c>
      <c r="AJ53" s="462">
        <f t="shared" si="16"/>
        <v>0</v>
      </c>
      <c r="AK53" s="463">
        <f t="shared" si="17"/>
        <v>0</v>
      </c>
      <c r="AL53" s="464">
        <f t="shared" si="18"/>
        <v>0</v>
      </c>
      <c r="AM53" s="465">
        <f t="shared" si="19"/>
        <v>0</v>
      </c>
      <c r="AN53" s="466">
        <f t="shared" si="20"/>
        <v>0</v>
      </c>
      <c r="AO53" s="11"/>
    </row>
    <row r="54" spans="1:41" x14ac:dyDescent="0.25">
      <c r="A54" s="62" t="s">
        <v>9</v>
      </c>
      <c r="B54" s="63" t="s">
        <v>10</v>
      </c>
      <c r="C54" s="11"/>
      <c r="D54" s="11"/>
      <c r="E54" s="11"/>
      <c r="F54" s="11"/>
      <c r="G54" s="11"/>
      <c r="H54" s="88" t="s">
        <v>404</v>
      </c>
      <c r="I54" s="122" t="str">
        <f>IF(_epmOfflineCondition_,"N",_xll.EVPRO($B$1,$H54,"STYLE"))</f>
        <v>N</v>
      </c>
      <c r="J54" s="122" t="str">
        <f>IF(_epmOfflineCondition_,"N",_xll.EVPRO($B$1,$H54,"CALC"))</f>
        <v>N</v>
      </c>
      <c r="K54" s="179" t="str">
        <f t="shared" si="12"/>
        <v/>
      </c>
      <c r="L54" s="90" t="str">
        <f>IF(_epmOfflineCondition_,"540800",_xll.EVPRO($B$1,H54,"JDEID"))</f>
        <v>540800</v>
      </c>
      <c r="M54" s="90" t="str">
        <f>IF(_epmOfflineCondition_,"304044",IF(AND(I54="N",J54="N"),_xll.EVPRO($B$1,H54,"PSFTID"),""))</f>
        <v>304044</v>
      </c>
      <c r="N54" s="90" t="str">
        <f>IF(_epmOfflineCondition_,"Food/Candy Revenue COS",IF(_xll.EVDES(H54,$B$1)="#NODATA","",_xll.EVDES(H54,$B$1)))</f>
        <v>Food/Candy Revenue COS</v>
      </c>
      <c r="O54" s="215"/>
      <c r="P54" s="215"/>
      <c r="Q54" s="215"/>
      <c r="R54" s="215"/>
      <c r="S54" s="215"/>
      <c r="T54" s="215"/>
      <c r="U54" s="215"/>
      <c r="V54" s="215"/>
      <c r="W54" s="215"/>
      <c r="X54" s="215"/>
      <c r="Y54" s="215"/>
      <c r="Z54" s="215"/>
      <c r="AA54" s="215">
        <f t="shared" si="13"/>
        <v>0</v>
      </c>
      <c r="AB54" s="217" t="str">
        <f>IF(_epmOfflineCondition_,"",IF(AA54=0,"",IFERROR(AA54/_xll.EVGTS($B$1,1,_xll.EVPRO($B$1,$H54,"COSBASIS"),$B$3,$B$5,$B$6,$B$7,$B$9,AA$16,AA$17,AA$11),"")))</f>
        <v/>
      </c>
      <c r="AC54" s="140"/>
      <c r="AD54" s="215"/>
      <c r="AE54" s="217" t="str">
        <f>IF(_epmOfflineCondition_,"",IF(AD54=0,"",IFERROR(AD54/_xll.EVGTS($B$1,1,_xll.EVPRO($B$1,$H54,"COSBASIS"),$B$3,$B$5,$B$6,$B$7,$B$9,AD$16,AD$17,AD$18),"")))</f>
        <v/>
      </c>
      <c r="AF54" s="218">
        <f t="shared" si="14"/>
        <v>0</v>
      </c>
      <c r="AG54" s="215"/>
      <c r="AH54" s="217" t="str">
        <f>IF(_epmOfflineCondition_,"",IF(AG54=0,"",IFERROR(AG54/_xll.EVGTS($B$1,1,_xll.EVPRO($B$1,$H54,"COSBASIS"),$B$3,$B$5,$B$6,$B$7,$B$9,AG$16,AG$17,AG$18),"")))</f>
        <v/>
      </c>
      <c r="AI54" s="218">
        <f t="shared" si="15"/>
        <v>0</v>
      </c>
      <c r="AJ54" s="462">
        <f t="shared" si="16"/>
        <v>0</v>
      </c>
      <c r="AK54" s="463">
        <f t="shared" si="17"/>
        <v>0</v>
      </c>
      <c r="AL54" s="464">
        <f t="shared" si="18"/>
        <v>0</v>
      </c>
      <c r="AM54" s="465">
        <f t="shared" si="19"/>
        <v>0</v>
      </c>
      <c r="AN54" s="466">
        <f t="shared" si="20"/>
        <v>0</v>
      </c>
      <c r="AO54" s="11"/>
    </row>
    <row r="55" spans="1:41" x14ac:dyDescent="0.25">
      <c r="A55" s="65" t="s">
        <v>11</v>
      </c>
      <c r="B55" s="66" t="s">
        <v>21</v>
      </c>
      <c r="C55" s="11"/>
      <c r="D55" s="11"/>
      <c r="E55" s="11"/>
      <c r="F55" s="11"/>
      <c r="G55" s="11"/>
      <c r="H55" s="88" t="s">
        <v>405</v>
      </c>
      <c r="I55" s="122" t="str">
        <f>IF(_epmOfflineCondition_,"N",_xll.EVPRO($B$1,$H55,"STYLE"))</f>
        <v>N</v>
      </c>
      <c r="J55" s="122" t="str">
        <f>IF(_epmOfflineCondition_,"N",_xll.EVPRO($B$1,$H55,"CALC"))</f>
        <v>N</v>
      </c>
      <c r="K55" s="179" t="str">
        <f t="shared" si="12"/>
        <v/>
      </c>
      <c r="L55" s="90" t="str">
        <f>IF(_epmOfflineCondition_,"540900",_xll.EVPRO($B$1,H55,"JDEID"))</f>
        <v>540900</v>
      </c>
      <c r="M55" s="90" t="str">
        <f>IF(_epmOfflineCondition_,"306099",IF(AND(I55="N",J55="N"),_xll.EVPRO($B$1,H55,"PSFTID"),""))</f>
        <v>306099</v>
      </c>
      <c r="N55" s="90" t="str">
        <f>IF(_epmOfflineCondition_,"Tobacco Revenue COS",IF(_xll.EVDES(H55,$B$1)="#NODATA","",_xll.EVDES(H55,$B$1)))</f>
        <v>Tobacco Revenue COS</v>
      </c>
      <c r="O55" s="215"/>
      <c r="P55" s="215"/>
      <c r="Q55" s="215"/>
      <c r="R55" s="215"/>
      <c r="S55" s="215"/>
      <c r="T55" s="215"/>
      <c r="U55" s="215"/>
      <c r="V55" s="215"/>
      <c r="W55" s="215"/>
      <c r="X55" s="215"/>
      <c r="Y55" s="215"/>
      <c r="Z55" s="215"/>
      <c r="AA55" s="215">
        <f t="shared" si="13"/>
        <v>0</v>
      </c>
      <c r="AB55" s="217" t="str">
        <f>IF(_epmOfflineCondition_,"",IF(AA55=0,"",IFERROR(AA55/_xll.EVGTS($B$1,1,_xll.EVPRO($B$1,$H55,"COSBASIS"),$B$3,$B$5,$B$6,$B$7,$B$9,AA$16,AA$17,AA$11),"")))</f>
        <v/>
      </c>
      <c r="AC55" s="140"/>
      <c r="AD55" s="215"/>
      <c r="AE55" s="217" t="str">
        <f>IF(_epmOfflineCondition_,"",IF(AD55=0,"",IFERROR(AD55/_xll.EVGTS($B$1,1,_xll.EVPRO($B$1,$H55,"COSBASIS"),$B$3,$B$5,$B$6,$B$7,$B$9,AD$16,AD$17,AD$18),"")))</f>
        <v/>
      </c>
      <c r="AF55" s="218">
        <f t="shared" si="14"/>
        <v>0</v>
      </c>
      <c r="AG55" s="215"/>
      <c r="AH55" s="217" t="str">
        <f>IF(_epmOfflineCondition_,"",IF(AG55=0,"",IFERROR(AG55/_xll.EVGTS($B$1,1,_xll.EVPRO($B$1,$H55,"COSBASIS"),$B$3,$B$5,$B$6,$B$7,$B$9,AG$16,AG$17,AG$18),"")))</f>
        <v/>
      </c>
      <c r="AI55" s="218">
        <f t="shared" si="15"/>
        <v>0</v>
      </c>
      <c r="AJ55" s="471">
        <f t="shared" si="16"/>
        <v>0</v>
      </c>
      <c r="AK55" s="472">
        <f t="shared" si="17"/>
        <v>0</v>
      </c>
      <c r="AL55" s="473">
        <f t="shared" si="18"/>
        <v>0</v>
      </c>
      <c r="AM55" s="474">
        <f t="shared" si="19"/>
        <v>0</v>
      </c>
      <c r="AN55" s="475">
        <f t="shared" si="20"/>
        <v>0</v>
      </c>
      <c r="AO55" s="11"/>
    </row>
    <row r="56" spans="1:41" x14ac:dyDescent="0.25">
      <c r="A56" s="65" t="s">
        <v>12</v>
      </c>
      <c r="B56" s="66" t="s">
        <v>22</v>
      </c>
      <c r="C56" s="11"/>
      <c r="D56" s="11"/>
      <c r="E56" s="11"/>
      <c r="F56" s="11"/>
      <c r="G56" s="76"/>
      <c r="H56" s="88" t="s">
        <v>289</v>
      </c>
      <c r="I56" s="188" t="str">
        <f>IF(_epmOfflineCondition_,"T3",_xll.EVPRO($B$1,$H56,"STYLE"))</f>
        <v>T3</v>
      </c>
      <c r="J56" s="188" t="str">
        <f>IF(_epmOfflineCondition_,"Y",_xll.EVPRO($B$1,$H56,"CALC"))</f>
        <v>Y</v>
      </c>
      <c r="K56" s="189" t="str">
        <f t="shared" si="12"/>
        <v/>
      </c>
      <c r="L56" s="190" t="str">
        <f>IF(_epmOfflineCondition_,"500001",_xll.EVPRO($B$1,H56,"JDEID"))</f>
        <v>500001</v>
      </c>
      <c r="M56" s="190" t="str">
        <f>IF(_epmOfflineCondition_,"",IF(AND(I56="N",J56="N"),_xll.EVPRO($B$1,H56,"PSFTID"),""))</f>
        <v/>
      </c>
      <c r="N56" s="190" t="str">
        <f>IF(_epmOfflineCondition_,"Total Cost of Sales",IF(_xll.EVDES(H56,$B$1)="#NODATA","",_xll.EVDES(H56,$B$1)))</f>
        <v>Total Cost of Sales</v>
      </c>
      <c r="O56" s="223"/>
      <c r="P56" s="223"/>
      <c r="Q56" s="223"/>
      <c r="R56" s="223"/>
      <c r="S56" s="223"/>
      <c r="T56" s="223"/>
      <c r="U56" s="223"/>
      <c r="V56" s="223"/>
      <c r="W56" s="223"/>
      <c r="X56" s="223"/>
      <c r="Y56" s="223"/>
      <c r="Z56" s="223"/>
      <c r="AA56" s="223">
        <f t="shared" si="13"/>
        <v>0</v>
      </c>
      <c r="AB56" s="224" t="str">
        <f>IF(_epmOfflineCondition_,"",IF(AA56=0,"",IFERROR(AA56/_xll.EVGTS($B$1,1,_xll.EVPRO($B$1,$H56,"COSBASIS"),$B$3,$B$5,$B$6,$B$7,$B$9,AA$16,AA$17,AA$11),"")))</f>
        <v/>
      </c>
      <c r="AC56" s="225"/>
      <c r="AD56" s="223"/>
      <c r="AE56" s="224" t="str">
        <f>IF(_epmOfflineCondition_,"",IF(AD56=0,"",IFERROR(AD56/_xll.EVGTS($B$1,1,_xll.EVPRO($B$1,$H56,"COSBASIS"),$B$3,$B$5,$B$6,$B$7,$B$9,AD$16,AD$17,AD$18),"")))</f>
        <v/>
      </c>
      <c r="AF56" s="226">
        <f t="shared" si="14"/>
        <v>0</v>
      </c>
      <c r="AG56" s="223"/>
      <c r="AH56" s="224" t="str">
        <f>IF(_epmOfflineCondition_,"",IF(AG56=0,"",IFERROR(AG56/_xll.EVGTS($B$1,1,_xll.EVPRO($B$1,$H56,"COSBASIS"),$B$3,$B$5,$B$6,$B$7,$B$9,AG$16,AG$17,AG$18),"")))</f>
        <v/>
      </c>
      <c r="AI56" s="226">
        <f t="shared" si="15"/>
        <v>0</v>
      </c>
      <c r="AJ56" s="227">
        <f t="shared" si="16"/>
        <v>0</v>
      </c>
      <c r="AK56" s="228">
        <f t="shared" si="17"/>
        <v>0</v>
      </c>
      <c r="AL56" s="230">
        <f t="shared" si="18"/>
        <v>0</v>
      </c>
      <c r="AM56" s="427">
        <f t="shared" si="19"/>
        <v>0</v>
      </c>
      <c r="AN56" s="478">
        <f t="shared" si="20"/>
        <v>0</v>
      </c>
      <c r="AO56" s="11"/>
    </row>
    <row r="57" spans="1:41" x14ac:dyDescent="0.25">
      <c r="A57" s="65" t="s">
        <v>13</v>
      </c>
      <c r="B57" s="66" t="str">
        <f>"DEP(540000) AND "&amp;$E$6&amp;"=Y,500001"</f>
        <v>DEP(540000) AND D1136=Y,500001</v>
      </c>
      <c r="C57" s="11"/>
      <c r="D57" s="11"/>
      <c r="E57" s="11"/>
      <c r="F57" s="11"/>
      <c r="G57" s="11"/>
      <c r="H57" s="185" t="s">
        <v>175</v>
      </c>
      <c r="I57" s="89" t="str">
        <f>IF(_epmOfflineCondition_,"B1",_xll.EVPRO($B$1,$H57,"STYLE"))</f>
        <v>B1</v>
      </c>
      <c r="J57" s="89" t="str">
        <f>IF(_epmOfflineCondition_,"Y",_xll.EVPRO($B$1,$H57,"CALC"))</f>
        <v>Y</v>
      </c>
      <c r="K57" s="265" t="str">
        <f t="shared" si="12"/>
        <v/>
      </c>
      <c r="L57" s="265"/>
      <c r="M57" s="265"/>
      <c r="N57" s="106" t="str">
        <f>IF(_epmOfflineCondition_,"BLANKROW",IF(_xll.EVDES(H57,$B$1)="#NODATA","",_xll.EVDES(H57,$B$1)))</f>
        <v>BLANKROW</v>
      </c>
      <c r="O57" s="205"/>
      <c r="P57" s="205"/>
      <c r="Q57" s="205"/>
      <c r="R57" s="205"/>
      <c r="S57" s="205"/>
      <c r="T57" s="205"/>
      <c r="U57" s="205"/>
      <c r="V57" s="205"/>
      <c r="W57" s="205"/>
      <c r="X57" s="205"/>
      <c r="Y57" s="205"/>
      <c r="Z57" s="205"/>
      <c r="AA57" s="205"/>
      <c r="AB57" s="206" t="str">
        <f>IF(_epmOfflineCondition_,"",IF(O57=0,"",IFERROR(O57/_xll.EVGTS($B$1,1,INDEX($C$142:$C$165,MATCH($H57,$A$142:$A$165,0)),$B$3,$B$5,$B$6,$B$7,$B$9,O$16,O$17,O$18),"")))</f>
        <v/>
      </c>
      <c r="AC57" s="11"/>
      <c r="AD57" s="205"/>
      <c r="AE57" s="206" t="str">
        <f>IF(_epmOfflineCondition_,"",IF(AD57=0,"",IFERROR(AD57/_xll.EVGTS($B$1,1,INDEX($C$142:$C$165,MATCH($H57,$A$142:$A$165,0)),$B$3,$B$5,$B$6,$B$7,$B$9,AD$16,AD$17,AD$18),"")))</f>
        <v/>
      </c>
      <c r="AF57" s="207" t="str">
        <f t="shared" si="14"/>
        <v/>
      </c>
      <c r="AG57" s="205"/>
      <c r="AH57" s="206" t="str">
        <f>IF(_epmOfflineCondition_,"",IF(AG57=0,"",IFERROR(AG57/_xll.EVGTS($B$1,1,INDEX($C$142:$C$165,MATCH($H57,$A$142:$A$165,0)),$B$3,$B$5,$B$6,$B$7,$B$9,AG$16,AG$17,AG$18),"")))</f>
        <v/>
      </c>
      <c r="AI57" s="207" t="str">
        <f t="shared" si="15"/>
        <v/>
      </c>
      <c r="AJ57" s="11"/>
      <c r="AK57" s="11"/>
      <c r="AL57" s="11"/>
      <c r="AM57" s="11"/>
      <c r="AN57" s="11"/>
      <c r="AO57" s="11"/>
    </row>
    <row r="58" spans="1:41" x14ac:dyDescent="0.25">
      <c r="A58" s="65" t="s">
        <v>14</v>
      </c>
      <c r="B58" s="66"/>
      <c r="C58" s="11"/>
      <c r="D58" s="11"/>
      <c r="E58" s="11"/>
      <c r="F58" s="11"/>
      <c r="G58" s="11"/>
      <c r="H58" s="185" t="s">
        <v>292</v>
      </c>
      <c r="I58" s="89" t="str">
        <f>IF(_epmOfflineCondition_,"T3",_xll.EVPRO($B$1,$H58,"STYLE"))</f>
        <v>T3</v>
      </c>
      <c r="J58" s="89" t="str">
        <f>IF(_epmOfflineCondition_,"Y",_xll.EVPRO($B$1,$H58,"CALC"))</f>
        <v>Y</v>
      </c>
      <c r="K58" s="265" t="str">
        <f t="shared" si="12"/>
        <v/>
      </c>
      <c r="L58" s="265"/>
      <c r="M58" s="265"/>
      <c r="N58" s="106" t="str">
        <f>IF(_epmOfflineCondition_,"Gross Profit",IF(_xll.EVDES(H58,$B$1)="#NODATA","",_xll.EVDES(H58,$B$1)))</f>
        <v>Gross Profit</v>
      </c>
      <c r="O58" s="123">
        <f t="shared" ref="O58:Z58" si="21">SUMIF($H$34:$H$56,"400000",O34:O56)-SUMIF($H$34:$H$56,"500001",O34:O56)</f>
        <v>0</v>
      </c>
      <c r="P58" s="123">
        <f t="shared" si="21"/>
        <v>0</v>
      </c>
      <c r="Q58" s="123">
        <f t="shared" si="21"/>
        <v>0</v>
      </c>
      <c r="R58" s="123">
        <f t="shared" si="21"/>
        <v>0</v>
      </c>
      <c r="S58" s="123">
        <f t="shared" si="21"/>
        <v>0</v>
      </c>
      <c r="T58" s="123">
        <f t="shared" si="21"/>
        <v>0</v>
      </c>
      <c r="U58" s="123">
        <f t="shared" si="21"/>
        <v>0</v>
      </c>
      <c r="V58" s="123">
        <f t="shared" si="21"/>
        <v>0</v>
      </c>
      <c r="W58" s="123">
        <f t="shared" si="21"/>
        <v>0</v>
      </c>
      <c r="X58" s="123">
        <f t="shared" si="21"/>
        <v>0</v>
      </c>
      <c r="Y58" s="123">
        <f t="shared" si="21"/>
        <v>0</v>
      </c>
      <c r="Z58" s="123">
        <f t="shared" si="21"/>
        <v>0</v>
      </c>
      <c r="AA58" s="191">
        <f>IF($I58="B1","",SUM(O58:Z58))</f>
        <v>0</v>
      </c>
      <c r="AB58" s="192" t="str">
        <f>IF(AA58=0,"",IFERROR(AA58/AA$19,""))</f>
        <v/>
      </c>
      <c r="AC58" s="11"/>
      <c r="AD58" s="123">
        <f>SUMIF($H$34:$H$56,"400000",AD34:AD56)-SUMIF($H$34:$H$56,"500001",AD34:AD56)</f>
        <v>0</v>
      </c>
      <c r="AE58" s="192" t="str">
        <f>IF(AD58=0,"",IFERROR(AD58/AD$19,""))</f>
        <v/>
      </c>
      <c r="AF58" s="125">
        <f t="shared" si="14"/>
        <v>0</v>
      </c>
      <c r="AG58" s="123">
        <f>SUMIF($H$34:$H$56,"400000",AG34:AG56)-SUMIF($H$34:$H$56,"500001",AG34:AG56)</f>
        <v>0</v>
      </c>
      <c r="AH58" s="192" t="str">
        <f>IF(AG58=0,"",IFERROR(AG58/AG$19,""))</f>
        <v/>
      </c>
      <c r="AI58" s="125">
        <f t="shared" si="15"/>
        <v>0</v>
      </c>
      <c r="AJ58" s="388">
        <f>IFERROR(AA58/AA$20,0)</f>
        <v>0</v>
      </c>
      <c r="AK58" s="389">
        <f>IFERROR(AD58/AD$20,0)</f>
        <v>0</v>
      </c>
      <c r="AL58" s="390">
        <f>IFERROR(AG58/AG$20,0)</f>
        <v>0</v>
      </c>
      <c r="AM58" s="391">
        <f>+IFERROR(ROUND(($AB58-AE58)*100,2)&amp;" pts.",0)</f>
        <v>0</v>
      </c>
      <c r="AN58" s="544">
        <f>+IFERROR(ROUND(($AB58-AH58)*100,2)&amp;" pts.",0)</f>
        <v>0</v>
      </c>
      <c r="AO58" s="11"/>
    </row>
    <row r="59" spans="1:41" x14ac:dyDescent="0.25">
      <c r="A59" s="65" t="s">
        <v>15</v>
      </c>
      <c r="B59" s="66"/>
      <c r="C59" s="11"/>
      <c r="D59" s="11"/>
      <c r="E59" s="11"/>
      <c r="F59" s="11"/>
      <c r="G59" s="11"/>
      <c r="H59" s="11"/>
      <c r="I59" s="59"/>
      <c r="J59" s="59"/>
      <c r="K59" s="11"/>
      <c r="L59" s="11"/>
      <c r="M59" s="11"/>
      <c r="N59" s="11"/>
      <c r="O59" s="393"/>
      <c r="P59" s="394"/>
      <c r="Q59" s="394"/>
      <c r="R59" s="394"/>
      <c r="S59" s="394"/>
      <c r="T59" s="394"/>
      <c r="U59" s="394"/>
      <c r="V59" s="394"/>
      <c r="W59" s="394"/>
      <c r="X59" s="394"/>
      <c r="Y59" s="394"/>
      <c r="Z59" s="394"/>
      <c r="AA59" s="394"/>
      <c r="AB59" s="118"/>
      <c r="AC59" s="11"/>
      <c r="AD59" s="393"/>
      <c r="AE59" s="204"/>
      <c r="AF59" s="118"/>
      <c r="AG59" s="204"/>
      <c r="AH59" s="204"/>
      <c r="AI59" s="118"/>
      <c r="AJ59" s="11"/>
      <c r="AK59" s="11"/>
      <c r="AL59" s="11"/>
      <c r="AM59" s="11"/>
      <c r="AN59" s="11"/>
      <c r="AO59" s="11"/>
    </row>
    <row r="60" spans="1:41" x14ac:dyDescent="0.25">
      <c r="A60" s="65" t="s">
        <v>16</v>
      </c>
      <c r="B60" s="66"/>
      <c r="C60" s="11"/>
      <c r="D60" s="11"/>
      <c r="E60" s="11"/>
      <c r="F60" s="11"/>
      <c r="G60" s="11"/>
      <c r="H60" s="11" t="s">
        <v>73</v>
      </c>
      <c r="I60" s="59" t="str">
        <f>IF(_epmOfflineCondition_,"B1",_xll.EVPRO($B$1,$H60,"STYLE"))</f>
        <v>B1</v>
      </c>
      <c r="J60" s="59" t="str">
        <f>IF(_epmOfflineCondition_,"Y",_xll.EVPRO($B$1,$H60,"CALC"))</f>
        <v>Y</v>
      </c>
      <c r="K60" s="11"/>
      <c r="L60" s="11"/>
      <c r="M60" s="11"/>
      <c r="N60" s="105" t="str">
        <f>IF(_epmOfflineCondition_,"Labor &amp; Related Expenses",IF(_xll.EVDES(H60,$B$1)="#NODATA","",_xll.EVDES(H60,$B$1)))</f>
        <v>Labor &amp; Related Expenses</v>
      </c>
      <c r="O60" s="203"/>
      <c r="P60" s="204"/>
      <c r="Q60" s="204"/>
      <c r="R60" s="204"/>
      <c r="S60" s="204"/>
      <c r="T60" s="204"/>
      <c r="U60" s="204"/>
      <c r="V60" s="204"/>
      <c r="W60" s="204"/>
      <c r="X60" s="204"/>
      <c r="Y60" s="204"/>
      <c r="Z60" s="204"/>
      <c r="AA60" s="204"/>
      <c r="AB60" s="410"/>
      <c r="AC60" s="11"/>
      <c r="AD60" s="411"/>
      <c r="AE60" s="412"/>
      <c r="AF60" s="118"/>
      <c r="AG60" s="204"/>
      <c r="AH60" s="412"/>
      <c r="AI60" s="118"/>
      <c r="AJ60" s="11"/>
      <c r="AK60" s="11"/>
      <c r="AL60" s="11"/>
      <c r="AM60" s="11"/>
      <c r="AN60" s="11"/>
      <c r="AO60" s="11"/>
    </row>
    <row r="61" spans="1:41" x14ac:dyDescent="0.25">
      <c r="A61" s="65" t="s">
        <v>17</v>
      </c>
      <c r="B61" s="66"/>
      <c r="C61" s="11"/>
      <c r="D61" s="11"/>
      <c r="E61" s="11"/>
      <c r="F61" s="11"/>
      <c r="G61" s="11"/>
      <c r="H61" s="11" t="s">
        <v>74</v>
      </c>
      <c r="I61" s="59" t="str">
        <f>IF(_epmOfflineCondition_,"B1",_xll.EVPRO($B$1,$H61,"STYLE"))</f>
        <v>B1</v>
      </c>
      <c r="J61" s="59" t="str">
        <f>IF(_epmOfflineCondition_,"Y",_xll.EVPRO($B$1,$H61,"CALC"))</f>
        <v>Y</v>
      </c>
      <c r="K61" s="11"/>
      <c r="L61" s="11"/>
      <c r="M61" s="11"/>
      <c r="N61" s="53" t="str">
        <f>IF(_epmOfflineCondition_,"Salaries &amp; Wages",IF(_xll.EVDES(H61,$B$1)="#NODATA","",_xll.EVDES(H61,$B$1)))</f>
        <v>Salaries &amp; Wages</v>
      </c>
      <c r="O61" s="119"/>
      <c r="P61" s="120"/>
      <c r="Q61" s="120"/>
      <c r="R61" s="120"/>
      <c r="S61" s="120"/>
      <c r="T61" s="120"/>
      <c r="U61" s="120"/>
      <c r="V61" s="120"/>
      <c r="W61" s="120"/>
      <c r="X61" s="120"/>
      <c r="Y61" s="120"/>
      <c r="Z61" s="120"/>
      <c r="AA61" s="120"/>
      <c r="AB61" s="121"/>
      <c r="AC61" s="11"/>
      <c r="AD61" s="119"/>
      <c r="AE61" s="120"/>
      <c r="AF61" s="121"/>
      <c r="AG61" s="120"/>
      <c r="AH61" s="120"/>
      <c r="AI61" s="121"/>
      <c r="AJ61" s="11"/>
      <c r="AK61" s="11"/>
      <c r="AL61" s="11"/>
      <c r="AM61" s="11"/>
      <c r="AN61" s="11"/>
      <c r="AO61" s="11"/>
    </row>
    <row r="62" spans="1:41" hidden="1" x14ac:dyDescent="0.25">
      <c r="A62" s="11"/>
      <c r="B62" s="11"/>
      <c r="C62" s="11"/>
      <c r="D62" s="11"/>
      <c r="E62" s="11"/>
      <c r="F62" s="11"/>
      <c r="G62" s="11"/>
      <c r="H62" s="88" t="s">
        <v>667</v>
      </c>
      <c r="I62" s="122" t="str">
        <f>IF(_epmOfflineCondition_,"",_xll.EVPRO($B$1,$H62,"STYLE"))</f>
        <v/>
      </c>
      <c r="J62" s="122" t="str">
        <f>IF(_epmOfflineCondition_,"",_xll.EVPRO($B$1,$H62,"CALC"))</f>
        <v/>
      </c>
      <c r="K62" s="179" t="str">
        <f>IF(AND(I62&gt;="T3"),"&gt;","")</f>
        <v/>
      </c>
      <c r="L62" s="90" t="str">
        <f>IF(_epmOfflineCondition_,"",_xll.EVPRO($B$1,H62,"JDEID"))</f>
        <v/>
      </c>
      <c r="M62" s="90" t="str">
        <f>IF(_epmOfflineCondition_,"",IF(AND(I62="N",J62="N"),_xll.EVPRO($B$1,H62,"PSFTID"),""))</f>
        <v/>
      </c>
      <c r="N62" s="90" t="str">
        <f>IF(_epmOfflineCondition_,"",IF(_xll.EVDES(H62,$B$1)="#NODATA","",_xll.EVDES(H62,$B$1)))</f>
        <v/>
      </c>
      <c r="O62" s="239"/>
      <c r="P62" s="239"/>
      <c r="Q62" s="239"/>
      <c r="R62" s="239"/>
      <c r="S62" s="239"/>
      <c r="T62" s="239"/>
      <c r="U62" s="239"/>
      <c r="V62" s="239"/>
      <c r="W62" s="239"/>
      <c r="X62" s="239"/>
      <c r="Y62" s="239"/>
      <c r="Z62" s="239"/>
      <c r="AA62" s="239">
        <f>IF($I62="B1","",SUM(O62:Z62))</f>
        <v>0</v>
      </c>
      <c r="AB62" s="240" t="str">
        <f>IF(AA62=0,"",IFERROR(AA62/AA$19,""))</f>
        <v/>
      </c>
      <c r="AC62" s="140"/>
      <c r="AD62" s="239"/>
      <c r="AE62" s="240" t="str">
        <f>IF(AD62=0,"",IFERROR(AD62/AD$19,""))</f>
        <v/>
      </c>
      <c r="AF62" s="241">
        <f>IF(AND($AA62="",AD62=""),"",$AA62-AD62)</f>
        <v>0</v>
      </c>
      <c r="AG62" s="239"/>
      <c r="AH62" s="240" t="str">
        <f>IF(AG62=0,"",IFERROR(AG62/AG$19,""))</f>
        <v/>
      </c>
      <c r="AI62" s="241">
        <f>IF(AND($AA62="",AG62=""),"",$AA62-AG62)</f>
        <v>0</v>
      </c>
      <c r="AJ62" s="462">
        <f>IFERROR(AA62/AA$20,0)</f>
        <v>0</v>
      </c>
      <c r="AK62" s="463">
        <f>IFERROR(AD62/AD$20,0)</f>
        <v>0</v>
      </c>
      <c r="AL62" s="464">
        <f>IFERROR(AG62/AG$20,0)</f>
        <v>0</v>
      </c>
      <c r="AM62" s="465">
        <f>+IFERROR(ROUND(($AB62-AE62)*100,2)&amp;" pts.",0)</f>
        <v>0</v>
      </c>
      <c r="AN62" s="466">
        <f>+IFERROR(ROUND(($AB62-AH62)*100,2)&amp;" pts.",0)</f>
        <v>0</v>
      </c>
      <c r="AO62" s="11"/>
    </row>
    <row r="63" spans="1:41" hidden="1" x14ac:dyDescent="0.25">
      <c r="A63" s="97" t="s">
        <v>92</v>
      </c>
      <c r="B63" s="98" t="s">
        <v>93</v>
      </c>
      <c r="C63" s="98" t="s">
        <v>94</v>
      </c>
      <c r="D63" s="98" t="s">
        <v>95</v>
      </c>
      <c r="E63" s="98" t="s">
        <v>96</v>
      </c>
      <c r="F63" s="99" t="s">
        <v>97</v>
      </c>
      <c r="G63" s="11"/>
      <c r="H63" s="88"/>
      <c r="I63" s="122" t="str">
        <f>IF(_epmOfflineCondition_,"",_xll.EVPRO($B$1,$H63,"STYLE"))</f>
        <v/>
      </c>
      <c r="J63" s="122" t="str">
        <f>IF(_epmOfflineCondition_,"",_xll.EVPRO($B$1,$H63,"CALC"))</f>
        <v/>
      </c>
      <c r="K63" s="179" t="str">
        <f>IF(AND(I63&gt;="T3"),"&gt;","")</f>
        <v/>
      </c>
      <c r="L63" s="90" t="str">
        <f>IF(_epmOfflineCondition_,"",_xll.EVPRO($B$1,H63,"JDEID"))</f>
        <v/>
      </c>
      <c r="M63" s="90" t="str">
        <f>IF(_epmOfflineCondition_,"",IF(AND(I63="N",J63="N"),_xll.EVPRO($B$1,H63,"PSFTID"),""))</f>
        <v/>
      </c>
      <c r="N63" s="90" t="str">
        <f>IF(_epmOfflineCondition_,"",IF(_xll.EVDES(H63,$B$1)="#NODATA","",_xll.EVDES(H63,$B$1)))</f>
        <v/>
      </c>
      <c r="O63" s="239"/>
      <c r="P63" s="239"/>
      <c r="Q63" s="239"/>
      <c r="R63" s="239"/>
      <c r="S63" s="239"/>
      <c r="T63" s="239"/>
      <c r="U63" s="239"/>
      <c r="V63" s="239"/>
      <c r="W63" s="239"/>
      <c r="X63" s="239"/>
      <c r="Y63" s="239"/>
      <c r="Z63" s="239"/>
      <c r="AA63" s="239">
        <f>IF($I63="B1","",SUM(O63:Z63))</f>
        <v>0</v>
      </c>
      <c r="AB63" s="240" t="str">
        <f>IF(AA63=0,"",IFERROR(AA63/AA$19,""))</f>
        <v/>
      </c>
      <c r="AC63" s="140"/>
      <c r="AD63" s="239"/>
      <c r="AE63" s="240" t="str">
        <f>IF(AD63=0,"",IFERROR(AD63/AD$19,""))</f>
        <v/>
      </c>
      <c r="AF63" s="241">
        <f>IF(AND($AA63="",AD63=""),"",$AA63-AD63)</f>
        <v>0</v>
      </c>
      <c r="AG63" s="239"/>
      <c r="AH63" s="240" t="str">
        <f>IF(AG63=0,"",IFERROR(AG63/AG$19,""))</f>
        <v/>
      </c>
      <c r="AI63" s="241">
        <f>IF(AND($AA63="",AG63=""),"",$AA63-AG63)</f>
        <v>0</v>
      </c>
      <c r="AJ63" s="462">
        <f>IFERROR(AA63/AA$20,0)</f>
        <v>0</v>
      </c>
      <c r="AK63" s="463">
        <f>IFERROR(AD63/AD$20,0)</f>
        <v>0</v>
      </c>
      <c r="AL63" s="464">
        <f>IFERROR(AG63/AG$20,0)</f>
        <v>0</v>
      </c>
      <c r="AM63" s="465">
        <f>+IFERROR(ROUND(($AB63-AE63)*100,2)&amp;" pts.",0)</f>
        <v>0</v>
      </c>
      <c r="AN63" s="466">
        <f>+IFERROR(ROUND(($AB63-AH63)*100,2)&amp;" pts.",0)</f>
        <v>0</v>
      </c>
      <c r="AO63" s="11"/>
    </row>
    <row r="64" spans="1:41" x14ac:dyDescent="0.25">
      <c r="A64" s="11"/>
      <c r="B64" s="11"/>
      <c r="C64" s="11"/>
      <c r="D64" s="11"/>
      <c r="E64" s="11"/>
      <c r="F64" s="11"/>
      <c r="G64" s="11"/>
      <c r="H64" s="88" t="s">
        <v>75</v>
      </c>
      <c r="I64" s="89" t="str">
        <f>IF(_epmOfflineCondition_,"B1",_xll.EVPRO($B$1,$H64,"STYLE"))</f>
        <v>B1</v>
      </c>
      <c r="J64" s="89" t="str">
        <f>IF(_epmOfflineCondition_,"Y",_xll.EVPRO($B$1,$H64,"CALC"))</f>
        <v>Y</v>
      </c>
      <c r="K64" s="265" t="str">
        <f>IF(AND(I64&gt;="T3"),"&gt;","")</f>
        <v/>
      </c>
      <c r="L64" s="106" t="str">
        <f>IF(_epmOfflineCondition_,"",_xll.EVPRO($B$1,H64,"JDEID"))</f>
        <v/>
      </c>
      <c r="M64" s="90" t="str">
        <f>IF(_epmOfflineCondition_,"",IF(AND(I64="N",J64="N"),_xll.EVPRO($B$1,H64,"PSFTID"),""))</f>
        <v/>
      </c>
      <c r="N64" s="106" t="str">
        <f>IF(_epmOfflineCondition_,"Non-Management",IF(_xll.EVDES(H64,$B$1)="#NODATA","",_xll.EVDES(H64,$B$1)))</f>
        <v>Non-Management</v>
      </c>
      <c r="O64" s="197"/>
      <c r="P64" s="197"/>
      <c r="Q64" s="197"/>
      <c r="R64" s="197"/>
      <c r="S64" s="197"/>
      <c r="T64" s="197"/>
      <c r="U64" s="197"/>
      <c r="V64" s="197"/>
      <c r="W64" s="197"/>
      <c r="X64" s="197"/>
      <c r="Y64" s="197"/>
      <c r="Z64" s="197"/>
      <c r="AA64" s="197" t="str">
        <f>IF($I64="B1","",SUM(O64:Z64))</f>
        <v/>
      </c>
      <c r="AB64" s="198" t="str">
        <f>IF(AA64=0,"",IFERROR(AA64/AA$19,""))</f>
        <v/>
      </c>
      <c r="AC64" s="11"/>
      <c r="AD64" s="197"/>
      <c r="AE64" s="198" t="str">
        <f>IF(AD64=0,"",IFERROR(AD64/AD$19,""))</f>
        <v/>
      </c>
      <c r="AF64" s="199" t="str">
        <f>IF(AND($AA64="",AD64=""),"",$AA64-AD64)</f>
        <v/>
      </c>
      <c r="AG64" s="197"/>
      <c r="AH64" s="198" t="str">
        <f>IF(AG64=0,"",IFERROR(AG64/AG$19,""))</f>
        <v/>
      </c>
      <c r="AI64" s="199" t="str">
        <f>IF(AND($AA64="",AG64=""),"",$AA64-AG64)</f>
        <v/>
      </c>
      <c r="AJ64" s="397">
        <f>IFERROR(AA64/AA$20,0)</f>
        <v>0</v>
      </c>
      <c r="AK64" s="398">
        <f>IFERROR(AD64/AD$20,0)</f>
        <v>0</v>
      </c>
      <c r="AL64" s="399">
        <f>IFERROR(AG64/AG$20,0)</f>
        <v>0</v>
      </c>
      <c r="AM64" s="400">
        <f>+IFERROR(ROUND(($AB64-AE64)*100,2)&amp;" pts.",0)</f>
        <v>0</v>
      </c>
      <c r="AN64" s="401">
        <f>+IFERROR(ROUND(($AB64-AH64)*100,2)&amp;" pts.",0)</f>
        <v>0</v>
      </c>
      <c r="AO64" s="11"/>
    </row>
    <row r="65" spans="1:41" hidden="1" x14ac:dyDescent="0.25">
      <c r="A65" s="11" t="s">
        <v>105</v>
      </c>
      <c r="B65" s="11"/>
      <c r="C65" s="104" t="s">
        <v>101</v>
      </c>
      <c r="D65" s="11" t="s">
        <v>106</v>
      </c>
      <c r="E65" s="11"/>
      <c r="F65" s="11" t="s">
        <v>98</v>
      </c>
      <c r="G65" s="11"/>
      <c r="H65" s="88" t="s">
        <v>667</v>
      </c>
      <c r="I65" s="122" t="str">
        <f>IF(_epmOfflineCondition_,"",_xll.EVPRO($B$1,$H65,"STYLE"))</f>
        <v/>
      </c>
      <c r="J65" s="122" t="str">
        <f>IF(_epmOfflineCondition_,"",_xll.EVPRO($B$1,$H65,"CALC"))</f>
        <v/>
      </c>
      <c r="K65" s="179" t="str">
        <f>IF(AND(I65&gt;="T3"),"&gt;","")</f>
        <v/>
      </c>
      <c r="L65" s="90" t="str">
        <f>IF(_epmOfflineCondition_,"",_xll.EVPRO($B$1,H65,"JDEID"))</f>
        <v/>
      </c>
      <c r="M65" s="90" t="str">
        <f>IF(_epmOfflineCondition_,"",IF(AND(I65="N",J65="N"),_xll.EVPRO($B$1,H65,"PSFTID"),""))</f>
        <v/>
      </c>
      <c r="N65" s="90" t="str">
        <f>IF(_epmOfflineCondition_,"",IF(_xll.EVDES(H65,$B$1)="#NODATA","",_xll.EVDES(H65,$B$1)))</f>
        <v/>
      </c>
      <c r="O65" s="239"/>
      <c r="P65" s="239"/>
      <c r="Q65" s="239"/>
      <c r="R65" s="239"/>
      <c r="S65" s="239"/>
      <c r="T65" s="239"/>
      <c r="U65" s="239"/>
      <c r="V65" s="239"/>
      <c r="W65" s="239"/>
      <c r="X65" s="239"/>
      <c r="Y65" s="239"/>
      <c r="Z65" s="239"/>
      <c r="AA65" s="239">
        <f>IF($I65="B1","",SUM(O65:Z65))</f>
        <v>0</v>
      </c>
      <c r="AB65" s="240" t="str">
        <f>IF(AA65=0,"",IFERROR(AA65/AA$19,""))</f>
        <v/>
      </c>
      <c r="AC65" s="140"/>
      <c r="AD65" s="239"/>
      <c r="AE65" s="240" t="str">
        <f>IF(AD65=0,"",IFERROR(AD65/AD$19,""))</f>
        <v/>
      </c>
      <c r="AF65" s="241">
        <f>IF(AND($AA65="",AD65=""),"",$AA65-AD65)</f>
        <v>0</v>
      </c>
      <c r="AG65" s="239"/>
      <c r="AH65" s="240" t="str">
        <f>IF(AG65=0,"",IFERROR(AG65/AG$19,""))</f>
        <v/>
      </c>
      <c r="AI65" s="241">
        <f>IF(AND($AA65="",AG65=""),"",$AA65-AG65)</f>
        <v>0</v>
      </c>
      <c r="AJ65" s="471">
        <f>IFERROR(AA65/AA$20,0)</f>
        <v>0</v>
      </c>
      <c r="AK65" s="472">
        <f>IFERROR(AD65/AD$20,0)</f>
        <v>0</v>
      </c>
      <c r="AL65" s="473">
        <f>IFERROR(AG65/AG$20,0)</f>
        <v>0</v>
      </c>
      <c r="AM65" s="474">
        <f>+IFERROR(ROUND(($AB65-AE65)*100,2)&amp;" pts.",0)</f>
        <v>0</v>
      </c>
      <c r="AN65" s="475">
        <f>+IFERROR(ROUND(($AB65-AH65)*100,2)&amp;" pts.",0)</f>
        <v>0</v>
      </c>
      <c r="AO65" s="11"/>
    </row>
    <row r="66" spans="1:41" hidden="1" x14ac:dyDescent="0.25">
      <c r="A66" s="11" t="s">
        <v>108</v>
      </c>
      <c r="B66" s="11"/>
      <c r="C66" s="106" t="s">
        <v>101</v>
      </c>
      <c r="D66" s="11" t="s">
        <v>106</v>
      </c>
      <c r="E66" s="11"/>
      <c r="F66" s="11" t="s">
        <v>98</v>
      </c>
      <c r="G66" s="11"/>
      <c r="H66" s="88"/>
      <c r="I66" s="122" t="str">
        <f>IF(_epmOfflineCondition_,"",_xll.EVPRO($B$1,$H66,"STYLE"))</f>
        <v/>
      </c>
      <c r="J66" s="122" t="str">
        <f>IF(_epmOfflineCondition_,"",_xll.EVPRO($B$1,$H66,"CALC"))</f>
        <v/>
      </c>
      <c r="K66" s="179" t="str">
        <f>IF(AND(I66&gt;="T3"),"&gt;","")</f>
        <v/>
      </c>
      <c r="L66" s="90" t="str">
        <f>IF(_epmOfflineCondition_,"",_xll.EVPRO($B$1,H66,"JDEID"))</f>
        <v/>
      </c>
      <c r="M66" s="90" t="str">
        <f>IF(_epmOfflineCondition_,"",IF(AND(I66="N",J66="N"),_xll.EVPRO($B$1,H66,"PSFTID"),""))</f>
        <v/>
      </c>
      <c r="N66" s="90" t="str">
        <f>IF(_epmOfflineCondition_,"",IF(_xll.EVDES(H66,$B$1)="#NODATA","",_xll.EVDES(H66,$B$1)))</f>
        <v/>
      </c>
      <c r="O66" s="239"/>
      <c r="P66" s="239"/>
      <c r="Q66" s="239"/>
      <c r="R66" s="239"/>
      <c r="S66" s="239"/>
      <c r="T66" s="239"/>
      <c r="U66" s="239"/>
      <c r="V66" s="239"/>
      <c r="W66" s="239"/>
      <c r="X66" s="239"/>
      <c r="Y66" s="239"/>
      <c r="Z66" s="239"/>
      <c r="AA66" s="239">
        <f>IF($I66="B1","",SUM(O66:Z66))</f>
        <v>0</v>
      </c>
      <c r="AB66" s="240" t="str">
        <f>IF(AA66=0,"",IFERROR(AA66/AA$19,""))</f>
        <v/>
      </c>
      <c r="AC66" s="140"/>
      <c r="AD66" s="239"/>
      <c r="AE66" s="240" t="str">
        <f>IF(AD66=0,"",IFERROR(AD66/AD$19,""))</f>
        <v/>
      </c>
      <c r="AF66" s="241">
        <f>IF(AND($AA66="",AD66=""),"",$AA66-AD66)</f>
        <v>0</v>
      </c>
      <c r="AG66" s="239"/>
      <c r="AH66" s="240" t="str">
        <f>IF(AG66=0,"",IFERROR(AG66/AG$19,""))</f>
        <v/>
      </c>
      <c r="AI66" s="241">
        <f>IF(AND($AA66="",AG66=""),"",$AA66-AG66)</f>
        <v>0</v>
      </c>
      <c r="AJ66" s="471">
        <f>IFERROR(AA66/AA$20,0)</f>
        <v>0</v>
      </c>
      <c r="AK66" s="472">
        <f>IFERROR(AD66/AD$20,0)</f>
        <v>0</v>
      </c>
      <c r="AL66" s="473">
        <f>IFERROR(AG66/AG$20,0)</f>
        <v>0</v>
      </c>
      <c r="AM66" s="474">
        <f>+IFERROR(ROUND(($AB66-AE66)*100,2)&amp;" pts.",0)</f>
        <v>0</v>
      </c>
      <c r="AN66" s="475">
        <f>+IFERROR(ROUND(($AB66-AH66)*100,2)&amp;" pts.",0)</f>
        <v>0</v>
      </c>
      <c r="AO66" s="11"/>
    </row>
    <row r="67" spans="1:41" x14ac:dyDescent="0.25">
      <c r="A67" s="11" t="s">
        <v>108</v>
      </c>
      <c r="B67" s="11"/>
      <c r="C67" s="196" t="s">
        <v>101</v>
      </c>
      <c r="D67" s="11" t="s">
        <v>107</v>
      </c>
      <c r="E67" s="11"/>
      <c r="F67" s="11" t="s">
        <v>99</v>
      </c>
      <c r="G67" s="11"/>
      <c r="H67" s="11"/>
      <c r="I67" s="59"/>
      <c r="J67" s="59"/>
      <c r="K67" s="11"/>
      <c r="L67" s="11"/>
      <c r="M67" s="11"/>
      <c r="N67" s="11"/>
      <c r="O67" s="129"/>
      <c r="P67" s="130"/>
      <c r="Q67" s="130"/>
      <c r="R67" s="130"/>
      <c r="S67" s="130"/>
      <c r="T67" s="130"/>
      <c r="U67" s="130"/>
      <c r="V67" s="130"/>
      <c r="W67" s="130"/>
      <c r="X67" s="130"/>
      <c r="Y67" s="130"/>
      <c r="Z67" s="130"/>
      <c r="AA67" s="130"/>
      <c r="AB67" s="131"/>
      <c r="AC67" s="11"/>
      <c r="AD67" s="129"/>
      <c r="AE67" s="130"/>
      <c r="AF67" s="131"/>
      <c r="AG67" s="129"/>
      <c r="AH67" s="130"/>
      <c r="AI67" s="131"/>
      <c r="AJ67" s="11"/>
      <c r="AK67" s="11"/>
      <c r="AL67" s="11"/>
      <c r="AM67" s="11"/>
      <c r="AN67" s="11"/>
      <c r="AO67" s="11"/>
    </row>
    <row r="68" spans="1:41" x14ac:dyDescent="0.25">
      <c r="A68" s="11"/>
      <c r="B68" s="11"/>
      <c r="C68" s="11"/>
      <c r="D68" s="11"/>
      <c r="E68" s="11"/>
      <c r="F68" s="11"/>
      <c r="G68" s="11"/>
      <c r="H68" s="11" t="s">
        <v>82</v>
      </c>
      <c r="I68" s="59" t="str">
        <f>IF(_epmOfflineCondition_,"B1",_xll.EVPRO($B$1,$H68,"STYLE"))</f>
        <v>B1</v>
      </c>
      <c r="J68" s="59" t="str">
        <f>IF(_epmOfflineCondition_,"Y",_xll.EVPRO($B$1,$H68,"CALC"))</f>
        <v>Y</v>
      </c>
      <c r="K68" s="11"/>
      <c r="L68" s="11"/>
      <c r="M68" s="11"/>
      <c r="N68" s="105" t="str">
        <f>IF(_epmOfflineCondition_,"Other Expenses",IF(_xll.EVDES(H68,$B$1)="#NODATA","",_xll.EVDES(H68,$B$1)))</f>
        <v>Other Expenses</v>
      </c>
      <c r="O68" s="119"/>
      <c r="P68" s="120"/>
      <c r="Q68" s="120"/>
      <c r="R68" s="120"/>
      <c r="S68" s="120"/>
      <c r="T68" s="120"/>
      <c r="U68" s="120"/>
      <c r="V68" s="120"/>
      <c r="W68" s="120"/>
      <c r="X68" s="120"/>
      <c r="Y68" s="120"/>
      <c r="Z68" s="120"/>
      <c r="AA68" s="120"/>
      <c r="AB68" s="121"/>
      <c r="AC68" s="11"/>
      <c r="AD68" s="119"/>
      <c r="AE68" s="120"/>
      <c r="AF68" s="121"/>
      <c r="AG68" s="119"/>
      <c r="AH68" s="120"/>
      <c r="AI68" s="121"/>
      <c r="AJ68" s="11"/>
      <c r="AK68" s="11"/>
      <c r="AL68" s="11"/>
      <c r="AM68" s="11"/>
      <c r="AN68" s="11"/>
      <c r="AO68" s="11"/>
    </row>
    <row r="69" spans="1:41" hidden="1" x14ac:dyDescent="0.25">
      <c r="A69" s="11"/>
      <c r="B69" s="11"/>
      <c r="C69" s="208"/>
      <c r="D69" s="11"/>
      <c r="E69" s="11"/>
      <c r="F69" s="11"/>
      <c r="G69" s="11"/>
      <c r="H69" s="88" t="s">
        <v>667</v>
      </c>
      <c r="I69" s="122" t="str">
        <f>IF(_epmOfflineCondition_,"",_xll.EVPRO($B$1,$H69,"STYLE"))</f>
        <v/>
      </c>
      <c r="J69" s="122" t="str">
        <f>IF(_epmOfflineCondition_,"",_xll.EVPRO($B$1,$H69,"CALC"))</f>
        <v/>
      </c>
      <c r="K69" s="179" t="str">
        <f>IF(AND(I69&lt;&gt;"B1",J69="Y"),"&gt;","")</f>
        <v/>
      </c>
      <c r="L69" s="90" t="str">
        <f>IF(_epmOfflineCondition_,"",_xll.EVPRO($B$1,H69,"JDEID"))</f>
        <v/>
      </c>
      <c r="M69" s="90" t="str">
        <f>IF(_epmOfflineCondition_,"",IF(AND(I69="N",J69="N"),_xll.EVPRO($B$1,H69,"PSFTID"),""))</f>
        <v/>
      </c>
      <c r="N69" s="90" t="str">
        <f>IF(_epmOfflineCondition_,"",IF(_xll.EVDES(H69,$B$1)="#NODATA","",_xll.EVDES(H69,$B$1)))</f>
        <v/>
      </c>
      <c r="O69" s="138"/>
      <c r="P69" s="138"/>
      <c r="Q69" s="138"/>
      <c r="R69" s="138"/>
      <c r="S69" s="138"/>
      <c r="T69" s="138"/>
      <c r="U69" s="138"/>
      <c r="V69" s="138"/>
      <c r="W69" s="138"/>
      <c r="X69" s="138"/>
      <c r="Y69" s="138"/>
      <c r="Z69" s="138"/>
      <c r="AA69" s="138">
        <f>IF($I69="B1","",SUM(O69:Z69))</f>
        <v>0</v>
      </c>
      <c r="AB69" s="142" t="str">
        <f>IF(AA69=0,"",IFERROR(AA69/AA$19,""))</f>
        <v/>
      </c>
      <c r="AC69" s="140"/>
      <c r="AD69" s="138"/>
      <c r="AE69" s="142" t="str">
        <f>IF(AD69=0,"",IFERROR(AD69/AD$19,""))</f>
        <v/>
      </c>
      <c r="AF69" s="141">
        <f>IF(AND($AA69="",AD69=""),"",$AA69-AD69)</f>
        <v>0</v>
      </c>
      <c r="AG69" s="138"/>
      <c r="AH69" s="142" t="str">
        <f>IF(AG69=0,"",IFERROR(AG69/AG$19,""))</f>
        <v/>
      </c>
      <c r="AI69" s="141">
        <f>IF(AND($AA69="",AG69=""),"",$AA69-AG69)</f>
        <v>0</v>
      </c>
      <c r="AJ69" s="462">
        <f>IFERROR(AA69/AA$20,0)</f>
        <v>0</v>
      </c>
      <c r="AK69" s="463">
        <f>IFERROR(AD69/AD$20,0)</f>
        <v>0</v>
      </c>
      <c r="AL69" s="464">
        <f>IFERROR(AG69/AG$20,0)</f>
        <v>0</v>
      </c>
      <c r="AM69" s="465">
        <f>+IFERROR(ROUND(($AB69-AE69)*100,2)&amp;" pts.",0)</f>
        <v>0</v>
      </c>
      <c r="AN69" s="466">
        <f>+IFERROR(ROUND(($AB69-AH69)*100,2)&amp;" pts.",0)</f>
        <v>0</v>
      </c>
      <c r="AO69" s="11"/>
    </row>
    <row r="70" spans="1:41" hidden="1" x14ac:dyDescent="0.25">
      <c r="A70" s="61" t="str">
        <f>IF(_epmOfflineCondition_,"Evdre:Ok",_xll.EVDRE($B$1,A73:B80,A83:B89))</f>
        <v>Evdre:Ok</v>
      </c>
      <c r="B70" s="11"/>
      <c r="C70" s="11"/>
      <c r="D70" s="11"/>
      <c r="E70" s="11"/>
      <c r="F70" s="11"/>
      <c r="G70" s="11"/>
      <c r="H70" s="88"/>
      <c r="I70" s="122" t="str">
        <f>IF(_epmOfflineCondition_,"",_xll.EVPRO($B$1,$H70,"STYLE"))</f>
        <v/>
      </c>
      <c r="J70" s="122" t="str">
        <f>IF(_epmOfflineCondition_,"",_xll.EVPRO($B$1,$H70,"CALC"))</f>
        <v/>
      </c>
      <c r="K70" s="179" t="str">
        <f>IF(AND(I70&lt;&gt;"B1",J70="Y"),"&gt;","")</f>
        <v/>
      </c>
      <c r="L70" s="90" t="str">
        <f>IF(_epmOfflineCondition_,"",_xll.EVPRO($B$1,H70,"JDEID"))</f>
        <v/>
      </c>
      <c r="M70" s="90" t="str">
        <f>IF(_epmOfflineCondition_,"",IF(AND(I70="N",J70="N"),_xll.EVPRO($B$1,H70,"PSFTID"),""))</f>
        <v/>
      </c>
      <c r="N70" s="90" t="str">
        <f>IF(_epmOfflineCondition_,"",IF(_xll.EVDES(H70,$B$1)="#NODATA","",_xll.EVDES(H70,$B$1)))</f>
        <v/>
      </c>
      <c r="O70" s="138"/>
      <c r="P70" s="138"/>
      <c r="Q70" s="138"/>
      <c r="R70" s="138"/>
      <c r="S70" s="138"/>
      <c r="T70" s="138"/>
      <c r="U70" s="138"/>
      <c r="V70" s="138"/>
      <c r="W70" s="138"/>
      <c r="X70" s="138"/>
      <c r="Y70" s="138"/>
      <c r="Z70" s="138"/>
      <c r="AA70" s="138">
        <f>IF($I70="B1","",SUM(O70:Z70))</f>
        <v>0</v>
      </c>
      <c r="AB70" s="142" t="str">
        <f>IF(AA70=0,"",IFERROR(AA70/AA$19,""))</f>
        <v/>
      </c>
      <c r="AC70" s="140"/>
      <c r="AD70" s="138"/>
      <c r="AE70" s="142" t="str">
        <f>IF(AD70=0,"",IFERROR(AD70/AD$19,""))</f>
        <v/>
      </c>
      <c r="AF70" s="141">
        <f>IF(AND($AA70="",AD70=""),"",$AA70-AD70)</f>
        <v>0</v>
      </c>
      <c r="AG70" s="138"/>
      <c r="AH70" s="142" t="str">
        <f>IF(AG70=0,"",IFERROR(AG70/AG$19,""))</f>
        <v/>
      </c>
      <c r="AI70" s="141">
        <f>IF(AND($AA70="",AG70=""),"",$AA70-AG70)</f>
        <v>0</v>
      </c>
      <c r="AJ70" s="462">
        <f>IFERROR(AA70/AA$20,0)</f>
        <v>0</v>
      </c>
      <c r="AK70" s="463">
        <f>IFERROR(AD70/AD$20,0)</f>
        <v>0</v>
      </c>
      <c r="AL70" s="464">
        <f>IFERROR(AG70/AG$20,0)</f>
        <v>0</v>
      </c>
      <c r="AM70" s="465">
        <f>+IFERROR(ROUND(($AB70-AE70)*100,2)&amp;" pts.",0)</f>
        <v>0</v>
      </c>
      <c r="AN70" s="466">
        <f>+IFERROR(ROUND(($AB70-AH70)*100,2)&amp;" pts.",0)</f>
        <v>0</v>
      </c>
      <c r="AO70" s="11"/>
    </row>
    <row r="71" spans="1:41" x14ac:dyDescent="0.25">
      <c r="A71" s="11"/>
      <c r="B71" s="11"/>
      <c r="C71" s="11"/>
      <c r="D71" s="11"/>
      <c r="E71" s="11"/>
      <c r="F71" s="11"/>
      <c r="G71" s="11"/>
      <c r="H71" s="88" t="s">
        <v>79</v>
      </c>
      <c r="I71" s="136" t="str">
        <f>IF(_epmOfflineCondition_,"T3",_xll.EVPRO($B$1,$H71,"STYLE"))</f>
        <v>T3</v>
      </c>
      <c r="J71" s="136" t="str">
        <f>IF(_epmOfflineCondition_,"Y",_xll.EVPRO($B$1,$H71,"CALC"))</f>
        <v>Y</v>
      </c>
      <c r="K71" s="104"/>
      <c r="L71" s="104"/>
      <c r="M71" s="104"/>
      <c r="N71" s="106" t="str">
        <f>IF(_epmOfflineCondition_,"Total Operations Expense",IF(_xll.EVDES(H71,$B$1)="#NODATA","",_xll.EVDES(H71,$B$1)))</f>
        <v>Total Operations Expense</v>
      </c>
      <c r="O71" s="150"/>
      <c r="P71" s="150"/>
      <c r="Q71" s="150"/>
      <c r="R71" s="150"/>
      <c r="S71" s="150"/>
      <c r="T71" s="150"/>
      <c r="U71" s="150"/>
      <c r="V71" s="150"/>
      <c r="W71" s="150"/>
      <c r="X71" s="150"/>
      <c r="Y71" s="150"/>
      <c r="Z71" s="150"/>
      <c r="AA71" s="150">
        <f>IF($I71="B1","",SUM(O71:Z71))</f>
        <v>0</v>
      </c>
      <c r="AB71" s="151" t="str">
        <f>IF(AA71=0,"",IFERROR(AA71/AA$19,""))</f>
        <v/>
      </c>
      <c r="AC71" s="140"/>
      <c r="AD71" s="150"/>
      <c r="AE71" s="151" t="str">
        <f>IF(AD71=0,"",IFERROR(AD71/AD$19,""))</f>
        <v/>
      </c>
      <c r="AF71" s="152">
        <f>IF(AND($AA71="",AD71=""),"",$AA71-AD71)</f>
        <v>0</v>
      </c>
      <c r="AG71" s="150"/>
      <c r="AH71" s="151" t="str">
        <f>IF(AG71=0,"",IFERROR(AG71/AG$19,""))</f>
        <v/>
      </c>
      <c r="AI71" s="152">
        <f>IF(AND($AA71="",AG71=""),"",$AA71-AG71)</f>
        <v>0</v>
      </c>
      <c r="AJ71" s="446">
        <f>IFERROR(AA71/AA$20,0)</f>
        <v>0</v>
      </c>
      <c r="AK71" s="447">
        <f>IFERROR(AD71/AD$20,0)</f>
        <v>0</v>
      </c>
      <c r="AL71" s="448">
        <f>IFERROR(AG71/AG$20,0)</f>
        <v>0</v>
      </c>
      <c r="AM71" s="449">
        <f>+IFERROR(ROUND(($AB71-AE71)*100,2)&amp;" pts.",0)</f>
        <v>0</v>
      </c>
      <c r="AN71" s="546">
        <f>+IFERROR(ROUND(($AB71-AH71)*100,2)&amp;" pts.",0)</f>
        <v>0</v>
      </c>
      <c r="AO71" s="11"/>
    </row>
    <row r="72" spans="1:41" x14ac:dyDescent="0.25">
      <c r="A72" s="62" t="s">
        <v>0</v>
      </c>
      <c r="B72" s="63" t="s">
        <v>1</v>
      </c>
      <c r="C72" s="11"/>
      <c r="D72" s="11"/>
      <c r="E72" s="11"/>
      <c r="F72" s="11"/>
      <c r="G72" s="11"/>
      <c r="H72" s="11"/>
      <c r="I72" s="59"/>
      <c r="J72" s="59"/>
      <c r="K72" s="11"/>
      <c r="L72" s="11"/>
      <c r="M72" s="11"/>
      <c r="N72" s="11"/>
      <c r="O72" s="140"/>
      <c r="P72" s="140"/>
      <c r="Q72" s="140"/>
      <c r="R72" s="140"/>
      <c r="S72" s="140"/>
      <c r="T72" s="140"/>
      <c r="U72" s="140"/>
      <c r="V72" s="140"/>
      <c r="W72" s="140"/>
      <c r="X72" s="140"/>
      <c r="Y72" s="140"/>
      <c r="Z72" s="140"/>
      <c r="AA72" s="140"/>
      <c r="AB72" s="140"/>
      <c r="AC72" s="140"/>
      <c r="AD72" s="140"/>
      <c r="AE72" s="140"/>
      <c r="AF72" s="140"/>
      <c r="AG72" s="140"/>
      <c r="AH72" s="140"/>
      <c r="AI72" s="140"/>
      <c r="AJ72" s="140"/>
      <c r="AK72" s="140"/>
      <c r="AL72" s="140"/>
      <c r="AM72" s="140"/>
      <c r="AN72" s="140"/>
      <c r="AO72" s="11"/>
    </row>
    <row r="73" spans="1:41" x14ac:dyDescent="0.25">
      <c r="A73" s="65" t="s">
        <v>2</v>
      </c>
      <c r="B73" s="66" t="str">
        <f>IF(_epmOfflineCondition_,"'Retail'!$B$2:$B$10",_xll.EVRNG($B$2:$B$10))</f>
        <v>'Retail'!$B$2:$B$10</v>
      </c>
      <c r="C73" s="11"/>
      <c r="D73" s="11"/>
      <c r="E73" s="11"/>
      <c r="F73" s="11"/>
      <c r="G73" s="11"/>
      <c r="H73" s="88" t="s">
        <v>80</v>
      </c>
      <c r="I73" s="136" t="str">
        <f>IF(_epmOfflineCondition_,"T3",_xll.EVPRO($B$1,$H73,"STYLE"))</f>
        <v>T3</v>
      </c>
      <c r="J73" s="136" t="str">
        <f>IF(_epmOfflineCondition_,"Y",_xll.EVPRO($B$1,$H73,"CALC"))</f>
        <v>Y</v>
      </c>
      <c r="K73" s="106"/>
      <c r="L73" s="106"/>
      <c r="M73" s="106"/>
      <c r="N73" s="106" t="str">
        <f>IF(_epmOfflineCondition_,"Total Expenses",IF(_xll.EVDES(H73,$B$1)="#NODATA","",_xll.EVDES(H73,$B$1)))</f>
        <v>Total Expenses</v>
      </c>
      <c r="O73" s="242"/>
      <c r="P73" s="242"/>
      <c r="Q73" s="242"/>
      <c r="R73" s="242"/>
      <c r="S73" s="242"/>
      <c r="T73" s="242"/>
      <c r="U73" s="242"/>
      <c r="V73" s="242"/>
      <c r="W73" s="242"/>
      <c r="X73" s="242"/>
      <c r="Y73" s="242"/>
      <c r="Z73" s="242"/>
      <c r="AA73" s="242">
        <f>IF($I73="B1","",SUM(O73:Z73))</f>
        <v>0</v>
      </c>
      <c r="AB73" s="243" t="str">
        <f>IF(AA73=0,"",IFERROR(AA73/AA$19,""))</f>
        <v/>
      </c>
      <c r="AC73" s="140"/>
      <c r="AD73" s="242"/>
      <c r="AE73" s="243" t="str">
        <f>IF(AD73=0,"",IFERROR(AD73/AD$19,""))</f>
        <v/>
      </c>
      <c r="AF73" s="254">
        <f>IF(AND($AA73="",AD73=""),"",$AA73-AD73)</f>
        <v>0</v>
      </c>
      <c r="AG73" s="255"/>
      <c r="AH73" s="256" t="str">
        <f>IF(AG73=0,"",IFERROR(AG73/AG$19,""))</f>
        <v/>
      </c>
      <c r="AI73" s="254">
        <f>IF(AND($AA73="",AG73=""),"",$AA73-AG73)</f>
        <v>0</v>
      </c>
      <c r="AJ73" s="435">
        <f>IFERROR(AA73/AA$20,0)</f>
        <v>0</v>
      </c>
      <c r="AK73" s="436">
        <f>IFERROR(AD73/AD$20,0)</f>
        <v>0</v>
      </c>
      <c r="AL73" s="437">
        <f>IFERROR(AG73/AG$20,0)</f>
        <v>0</v>
      </c>
      <c r="AM73" s="438">
        <f>+IFERROR(ROUND(($AB73-AE73)*100,2)&amp;" pts.",0)</f>
        <v>0</v>
      </c>
      <c r="AN73" s="547">
        <f>+IFERROR(ROUND(($AB73-AH73)*100,2)&amp;" pts.",0)</f>
        <v>0</v>
      </c>
      <c r="AO73" s="11"/>
    </row>
    <row r="74" spans="1:41" ht="15.75" thickBot="1" x14ac:dyDescent="0.3">
      <c r="A74" s="65" t="s">
        <v>3</v>
      </c>
      <c r="B74" s="66" t="str">
        <f>IF(_epmOfflineCondition_,"'Retail'!$O$16:$AN$18",_xll.EVRNG($O$16:$AN$18))</f>
        <v>'Retail'!$O$16:$AN$18</v>
      </c>
      <c r="C74" s="11"/>
      <c r="D74" s="11"/>
      <c r="E74" s="11"/>
      <c r="F74" s="11"/>
      <c r="G74" s="11"/>
      <c r="H74" s="88" t="s">
        <v>81</v>
      </c>
      <c r="I74" s="136" t="str">
        <f>IF(_epmOfflineCondition_,"T3",_xll.EVPRO($B$1,$H74,"STYLE"))</f>
        <v>T3</v>
      </c>
      <c r="J74" s="136" t="str">
        <f>IF(_epmOfflineCondition_,"Y",_xll.EVPRO($B$1,$H74,"CALC"))</f>
        <v>Y</v>
      </c>
      <c r="K74" s="106"/>
      <c r="L74" s="106"/>
      <c r="M74" s="106"/>
      <c r="N74" s="106" t="str">
        <f>IF(_epmOfflineCondition_,"Department Profit (Loss)",IF(_xll.EVDES(H74,$B$1)="#NODATA","",_xll.EVDES(H74,$B$1)))</f>
        <v>Department Profit (Loss)</v>
      </c>
      <c r="O74" s="165"/>
      <c r="P74" s="165"/>
      <c r="Q74" s="165"/>
      <c r="R74" s="165"/>
      <c r="S74" s="165"/>
      <c r="T74" s="165"/>
      <c r="U74" s="165"/>
      <c r="V74" s="165"/>
      <c r="W74" s="165"/>
      <c r="X74" s="165"/>
      <c r="Y74" s="165"/>
      <c r="Z74" s="165"/>
      <c r="AA74" s="165">
        <f>IF($I74="B1","",SUM(O74:Z74))</f>
        <v>0</v>
      </c>
      <c r="AB74" s="166" t="str">
        <f>IF(AA74=0,"",IFERROR(AA74/AA$19,""))</f>
        <v/>
      </c>
      <c r="AC74" s="140"/>
      <c r="AD74" s="165"/>
      <c r="AE74" s="166" t="str">
        <f>IF(AD74=0,"",IFERROR(AD74/AD$19,""))</f>
        <v/>
      </c>
      <c r="AF74" s="167">
        <f>IF(AND($AA74="",AD74=""),"",$AA74-AD74)</f>
        <v>0</v>
      </c>
      <c r="AG74" s="165"/>
      <c r="AH74" s="166" t="str">
        <f>IF(AG74=0,"",IFERROR(AG74/AG$19,""))</f>
        <v/>
      </c>
      <c r="AI74" s="167">
        <f>IF(AND($AA74="",AG74=""),"",$AA74-AG74)</f>
        <v>0</v>
      </c>
      <c r="AJ74" s="452">
        <f>IFERROR(AA74/AA$20,0)</f>
        <v>0</v>
      </c>
      <c r="AK74" s="453">
        <f>IFERROR(AD74/AD$20,0)</f>
        <v>0</v>
      </c>
      <c r="AL74" s="454">
        <f>IFERROR(AG74/AG$20,0)</f>
        <v>0</v>
      </c>
      <c r="AM74" s="455">
        <f>+IFERROR(ROUND(($AB74-AE74)*100,2)&amp;" pts.",0)</f>
        <v>0</v>
      </c>
      <c r="AN74" s="548">
        <f>+IFERROR(ROUND(($AB74-AH74)*100,2)&amp;" pts.",0)</f>
        <v>0</v>
      </c>
      <c r="AO74" s="11"/>
    </row>
    <row r="75" spans="1:41" ht="15.75" thickTop="1" x14ac:dyDescent="0.25">
      <c r="A75" s="65" t="s">
        <v>4</v>
      </c>
      <c r="B75" s="66" t="str">
        <f>IF(_epmOfflineCondition_,"'Retail'!$H$62:$H$63,'Retail'!$H$65:$H$66,'Retail'!$H$69:$H$70",_xll.EVRNG(H62:H63,H65:H66,H69:H70))</f>
        <v>'Retail'!$H$62:$H$63,'Retail'!$H$65:$H$66,'Retail'!$H$69:$H$70</v>
      </c>
      <c r="C75" s="11"/>
      <c r="D75" s="11"/>
      <c r="E75" s="11"/>
      <c r="F75" s="11"/>
      <c r="G75" s="11"/>
      <c r="H75" s="11"/>
      <c r="I75" s="59"/>
      <c r="J75" s="59"/>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65" t="s">
        <v>5</v>
      </c>
      <c r="B76" s="66"/>
      <c r="C76" s="11"/>
      <c r="D76" s="11"/>
      <c r="E76" s="11"/>
      <c r="F76" s="11"/>
      <c r="G76" s="11"/>
      <c r="H76" s="11"/>
      <c r="I76" s="59"/>
      <c r="J76" s="59"/>
      <c r="K76" s="11"/>
      <c r="L76" s="11"/>
      <c r="M76" s="11"/>
      <c r="N76" s="104" t="str">
        <f>N73&amp;" - Check"</f>
        <v>Total Expenses - Check</v>
      </c>
      <c r="O76" s="209">
        <f t="shared" ref="O76:AA76" si="22">SUMIF($H$34:$H$74,"600000",O$34:O$74)+SUMIF($H$34:$H$74,"700000",O$34:O$74)-SUMIF($H$34:$H$74,"TOTDEPTEXP",O$34:O$74)</f>
        <v>0</v>
      </c>
      <c r="P76" s="209">
        <f t="shared" si="22"/>
        <v>0</v>
      </c>
      <c r="Q76" s="209">
        <f t="shared" si="22"/>
        <v>0</v>
      </c>
      <c r="R76" s="209">
        <f t="shared" si="22"/>
        <v>0</v>
      </c>
      <c r="S76" s="209">
        <f t="shared" si="22"/>
        <v>0</v>
      </c>
      <c r="T76" s="209">
        <f t="shared" si="22"/>
        <v>0</v>
      </c>
      <c r="U76" s="209">
        <f t="shared" si="22"/>
        <v>0</v>
      </c>
      <c r="V76" s="209">
        <f t="shared" si="22"/>
        <v>0</v>
      </c>
      <c r="W76" s="209">
        <f t="shared" si="22"/>
        <v>0</v>
      </c>
      <c r="X76" s="209">
        <f t="shared" si="22"/>
        <v>0</v>
      </c>
      <c r="Y76" s="209">
        <f t="shared" si="22"/>
        <v>0</v>
      </c>
      <c r="Z76" s="209">
        <f t="shared" si="22"/>
        <v>0</v>
      </c>
      <c r="AA76" s="209">
        <f t="shared" si="22"/>
        <v>0</v>
      </c>
      <c r="AB76" s="100"/>
      <c r="AC76" s="11"/>
      <c r="AD76" s="209">
        <f>SUMIF($H$34:$H$74,"600000",AD$34:AD$74)+SUMIF($H$34:$H$74,"700000",AD$34:AD$74)-SUMIF($H$34:$H$74,"TOTDEPTEXP",AD$34:AD$74)</f>
        <v>0</v>
      </c>
      <c r="AE76" s="100"/>
      <c r="AF76" s="91"/>
      <c r="AG76" s="209">
        <f>SUMIF($H$34:$H$74,"600000",AG$34:AG$74)+SUMIF($H$34:$H$74,"700000",AG$34:AG$74)-SUMIF($H$34:$H$74,"TOTDEPTEXP",AG$34:AG$74)</f>
        <v>0</v>
      </c>
      <c r="AH76" s="100"/>
      <c r="AI76" s="91"/>
      <c r="AJ76" s="11"/>
      <c r="AK76" s="11"/>
      <c r="AL76" s="11"/>
      <c r="AM76" s="11"/>
      <c r="AN76" s="11"/>
      <c r="AO76" s="11"/>
    </row>
    <row r="77" spans="1:41" x14ac:dyDescent="0.25">
      <c r="A77" s="65" t="s">
        <v>6</v>
      </c>
      <c r="B77" s="66"/>
      <c r="C77" s="11"/>
      <c r="D77" s="11"/>
      <c r="E77" s="11"/>
      <c r="F77" s="11"/>
      <c r="G77" s="11"/>
      <c r="H77" s="11"/>
      <c r="I77" s="59"/>
      <c r="J77" s="59"/>
      <c r="K77" s="11"/>
      <c r="L77" s="11"/>
      <c r="M77" s="11"/>
      <c r="N77" s="104" t="str">
        <f>N74&amp;" - Check"</f>
        <v>Department Profit (Loss) - Check</v>
      </c>
      <c r="O77" s="209">
        <f t="shared" ref="O77:AA77" si="23">SUMIF($H$34:$H$74,"KPI_GP",O$34:O$74)-SUMIF($H$34:$H$74,"TOTDEPTEXP",O$34:O$74)-SUMIF($H$34:$H$74,"TOTDEPTPL",O$34:O$74)</f>
        <v>0</v>
      </c>
      <c r="P77" s="209">
        <f t="shared" si="23"/>
        <v>0</v>
      </c>
      <c r="Q77" s="209">
        <f t="shared" si="23"/>
        <v>0</v>
      </c>
      <c r="R77" s="209">
        <f t="shared" si="23"/>
        <v>0</v>
      </c>
      <c r="S77" s="209">
        <f t="shared" si="23"/>
        <v>0</v>
      </c>
      <c r="T77" s="209">
        <f t="shared" si="23"/>
        <v>0</v>
      </c>
      <c r="U77" s="209">
        <f t="shared" si="23"/>
        <v>0</v>
      </c>
      <c r="V77" s="209">
        <f t="shared" si="23"/>
        <v>0</v>
      </c>
      <c r="W77" s="209">
        <f t="shared" si="23"/>
        <v>0</v>
      </c>
      <c r="X77" s="209">
        <f t="shared" si="23"/>
        <v>0</v>
      </c>
      <c r="Y77" s="209">
        <f t="shared" si="23"/>
        <v>0</v>
      </c>
      <c r="Z77" s="209">
        <f t="shared" si="23"/>
        <v>0</v>
      </c>
      <c r="AA77" s="209">
        <f t="shared" si="23"/>
        <v>0</v>
      </c>
      <c r="AB77" s="100"/>
      <c r="AC77" s="11"/>
      <c r="AD77" s="209">
        <f>SUMIF($H$34:$H$74,"KPI_GP",AD$34:AD$74)-SUMIF($H$34:$H$74,"TOTDEPTEXP",AD$34:AD$74)-SUMIF($H$34:$H$74,"TOTDEPTPL",AD$34:AD$74)</f>
        <v>0</v>
      </c>
      <c r="AE77" s="100"/>
      <c r="AF77" s="91"/>
      <c r="AG77" s="209">
        <f>SUMIF($H$34:$H$74,"KPI_GP",AG$34:AG$74)-SUMIF($H$34:$H$74,"TOTDEPTEXP",AG$34:AG$74)-SUMIF($H$34:$H$74,"TOTDEPTPL",AG$34:AG$74)</f>
        <v>0</v>
      </c>
      <c r="AH77" s="100"/>
      <c r="AI77" s="91"/>
      <c r="AJ77" s="11"/>
      <c r="AK77" s="11"/>
      <c r="AL77" s="11"/>
      <c r="AM77" s="11"/>
      <c r="AN77" s="11"/>
      <c r="AO77" s="11"/>
    </row>
    <row r="78" spans="1:41" x14ac:dyDescent="0.25">
      <c r="A78" s="65" t="s">
        <v>7</v>
      </c>
      <c r="B78" s="66" t="str">
        <f>IF(_epmOfflineCondition_,"'Retail'!$A$92:$F$98",_xll.EVRNG(A92:F98))</f>
        <v>'Retail'!$A$92:$F$98</v>
      </c>
      <c r="C78" s="11"/>
      <c r="D78" s="11"/>
      <c r="E78" s="11"/>
      <c r="F78" s="11"/>
      <c r="G78" s="11"/>
      <c r="H78" s="11"/>
      <c r="I78" s="59"/>
      <c r="J78" s="59"/>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65" t="s">
        <v>47</v>
      </c>
      <c r="B79" s="66" t="str">
        <f>IF(_epmOfflineCondition_,"'Retail'!$A$115:$B$136",_xll.EVRNG($A$115:$B$136))</f>
        <v>'Retail'!$A$115:$B$136</v>
      </c>
      <c r="C79" s="11"/>
      <c r="D79" s="11"/>
      <c r="E79" s="11"/>
      <c r="F79" s="11"/>
      <c r="G79" s="11"/>
      <c r="H79" s="11"/>
      <c r="I79" s="59"/>
      <c r="J79" s="59"/>
      <c r="K79" s="11"/>
      <c r="L79" s="11"/>
      <c r="M79" s="11"/>
      <c r="N79" s="11"/>
      <c r="O79" s="137"/>
      <c r="P79" s="137"/>
      <c r="Q79" s="137"/>
      <c r="R79" s="137"/>
      <c r="S79" s="137"/>
      <c r="T79" s="137"/>
      <c r="U79" s="137"/>
      <c r="V79" s="137"/>
      <c r="W79" s="137"/>
      <c r="X79" s="137"/>
      <c r="Y79" s="137"/>
      <c r="Z79" s="137"/>
      <c r="AA79" s="137"/>
      <c r="AB79" s="11"/>
      <c r="AC79" s="11"/>
      <c r="AD79" s="137"/>
      <c r="AE79" s="11"/>
      <c r="AF79" s="11"/>
      <c r="AG79" s="137"/>
      <c r="AH79" s="11"/>
      <c r="AI79" s="11"/>
      <c r="AJ79" s="11"/>
      <c r="AK79" s="11"/>
      <c r="AL79" s="11"/>
      <c r="AM79" s="11"/>
      <c r="AN79" s="11"/>
      <c r="AO79" s="11"/>
    </row>
    <row r="80" spans="1:41" x14ac:dyDescent="0.25">
      <c r="A80" s="65" t="s">
        <v>8</v>
      </c>
      <c r="B80" s="66"/>
      <c r="C80" s="11"/>
      <c r="D80" s="11"/>
      <c r="E80" s="11"/>
      <c r="F80" s="11"/>
      <c r="G80" s="11"/>
      <c r="H80" s="11"/>
      <c r="I80" s="59"/>
      <c r="J80" s="59"/>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11"/>
      <c r="B81" s="11"/>
      <c r="C81" s="11"/>
      <c r="D81" s="11"/>
      <c r="E81" s="11"/>
      <c r="F81" s="11"/>
      <c r="G81" s="11"/>
      <c r="H81" s="11"/>
      <c r="I81" s="59"/>
      <c r="J81" s="59"/>
      <c r="K81" s="11"/>
      <c r="L81" s="11"/>
      <c r="M81" s="11"/>
      <c r="N81" s="11"/>
      <c r="O81" s="137"/>
      <c r="P81" s="137"/>
      <c r="Q81" s="137"/>
      <c r="R81" s="137"/>
      <c r="S81" s="137"/>
      <c r="T81" s="137"/>
      <c r="U81" s="137"/>
      <c r="V81" s="137"/>
      <c r="W81" s="137"/>
      <c r="X81" s="137"/>
      <c r="Y81" s="137"/>
      <c r="Z81" s="137"/>
      <c r="AA81" s="137"/>
      <c r="AB81" s="11"/>
      <c r="AC81" s="11"/>
      <c r="AD81" s="137"/>
      <c r="AE81" s="11"/>
      <c r="AF81" s="11"/>
      <c r="AG81" s="137"/>
      <c r="AH81" s="11"/>
      <c r="AI81" s="11"/>
      <c r="AJ81" s="11"/>
      <c r="AK81" s="11"/>
      <c r="AL81" s="11"/>
      <c r="AM81" s="11"/>
      <c r="AN81" s="11"/>
      <c r="AO81" s="11"/>
    </row>
    <row r="82" spans="1:41" x14ac:dyDescent="0.25">
      <c r="A82" s="62" t="s">
        <v>9</v>
      </c>
      <c r="B82" s="63" t="s">
        <v>10</v>
      </c>
      <c r="C82" s="11"/>
      <c r="D82" s="11"/>
      <c r="E82" s="11"/>
      <c r="F82" s="11"/>
      <c r="G82" s="11"/>
      <c r="H82" s="11"/>
      <c r="I82" s="59"/>
      <c r="J82" s="59"/>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65" t="s">
        <v>11</v>
      </c>
      <c r="B83" s="66" t="s">
        <v>21</v>
      </c>
      <c r="C83" s="11"/>
      <c r="D83" s="11"/>
      <c r="E83" s="11"/>
      <c r="F83" s="11"/>
      <c r="G83" s="11"/>
      <c r="H83" s="11"/>
      <c r="I83" s="59"/>
      <c r="J83" s="59"/>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12</v>
      </c>
      <c r="B84" s="66" t="s">
        <v>22</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65" t="s">
        <v>13</v>
      </c>
      <c r="B85" s="66" t="s">
        <v>737</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14</v>
      </c>
      <c r="B86" s="66"/>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15</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16</v>
      </c>
      <c r="B88" s="66" t="s">
        <v>78</v>
      </c>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65" t="s">
        <v>17</v>
      </c>
      <c r="B89" s="66"/>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11"/>
      <c r="B90" s="11"/>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97" t="s">
        <v>92</v>
      </c>
      <c r="B91" s="98" t="s">
        <v>93</v>
      </c>
      <c r="C91" s="98" t="s">
        <v>94</v>
      </c>
      <c r="D91" s="98" t="s">
        <v>95</v>
      </c>
      <c r="E91" s="98" t="s">
        <v>96</v>
      </c>
      <c r="F91" s="99" t="s">
        <v>97</v>
      </c>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11"/>
      <c r="B92" s="11"/>
      <c r="C92" s="11"/>
      <c r="D92" s="11"/>
      <c r="E92" s="11"/>
      <c r="F92" s="11"/>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11" t="s">
        <v>108</v>
      </c>
      <c r="B93" s="11"/>
      <c r="C93" s="104" t="s">
        <v>101</v>
      </c>
      <c r="D93" s="11" t="s">
        <v>106</v>
      </c>
      <c r="E93" s="11"/>
      <c r="F93" s="11" t="s">
        <v>98</v>
      </c>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11" t="s">
        <v>100</v>
      </c>
      <c r="B94" s="11"/>
      <c r="C94" s="53"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11" t="s">
        <v>109</v>
      </c>
      <c r="B95" s="11"/>
      <c r="C95" s="106"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11" t="s">
        <v>109</v>
      </c>
      <c r="B96" s="11"/>
      <c r="C96" s="196" t="s">
        <v>101</v>
      </c>
      <c r="D96" s="11" t="s">
        <v>107</v>
      </c>
      <c r="E96" s="11"/>
      <c r="F96" s="11" t="s">
        <v>99</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11" t="s">
        <v>110</v>
      </c>
      <c r="B97" s="11"/>
      <c r="C97" s="106" t="s">
        <v>101</v>
      </c>
      <c r="D97" s="11" t="s">
        <v>106</v>
      </c>
      <c r="E97" s="11"/>
      <c r="F97" s="11" t="s">
        <v>98</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11" t="s">
        <v>110</v>
      </c>
      <c r="B98" s="11"/>
      <c r="C98" s="109" t="s">
        <v>101</v>
      </c>
      <c r="D98" s="11" t="s">
        <v>107</v>
      </c>
      <c r="E98" s="11"/>
      <c r="F98" s="11" t="s">
        <v>99</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11"/>
      <c r="B99" s="11"/>
      <c r="C99" s="208"/>
      <c r="D99" s="11"/>
      <c r="E99" s="11"/>
      <c r="F99" s="11"/>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61" t="str">
        <f>IF(_epmOfflineCondition_,"Evdre:Ok",_xll.EVDRE($B$1,A104:B111))</f>
        <v>Evdre:Ok</v>
      </c>
      <c r="B101" s="11" t="s">
        <v>736</v>
      </c>
      <c r="C101" s="11"/>
      <c r="D101" s="11"/>
      <c r="E101" s="11"/>
      <c r="F101" s="11"/>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62" t="s">
        <v>0</v>
      </c>
      <c r="B103" s="63" t="s">
        <v>1</v>
      </c>
      <c r="C103" s="11"/>
      <c r="D103" s="11"/>
      <c r="E103" s="11"/>
      <c r="F103" s="11"/>
      <c r="G103" s="76"/>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65" t="s">
        <v>2</v>
      </c>
      <c r="B104" s="66" t="str">
        <f>IF(_epmOfflineCondition_,"'Retail'!$B$2:$B$10",_xll.EVRNG($B$2:$B$10))</f>
        <v>'Retail'!$B$2:$B$10</v>
      </c>
      <c r="C104" s="11"/>
      <c r="D104" s="11"/>
      <c r="E104" s="11"/>
      <c r="F104" s="11"/>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65" t="s">
        <v>3</v>
      </c>
      <c r="B105" s="66" t="str">
        <f>IF(_epmOfflineCondition_,"'Retail'!$O$16:$AN$18",_xll.EVRNG($O$16:$AN$18))</f>
        <v>'Retail'!$O$16:$AN$18</v>
      </c>
      <c r="C105" s="11"/>
      <c r="D105" s="11"/>
      <c r="E105" s="11"/>
      <c r="F105" s="11"/>
      <c r="G105" s="11"/>
      <c r="H105" s="59"/>
      <c r="I105" s="59"/>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65" t="s">
        <v>4</v>
      </c>
      <c r="B106" s="66" t="str">
        <f>IF(_epmOfflineCondition_,"'Retail'!$H$71:$H$74",_xll.EVRNG(H71:H74))</f>
        <v>'Retail'!$H$71:$H$74</v>
      </c>
      <c r="C106" s="11"/>
      <c r="D106" s="11"/>
      <c r="E106" s="11"/>
      <c r="F106" s="11"/>
      <c r="G106" s="11"/>
      <c r="H106" s="59"/>
      <c r="I106" s="59"/>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65" t="s">
        <v>5</v>
      </c>
      <c r="B107" s="66"/>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65" t="s">
        <v>6</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65" t="s">
        <v>7</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65" t="s">
        <v>47</v>
      </c>
      <c r="B110" s="66" t="str">
        <f>IF(_epmOfflineCondition_,"'Retail'!$A$115:$B$136",_xll.EVRNG($A$115:$B$136))</f>
        <v>'Retail'!$A$115:$B$136</v>
      </c>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5" t="s">
        <v>8</v>
      </c>
      <c r="B111" s="66"/>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2" t="s">
        <v>23</v>
      </c>
      <c r="B114" s="63" t="s">
        <v>24</v>
      </c>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25</v>
      </c>
      <c r="B115" s="66"/>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26</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27</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28</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29</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30</v>
      </c>
      <c r="B120" s="66" t="s">
        <v>78</v>
      </c>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31</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65" t="s">
        <v>32</v>
      </c>
      <c r="B122" s="66"/>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65" t="s">
        <v>33</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5" t="s">
        <v>34</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35</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36</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37</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38</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39</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40</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41</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42</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43</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44</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45</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46</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267"/>
      <c r="J147" s="11"/>
      <c r="K147" s="267"/>
      <c r="L147" s="267"/>
      <c r="M147" s="267"/>
      <c r="N147" s="11"/>
      <c r="O147" s="267"/>
      <c r="P147" s="267"/>
      <c r="Q147" s="267"/>
      <c r="R147" s="267"/>
      <c r="S147" s="267"/>
      <c r="T147" s="267"/>
      <c r="U147" s="267"/>
      <c r="V147" s="267"/>
      <c r="W147" s="267"/>
      <c r="X147" s="267"/>
      <c r="Y147" s="267"/>
      <c r="Z147" s="267"/>
      <c r="AA147" s="267"/>
      <c r="AB147" s="11"/>
      <c r="AC147" s="11"/>
      <c r="AD147" s="267"/>
      <c r="AE147" s="11"/>
      <c r="AF147" s="267"/>
      <c r="AG147" s="11"/>
      <c r="AH147" s="267"/>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267"/>
      <c r="J151" s="11"/>
      <c r="K151" s="267"/>
      <c r="L151" s="267"/>
      <c r="M151" s="267"/>
      <c r="N151" s="11"/>
      <c r="O151" s="267"/>
      <c r="P151" s="267"/>
      <c r="Q151" s="267"/>
      <c r="R151" s="267"/>
      <c r="S151" s="267"/>
      <c r="T151" s="267"/>
      <c r="U151" s="267"/>
      <c r="V151" s="267"/>
      <c r="W151" s="267"/>
      <c r="X151" s="267"/>
      <c r="Y151" s="267"/>
      <c r="Z151" s="267"/>
      <c r="AA151" s="267"/>
      <c r="AB151" s="11"/>
      <c r="AC151" s="11"/>
      <c r="AD151" s="267"/>
      <c r="AE151" s="11"/>
      <c r="AF151" s="267"/>
      <c r="AG151" s="11"/>
      <c r="AH151" s="267"/>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267"/>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267"/>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sheetData>
  <sheetProtection algorithmName="SHA-512" hashValue="bz4zoxO8+TMSMPgwsUoHTS9g74BPrvcZYKdzzHP8SVqHDuDnphM54AmWcE7HDvs/DU3x29ql68+u5Vgrn+etJA==" saltValue="Pbc5iszznsuGMnLUGtO47Q==" spinCount="100000" sheet="1" scenarios="1"/>
  <mergeCells count="2">
    <mergeCell ref="AD31:AE31"/>
    <mergeCell ref="AG31:AH31"/>
  </mergeCells>
  <dataValidations disablePrompts="1" count="2">
    <dataValidation type="list" allowBlank="1" sqref="B85 B29 B57" xr:uid="{00000000-0002-0000-2200-000000000000}">
      <formula1>"SELF,ALL,BAS,DEP,BASMEMBERS,MEMBERS,NOEXPAND,GDEP"</formula1>
    </dataValidation>
    <dataValidation type="list" allowBlank="1" sqref="B56 B28 B84" xr:uid="{00000000-0002-0000-22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7896"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37896" r:id="rId7" name="FPMExcelClientSheetOptionstb1"/>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9">
    <tabColor theme="9" tint="0.39997558519241921"/>
    <pageSetUpPr fitToPage="1"/>
  </sheetPr>
  <dimension ref="A1:AO192"/>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406</v>
      </c>
      <c r="C6" s="11" t="str">
        <f>IF(_epmOfflineCondition_,"Food &amp; Beverage Retail Shop",_xll.EVDES(B6,$B$1))</f>
        <v>Food &amp; Beverage Retail Shop</v>
      </c>
      <c r="D6" s="11"/>
      <c r="E6" s="58" t="str">
        <f>IF(_epmOfflineCondition_,"D2149",_xll.EVPRO($B$1,$B$6,$F$6))</f>
        <v>D2149</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60" t="str">
        <f>IF(SetUp!$O$1=TRUE,"TRAILING12",IF(AA17="CURRENT","ROLLINGFORECAST","PERIODIC"))</f>
        <v>PERIODIC</v>
      </c>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IF(_epmOfflineCondition_,"'FB_Retail'!$B$2:$B$10",_xll.EVRNG($B$2:$B$10))</f>
        <v>'FB_Retail'!$B$2:$B$10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t="str">
        <f>Z17</f>
        <v>ACTUAL_CON</v>
      </c>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IF(_epmOfflineCondition_,"'FB_Retail'!$O$16:$AN$18",_xll.EVRNG($O$16:$AN$18))</f>
        <v>'FB_Retail'!$O$16:$AN$18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11"/>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IF(_epmOfflineCondition_,"'FB_Retail'!$H$34:$H$43",_xll.EVRNG(H34:H43))</f>
        <v>'FB_Retail'!$H$34:$H$43</v>
      </c>
      <c r="C19" s="11"/>
      <c r="D19" s="11"/>
      <c r="E19" s="11"/>
      <c r="F19" s="11"/>
      <c r="G19" s="67" t="str">
        <f>$B$6</f>
        <v>D2149</v>
      </c>
      <c r="H19" s="67">
        <v>400000</v>
      </c>
      <c r="I19" s="68"/>
      <c r="J19" s="68"/>
      <c r="K19" s="67"/>
      <c r="L19" s="67"/>
      <c r="M19" s="67"/>
      <c r="N19" s="67" t="str">
        <f>IF(_epmOfflineCondition_,"Total Revenue",_xll.EVDES(H19))</f>
        <v>Total Revenue</v>
      </c>
      <c r="O19" s="69">
        <f>IF(_epmOfflineCondition_,0,_xll.EVGTS($B$1,1,$B$3,$B$5,$B$7,$B$9,O$16,O$17,O$18,$G$19,$H$19))</f>
        <v>0</v>
      </c>
      <c r="P19" s="69">
        <f>IF(_epmOfflineCondition_,0,_xll.EVGTS($B$1,1,$B$3,$B$5,$B$7,$B$9,P$16,P$17,P$18,$G$19,$H$19))</f>
        <v>0</v>
      </c>
      <c r="Q19" s="69">
        <f>IF(_epmOfflineCondition_,0,_xll.EVGTS($B$1,1,$B$3,$B$5,$B$7,$B$9,Q$16,Q$17,Q$18,$G$19,$H$19))</f>
        <v>0</v>
      </c>
      <c r="R19" s="69">
        <f>IF(_epmOfflineCondition_,0,_xll.EVGTS($B$1,1,$B$3,$B$5,$B$7,$B$9,R$16,R$17,R$18,$G$19,$H$19))</f>
        <v>0</v>
      </c>
      <c r="S19" s="69">
        <f>IF(_epmOfflineCondition_,0,_xll.EVGTS($B$1,1,$B$3,$B$5,$B$7,$B$9,S$16,S$17,S$18,$G$19,$H$19))</f>
        <v>0</v>
      </c>
      <c r="T19" s="69">
        <f>IF(_epmOfflineCondition_,0,_xll.EVGTS($B$1,1,$B$3,$B$5,$B$7,$B$9,T$16,T$17,T$18,$G$19,$H$19))</f>
        <v>0</v>
      </c>
      <c r="U19" s="69">
        <f>IF(_epmOfflineCondition_,0,_xll.EVGTS($B$1,1,$B$3,$B$5,$B$7,$B$9,U$16,U$17,U$18,$G$19,$H$19))</f>
        <v>0</v>
      </c>
      <c r="V19" s="69">
        <f>IF(_epmOfflineCondition_,0,_xll.EVGTS($B$1,1,$B$3,$B$5,$B$7,$B$9,V$16,V$17,V$18,$G$19,$H$19))</f>
        <v>0</v>
      </c>
      <c r="W19" s="69">
        <f>IF(_epmOfflineCondition_,0,_xll.EVGTS($B$1,1,$B$3,$B$5,$B$7,$B$9,W$16,W$17,W$18,$G$19,$H$19))</f>
        <v>0</v>
      </c>
      <c r="X19" s="69">
        <f>IF(_epmOfflineCondition_,0,_xll.EVGTS($B$1,1,$B$3,$B$5,$B$7,$B$9,X$16,X$17,X$18,$G$19,$H$19))</f>
        <v>0</v>
      </c>
      <c r="Y19" s="69">
        <f>IF(_epmOfflineCondition_,0,_xll.EVGTS($B$1,1,$B$3,$B$5,$B$7,$B$9,Y$16,Y$17,Y$18,$G$19,$H$19))</f>
        <v>0</v>
      </c>
      <c r="Z19" s="69">
        <f>IF(_epmOfflineCondition_,0,_xll.EVGTS($B$1,1,$B$3,$B$5,$B$7,$B$9,Z$16,Z$17,Z$18,$G$19,$H$19))</f>
        <v>0</v>
      </c>
      <c r="AA19" s="69">
        <f>SUM(O19:Z19)</f>
        <v>0</v>
      </c>
      <c r="AB19" s="67"/>
      <c r="AC19" s="67"/>
      <c r="AD19" s="69">
        <f>IF(_epmOfflineCondition_,0,_xll.EVGTS($B$1,1,$B$3,$B$5,$B$7,$B$9,AD$16,AD$17,AD$18,$G$19,$H$19))</f>
        <v>0</v>
      </c>
      <c r="AE19" s="67"/>
      <c r="AF19" s="67"/>
      <c r="AG19" s="69">
        <f>IF(_epmOfflineCondition_,0,_xll.EVGTS($B$1,1,$B$3,$B$5,$B$7,$B$9,AG$16,AG$17,AG$18,$G$19,$H$19))</f>
        <v>0</v>
      </c>
      <c r="AH19" s="67"/>
      <c r="AI19" s="67"/>
      <c r="AJ19" s="11"/>
      <c r="AK19" s="11"/>
      <c r="AL19" s="11"/>
      <c r="AM19" s="11"/>
      <c r="AN19" s="11"/>
      <c r="AO19" s="11"/>
    </row>
    <row r="20" spans="1:41" hidden="1" outlineLevel="1" x14ac:dyDescent="0.2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IF(_epmOfflineCondition_,3762,_xll.EVGTS($B$1,1,$B$3,$B$5,$B$7,$B$9,O$16,O$17,O$18,$G$20,$H$20))</f>
        <v>3762</v>
      </c>
      <c r="P20" s="69">
        <f>IF(_epmOfflineCondition_,3568,_xll.EVGTS($B$1,1,$B$3,$B$5,$B$7,$B$9,P$16,P$17,P$18,$G$20,$H$20))</f>
        <v>3568</v>
      </c>
      <c r="Q20" s="69">
        <f>IF(_epmOfflineCondition_,3855,_xll.EVGTS($B$1,1,$B$3,$B$5,$B$7,$B$9,Q$16,Q$17,Q$18,$G$20,$H$20))</f>
        <v>3855</v>
      </c>
      <c r="R20" s="69">
        <f>IF(_epmOfflineCondition_,3602,_xll.EVGTS($B$1,1,$B$3,$B$5,$B$7,$B$9,R$16,R$17,R$18,$G$20,$H$20))</f>
        <v>3602</v>
      </c>
      <c r="S20" s="69">
        <f>IF(_epmOfflineCondition_,3580,_xll.EVGTS($B$1,1,$B$3,$B$5,$B$7,$B$9,S$16,S$17,S$18,$G$20,$H$20))</f>
        <v>3580</v>
      </c>
      <c r="T20" s="69">
        <f>IF(_epmOfflineCondition_,3259,_xll.EVGTS($B$1,1,$B$3,$B$5,$B$7,$B$9,T$16,T$17,T$18,$G$20,$H$20))</f>
        <v>3259</v>
      </c>
      <c r="U20" s="69">
        <f>IF(_epmOfflineCondition_,3548,_xll.EVGTS($B$1,1,$B$3,$B$5,$B$7,$B$9,U$16,U$17,U$18,$G$20,$H$20))</f>
        <v>3548</v>
      </c>
      <c r="V20" s="69">
        <f>IF(_epmOfflineCondition_,3348,_xll.EVGTS($B$1,1,$B$3,$B$5,$B$7,$B$9,V$16,V$17,V$18,$G$20,$H$20))</f>
        <v>3348</v>
      </c>
      <c r="W20" s="69">
        <f>IF(_epmOfflineCondition_,2744,_xll.EVGTS($B$1,1,$B$3,$B$5,$B$7,$B$9,W$16,W$17,W$18,$G$20,$H$20))</f>
        <v>2744</v>
      </c>
      <c r="X20" s="69">
        <f>IF(_epmOfflineCondition_,3076,_xll.EVGTS($B$1,1,$B$3,$B$5,$B$7,$B$9,X$16,X$17,X$18,$G$20,$H$20))</f>
        <v>3076</v>
      </c>
      <c r="Y20" s="69">
        <f>IF(_epmOfflineCondition_,3431,_xll.EVGTS($B$1,1,$B$3,$B$5,$B$7,$B$9,Y$16,Y$17,Y$18,$G$20,$H$20))</f>
        <v>3431</v>
      </c>
      <c r="Z20" s="69">
        <f>IF(_epmOfflineCondition_,3541,_xll.EVGTS($B$1,1,$B$3,$B$5,$B$7,$B$9,Z$16,Z$17,Z$18,$G$20,$H$20))</f>
        <v>3541</v>
      </c>
      <c r="AA20" s="69">
        <f>SUM(O20:Z20)</f>
        <v>41314</v>
      </c>
      <c r="AB20" s="67"/>
      <c r="AC20" s="67"/>
      <c r="AD20" s="69">
        <f>IF(_epmOfflineCondition_,39032,_xll.EVGTS($B$1,1,$B$3,$B$5,$B$7,$B$9,AD$16,AD$17,AD$18,$G$20,$H$20))</f>
        <v>39032</v>
      </c>
      <c r="AE20" s="67"/>
      <c r="AF20" s="67"/>
      <c r="AG20" s="69">
        <f>IF(_epmOfflineCondition_,40219,_xll.EVGTS($B$1,1,$B$3,$B$5,$B$7,$B$9,AG$16,AG$17,AG$18,$G$20,$H$20))</f>
        <v>40219</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IF(_epmOfflineCondition_,"'FB_Retail'!$A$36:$F$40",_xll.EVRNG(A36:F40))</f>
        <v>'FB_Retail'!$A$36:$F$40</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IF(_epmOfflineCondition_,"'FB_Retail'!$A$116:$B$137",_xll.EVRNG($A$116:$B$137))</f>
        <v>'FB_Retail'!$A$116:$B$137</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IF(_epmOfflineCondition_,"Food &amp; Beverage Retail Shop Department",IF(_xll.EVDES(B6,$B$1)="#NODATA","",_xll.EVDES(B6,$B$1)&amp;" Department"))</f>
        <v>Food &amp; Beverage Retail Shop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"DEP(469000) AND "&amp;$E$6&amp;"=Y,400000"</f>
        <v>DEP(469000) AND D2149=Y,400000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88" t="s">
        <v>407</v>
      </c>
      <c r="I34" s="122" t="str">
        <f>IF(_epmOfflineCondition_,"T5",_xll.EVPRO($B$1,$H34,"STYLE"))</f>
        <v>T5</v>
      </c>
      <c r="J34" s="122" t="str">
        <f>IF(_epmOfflineCondition_,"Y",_xll.EVPRO($B$1,$H34,"CALC"))</f>
        <v>Y</v>
      </c>
      <c r="K34" s="179" t="str">
        <f t="shared" ref="K34:K43" si="0">IF(AND(I34&gt;="T5"),"&gt;","")</f>
        <v>&gt;</v>
      </c>
      <c r="L34" s="90" t="str">
        <f>IF(_epmOfflineCondition_,"469100",_xll.EVPRO($B$1,H34,"JDEID"))</f>
        <v>469100</v>
      </c>
      <c r="M34" s="90" t="str">
        <f>IF(_epmOfflineCondition_,"",IF(AND(I34="N",J34="N"),_xll.EVPRO($B$1,H34,"PSFTID"),""))</f>
        <v/>
      </c>
      <c r="N34" s="90" t="str">
        <f>IF(_epmOfflineCondition_,"Food Revenue",IF(_xll.EVDES(H34,$B$1)="#NODATA","",_xll.EVDES(H34,$B$1)))</f>
        <v>Food Revenue</v>
      </c>
      <c r="O34" s="138"/>
      <c r="P34" s="138"/>
      <c r="Q34" s="138"/>
      <c r="R34" s="138"/>
      <c r="S34" s="138"/>
      <c r="T34" s="138"/>
      <c r="U34" s="138"/>
      <c r="V34" s="138"/>
      <c r="W34" s="138"/>
      <c r="X34" s="138"/>
      <c r="Y34" s="138"/>
      <c r="Z34" s="138"/>
      <c r="AA34" s="210">
        <f t="shared" ref="AA34:AA43" si="1">IF($I34="B1","",SUM(O34:Z34))</f>
        <v>0</v>
      </c>
      <c r="AB34" s="142" t="str">
        <f t="shared" ref="AB34:AB43" si="2">IF(AA34=0,"",IFERROR(AA34/AA$19,""))</f>
        <v/>
      </c>
      <c r="AC34" s="140"/>
      <c r="AD34" s="138"/>
      <c r="AE34" s="142" t="str">
        <f t="shared" ref="AE34:AE43" si="3">IF(AD34=0,"",IFERROR(AD34/AD$19,""))</f>
        <v/>
      </c>
      <c r="AF34" s="141">
        <f t="shared" ref="AF34:AF43" si="4">IF(AND($AA34="",AD34=""),"",$AA34-AD34)</f>
        <v>0</v>
      </c>
      <c r="AG34" s="138"/>
      <c r="AH34" s="142" t="str">
        <f t="shared" ref="AH34:AH43" si="5">IF(AG34=0,"",IFERROR(AG34/AG$19,""))</f>
        <v/>
      </c>
      <c r="AI34" s="141">
        <f t="shared" ref="AI34:AI43" si="6">IF(AND($AA34="",AG34=""),"",$AA34-AG34)</f>
        <v>0</v>
      </c>
      <c r="AJ34" s="462">
        <f t="shared" ref="AJ34:AJ43" si="7">IFERROR(AA34/AA$20,0)</f>
        <v>0</v>
      </c>
      <c r="AK34" s="463">
        <f t="shared" ref="AK34:AK43" si="8">IFERROR(AD34/AD$20,0)</f>
        <v>0</v>
      </c>
      <c r="AL34" s="464">
        <f t="shared" ref="AL34:AL43" si="9">IFERROR(AG34/AG$20,0)</f>
        <v>0</v>
      </c>
      <c r="AM34" s="465">
        <f t="shared" ref="AM34:AM43" si="10">+IFERROR(ROUND(($AB34-AE34)*100,2)&amp;" pts.",0)</f>
        <v>0</v>
      </c>
      <c r="AN34" s="466">
        <f t="shared" ref="AN34:AN43" si="11">+IFERROR(ROUND(($AB34-AH34)*100,2)&amp;" pts.",0)</f>
        <v>0</v>
      </c>
      <c r="AO34" s="11"/>
    </row>
    <row r="35" spans="1:41" x14ac:dyDescent="0.25">
      <c r="A35" s="97" t="s">
        <v>92</v>
      </c>
      <c r="B35" s="98" t="s">
        <v>93</v>
      </c>
      <c r="C35" s="98" t="s">
        <v>94</v>
      </c>
      <c r="D35" s="98" t="s">
        <v>95</v>
      </c>
      <c r="E35" s="98" t="s">
        <v>96</v>
      </c>
      <c r="F35" s="99" t="s">
        <v>97</v>
      </c>
      <c r="G35" s="11"/>
      <c r="H35" s="88" t="s">
        <v>408</v>
      </c>
      <c r="I35" s="122" t="str">
        <f>IF(_epmOfflineCondition_,"T5",_xll.EVPRO($B$1,$H35,"STYLE"))</f>
        <v>T5</v>
      </c>
      <c r="J35" s="122" t="str">
        <f>IF(_epmOfflineCondition_,"Y",_xll.EVPRO($B$1,$H35,"CALC"))</f>
        <v>Y</v>
      </c>
      <c r="K35" s="179" t="str">
        <f t="shared" si="0"/>
        <v>&gt;</v>
      </c>
      <c r="L35" s="90" t="str">
        <f>IF(_epmOfflineCondition_,"469200",_xll.EVPRO($B$1,H35,"JDEID"))</f>
        <v>469200</v>
      </c>
      <c r="M35" s="90" t="str">
        <f>IF(_epmOfflineCondition_,"",IF(AND(I35="N",J35="N"),_xll.EVPRO($B$1,H35,"PSFTID"),""))</f>
        <v/>
      </c>
      <c r="N35" s="90" t="str">
        <f>IF(_epmOfflineCondition_,"Food Revenue - Retail",IF(_xll.EVDES(H35,$B$1)="#NODATA","",_xll.EVDES(H35,$B$1)))</f>
        <v>Food Revenue - Retail</v>
      </c>
      <c r="O35" s="138"/>
      <c r="P35" s="138"/>
      <c r="Q35" s="138"/>
      <c r="R35" s="138"/>
      <c r="S35" s="138"/>
      <c r="T35" s="138"/>
      <c r="U35" s="138"/>
      <c r="V35" s="138"/>
      <c r="W35" s="138"/>
      <c r="X35" s="138"/>
      <c r="Y35" s="138"/>
      <c r="Z35" s="138"/>
      <c r="AA35" s="210">
        <f t="shared" si="1"/>
        <v>0</v>
      </c>
      <c r="AB35" s="142" t="str">
        <f t="shared" si="2"/>
        <v/>
      </c>
      <c r="AC35" s="140"/>
      <c r="AD35" s="138"/>
      <c r="AE35" s="142" t="str">
        <f t="shared" si="3"/>
        <v/>
      </c>
      <c r="AF35" s="141">
        <f t="shared" si="4"/>
        <v>0</v>
      </c>
      <c r="AG35" s="138"/>
      <c r="AH35" s="142" t="str">
        <f t="shared" si="5"/>
        <v/>
      </c>
      <c r="AI35" s="141">
        <f t="shared" si="6"/>
        <v>0</v>
      </c>
      <c r="AJ35" s="462">
        <f t="shared" si="7"/>
        <v>0</v>
      </c>
      <c r="AK35" s="463">
        <f t="shared" si="8"/>
        <v>0</v>
      </c>
      <c r="AL35" s="464">
        <f t="shared" si="9"/>
        <v>0</v>
      </c>
      <c r="AM35" s="465">
        <f t="shared" si="10"/>
        <v>0</v>
      </c>
      <c r="AN35" s="466">
        <f t="shared" si="11"/>
        <v>0</v>
      </c>
      <c r="AO35" s="11"/>
    </row>
    <row r="36" spans="1:41" x14ac:dyDescent="0.25">
      <c r="A36" s="11"/>
      <c r="B36" s="11"/>
      <c r="C36" s="11"/>
      <c r="D36" s="11"/>
      <c r="E36" s="11"/>
      <c r="F36" s="11"/>
      <c r="G36" s="11"/>
      <c r="H36" s="88" t="s">
        <v>409</v>
      </c>
      <c r="I36" s="122" t="str">
        <f>IF(_epmOfflineCondition_,"T5",_xll.EVPRO($B$1,$H36,"STYLE"))</f>
        <v>T5</v>
      </c>
      <c r="J36" s="122" t="str">
        <f>IF(_epmOfflineCondition_,"Y",_xll.EVPRO($B$1,$H36,"CALC"))</f>
        <v>Y</v>
      </c>
      <c r="K36" s="179" t="str">
        <f t="shared" si="0"/>
        <v>&gt;</v>
      </c>
      <c r="L36" s="90" t="str">
        <f>IF(_epmOfflineCondition_,"469300",_xll.EVPRO($B$1,H36,"JDEID"))</f>
        <v>469300</v>
      </c>
      <c r="M36" s="90" t="str">
        <f>IF(_epmOfflineCondition_,"",IF(AND(I36="N",J36="N"),_xll.EVPRO($B$1,H36,"PSFTID"),""))</f>
        <v/>
      </c>
      <c r="N36" s="90" t="str">
        <f>IF(_epmOfflineCondition_,"Liquor Revenue - Retail",IF(_xll.EVDES(H36,$B$1)="#NODATA","",_xll.EVDES(H36,$B$1)))</f>
        <v>Liquor Revenue - Retail</v>
      </c>
      <c r="O36" s="138"/>
      <c r="P36" s="138"/>
      <c r="Q36" s="138"/>
      <c r="R36" s="138"/>
      <c r="S36" s="138"/>
      <c r="T36" s="138"/>
      <c r="U36" s="138"/>
      <c r="V36" s="138"/>
      <c r="W36" s="138"/>
      <c r="X36" s="138"/>
      <c r="Y36" s="138"/>
      <c r="Z36" s="138"/>
      <c r="AA36" s="210">
        <f t="shared" si="1"/>
        <v>0</v>
      </c>
      <c r="AB36" s="142" t="str">
        <f t="shared" si="2"/>
        <v/>
      </c>
      <c r="AC36" s="140"/>
      <c r="AD36" s="138"/>
      <c r="AE36" s="142" t="str">
        <f t="shared" si="3"/>
        <v/>
      </c>
      <c r="AF36" s="141">
        <f t="shared" si="4"/>
        <v>0</v>
      </c>
      <c r="AG36" s="138"/>
      <c r="AH36" s="142" t="str">
        <f t="shared" si="5"/>
        <v/>
      </c>
      <c r="AI36" s="141">
        <f t="shared" si="6"/>
        <v>0</v>
      </c>
      <c r="AJ36" s="462">
        <f t="shared" si="7"/>
        <v>0</v>
      </c>
      <c r="AK36" s="463">
        <f t="shared" si="8"/>
        <v>0</v>
      </c>
      <c r="AL36" s="464">
        <f t="shared" si="9"/>
        <v>0</v>
      </c>
      <c r="AM36" s="465">
        <f t="shared" si="10"/>
        <v>0</v>
      </c>
      <c r="AN36" s="466">
        <f t="shared" si="11"/>
        <v>0</v>
      </c>
      <c r="AO36" s="11"/>
    </row>
    <row r="37" spans="1:41" x14ac:dyDescent="0.25">
      <c r="A37" s="11" t="s">
        <v>105</v>
      </c>
      <c r="B37" s="11"/>
      <c r="C37" s="104" t="s">
        <v>101</v>
      </c>
      <c r="D37" s="11" t="s">
        <v>106</v>
      </c>
      <c r="E37" s="11"/>
      <c r="F37" s="11" t="s">
        <v>98</v>
      </c>
      <c r="G37" s="11"/>
      <c r="H37" s="88" t="s">
        <v>410</v>
      </c>
      <c r="I37" s="122" t="str">
        <f>IF(_epmOfflineCondition_,"T5",_xll.EVPRO($B$1,$H37,"STYLE"))</f>
        <v>T5</v>
      </c>
      <c r="J37" s="122" t="str">
        <f>IF(_epmOfflineCondition_,"Y",_xll.EVPRO($B$1,$H37,"CALC"))</f>
        <v>Y</v>
      </c>
      <c r="K37" s="179" t="str">
        <f t="shared" si="0"/>
        <v>&gt;</v>
      </c>
      <c r="L37" s="90" t="str">
        <f>IF(_epmOfflineCondition_,"469400",_xll.EVPRO($B$1,H37,"JDEID"))</f>
        <v>469400</v>
      </c>
      <c r="M37" s="90" t="str">
        <f>IF(_epmOfflineCondition_,"",IF(AND(I37="N",J37="N"),_xll.EVPRO($B$1,H37,"PSFTID"),""))</f>
        <v/>
      </c>
      <c r="N37" s="90" t="str">
        <f>IF(_epmOfflineCondition_,"Beer Revenue - Retail",IF(_xll.EVDES(H37,$B$1)="#NODATA","",_xll.EVDES(H37,$B$1)))</f>
        <v>Beer Revenue - Retail</v>
      </c>
      <c r="O37" s="138"/>
      <c r="P37" s="138"/>
      <c r="Q37" s="138"/>
      <c r="R37" s="138"/>
      <c r="S37" s="138"/>
      <c r="T37" s="138"/>
      <c r="U37" s="138"/>
      <c r="V37" s="138"/>
      <c r="W37" s="138"/>
      <c r="X37" s="138"/>
      <c r="Y37" s="138"/>
      <c r="Z37" s="138"/>
      <c r="AA37" s="210">
        <f t="shared" si="1"/>
        <v>0</v>
      </c>
      <c r="AB37" s="142" t="str">
        <f t="shared" si="2"/>
        <v/>
      </c>
      <c r="AC37" s="140"/>
      <c r="AD37" s="138"/>
      <c r="AE37" s="142" t="str">
        <f t="shared" si="3"/>
        <v/>
      </c>
      <c r="AF37" s="141">
        <f t="shared" si="4"/>
        <v>0</v>
      </c>
      <c r="AG37" s="138"/>
      <c r="AH37" s="142" t="str">
        <f t="shared" si="5"/>
        <v/>
      </c>
      <c r="AI37" s="141">
        <f t="shared" si="6"/>
        <v>0</v>
      </c>
      <c r="AJ37" s="462">
        <f t="shared" si="7"/>
        <v>0</v>
      </c>
      <c r="AK37" s="463">
        <f t="shared" si="8"/>
        <v>0</v>
      </c>
      <c r="AL37" s="464">
        <f t="shared" si="9"/>
        <v>0</v>
      </c>
      <c r="AM37" s="465">
        <f t="shared" si="10"/>
        <v>0</v>
      </c>
      <c r="AN37" s="466">
        <f t="shared" si="11"/>
        <v>0</v>
      </c>
      <c r="AO37" s="11"/>
    </row>
    <row r="38" spans="1:41" x14ac:dyDescent="0.25">
      <c r="A38" s="11" t="s">
        <v>104</v>
      </c>
      <c r="B38" s="11"/>
      <c r="C38" s="104" t="s">
        <v>101</v>
      </c>
      <c r="D38" s="11" t="s">
        <v>106</v>
      </c>
      <c r="E38" s="11"/>
      <c r="F38" s="11" t="s">
        <v>98</v>
      </c>
      <c r="G38" s="11"/>
      <c r="H38" s="88" t="s">
        <v>411</v>
      </c>
      <c r="I38" s="122" t="str">
        <f>IF(_epmOfflineCondition_,"T5",_xll.EVPRO($B$1,$H38,"STYLE"))</f>
        <v>T5</v>
      </c>
      <c r="J38" s="122" t="str">
        <f>IF(_epmOfflineCondition_,"Y",_xll.EVPRO($B$1,$H38,"CALC"))</f>
        <v>Y</v>
      </c>
      <c r="K38" s="179" t="str">
        <f t="shared" si="0"/>
        <v>&gt;</v>
      </c>
      <c r="L38" s="90" t="str">
        <f>IF(_epmOfflineCondition_,"469500",_xll.EVPRO($B$1,H38,"JDEID"))</f>
        <v>469500</v>
      </c>
      <c r="M38" s="90" t="str">
        <f>IF(_epmOfflineCondition_,"",IF(AND(I38="N",J38="N"),_xll.EVPRO($B$1,H38,"PSFTID"),""))</f>
        <v/>
      </c>
      <c r="N38" s="90" t="str">
        <f>IF(_epmOfflineCondition_,"Wine Revenue - Retail",IF(_xll.EVDES(H38,$B$1)="#NODATA","",_xll.EVDES(H38,$B$1)))</f>
        <v>Wine Revenue - Retail</v>
      </c>
      <c r="O38" s="138"/>
      <c r="P38" s="138"/>
      <c r="Q38" s="138"/>
      <c r="R38" s="138"/>
      <c r="S38" s="138"/>
      <c r="T38" s="138"/>
      <c r="U38" s="138"/>
      <c r="V38" s="138"/>
      <c r="W38" s="138"/>
      <c r="X38" s="138"/>
      <c r="Y38" s="138"/>
      <c r="Z38" s="138"/>
      <c r="AA38" s="210">
        <f t="shared" si="1"/>
        <v>0</v>
      </c>
      <c r="AB38" s="142" t="str">
        <f t="shared" si="2"/>
        <v/>
      </c>
      <c r="AC38" s="140"/>
      <c r="AD38" s="138"/>
      <c r="AE38" s="142" t="str">
        <f t="shared" si="3"/>
        <v/>
      </c>
      <c r="AF38" s="141">
        <f t="shared" si="4"/>
        <v>0</v>
      </c>
      <c r="AG38" s="138"/>
      <c r="AH38" s="142" t="str">
        <f t="shared" si="5"/>
        <v/>
      </c>
      <c r="AI38" s="141">
        <f t="shared" si="6"/>
        <v>0</v>
      </c>
      <c r="AJ38" s="462">
        <f t="shared" si="7"/>
        <v>0</v>
      </c>
      <c r="AK38" s="463">
        <f t="shared" si="8"/>
        <v>0</v>
      </c>
      <c r="AL38" s="464">
        <f t="shared" si="9"/>
        <v>0</v>
      </c>
      <c r="AM38" s="465">
        <f t="shared" si="10"/>
        <v>0</v>
      </c>
      <c r="AN38" s="466">
        <f t="shared" si="11"/>
        <v>0</v>
      </c>
      <c r="AO38" s="11"/>
    </row>
    <row r="39" spans="1:41" x14ac:dyDescent="0.25">
      <c r="A39" s="11" t="s">
        <v>108</v>
      </c>
      <c r="B39" s="11"/>
      <c r="C39" s="106" t="s">
        <v>101</v>
      </c>
      <c r="D39" s="11" t="s">
        <v>106</v>
      </c>
      <c r="E39" s="11"/>
      <c r="F39" s="11" t="s">
        <v>98</v>
      </c>
      <c r="G39" s="11"/>
      <c r="H39" s="88" t="s">
        <v>412</v>
      </c>
      <c r="I39" s="122" t="str">
        <f>IF(_epmOfflineCondition_,"T5",_xll.EVPRO($B$1,$H39,"STYLE"))</f>
        <v>T5</v>
      </c>
      <c r="J39" s="122" t="str">
        <f>IF(_epmOfflineCondition_,"Y",_xll.EVPRO($B$1,$H39,"CALC"))</f>
        <v>Y</v>
      </c>
      <c r="K39" s="179" t="str">
        <f t="shared" si="0"/>
        <v>&gt;</v>
      </c>
      <c r="L39" s="90" t="str">
        <f>IF(_epmOfflineCondition_,"469600",_xll.EVPRO($B$1,H39,"JDEID"))</f>
        <v>469600</v>
      </c>
      <c r="M39" s="90" t="str">
        <f>IF(_epmOfflineCondition_,"",IF(AND(I39="N",J39="N"),_xll.EVPRO($B$1,H39,"PSFTID"),""))</f>
        <v/>
      </c>
      <c r="N39" s="90" t="str">
        <f>IF(_epmOfflineCondition_,"Giftware Revenue - Retail",IF(_xll.EVDES(H39,$B$1)="#NODATA","",_xll.EVDES(H39,$B$1)))</f>
        <v>Giftware Revenue - Retail</v>
      </c>
      <c r="O39" s="138"/>
      <c r="P39" s="138"/>
      <c r="Q39" s="138"/>
      <c r="R39" s="138"/>
      <c r="S39" s="138"/>
      <c r="T39" s="138"/>
      <c r="U39" s="138"/>
      <c r="V39" s="138"/>
      <c r="W39" s="138"/>
      <c r="X39" s="138"/>
      <c r="Y39" s="138"/>
      <c r="Z39" s="138"/>
      <c r="AA39" s="210">
        <f t="shared" si="1"/>
        <v>0</v>
      </c>
      <c r="AB39" s="142" t="str">
        <f t="shared" si="2"/>
        <v/>
      </c>
      <c r="AC39" s="140"/>
      <c r="AD39" s="138"/>
      <c r="AE39" s="142" t="str">
        <f t="shared" si="3"/>
        <v/>
      </c>
      <c r="AF39" s="141">
        <f t="shared" si="4"/>
        <v>0</v>
      </c>
      <c r="AG39" s="138"/>
      <c r="AH39" s="142" t="str">
        <f t="shared" si="5"/>
        <v/>
      </c>
      <c r="AI39" s="141">
        <f t="shared" si="6"/>
        <v>0</v>
      </c>
      <c r="AJ39" s="462">
        <f t="shared" si="7"/>
        <v>0</v>
      </c>
      <c r="AK39" s="463">
        <f t="shared" si="8"/>
        <v>0</v>
      </c>
      <c r="AL39" s="464">
        <f t="shared" si="9"/>
        <v>0</v>
      </c>
      <c r="AM39" s="465">
        <f t="shared" si="10"/>
        <v>0</v>
      </c>
      <c r="AN39" s="466">
        <f t="shared" si="11"/>
        <v>0</v>
      </c>
      <c r="AO39" s="11"/>
    </row>
    <row r="40" spans="1:41" x14ac:dyDescent="0.25">
      <c r="A40" s="11" t="s">
        <v>108</v>
      </c>
      <c r="B40" s="11"/>
      <c r="C40" s="196" t="s">
        <v>101</v>
      </c>
      <c r="D40" s="11" t="s">
        <v>107</v>
      </c>
      <c r="E40" s="11"/>
      <c r="F40" s="11" t="s">
        <v>99</v>
      </c>
      <c r="G40" s="11"/>
      <c r="H40" s="88" t="s">
        <v>413</v>
      </c>
      <c r="I40" s="122" t="str">
        <f>IF(_epmOfflineCondition_,"T5",_xll.EVPRO($B$1,$H40,"STYLE"))</f>
        <v>T5</v>
      </c>
      <c r="J40" s="122" t="str">
        <f>IF(_epmOfflineCondition_,"Y",_xll.EVPRO($B$1,$H40,"CALC"))</f>
        <v>Y</v>
      </c>
      <c r="K40" s="179" t="str">
        <f t="shared" si="0"/>
        <v>&gt;</v>
      </c>
      <c r="L40" s="90" t="str">
        <f>IF(_epmOfflineCondition_,"469700",_xll.EVPRO($B$1,H40,"JDEID"))</f>
        <v>469700</v>
      </c>
      <c r="M40" s="90" t="str">
        <f>IF(_epmOfflineCondition_,"",IF(AND(I40="N",J40="N"),_xll.EVPRO($B$1,H40,"PSFTID"),""))</f>
        <v/>
      </c>
      <c r="N40" s="90" t="str">
        <f>IF(_epmOfflineCondition_,"Books Revenue - Retail",IF(_xll.EVDES(H40,$B$1)="#NODATA","",_xll.EVDES(H40,$B$1)))</f>
        <v>Books Revenue - Retail</v>
      </c>
      <c r="O40" s="138"/>
      <c r="P40" s="138"/>
      <c r="Q40" s="138"/>
      <c r="R40" s="138"/>
      <c r="S40" s="138"/>
      <c r="T40" s="138"/>
      <c r="U40" s="138"/>
      <c r="V40" s="138"/>
      <c r="W40" s="138"/>
      <c r="X40" s="138"/>
      <c r="Y40" s="138"/>
      <c r="Z40" s="138"/>
      <c r="AA40" s="210">
        <f t="shared" si="1"/>
        <v>0</v>
      </c>
      <c r="AB40" s="142" t="str">
        <f t="shared" si="2"/>
        <v/>
      </c>
      <c r="AC40" s="140"/>
      <c r="AD40" s="138"/>
      <c r="AE40" s="142" t="str">
        <f t="shared" si="3"/>
        <v/>
      </c>
      <c r="AF40" s="141">
        <f t="shared" si="4"/>
        <v>0</v>
      </c>
      <c r="AG40" s="138"/>
      <c r="AH40" s="142" t="str">
        <f t="shared" si="5"/>
        <v/>
      </c>
      <c r="AI40" s="141">
        <f t="shared" si="6"/>
        <v>0</v>
      </c>
      <c r="AJ40" s="462">
        <f t="shared" si="7"/>
        <v>0</v>
      </c>
      <c r="AK40" s="463">
        <f t="shared" si="8"/>
        <v>0</v>
      </c>
      <c r="AL40" s="464">
        <f t="shared" si="9"/>
        <v>0</v>
      </c>
      <c r="AM40" s="465">
        <f t="shared" si="10"/>
        <v>0</v>
      </c>
      <c r="AN40" s="466">
        <f t="shared" si="11"/>
        <v>0</v>
      </c>
      <c r="AO40" s="11"/>
    </row>
    <row r="41" spans="1:41" x14ac:dyDescent="0.25">
      <c r="A41" s="11"/>
      <c r="B41" s="11"/>
      <c r="C41" s="11"/>
      <c r="D41" s="11"/>
      <c r="E41" s="11"/>
      <c r="F41" s="11"/>
      <c r="G41" s="11"/>
      <c r="H41" s="88" t="s">
        <v>414</v>
      </c>
      <c r="I41" s="122" t="str">
        <f>IF(_epmOfflineCondition_,"T5",_xll.EVPRO($B$1,$H41,"STYLE"))</f>
        <v>T5</v>
      </c>
      <c r="J41" s="122" t="str">
        <f>IF(_epmOfflineCondition_,"Y",_xll.EVPRO($B$1,$H41,"CALC"))</f>
        <v>Y</v>
      </c>
      <c r="K41" s="179" t="str">
        <f t="shared" si="0"/>
        <v>&gt;</v>
      </c>
      <c r="L41" s="90" t="str">
        <f>IF(_epmOfflineCondition_,"469800",_xll.EVPRO($B$1,H41,"JDEID"))</f>
        <v>469800</v>
      </c>
      <c r="M41" s="90" t="str">
        <f>IF(_epmOfflineCondition_,"",IF(AND(I41="N",J41="N"),_xll.EVPRO($B$1,H41,"PSFTID"),""))</f>
        <v/>
      </c>
      <c r="N41" s="90" t="str">
        <f>IF(_epmOfflineCondition_,"Glassware Revenue - Retail",IF(_xll.EVDES(H41,$B$1)="#NODATA","",_xll.EVDES(H41,$B$1)))</f>
        <v>Glassware Revenue - Retail</v>
      </c>
      <c r="O41" s="138"/>
      <c r="P41" s="138"/>
      <c r="Q41" s="138"/>
      <c r="R41" s="138"/>
      <c r="S41" s="138"/>
      <c r="T41" s="138"/>
      <c r="U41" s="138"/>
      <c r="V41" s="138"/>
      <c r="W41" s="138"/>
      <c r="X41" s="138"/>
      <c r="Y41" s="138"/>
      <c r="Z41" s="138"/>
      <c r="AA41" s="210">
        <f t="shared" si="1"/>
        <v>0</v>
      </c>
      <c r="AB41" s="142" t="str">
        <f t="shared" si="2"/>
        <v/>
      </c>
      <c r="AC41" s="140"/>
      <c r="AD41" s="138"/>
      <c r="AE41" s="142" t="str">
        <f t="shared" si="3"/>
        <v/>
      </c>
      <c r="AF41" s="141">
        <f t="shared" si="4"/>
        <v>0</v>
      </c>
      <c r="AG41" s="138"/>
      <c r="AH41" s="142" t="str">
        <f t="shared" si="5"/>
        <v/>
      </c>
      <c r="AI41" s="141">
        <f t="shared" si="6"/>
        <v>0</v>
      </c>
      <c r="AJ41" s="462">
        <f t="shared" si="7"/>
        <v>0</v>
      </c>
      <c r="AK41" s="463">
        <f t="shared" si="8"/>
        <v>0</v>
      </c>
      <c r="AL41" s="464">
        <f t="shared" si="9"/>
        <v>0</v>
      </c>
      <c r="AM41" s="465">
        <f t="shared" si="10"/>
        <v>0</v>
      </c>
      <c r="AN41" s="466">
        <f t="shared" si="11"/>
        <v>0</v>
      </c>
      <c r="AO41" s="11"/>
    </row>
    <row r="42" spans="1:41" x14ac:dyDescent="0.25">
      <c r="A42" s="11"/>
      <c r="B42" s="11"/>
      <c r="C42" s="11"/>
      <c r="D42" s="11"/>
      <c r="E42" s="11"/>
      <c r="F42" s="11"/>
      <c r="G42" s="11"/>
      <c r="H42" s="88" t="s">
        <v>474</v>
      </c>
      <c r="I42" s="122" t="str">
        <f>IF(_epmOfflineCondition_,"N",_xll.EVPRO($B$1,$H42,"STYLE"))</f>
        <v>N</v>
      </c>
      <c r="J42" s="122" t="str">
        <f>IF(_epmOfflineCondition_,"N",_xll.EVPRO($B$1,$H42,"CALC"))</f>
        <v>N</v>
      </c>
      <c r="K42" s="179" t="str">
        <f t="shared" si="0"/>
        <v/>
      </c>
      <c r="L42" s="90" t="str">
        <f>IF(_epmOfflineCondition_,"469990",_xll.EVPRO($B$1,H42,"JDEID"))</f>
        <v>469990</v>
      </c>
      <c r="M42" s="90" t="str">
        <f>IF(_epmOfflineCondition_,"206022",IF(AND(I42="N",J42="N"),_xll.EVPRO($B$1,H42,"PSFTID"),""))</f>
        <v>206022</v>
      </c>
      <c r="N42" s="90" t="str">
        <f>IF(_epmOfflineCondition_,"F&amp;B Retail: Allowances",IF(_xll.EVDES(H42,$B$1)="#NODATA","",_xll.EVDES(H42,$B$1)))</f>
        <v>F&amp;B Retail: Allowances</v>
      </c>
      <c r="O42" s="215"/>
      <c r="P42" s="215"/>
      <c r="Q42" s="215"/>
      <c r="R42" s="215"/>
      <c r="S42" s="215"/>
      <c r="T42" s="215"/>
      <c r="U42" s="215"/>
      <c r="V42" s="215"/>
      <c r="W42" s="215"/>
      <c r="X42" s="215"/>
      <c r="Y42" s="215"/>
      <c r="Z42" s="215"/>
      <c r="AA42" s="216">
        <f t="shared" si="1"/>
        <v>0</v>
      </c>
      <c r="AB42" s="217" t="str">
        <f t="shared" si="2"/>
        <v/>
      </c>
      <c r="AC42" s="140"/>
      <c r="AD42" s="215"/>
      <c r="AE42" s="217" t="str">
        <f t="shared" si="3"/>
        <v/>
      </c>
      <c r="AF42" s="218">
        <f t="shared" si="4"/>
        <v>0</v>
      </c>
      <c r="AG42" s="215"/>
      <c r="AH42" s="217" t="str">
        <f t="shared" si="5"/>
        <v/>
      </c>
      <c r="AI42" s="218">
        <f t="shared" si="6"/>
        <v>0</v>
      </c>
      <c r="AJ42" s="471">
        <f t="shared" si="7"/>
        <v>0</v>
      </c>
      <c r="AK42" s="472">
        <f t="shared" si="8"/>
        <v>0</v>
      </c>
      <c r="AL42" s="473">
        <f t="shared" si="9"/>
        <v>0</v>
      </c>
      <c r="AM42" s="474">
        <f t="shared" si="10"/>
        <v>0</v>
      </c>
      <c r="AN42" s="475">
        <f t="shared" si="11"/>
        <v>0</v>
      </c>
      <c r="AO42" s="11"/>
    </row>
    <row r="43" spans="1:41" x14ac:dyDescent="0.25">
      <c r="A43" s="61" t="str">
        <f>IF(_epmOfflineCondition_,"Evdre:Ok",_xll.EVDRE($B$1,A46:B53,A56:B62))</f>
        <v>Evdre:Ok</v>
      </c>
      <c r="B43" s="11"/>
      <c r="C43" s="11"/>
      <c r="D43" s="11"/>
      <c r="E43" s="11"/>
      <c r="F43" s="11"/>
      <c r="G43" s="11"/>
      <c r="H43" s="88" t="s">
        <v>280</v>
      </c>
      <c r="I43" s="188" t="str">
        <f>IF(_epmOfflineCondition_,"T3",_xll.EVPRO($B$1,$H43,"STYLE"))</f>
        <v>T3</v>
      </c>
      <c r="J43" s="188" t="str">
        <f>IF(_epmOfflineCondition_,"Y",_xll.EVPRO($B$1,$H43,"CALC"))</f>
        <v>Y</v>
      </c>
      <c r="K43" s="189" t="str">
        <f t="shared" si="0"/>
        <v/>
      </c>
      <c r="L43" s="190" t="str">
        <f>IF(_epmOfflineCondition_,"400000",_xll.EVPRO($B$1,H43,"JDEID"))</f>
        <v>400000</v>
      </c>
      <c r="M43" s="190" t="str">
        <f>IF(_epmOfflineCondition_,"",IF(AND(I43="N",J43="N"),_xll.EVPRO($B$1,H43,"PSFTID"),""))</f>
        <v/>
      </c>
      <c r="N43" s="190" t="str">
        <f>IF(_epmOfflineCondition_,"Total Revenue",IF(_xll.EVDES(H43,$B$1)="#NODATA","",_xll.EVDES(H43,$B$1)))</f>
        <v>Total Revenue</v>
      </c>
      <c r="O43" s="223"/>
      <c r="P43" s="223"/>
      <c r="Q43" s="223"/>
      <c r="R43" s="223"/>
      <c r="S43" s="223"/>
      <c r="T43" s="223"/>
      <c r="U43" s="223"/>
      <c r="V43" s="223"/>
      <c r="W43" s="223"/>
      <c r="X43" s="223"/>
      <c r="Y43" s="223"/>
      <c r="Z43" s="223"/>
      <c r="AA43" s="223">
        <f t="shared" si="1"/>
        <v>0</v>
      </c>
      <c r="AB43" s="224" t="str">
        <f t="shared" si="2"/>
        <v/>
      </c>
      <c r="AC43" s="225"/>
      <c r="AD43" s="223"/>
      <c r="AE43" s="224" t="str">
        <f t="shared" si="3"/>
        <v/>
      </c>
      <c r="AF43" s="226">
        <f t="shared" si="4"/>
        <v>0</v>
      </c>
      <c r="AG43" s="223"/>
      <c r="AH43" s="224" t="str">
        <f t="shared" si="5"/>
        <v/>
      </c>
      <c r="AI43" s="226">
        <f t="shared" si="6"/>
        <v>0</v>
      </c>
      <c r="AJ43" s="227">
        <f t="shared" si="7"/>
        <v>0</v>
      </c>
      <c r="AK43" s="228">
        <f t="shared" si="8"/>
        <v>0</v>
      </c>
      <c r="AL43" s="230">
        <f t="shared" si="9"/>
        <v>0</v>
      </c>
      <c r="AM43" s="427">
        <f t="shared" si="10"/>
        <v>0</v>
      </c>
      <c r="AN43" s="478">
        <f t="shared" si="11"/>
        <v>0</v>
      </c>
      <c r="AO43" s="11"/>
    </row>
    <row r="44" spans="1:41" x14ac:dyDescent="0.25">
      <c r="A44" s="11"/>
      <c r="B44" s="11"/>
      <c r="C44" s="11"/>
      <c r="D44" s="11"/>
      <c r="E44" s="11"/>
      <c r="F44" s="11"/>
      <c r="G44" s="11"/>
      <c r="H44" s="11"/>
      <c r="I44" s="59"/>
      <c r="J44" s="59"/>
      <c r="K44" s="11"/>
      <c r="L44" s="11"/>
      <c r="M44" s="11"/>
      <c r="N44" s="11"/>
      <c r="O44" s="203"/>
      <c r="P44" s="204"/>
      <c r="Q44" s="204"/>
      <c r="R44" s="204"/>
      <c r="S44" s="204"/>
      <c r="T44" s="204"/>
      <c r="U44" s="204"/>
      <c r="V44" s="204"/>
      <c r="W44" s="204"/>
      <c r="X44" s="204"/>
      <c r="Y44" s="204"/>
      <c r="Z44" s="204"/>
      <c r="AA44" s="204"/>
      <c r="AB44" s="118"/>
      <c r="AC44" s="11"/>
      <c r="AD44" s="203"/>
      <c r="AE44" s="204"/>
      <c r="AF44" s="118"/>
      <c r="AG44" s="203"/>
      <c r="AH44" s="204"/>
      <c r="AI44" s="118"/>
      <c r="AJ44" s="11"/>
      <c r="AK44" s="11"/>
      <c r="AL44" s="11"/>
      <c r="AM44" s="11"/>
      <c r="AN44" s="11"/>
      <c r="AO44" s="11"/>
    </row>
    <row r="45" spans="1:41" x14ac:dyDescent="0.25">
      <c r="A45" s="62" t="s">
        <v>0</v>
      </c>
      <c r="B45" s="63" t="s">
        <v>1</v>
      </c>
      <c r="C45" s="11"/>
      <c r="D45" s="11"/>
      <c r="E45" s="11"/>
      <c r="F45" s="11"/>
      <c r="G45" s="11"/>
      <c r="H45" s="11" t="s">
        <v>281</v>
      </c>
      <c r="I45" s="59" t="str">
        <f>IF(_epmOfflineCondition_,"B1",_xll.EVPRO($B$1,$H45,"STYLE"))</f>
        <v>B1</v>
      </c>
      <c r="J45" s="59" t="str">
        <f>IF(_epmOfflineCondition_,"Y",_xll.EVPRO($B$1,$H45,"CALC"))</f>
        <v>Y</v>
      </c>
      <c r="K45" s="11"/>
      <c r="L45" s="11"/>
      <c r="M45" s="11"/>
      <c r="N45" s="105" t="str">
        <f>IF(_epmOfflineCondition_,"Cost of Sales",IF(_xll.EVDES(H45,$B$1)="#NODATA","",_xll.EVDES(H45,$B$1)))</f>
        <v>Cost of Sales</v>
      </c>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25">
      <c r="A46" s="65" t="s">
        <v>2</v>
      </c>
      <c r="B46" s="66" t="str">
        <f>IF(_epmOfflineCondition_,"'FB_Retail'!$B$2:$B$10",_xll.EVRNG($B$2:$B$10))</f>
        <v>'FB_Retail'!$B$2:$B$10</v>
      </c>
      <c r="C46" s="11"/>
      <c r="D46" s="11"/>
      <c r="E46" s="11"/>
      <c r="F46" s="11"/>
      <c r="G46" s="11"/>
      <c r="H46" s="88" t="s">
        <v>415</v>
      </c>
      <c r="I46" s="122" t="str">
        <f>IF(_epmOfflineCondition_,"N",_xll.EVPRO($B$1,$H46,"STYLE"))</f>
        <v>N</v>
      </c>
      <c r="J46" s="122" t="str">
        <f>IF(_epmOfflineCondition_,"N",_xll.EVPRO($B$1,$H46,"CALC"))</f>
        <v>N</v>
      </c>
      <c r="K46" s="179" t="str">
        <f t="shared" ref="K46:K56" si="12">IF(AND(I46&gt;="T5"),"&gt;","")</f>
        <v/>
      </c>
      <c r="L46" s="90" t="str">
        <f>IF(_epmOfflineCondition_,"569100",_xll.EVPRO($B$1,H46,"JDEID"))</f>
        <v>569100</v>
      </c>
      <c r="M46" s="90" t="str">
        <f>IF(_epmOfflineCondition_,"301010",IF(AND(I46="N",J46="N"),_xll.EVPRO($B$1,H46,"PSFTID"),""))</f>
        <v>301010</v>
      </c>
      <c r="N46" s="90" t="str">
        <f>IF(_epmOfflineCondition_,"Food COS",IF(_xll.EVDES(H46,$B$1)="#NODATA","",_xll.EVDES(H46,$B$1)))</f>
        <v>Food COS</v>
      </c>
      <c r="O46" s="138"/>
      <c r="P46" s="138"/>
      <c r="Q46" s="138"/>
      <c r="R46" s="138"/>
      <c r="S46" s="138"/>
      <c r="T46" s="138"/>
      <c r="U46" s="138"/>
      <c r="V46" s="138"/>
      <c r="W46" s="138"/>
      <c r="X46" s="138"/>
      <c r="Y46" s="138"/>
      <c r="Z46" s="138"/>
      <c r="AA46" s="138">
        <f t="shared" ref="AA46:AA54" si="13">IF($I46="B1","",SUM(O46:Z46))</f>
        <v>0</v>
      </c>
      <c r="AB46" s="142" t="str">
        <f>IF(_epmOfflineCondition_,"",IF(AA46=0,"",IFERROR(AA46/_xll.EVGTS($B$1,1,_xll.EVPRO($B$1,$H46,"COSBASIS"),$B$3,$B$5,$B$6,$B$7,$B$9,AA$16,AA$17,AA$11),"")))</f>
        <v/>
      </c>
      <c r="AC46" s="140"/>
      <c r="AD46" s="138"/>
      <c r="AE46" s="142" t="str">
        <f>IF(_epmOfflineCondition_,"",IF(AD46=0,"",IFERROR(AD46/_xll.EVGTS($B$1,1,_xll.EVPRO($B$1,$H46,"COSBASIS"),$B$3,$B$5,$B$6,$B$7,$B$9,AD$16,AD$17,AD$18),"")))</f>
        <v/>
      </c>
      <c r="AF46" s="141">
        <f t="shared" ref="AF46:AF56" si="14">IF(AND($AA46="",AD46=""),"",$AA46-AD46)</f>
        <v>0</v>
      </c>
      <c r="AG46" s="138"/>
      <c r="AH46" s="142" t="str">
        <f>IF(_epmOfflineCondition_,"",IF(AG46=0,"",IFERROR(AG46/_xll.EVGTS($B$1,1,_xll.EVPRO($B$1,$H46,"COSBASIS"),$B$3,$B$5,$B$6,$B$7,$B$9,AG$16,AG$17,AG$18),"")))</f>
        <v/>
      </c>
      <c r="AI46" s="141">
        <f t="shared" ref="AI46:AI56" si="15">IF(AND($AA46="",AG46=""),"",$AA46-AG46)</f>
        <v>0</v>
      </c>
      <c r="AJ46" s="462">
        <f t="shared" ref="AJ46:AJ56" si="16">IFERROR(AA46/AA$20,0)</f>
        <v>0</v>
      </c>
      <c r="AK46" s="463">
        <f t="shared" ref="AK46:AK56" si="17">IFERROR(AD46/AD$20,0)</f>
        <v>0</v>
      </c>
      <c r="AL46" s="464">
        <f t="shared" ref="AL46:AL56" si="18">IFERROR(AG46/AG$20,0)</f>
        <v>0</v>
      </c>
      <c r="AM46" s="465">
        <f t="shared" ref="AM46:AM56" si="19">+IFERROR(ROUND(($AB46-AE46)*100,2)&amp;" pts.",0)</f>
        <v>0</v>
      </c>
      <c r="AN46" s="466">
        <f t="shared" ref="AN46:AN56" si="20">+IFERROR(ROUND(($AB46-AH46)*100,2)&amp;" pts.",0)</f>
        <v>0</v>
      </c>
      <c r="AO46" s="11"/>
    </row>
    <row r="47" spans="1:41" x14ac:dyDescent="0.25">
      <c r="A47" s="65" t="s">
        <v>3</v>
      </c>
      <c r="B47" s="66" t="str">
        <f>IF(_epmOfflineCondition_,"'FB_Retail'!$O$16:$AN$18",_xll.EVRNG($O$16:$AN$18))</f>
        <v>'FB_Retail'!$O$16:$AN$18</v>
      </c>
      <c r="C47" s="11"/>
      <c r="D47" s="11"/>
      <c r="E47" s="11"/>
      <c r="F47" s="11"/>
      <c r="G47" s="11"/>
      <c r="H47" s="88" t="s">
        <v>416</v>
      </c>
      <c r="I47" s="122" t="str">
        <f>IF(_epmOfflineCondition_,"N",_xll.EVPRO($B$1,$H47,"STYLE"))</f>
        <v>N</v>
      </c>
      <c r="J47" s="122" t="str">
        <f>IF(_epmOfflineCondition_,"N",_xll.EVPRO($B$1,$H47,"CALC"))</f>
        <v>N</v>
      </c>
      <c r="K47" s="179" t="str">
        <f t="shared" si="12"/>
        <v/>
      </c>
      <c r="L47" s="90" t="str">
        <f>IF(_epmOfflineCondition_,"569200",_xll.EVPRO($B$1,H47,"JDEID"))</f>
        <v>569200</v>
      </c>
      <c r="M47" s="90" t="str">
        <f>IF(_epmOfflineCondition_,"301010",IF(AND(I47="N",J47="N"),_xll.EVPRO($B$1,H47,"PSFTID"),""))</f>
        <v>301010</v>
      </c>
      <c r="N47" s="90" t="str">
        <f>IF(_epmOfflineCondition_,"Food Retail COS",IF(_xll.EVDES(H47,$B$1)="#NODATA","",_xll.EVDES(H47,$B$1)))</f>
        <v>Food Retail COS</v>
      </c>
      <c r="O47" s="138"/>
      <c r="P47" s="138"/>
      <c r="Q47" s="138"/>
      <c r="R47" s="138"/>
      <c r="S47" s="138"/>
      <c r="T47" s="138"/>
      <c r="U47" s="138"/>
      <c r="V47" s="138"/>
      <c r="W47" s="138"/>
      <c r="X47" s="138"/>
      <c r="Y47" s="138"/>
      <c r="Z47" s="138"/>
      <c r="AA47" s="138">
        <f t="shared" si="13"/>
        <v>0</v>
      </c>
      <c r="AB47" s="142" t="str">
        <f>IF(_epmOfflineCondition_,"",IF(AA47=0,"",IFERROR(AA47/_xll.EVGTS($B$1,1,_xll.EVPRO($B$1,$H47,"COSBASIS"),$B$3,$B$5,$B$6,$B$7,$B$9,AA$16,AA$17,AA$11),"")))</f>
        <v/>
      </c>
      <c r="AC47" s="140"/>
      <c r="AD47" s="138"/>
      <c r="AE47" s="142" t="str">
        <f>IF(_epmOfflineCondition_,"",IF(AD47=0,"",IFERROR(AD47/_xll.EVGTS($B$1,1,_xll.EVPRO($B$1,$H47,"COSBASIS"),$B$3,$B$5,$B$6,$B$7,$B$9,AD$16,AD$17,AD$18),"")))</f>
        <v/>
      </c>
      <c r="AF47" s="141">
        <f t="shared" si="14"/>
        <v>0</v>
      </c>
      <c r="AG47" s="138"/>
      <c r="AH47" s="142" t="str">
        <f>IF(_epmOfflineCondition_,"",IF(AG47=0,"",IFERROR(AG47/_xll.EVGTS($B$1,1,_xll.EVPRO($B$1,$H47,"COSBASIS"),$B$3,$B$5,$B$6,$B$7,$B$9,AG$16,AG$17,AG$18),"")))</f>
        <v/>
      </c>
      <c r="AI47" s="141">
        <f t="shared" si="15"/>
        <v>0</v>
      </c>
      <c r="AJ47" s="462">
        <f t="shared" si="16"/>
        <v>0</v>
      </c>
      <c r="AK47" s="463">
        <f t="shared" si="17"/>
        <v>0</v>
      </c>
      <c r="AL47" s="464">
        <f t="shared" si="18"/>
        <v>0</v>
      </c>
      <c r="AM47" s="465">
        <f t="shared" si="19"/>
        <v>0</v>
      </c>
      <c r="AN47" s="466">
        <f t="shared" si="20"/>
        <v>0</v>
      </c>
      <c r="AO47" s="11"/>
    </row>
    <row r="48" spans="1:41" x14ac:dyDescent="0.25">
      <c r="A48" s="65" t="s">
        <v>4</v>
      </c>
      <c r="B48" s="66" t="str">
        <f>IF(_epmOfflineCondition_,"'FB_Retail'!$H$46:$H$54",_xll.EVRNG(H46:H54))</f>
        <v>'FB_Retail'!$H$46:$H$54</v>
      </c>
      <c r="C48" s="11"/>
      <c r="D48" s="11"/>
      <c r="E48" s="11"/>
      <c r="F48" s="11"/>
      <c r="G48" s="11"/>
      <c r="H48" s="88" t="s">
        <v>417</v>
      </c>
      <c r="I48" s="122" t="str">
        <f>IF(_epmOfflineCondition_,"N",_xll.EVPRO($B$1,$H48,"STYLE"))</f>
        <v>N</v>
      </c>
      <c r="J48" s="122" t="str">
        <f>IF(_epmOfflineCondition_,"N",_xll.EVPRO($B$1,$H48,"CALC"))</f>
        <v>N</v>
      </c>
      <c r="K48" s="179" t="str">
        <f t="shared" si="12"/>
        <v/>
      </c>
      <c r="L48" s="90" t="str">
        <f>IF(_epmOfflineCondition_,"569300",_xll.EVPRO($B$1,H48,"JDEID"))</f>
        <v>569300</v>
      </c>
      <c r="M48" s="90" t="str">
        <f>IF(_epmOfflineCondition_,"301090",IF(AND(I48="N",J48="N"),_xll.EVPRO($B$1,H48,"PSFTID"),""))</f>
        <v>301090</v>
      </c>
      <c r="N48" s="90" t="str">
        <f>IF(_epmOfflineCondition_,"Liquor Retail COS",IF(_xll.EVDES(H48,$B$1)="#NODATA","",_xll.EVDES(H48,$B$1)))</f>
        <v>Liquor Retail COS</v>
      </c>
      <c r="O48" s="138"/>
      <c r="P48" s="138"/>
      <c r="Q48" s="138"/>
      <c r="R48" s="138"/>
      <c r="S48" s="138"/>
      <c r="T48" s="138"/>
      <c r="U48" s="138"/>
      <c r="V48" s="138"/>
      <c r="W48" s="138"/>
      <c r="X48" s="138"/>
      <c r="Y48" s="138"/>
      <c r="Z48" s="138"/>
      <c r="AA48" s="138">
        <f t="shared" si="13"/>
        <v>0</v>
      </c>
      <c r="AB48" s="142" t="str">
        <f>IF(_epmOfflineCondition_,"",IF(AA48=0,"",IFERROR(AA48/_xll.EVGTS($B$1,1,_xll.EVPRO($B$1,$H48,"COSBASIS"),$B$3,$B$5,$B$6,$B$7,$B$9,AA$16,AA$17,AA$11),"")))</f>
        <v/>
      </c>
      <c r="AC48" s="140"/>
      <c r="AD48" s="138"/>
      <c r="AE48" s="142" t="str">
        <f>IF(_epmOfflineCondition_,"",IF(AD48=0,"",IFERROR(AD48/_xll.EVGTS($B$1,1,_xll.EVPRO($B$1,$H48,"COSBASIS"),$B$3,$B$5,$B$6,$B$7,$B$9,AD$16,AD$17,AD$18),"")))</f>
        <v/>
      </c>
      <c r="AF48" s="141">
        <f t="shared" si="14"/>
        <v>0</v>
      </c>
      <c r="AG48" s="138"/>
      <c r="AH48" s="142" t="str">
        <f>IF(_epmOfflineCondition_,"",IF(AG48=0,"",IFERROR(AG48/_xll.EVGTS($B$1,1,_xll.EVPRO($B$1,$H48,"COSBASIS"),$B$3,$B$5,$B$6,$B$7,$B$9,AG$16,AG$17,AG$18),"")))</f>
        <v/>
      </c>
      <c r="AI48" s="141">
        <f t="shared" si="15"/>
        <v>0</v>
      </c>
      <c r="AJ48" s="462">
        <f t="shared" si="16"/>
        <v>0</v>
      </c>
      <c r="AK48" s="463">
        <f t="shared" si="17"/>
        <v>0</v>
      </c>
      <c r="AL48" s="464">
        <f t="shared" si="18"/>
        <v>0</v>
      </c>
      <c r="AM48" s="465">
        <f t="shared" si="19"/>
        <v>0</v>
      </c>
      <c r="AN48" s="466">
        <f t="shared" si="20"/>
        <v>0</v>
      </c>
      <c r="AO48" s="11"/>
    </row>
    <row r="49" spans="1:41" x14ac:dyDescent="0.25">
      <c r="A49" s="65" t="s">
        <v>5</v>
      </c>
      <c r="B49" s="66"/>
      <c r="C49" s="11"/>
      <c r="D49" s="11"/>
      <c r="E49" s="11"/>
      <c r="F49" s="384"/>
      <c r="G49" s="11"/>
      <c r="H49" s="88" t="s">
        <v>418</v>
      </c>
      <c r="I49" s="122" t="str">
        <f>IF(_epmOfflineCondition_,"N",_xll.EVPRO($B$1,$H49,"STYLE"))</f>
        <v>N</v>
      </c>
      <c r="J49" s="122" t="str">
        <f>IF(_epmOfflineCondition_,"N",_xll.EVPRO($B$1,$H49,"CALC"))</f>
        <v>N</v>
      </c>
      <c r="K49" s="179" t="str">
        <f t="shared" si="12"/>
        <v/>
      </c>
      <c r="L49" s="90" t="str">
        <f>IF(_epmOfflineCondition_,"569400",_xll.EVPRO($B$1,H49,"JDEID"))</f>
        <v>569400</v>
      </c>
      <c r="M49" s="90" t="str">
        <f>IF(_epmOfflineCondition_,"302050",IF(AND(I49="N",J49="N"),_xll.EVPRO($B$1,H49,"PSFTID"),""))</f>
        <v>302050</v>
      </c>
      <c r="N49" s="90" t="str">
        <f>IF(_epmOfflineCondition_,"Beer Retail COS",IF(_xll.EVDES(H49,$B$1)="#NODATA","",_xll.EVDES(H49,$B$1)))</f>
        <v>Beer Retail COS</v>
      </c>
      <c r="O49" s="138"/>
      <c r="P49" s="138"/>
      <c r="Q49" s="138"/>
      <c r="R49" s="138"/>
      <c r="S49" s="138"/>
      <c r="T49" s="138"/>
      <c r="U49" s="138"/>
      <c r="V49" s="138"/>
      <c r="W49" s="138"/>
      <c r="X49" s="138"/>
      <c r="Y49" s="138"/>
      <c r="Z49" s="138"/>
      <c r="AA49" s="138">
        <f t="shared" si="13"/>
        <v>0</v>
      </c>
      <c r="AB49" s="142" t="str">
        <f>IF(_epmOfflineCondition_,"",IF(AA49=0,"",IFERROR(AA49/_xll.EVGTS($B$1,1,_xll.EVPRO($B$1,$H49,"COSBASIS"),$B$3,$B$5,$B$6,$B$7,$B$9,AA$16,AA$17,AA$11),"")))</f>
        <v/>
      </c>
      <c r="AC49" s="140"/>
      <c r="AD49" s="138"/>
      <c r="AE49" s="142" t="str">
        <f>IF(_epmOfflineCondition_,"",IF(AD49=0,"",IFERROR(AD49/_xll.EVGTS($B$1,1,_xll.EVPRO($B$1,$H49,"COSBASIS"),$B$3,$B$5,$B$6,$B$7,$B$9,AD$16,AD$17,AD$18),"")))</f>
        <v/>
      </c>
      <c r="AF49" s="141">
        <f t="shared" si="14"/>
        <v>0</v>
      </c>
      <c r="AG49" s="138"/>
      <c r="AH49" s="142" t="str">
        <f>IF(_epmOfflineCondition_,"",IF(AG49=0,"",IFERROR(AG49/_xll.EVGTS($B$1,1,_xll.EVPRO($B$1,$H49,"COSBASIS"),$B$3,$B$5,$B$6,$B$7,$B$9,AG$16,AG$17,AG$18),"")))</f>
        <v/>
      </c>
      <c r="AI49" s="141">
        <f t="shared" si="15"/>
        <v>0</v>
      </c>
      <c r="AJ49" s="462">
        <f t="shared" si="16"/>
        <v>0</v>
      </c>
      <c r="AK49" s="463">
        <f t="shared" si="17"/>
        <v>0</v>
      </c>
      <c r="AL49" s="464">
        <f t="shared" si="18"/>
        <v>0</v>
      </c>
      <c r="AM49" s="465">
        <f t="shared" si="19"/>
        <v>0</v>
      </c>
      <c r="AN49" s="466">
        <f t="shared" si="20"/>
        <v>0</v>
      </c>
      <c r="AO49" s="11"/>
    </row>
    <row r="50" spans="1:41" x14ac:dyDescent="0.25">
      <c r="A50" s="65" t="s">
        <v>6</v>
      </c>
      <c r="B50" s="66"/>
      <c r="C50" s="11"/>
      <c r="D50" s="11"/>
      <c r="E50" s="11"/>
      <c r="F50" s="384"/>
      <c r="G50" s="11"/>
      <c r="H50" s="88" t="s">
        <v>419</v>
      </c>
      <c r="I50" s="122" t="str">
        <f>IF(_epmOfflineCondition_,"N",_xll.EVPRO($B$1,$H50,"STYLE"))</f>
        <v>N</v>
      </c>
      <c r="J50" s="122" t="str">
        <f>IF(_epmOfflineCondition_,"N",_xll.EVPRO($B$1,$H50,"CALC"))</f>
        <v>N</v>
      </c>
      <c r="K50" s="179" t="str">
        <f t="shared" si="12"/>
        <v/>
      </c>
      <c r="L50" s="90" t="str">
        <f>IF(_epmOfflineCondition_,"569500",_xll.EVPRO($B$1,H50,"JDEID"))</f>
        <v>569500</v>
      </c>
      <c r="M50" s="90" t="str">
        <f>IF(_epmOfflineCondition_,"302055",IF(AND(I50="N",J50="N"),_xll.EVPRO($B$1,H50,"PSFTID"),""))</f>
        <v>302055</v>
      </c>
      <c r="N50" s="90" t="str">
        <f>IF(_epmOfflineCondition_,"Wine Retail COS",IF(_xll.EVDES(H50,$B$1)="#NODATA","",_xll.EVDES(H50,$B$1)))</f>
        <v>Wine Retail COS</v>
      </c>
      <c r="O50" s="138"/>
      <c r="P50" s="138"/>
      <c r="Q50" s="138"/>
      <c r="R50" s="138"/>
      <c r="S50" s="138"/>
      <c r="T50" s="138"/>
      <c r="U50" s="138"/>
      <c r="V50" s="138"/>
      <c r="W50" s="138"/>
      <c r="X50" s="138"/>
      <c r="Y50" s="138"/>
      <c r="Z50" s="138"/>
      <c r="AA50" s="138">
        <f t="shared" si="13"/>
        <v>0</v>
      </c>
      <c r="AB50" s="142" t="str">
        <f>IF(_epmOfflineCondition_,"",IF(AA50=0,"",IFERROR(AA50/_xll.EVGTS($B$1,1,_xll.EVPRO($B$1,$H50,"COSBASIS"),$B$3,$B$5,$B$6,$B$7,$B$9,AA$16,AA$17,AA$11),"")))</f>
        <v/>
      </c>
      <c r="AC50" s="140"/>
      <c r="AD50" s="138"/>
      <c r="AE50" s="142" t="str">
        <f>IF(_epmOfflineCondition_,"",IF(AD50=0,"",IFERROR(AD50/_xll.EVGTS($B$1,1,_xll.EVPRO($B$1,$H50,"COSBASIS"),$B$3,$B$5,$B$6,$B$7,$B$9,AD$16,AD$17,AD$18),"")))</f>
        <v/>
      </c>
      <c r="AF50" s="141">
        <f t="shared" si="14"/>
        <v>0</v>
      </c>
      <c r="AG50" s="138"/>
      <c r="AH50" s="142" t="str">
        <f>IF(_epmOfflineCondition_,"",IF(AG50=0,"",IFERROR(AG50/_xll.EVGTS($B$1,1,_xll.EVPRO($B$1,$H50,"COSBASIS"),$B$3,$B$5,$B$6,$B$7,$B$9,AG$16,AG$17,AG$18),"")))</f>
        <v/>
      </c>
      <c r="AI50" s="141">
        <f t="shared" si="15"/>
        <v>0</v>
      </c>
      <c r="AJ50" s="462">
        <f t="shared" si="16"/>
        <v>0</v>
      </c>
      <c r="AK50" s="463">
        <f t="shared" si="17"/>
        <v>0</v>
      </c>
      <c r="AL50" s="464">
        <f t="shared" si="18"/>
        <v>0</v>
      </c>
      <c r="AM50" s="465">
        <f t="shared" si="19"/>
        <v>0</v>
      </c>
      <c r="AN50" s="466">
        <f t="shared" si="20"/>
        <v>0</v>
      </c>
      <c r="AO50" s="11"/>
    </row>
    <row r="51" spans="1:41" x14ac:dyDescent="0.25">
      <c r="A51" s="65" t="s">
        <v>7</v>
      </c>
      <c r="B51" s="66" t="str">
        <f>IF(_epmOfflineCondition_,"'FB_Retail'!$A$65:$F$68",_xll.EVRNG(A65:F68))</f>
        <v>'FB_Retail'!$A$65:$F$68</v>
      </c>
      <c r="C51" s="11"/>
      <c r="D51" s="11"/>
      <c r="E51" s="11"/>
      <c r="F51" s="384"/>
      <c r="G51" s="11"/>
      <c r="H51" s="88" t="s">
        <v>420</v>
      </c>
      <c r="I51" s="122" t="str">
        <f>IF(_epmOfflineCondition_,"N",_xll.EVPRO($B$1,$H51,"STYLE"))</f>
        <v>N</v>
      </c>
      <c r="J51" s="122" t="str">
        <f>IF(_epmOfflineCondition_,"N",_xll.EVPRO($B$1,$H51,"CALC"))</f>
        <v>N</v>
      </c>
      <c r="K51" s="179" t="str">
        <f t="shared" si="12"/>
        <v/>
      </c>
      <c r="L51" s="90" t="str">
        <f>IF(_epmOfflineCondition_,"569600",_xll.EVPRO($B$1,H51,"JDEID"))</f>
        <v>569600</v>
      </c>
      <c r="M51" s="90" t="str">
        <f>IF(_epmOfflineCondition_,"306099",IF(AND(I51="N",J51="N"),_xll.EVPRO($B$1,H51,"PSFTID"),""))</f>
        <v>306099</v>
      </c>
      <c r="N51" s="90" t="str">
        <f>IF(_epmOfflineCondition_,"Giftware Retail COS",IF(_xll.EVDES(H51,$B$1)="#NODATA","",_xll.EVDES(H51,$B$1)))</f>
        <v>Giftware Retail COS</v>
      </c>
      <c r="O51" s="138"/>
      <c r="P51" s="138"/>
      <c r="Q51" s="138"/>
      <c r="R51" s="138"/>
      <c r="S51" s="138"/>
      <c r="T51" s="138"/>
      <c r="U51" s="138"/>
      <c r="V51" s="138"/>
      <c r="W51" s="138"/>
      <c r="X51" s="138"/>
      <c r="Y51" s="138"/>
      <c r="Z51" s="138"/>
      <c r="AA51" s="138">
        <f t="shared" si="13"/>
        <v>0</v>
      </c>
      <c r="AB51" s="142" t="str">
        <f>IF(_epmOfflineCondition_,"",IF(AA51=0,"",IFERROR(AA51/_xll.EVGTS($B$1,1,_xll.EVPRO($B$1,$H51,"COSBASIS"),$B$3,$B$5,$B$6,$B$7,$B$9,AA$16,AA$17,AA$11),"")))</f>
        <v/>
      </c>
      <c r="AC51" s="140"/>
      <c r="AD51" s="138"/>
      <c r="AE51" s="142" t="str">
        <f>IF(_epmOfflineCondition_,"",IF(AD51=0,"",IFERROR(AD51/_xll.EVGTS($B$1,1,_xll.EVPRO($B$1,$H51,"COSBASIS"),$B$3,$B$5,$B$6,$B$7,$B$9,AD$16,AD$17,AD$18),"")))</f>
        <v/>
      </c>
      <c r="AF51" s="141">
        <f t="shared" si="14"/>
        <v>0</v>
      </c>
      <c r="AG51" s="138"/>
      <c r="AH51" s="142" t="str">
        <f>IF(_epmOfflineCondition_,"",IF(AG51=0,"",IFERROR(AG51/_xll.EVGTS($B$1,1,_xll.EVPRO($B$1,$H51,"COSBASIS"),$B$3,$B$5,$B$6,$B$7,$B$9,AG$16,AG$17,AG$18),"")))</f>
        <v/>
      </c>
      <c r="AI51" s="141">
        <f t="shared" si="15"/>
        <v>0</v>
      </c>
      <c r="AJ51" s="462">
        <f t="shared" si="16"/>
        <v>0</v>
      </c>
      <c r="AK51" s="463">
        <f t="shared" si="17"/>
        <v>0</v>
      </c>
      <c r="AL51" s="464">
        <f t="shared" si="18"/>
        <v>0</v>
      </c>
      <c r="AM51" s="465">
        <f t="shared" si="19"/>
        <v>0</v>
      </c>
      <c r="AN51" s="466">
        <f t="shared" si="20"/>
        <v>0</v>
      </c>
      <c r="AO51" s="11"/>
    </row>
    <row r="52" spans="1:41" x14ac:dyDescent="0.25">
      <c r="A52" s="65" t="s">
        <v>47</v>
      </c>
      <c r="B52" s="66" t="str">
        <f>IF(_epmOfflineCondition_,"'FB_Retail'!$A$116:$B$137",_xll.EVRNG($A$116:$B$137))</f>
        <v>'FB_Retail'!$A$116:$B$137</v>
      </c>
      <c r="C52" s="11"/>
      <c r="D52" s="11"/>
      <c r="E52" s="11"/>
      <c r="F52" s="11"/>
      <c r="G52" s="11"/>
      <c r="H52" s="88" t="s">
        <v>421</v>
      </c>
      <c r="I52" s="122" t="str">
        <f>IF(_epmOfflineCondition_,"N",_xll.EVPRO($B$1,$H52,"STYLE"))</f>
        <v>N</v>
      </c>
      <c r="J52" s="122" t="str">
        <f>IF(_epmOfflineCondition_,"N",_xll.EVPRO($B$1,$H52,"CALC"))</f>
        <v>N</v>
      </c>
      <c r="K52" s="179" t="str">
        <f t="shared" si="12"/>
        <v/>
      </c>
      <c r="L52" s="90" t="str">
        <f>IF(_epmOfflineCondition_,"569700",_xll.EVPRO($B$1,H52,"JDEID"))</f>
        <v>569700</v>
      </c>
      <c r="M52" s="90" t="str">
        <f>IF(_epmOfflineCondition_,"NA",IF(AND(I52="N",J52="N"),_xll.EVPRO($B$1,H52,"PSFTID"),""))</f>
        <v>NA</v>
      </c>
      <c r="N52" s="90" t="str">
        <f>IF(_epmOfflineCondition_,"Books Retail COS",IF(_xll.EVDES(H52,$B$1)="#NODATA","",_xll.EVDES(H52,$B$1)))</f>
        <v>Books Retail COS</v>
      </c>
      <c r="O52" s="138"/>
      <c r="P52" s="138"/>
      <c r="Q52" s="138"/>
      <c r="R52" s="138"/>
      <c r="S52" s="138"/>
      <c r="T52" s="138"/>
      <c r="U52" s="138"/>
      <c r="V52" s="138"/>
      <c r="W52" s="138"/>
      <c r="X52" s="138"/>
      <c r="Y52" s="138"/>
      <c r="Z52" s="138"/>
      <c r="AA52" s="138">
        <f t="shared" si="13"/>
        <v>0</v>
      </c>
      <c r="AB52" s="142" t="str">
        <f>IF(_epmOfflineCondition_,"",IF(AA52=0,"",IFERROR(AA52/_xll.EVGTS($B$1,1,_xll.EVPRO($B$1,$H52,"COSBASIS"),$B$3,$B$5,$B$6,$B$7,$B$9,AA$16,AA$17,AA$11),"")))</f>
        <v/>
      </c>
      <c r="AC52" s="140"/>
      <c r="AD52" s="138"/>
      <c r="AE52" s="142" t="str">
        <f>IF(_epmOfflineCondition_,"",IF(AD52=0,"",IFERROR(AD52/_xll.EVGTS($B$1,1,_xll.EVPRO($B$1,$H52,"COSBASIS"),$B$3,$B$5,$B$6,$B$7,$B$9,AD$16,AD$17,AD$18),"")))</f>
        <v/>
      </c>
      <c r="AF52" s="141">
        <f t="shared" si="14"/>
        <v>0</v>
      </c>
      <c r="AG52" s="138"/>
      <c r="AH52" s="142" t="str">
        <f>IF(_epmOfflineCondition_,"",IF(AG52=0,"",IFERROR(AG52/_xll.EVGTS($B$1,1,_xll.EVPRO($B$1,$H52,"COSBASIS"),$B$3,$B$5,$B$6,$B$7,$B$9,AG$16,AG$17,AG$18),"")))</f>
        <v/>
      </c>
      <c r="AI52" s="141">
        <f t="shared" si="15"/>
        <v>0</v>
      </c>
      <c r="AJ52" s="462">
        <f t="shared" si="16"/>
        <v>0</v>
      </c>
      <c r="AK52" s="463">
        <f t="shared" si="17"/>
        <v>0</v>
      </c>
      <c r="AL52" s="464">
        <f t="shared" si="18"/>
        <v>0</v>
      </c>
      <c r="AM52" s="465">
        <f t="shared" si="19"/>
        <v>0</v>
      </c>
      <c r="AN52" s="466">
        <f t="shared" si="20"/>
        <v>0</v>
      </c>
      <c r="AO52" s="11"/>
    </row>
    <row r="53" spans="1:41" x14ac:dyDescent="0.25">
      <c r="A53" s="65" t="s">
        <v>8</v>
      </c>
      <c r="B53" s="66"/>
      <c r="C53" s="11"/>
      <c r="D53" s="11"/>
      <c r="E53" s="11"/>
      <c r="F53" s="11"/>
      <c r="G53" s="11"/>
      <c r="H53" s="88" t="s">
        <v>422</v>
      </c>
      <c r="I53" s="122" t="str">
        <f>IF(_epmOfflineCondition_,"N",_xll.EVPRO($B$1,$H53,"STYLE"))</f>
        <v>N</v>
      </c>
      <c r="J53" s="122" t="str">
        <f>IF(_epmOfflineCondition_,"N",_xll.EVPRO($B$1,$H53,"CALC"))</f>
        <v>N</v>
      </c>
      <c r="K53" s="179" t="str">
        <f t="shared" si="12"/>
        <v/>
      </c>
      <c r="L53" s="90" t="str">
        <f>IF(_epmOfflineCondition_,"569800",_xll.EVPRO($B$1,H53,"JDEID"))</f>
        <v>569800</v>
      </c>
      <c r="M53" s="90" t="str">
        <f>IF(_epmOfflineCondition_,"NA",IF(AND(I53="N",J53="N"),_xll.EVPRO($B$1,H53,"PSFTID"),""))</f>
        <v>NA</v>
      </c>
      <c r="N53" s="90" t="str">
        <f>IF(_epmOfflineCondition_,"Glassware Retail COS",IF(_xll.EVDES(H53,$B$1)="#NODATA","",_xll.EVDES(H53,$B$1)))</f>
        <v>Glassware Retail COS</v>
      </c>
      <c r="O53" s="215"/>
      <c r="P53" s="215"/>
      <c r="Q53" s="215"/>
      <c r="R53" s="215"/>
      <c r="S53" s="215"/>
      <c r="T53" s="215"/>
      <c r="U53" s="215"/>
      <c r="V53" s="215"/>
      <c r="W53" s="215"/>
      <c r="X53" s="215"/>
      <c r="Y53" s="215"/>
      <c r="Z53" s="215"/>
      <c r="AA53" s="215">
        <f t="shared" si="13"/>
        <v>0</v>
      </c>
      <c r="AB53" s="217" t="str">
        <f>IF(_epmOfflineCondition_,"",IF(AA53=0,"",IFERROR(AA53/_xll.EVGTS($B$1,1,_xll.EVPRO($B$1,$H53,"COSBASIS"),$B$3,$B$5,$B$6,$B$7,$B$9,AA$16,AA$17,AA$11),"")))</f>
        <v/>
      </c>
      <c r="AC53" s="140"/>
      <c r="AD53" s="215"/>
      <c r="AE53" s="217" t="str">
        <f>IF(_epmOfflineCondition_,"",IF(AD53=0,"",IFERROR(AD53/_xll.EVGTS($B$1,1,_xll.EVPRO($B$1,$H53,"COSBASIS"),$B$3,$B$5,$B$6,$B$7,$B$9,AD$16,AD$17,AD$18),"")))</f>
        <v/>
      </c>
      <c r="AF53" s="218">
        <f t="shared" si="14"/>
        <v>0</v>
      </c>
      <c r="AG53" s="215"/>
      <c r="AH53" s="217" t="str">
        <f>IF(_epmOfflineCondition_,"",IF(AG53=0,"",IFERROR(AG53/_xll.EVGTS($B$1,1,_xll.EVPRO($B$1,$H53,"COSBASIS"),$B$3,$B$5,$B$6,$B$7,$B$9,AG$16,AG$17,AG$18),"")))</f>
        <v/>
      </c>
      <c r="AI53" s="218">
        <f t="shared" si="15"/>
        <v>0</v>
      </c>
      <c r="AJ53" s="471">
        <f t="shared" si="16"/>
        <v>0</v>
      </c>
      <c r="AK53" s="472">
        <f t="shared" si="17"/>
        <v>0</v>
      </c>
      <c r="AL53" s="473">
        <f t="shared" si="18"/>
        <v>0</v>
      </c>
      <c r="AM53" s="474">
        <f t="shared" si="19"/>
        <v>0</v>
      </c>
      <c r="AN53" s="475">
        <f t="shared" si="20"/>
        <v>0</v>
      </c>
      <c r="AO53" s="11"/>
    </row>
    <row r="54" spans="1:41" x14ac:dyDescent="0.25">
      <c r="A54" s="11"/>
      <c r="B54" s="11"/>
      <c r="C54" s="11"/>
      <c r="D54" s="11"/>
      <c r="E54" s="11"/>
      <c r="F54" s="11"/>
      <c r="G54" s="11"/>
      <c r="H54" s="88" t="s">
        <v>289</v>
      </c>
      <c r="I54" s="188" t="str">
        <f>IF(_epmOfflineCondition_,"T3",_xll.EVPRO($B$1,$H54,"STYLE"))</f>
        <v>T3</v>
      </c>
      <c r="J54" s="188" t="str">
        <f>IF(_epmOfflineCondition_,"Y",_xll.EVPRO($B$1,$H54,"CALC"))</f>
        <v>Y</v>
      </c>
      <c r="K54" s="189" t="str">
        <f t="shared" si="12"/>
        <v/>
      </c>
      <c r="L54" s="190" t="str">
        <f>IF(_epmOfflineCondition_,"500001",_xll.EVPRO($B$1,H54,"JDEID"))</f>
        <v>500001</v>
      </c>
      <c r="M54" s="190" t="str">
        <f>IF(_epmOfflineCondition_,"",IF(AND(I54="N",J54="N"),_xll.EVPRO($B$1,H54,"PSFTID"),""))</f>
        <v/>
      </c>
      <c r="N54" s="190" t="str">
        <f>IF(_epmOfflineCondition_,"Total Cost of Sales",IF(_xll.EVDES(H54,$B$1)="#NODATA","",_xll.EVDES(H54,$B$1)))</f>
        <v>Total Cost of Sales</v>
      </c>
      <c r="O54" s="223"/>
      <c r="P54" s="223"/>
      <c r="Q54" s="223"/>
      <c r="R54" s="223"/>
      <c r="S54" s="223"/>
      <c r="T54" s="223"/>
      <c r="U54" s="223"/>
      <c r="V54" s="223"/>
      <c r="W54" s="223"/>
      <c r="X54" s="223"/>
      <c r="Y54" s="223"/>
      <c r="Z54" s="223"/>
      <c r="AA54" s="223">
        <f t="shared" si="13"/>
        <v>0</v>
      </c>
      <c r="AB54" s="224" t="str">
        <f>IF(_epmOfflineCondition_,"",IF(AA54=0,"",IFERROR(AA54/_xll.EVGTS($B$1,1,_xll.EVPRO($B$1,$H54,"COSBASIS"),$B$3,$B$5,$B$6,$B$7,$B$9,AA$16,AA$17,AA$11),"")))</f>
        <v/>
      </c>
      <c r="AC54" s="225"/>
      <c r="AD54" s="223"/>
      <c r="AE54" s="224" t="str">
        <f>IF(_epmOfflineCondition_,"",IF(AD54=0,"",IFERROR(AD54/_xll.EVGTS($B$1,1,_xll.EVPRO($B$1,$H54,"COSBASIS"),$B$3,$B$5,$B$6,$B$7,$B$9,AD$16,AD$17,AD$18),"")))</f>
        <v/>
      </c>
      <c r="AF54" s="226">
        <f t="shared" si="14"/>
        <v>0</v>
      </c>
      <c r="AG54" s="223"/>
      <c r="AH54" s="224" t="str">
        <f>IF(_epmOfflineCondition_,"",IF(AG54=0,"",IFERROR(AG54/_xll.EVGTS($B$1,1,_xll.EVPRO($B$1,$H54,"COSBASIS"),$B$3,$B$5,$B$6,$B$7,$B$9,AG$16,AG$17,AG$18),"")))</f>
        <v/>
      </c>
      <c r="AI54" s="226">
        <f t="shared" si="15"/>
        <v>0</v>
      </c>
      <c r="AJ54" s="227">
        <f t="shared" si="16"/>
        <v>0</v>
      </c>
      <c r="AK54" s="228">
        <f t="shared" si="17"/>
        <v>0</v>
      </c>
      <c r="AL54" s="230">
        <f t="shared" si="18"/>
        <v>0</v>
      </c>
      <c r="AM54" s="427">
        <f t="shared" si="19"/>
        <v>0</v>
      </c>
      <c r="AN54" s="478">
        <f t="shared" si="20"/>
        <v>0</v>
      </c>
      <c r="AO54" s="11"/>
    </row>
    <row r="55" spans="1:41" x14ac:dyDescent="0.25">
      <c r="A55" s="62" t="s">
        <v>9</v>
      </c>
      <c r="B55" s="63" t="s">
        <v>10</v>
      </c>
      <c r="C55" s="11"/>
      <c r="D55" s="11"/>
      <c r="E55" s="11"/>
      <c r="F55" s="11"/>
      <c r="G55" s="11"/>
      <c r="H55" s="185" t="s">
        <v>175</v>
      </c>
      <c r="I55" s="89" t="str">
        <f>IF(_epmOfflineCondition_,"B1",_xll.EVPRO($B$1,$H55,"STYLE"))</f>
        <v>B1</v>
      </c>
      <c r="J55" s="89" t="str">
        <f>IF(_epmOfflineCondition_,"Y",_xll.EVPRO($B$1,$H55,"CALC"))</f>
        <v>Y</v>
      </c>
      <c r="K55" s="265" t="str">
        <f t="shared" si="12"/>
        <v/>
      </c>
      <c r="L55" s="265"/>
      <c r="M55" s="265"/>
      <c r="N55" s="106" t="str">
        <f>IF(_epmOfflineCondition_,"BLANKROW",IF(_xll.EVDES(H55,$B$1)="#NODATA","",_xll.EVDES(H55,$B$1)))</f>
        <v>BLANKROW</v>
      </c>
      <c r="O55" s="205"/>
      <c r="P55" s="205"/>
      <c r="Q55" s="205"/>
      <c r="R55" s="205"/>
      <c r="S55" s="205"/>
      <c r="T55" s="205"/>
      <c r="U55" s="205"/>
      <c r="V55" s="205"/>
      <c r="W55" s="205"/>
      <c r="X55" s="205"/>
      <c r="Y55" s="205"/>
      <c r="Z55" s="205"/>
      <c r="AA55" s="205"/>
      <c r="AB55" s="206" t="str">
        <f>IF(_epmOfflineCondition_,"",IF(O55=0,"",IFERROR(O55/_xll.EVGTS($B$1,1,INDEX($C$143:$C$166,MATCH($H55,$A$143:$A$166,0)),$B$3,$B$5,$B$6,$B$7,$B$9,O$16,O$17,O$18),"")))</f>
        <v/>
      </c>
      <c r="AC55" s="11"/>
      <c r="AD55" s="205"/>
      <c r="AE55" s="206" t="str">
        <f>IF(_epmOfflineCondition_,"",IF(AD55=0,"",IFERROR(AD55/_xll.EVGTS($B$1,1,INDEX($C$143:$C$166,MATCH($H55,$A$143:$A$166,0)),$B$3,$B$5,$B$6,$B$7,$B$9,AD$16,AD$17,AD$18),"")))</f>
        <v/>
      </c>
      <c r="AF55" s="207" t="str">
        <f t="shared" si="14"/>
        <v/>
      </c>
      <c r="AG55" s="205"/>
      <c r="AH55" s="206" t="str">
        <f>IF(_epmOfflineCondition_,"",IF(AG55=0,"",IFERROR(AG55/_xll.EVGTS($B$1,1,INDEX($C$143:$C$166,MATCH($H55,$A$143:$A$166,0)),$B$3,$B$5,$B$6,$B$7,$B$9,AG$16,AG$17,AG$18),"")))</f>
        <v/>
      </c>
      <c r="AI55" s="207" t="str">
        <f t="shared" si="15"/>
        <v/>
      </c>
      <c r="AJ55" s="523">
        <f t="shared" si="16"/>
        <v>0</v>
      </c>
      <c r="AK55" s="524">
        <f t="shared" si="17"/>
        <v>0</v>
      </c>
      <c r="AL55" s="525">
        <f t="shared" si="18"/>
        <v>0</v>
      </c>
      <c r="AM55" s="526">
        <f t="shared" si="19"/>
        <v>0</v>
      </c>
      <c r="AN55" s="527">
        <f t="shared" si="20"/>
        <v>0</v>
      </c>
      <c r="AO55" s="11"/>
    </row>
    <row r="56" spans="1:41" x14ac:dyDescent="0.25">
      <c r="A56" s="65" t="s">
        <v>11</v>
      </c>
      <c r="B56" s="66" t="s">
        <v>21</v>
      </c>
      <c r="C56" s="11"/>
      <c r="D56" s="11"/>
      <c r="E56" s="11"/>
      <c r="F56" s="11"/>
      <c r="G56" s="76"/>
      <c r="H56" s="185" t="s">
        <v>292</v>
      </c>
      <c r="I56" s="89" t="str">
        <f>IF(_epmOfflineCondition_,"T3",_xll.EVPRO($B$1,$H56,"STYLE"))</f>
        <v>T3</v>
      </c>
      <c r="J56" s="89" t="str">
        <f>IF(_epmOfflineCondition_,"Y",_xll.EVPRO($B$1,$H56,"CALC"))</f>
        <v>Y</v>
      </c>
      <c r="K56" s="265" t="str">
        <f t="shared" si="12"/>
        <v/>
      </c>
      <c r="L56" s="265"/>
      <c r="M56" s="265"/>
      <c r="N56" s="106" t="str">
        <f>IF(_epmOfflineCondition_,"Gross Profit",IF(_xll.EVDES(H56,$B$1)="#NODATA","",_xll.EVDES(H56,$B$1)))</f>
        <v>Gross Profit</v>
      </c>
      <c r="O56" s="123">
        <f t="shared" ref="O56:Z56" si="21">SUMIF($H$34:$H$54,"400000",O34:O54)-SUMIF($H$34:$H$54,"500001",O34:O54)</f>
        <v>0</v>
      </c>
      <c r="P56" s="123">
        <f t="shared" si="21"/>
        <v>0</v>
      </c>
      <c r="Q56" s="123">
        <f t="shared" si="21"/>
        <v>0</v>
      </c>
      <c r="R56" s="123">
        <f t="shared" si="21"/>
        <v>0</v>
      </c>
      <c r="S56" s="123">
        <f t="shared" si="21"/>
        <v>0</v>
      </c>
      <c r="T56" s="123">
        <f t="shared" si="21"/>
        <v>0</v>
      </c>
      <c r="U56" s="123">
        <f t="shared" si="21"/>
        <v>0</v>
      </c>
      <c r="V56" s="123">
        <f t="shared" si="21"/>
        <v>0</v>
      </c>
      <c r="W56" s="123">
        <f t="shared" si="21"/>
        <v>0</v>
      </c>
      <c r="X56" s="123">
        <f t="shared" si="21"/>
        <v>0</v>
      </c>
      <c r="Y56" s="123">
        <f t="shared" si="21"/>
        <v>0</v>
      </c>
      <c r="Z56" s="123">
        <f t="shared" si="21"/>
        <v>0</v>
      </c>
      <c r="AA56" s="123">
        <f>IF($I56="B1","",SUM(O56:Z56))</f>
        <v>0</v>
      </c>
      <c r="AB56" s="192" t="str">
        <f>IF(AA56=0,"",IFERROR(AA56/AA$19,""))</f>
        <v/>
      </c>
      <c r="AC56" s="11"/>
      <c r="AD56" s="123">
        <f>SUMIF($H$34:$H$54,"400000",AD34:AD54)-SUMIF($H$34:$H$54,"500001",AD34:AD54)</f>
        <v>0</v>
      </c>
      <c r="AE56" s="192" t="str">
        <f>IF(AD56=0,"",IFERROR(AD56/AD$19,""))</f>
        <v/>
      </c>
      <c r="AF56" s="125">
        <f t="shared" si="14"/>
        <v>0</v>
      </c>
      <c r="AG56" s="123">
        <f>SUMIF($H$34:$H$54,"400000",AG34:AG54)-SUMIF($H$34:$H$54,"500001",AG34:AG54)</f>
        <v>0</v>
      </c>
      <c r="AH56" s="192" t="str">
        <f>IF(AG56=0,"",IFERROR(AG56/AG$19,""))</f>
        <v/>
      </c>
      <c r="AI56" s="125">
        <f t="shared" si="15"/>
        <v>0</v>
      </c>
      <c r="AJ56" s="388">
        <f t="shared" si="16"/>
        <v>0</v>
      </c>
      <c r="AK56" s="389">
        <f t="shared" si="17"/>
        <v>0</v>
      </c>
      <c r="AL56" s="390">
        <f t="shared" si="18"/>
        <v>0</v>
      </c>
      <c r="AM56" s="391">
        <f t="shared" si="19"/>
        <v>0</v>
      </c>
      <c r="AN56" s="544">
        <f t="shared" si="20"/>
        <v>0</v>
      </c>
      <c r="AO56" s="11"/>
    </row>
    <row r="57" spans="1:41" x14ac:dyDescent="0.25">
      <c r="A57" s="65" t="s">
        <v>12</v>
      </c>
      <c r="B57" s="66" t="s">
        <v>22</v>
      </c>
      <c r="C57" s="11"/>
      <c r="D57" s="11"/>
      <c r="E57" s="11"/>
      <c r="F57" s="11"/>
      <c r="G57" s="11"/>
      <c r="H57" s="11"/>
      <c r="I57" s="59"/>
      <c r="J57" s="59"/>
      <c r="K57" s="11"/>
      <c r="L57" s="11"/>
      <c r="M57" s="11"/>
      <c r="N57" s="11"/>
      <c r="O57" s="393"/>
      <c r="P57" s="394"/>
      <c r="Q57" s="394"/>
      <c r="R57" s="394"/>
      <c r="S57" s="394"/>
      <c r="T57" s="394"/>
      <c r="U57" s="394"/>
      <c r="V57" s="394"/>
      <c r="W57" s="394"/>
      <c r="X57" s="394"/>
      <c r="Y57" s="394"/>
      <c r="Z57" s="394"/>
      <c r="AA57" s="394"/>
      <c r="AB57" s="118"/>
      <c r="AC57" s="11"/>
      <c r="AD57" s="393"/>
      <c r="AE57" s="204"/>
      <c r="AF57" s="118"/>
      <c r="AG57" s="204"/>
      <c r="AH57" s="204"/>
      <c r="AI57" s="118"/>
      <c r="AJ57" s="11"/>
      <c r="AK57" s="11"/>
      <c r="AL57" s="11"/>
      <c r="AM57" s="11"/>
      <c r="AN57" s="11"/>
      <c r="AO57" s="11"/>
    </row>
    <row r="58" spans="1:41" x14ac:dyDescent="0.25">
      <c r="A58" s="65" t="s">
        <v>13</v>
      </c>
      <c r="B58" s="66" t="str">
        <f>"DEP(569000) AND "&amp;$E$6&amp;"=Y,500001"</f>
        <v>DEP(569000) AND D2149=Y,500001</v>
      </c>
      <c r="C58" s="11"/>
      <c r="D58" s="11"/>
      <c r="E58" s="11"/>
      <c r="F58" s="11"/>
      <c r="G58" s="11"/>
      <c r="H58" s="11" t="s">
        <v>73</v>
      </c>
      <c r="I58" s="59" t="str">
        <f>IF(_epmOfflineCondition_,"B1",_xll.EVPRO($B$1,$H58,"STYLE"))</f>
        <v>B1</v>
      </c>
      <c r="J58" s="59" t="str">
        <f>IF(_epmOfflineCondition_,"Y",_xll.EVPRO($B$1,$H58,"CALC"))</f>
        <v>Y</v>
      </c>
      <c r="K58" s="11"/>
      <c r="L58" s="11"/>
      <c r="M58" s="11"/>
      <c r="N58" s="105" t="str">
        <f>IF(_epmOfflineCondition_,"Labor &amp; Related Expenses",IF(_xll.EVDES(H58,$B$1)="#NODATA","",_xll.EVDES(H58,$B$1)))</f>
        <v>Labor &amp; Related Expenses</v>
      </c>
      <c r="O58" s="203"/>
      <c r="P58" s="204"/>
      <c r="Q58" s="204"/>
      <c r="R58" s="204"/>
      <c r="S58" s="204"/>
      <c r="T58" s="204"/>
      <c r="U58" s="204"/>
      <c r="V58" s="204"/>
      <c r="W58" s="204"/>
      <c r="X58" s="204"/>
      <c r="Y58" s="204"/>
      <c r="Z58" s="204"/>
      <c r="AA58" s="204"/>
      <c r="AB58" s="410"/>
      <c r="AC58" s="11"/>
      <c r="AD58" s="411"/>
      <c r="AE58" s="412"/>
      <c r="AF58" s="118"/>
      <c r="AG58" s="204"/>
      <c r="AH58" s="412"/>
      <c r="AI58" s="118"/>
      <c r="AJ58" s="11"/>
      <c r="AK58" s="11"/>
      <c r="AL58" s="11"/>
      <c r="AM58" s="11"/>
      <c r="AN58" s="11"/>
      <c r="AO58" s="11"/>
    </row>
    <row r="59" spans="1:41" x14ac:dyDescent="0.25">
      <c r="A59" s="65" t="s">
        <v>14</v>
      </c>
      <c r="B59" s="66"/>
      <c r="C59" s="11"/>
      <c r="D59" s="11"/>
      <c r="E59" s="11"/>
      <c r="F59" s="11"/>
      <c r="G59" s="11"/>
      <c r="H59" s="11" t="s">
        <v>74</v>
      </c>
      <c r="I59" s="59" t="str">
        <f>IF(_epmOfflineCondition_,"B1",_xll.EVPRO($B$1,$H59,"STYLE"))</f>
        <v>B1</v>
      </c>
      <c r="J59" s="59" t="str">
        <f>IF(_epmOfflineCondition_,"Y",_xll.EVPRO($B$1,$H59,"CALC"))</f>
        <v>Y</v>
      </c>
      <c r="K59" s="11"/>
      <c r="L59" s="11"/>
      <c r="M59" s="11"/>
      <c r="N59" s="53" t="str">
        <f>IF(_epmOfflineCondition_,"Salaries &amp; Wages",IF(_xll.EVDES(H59,$B$1)="#NODATA","",_xll.EVDES(H59,$B$1)))</f>
        <v>Salaries &amp; Wages</v>
      </c>
      <c r="O59" s="119"/>
      <c r="P59" s="120"/>
      <c r="Q59" s="120"/>
      <c r="R59" s="120"/>
      <c r="S59" s="120"/>
      <c r="T59" s="120"/>
      <c r="U59" s="120"/>
      <c r="V59" s="120"/>
      <c r="W59" s="120"/>
      <c r="X59" s="120"/>
      <c r="Y59" s="120"/>
      <c r="Z59" s="120"/>
      <c r="AA59" s="120"/>
      <c r="AB59" s="121"/>
      <c r="AC59" s="11"/>
      <c r="AD59" s="119"/>
      <c r="AE59" s="120"/>
      <c r="AF59" s="121"/>
      <c r="AG59" s="120"/>
      <c r="AH59" s="120"/>
      <c r="AI59" s="121"/>
      <c r="AJ59" s="11"/>
      <c r="AK59" s="11"/>
      <c r="AL59" s="11"/>
      <c r="AM59" s="11"/>
      <c r="AN59" s="11"/>
      <c r="AO59" s="11"/>
    </row>
    <row r="60" spans="1:41" hidden="1" x14ac:dyDescent="0.25">
      <c r="A60" s="65" t="s">
        <v>15</v>
      </c>
      <c r="B60" s="66"/>
      <c r="C60" s="11"/>
      <c r="D60" s="11"/>
      <c r="E60" s="11"/>
      <c r="F60" s="11"/>
      <c r="G60" s="11"/>
      <c r="H60" s="88" t="s">
        <v>667</v>
      </c>
      <c r="I60" s="122" t="str">
        <f>IF(_epmOfflineCondition_,"",_xll.EVPRO($B$1,$H60,"STYLE"))</f>
        <v/>
      </c>
      <c r="J60" s="122" t="str">
        <f>IF(_epmOfflineCondition_,"",_xll.EVPRO($B$1,$H60,"CALC"))</f>
        <v/>
      </c>
      <c r="K60" s="179" t="str">
        <f>IF(AND(I60&gt;="T3"),"&gt;","")</f>
        <v/>
      </c>
      <c r="L60" s="90" t="str">
        <f>IF(_epmOfflineCondition_,"",_xll.EVPRO($B$1,H60,"JDEID"))</f>
        <v/>
      </c>
      <c r="M60" s="90" t="str">
        <f>IF(_epmOfflineCondition_,"",IF(AND(I60="N",J60="N"),_xll.EVPRO($B$1,H60,"PSFTID"),""))</f>
        <v/>
      </c>
      <c r="N60" s="90" t="str">
        <f>IF(_epmOfflineCondition_,"",IF(_xll.EVDES(H60,$B$1)="#NODATA","",_xll.EVDES(H60,$B$1)))</f>
        <v/>
      </c>
      <c r="O60" s="231"/>
      <c r="P60" s="231"/>
      <c r="Q60" s="231"/>
      <c r="R60" s="231"/>
      <c r="S60" s="231"/>
      <c r="T60" s="231"/>
      <c r="U60" s="231"/>
      <c r="V60" s="231"/>
      <c r="W60" s="231"/>
      <c r="X60" s="231"/>
      <c r="Y60" s="231"/>
      <c r="Z60" s="231"/>
      <c r="AA60" s="231">
        <f>IF($I60="B1","",SUM(O60:Z60))</f>
        <v>0</v>
      </c>
      <c r="AB60" s="233" t="str">
        <f>IF(AA60=0,"",IFERROR(AA60/AA$19,""))</f>
        <v/>
      </c>
      <c r="AC60" s="140"/>
      <c r="AD60" s="231"/>
      <c r="AE60" s="233" t="str">
        <f>IF(AD60=0,"",IFERROR(AD60/AD$19,""))</f>
        <v/>
      </c>
      <c r="AF60" s="234">
        <f>IF(AND($AA60="",AD60=""),"",$AA60-AD60)</f>
        <v>0</v>
      </c>
      <c r="AG60" s="231"/>
      <c r="AH60" s="233" t="str">
        <f>IF(AG60=0,"",IFERROR(AG60/AG$19,""))</f>
        <v/>
      </c>
      <c r="AI60" s="234">
        <f>IF(AND($AA60="",AG60=""),"",$AA60-AG60)</f>
        <v>0</v>
      </c>
      <c r="AJ60" s="462">
        <f>IFERROR(AA60/AA$20,0)</f>
        <v>0</v>
      </c>
      <c r="AK60" s="463">
        <f>IFERROR(AD60/AD$20,0)</f>
        <v>0</v>
      </c>
      <c r="AL60" s="464">
        <f>IFERROR(AG60/AG$20,0)</f>
        <v>0</v>
      </c>
      <c r="AM60" s="465">
        <f>+IFERROR(ROUND(($AB60-AE60)*100,2)&amp;" pts.",0)</f>
        <v>0</v>
      </c>
      <c r="AN60" s="466">
        <f>+IFERROR(ROUND(($AB60-AH60)*100,2)&amp;" pts.",0)</f>
        <v>0</v>
      </c>
      <c r="AO60" s="11"/>
    </row>
    <row r="61" spans="1:41" hidden="1" x14ac:dyDescent="0.25">
      <c r="A61" s="65" t="s">
        <v>16</v>
      </c>
      <c r="B61" s="66"/>
      <c r="C61" s="11"/>
      <c r="D61" s="11"/>
      <c r="E61" s="11"/>
      <c r="F61" s="11"/>
      <c r="G61" s="11"/>
      <c r="H61" s="88"/>
      <c r="I61" s="122" t="str">
        <f>IF(_epmOfflineCondition_,"",_xll.EVPRO($B$1,$H61,"STYLE"))</f>
        <v/>
      </c>
      <c r="J61" s="122" t="str">
        <f>IF(_epmOfflineCondition_,"",_xll.EVPRO($B$1,$H61,"CALC"))</f>
        <v/>
      </c>
      <c r="K61" s="179" t="str">
        <f>IF(AND(I61&gt;="T3"),"&gt;","")</f>
        <v/>
      </c>
      <c r="L61" s="90" t="str">
        <f>IF(_epmOfflineCondition_,"",_xll.EVPRO($B$1,H61,"JDEID"))</f>
        <v/>
      </c>
      <c r="M61" s="90" t="str">
        <f>IF(_epmOfflineCondition_,"",IF(AND(I61="N",J61="N"),_xll.EVPRO($B$1,H61,"PSFTID"),""))</f>
        <v/>
      </c>
      <c r="N61" s="90" t="str">
        <f>IF(_epmOfflineCondition_,"",IF(_xll.EVDES(H61,$B$1)="#NODATA","",_xll.EVDES(H61,$B$1)))</f>
        <v/>
      </c>
      <c r="O61" s="231"/>
      <c r="P61" s="231"/>
      <c r="Q61" s="231"/>
      <c r="R61" s="231"/>
      <c r="S61" s="231"/>
      <c r="T61" s="231"/>
      <c r="U61" s="231"/>
      <c r="V61" s="231"/>
      <c r="W61" s="231"/>
      <c r="X61" s="231"/>
      <c r="Y61" s="231"/>
      <c r="Z61" s="231"/>
      <c r="AA61" s="231">
        <f>IF($I61="B1","",SUM(O61:Z61))</f>
        <v>0</v>
      </c>
      <c r="AB61" s="233" t="str">
        <f>IF(AA61=0,"",IFERROR(AA61/AA$19,""))</f>
        <v/>
      </c>
      <c r="AC61" s="140"/>
      <c r="AD61" s="231"/>
      <c r="AE61" s="233" t="str">
        <f>IF(AD61=0,"",IFERROR(AD61/AD$19,""))</f>
        <v/>
      </c>
      <c r="AF61" s="234">
        <f>IF(AND($AA61="",AD61=""),"",$AA61-AD61)</f>
        <v>0</v>
      </c>
      <c r="AG61" s="231"/>
      <c r="AH61" s="233" t="str">
        <f>IF(AG61=0,"",IFERROR(AG61/AG$19,""))</f>
        <v/>
      </c>
      <c r="AI61" s="234">
        <f>IF(AND($AA61="",AG61=""),"",$AA61-AG61)</f>
        <v>0</v>
      </c>
      <c r="AJ61" s="462">
        <f>IFERROR(AA61/AA$20,0)</f>
        <v>0</v>
      </c>
      <c r="AK61" s="463">
        <f>IFERROR(AD61/AD$20,0)</f>
        <v>0</v>
      </c>
      <c r="AL61" s="464">
        <f>IFERROR(AG61/AG$20,0)</f>
        <v>0</v>
      </c>
      <c r="AM61" s="465">
        <f>+IFERROR(ROUND(($AB61-AE61)*100,2)&amp;" pts.",0)</f>
        <v>0</v>
      </c>
      <c r="AN61" s="466">
        <f>+IFERROR(ROUND(($AB61-AH61)*100,2)&amp;" pts.",0)</f>
        <v>0</v>
      </c>
      <c r="AO61" s="11"/>
    </row>
    <row r="62" spans="1:41" x14ac:dyDescent="0.25">
      <c r="A62" s="65" t="s">
        <v>17</v>
      </c>
      <c r="B62" s="66"/>
      <c r="C62" s="11"/>
      <c r="D62" s="11"/>
      <c r="E62" s="11"/>
      <c r="F62" s="11"/>
      <c r="G62" s="11"/>
      <c r="H62" s="88" t="s">
        <v>75</v>
      </c>
      <c r="I62" s="89" t="str">
        <f>IF(_epmOfflineCondition_,"B1",_xll.EVPRO($B$1,$H62,"STYLE"))</f>
        <v>B1</v>
      </c>
      <c r="J62" s="89" t="str">
        <f>IF(_epmOfflineCondition_,"Y",_xll.EVPRO($B$1,$H62,"CALC"))</f>
        <v>Y</v>
      </c>
      <c r="K62" s="265" t="str">
        <f>IF(AND(I62&gt;="T3"),"&gt;","")</f>
        <v/>
      </c>
      <c r="L62" s="106" t="str">
        <f>IF(_epmOfflineCondition_,"",_xll.EVPRO($B$1,H62,"JDEID"))</f>
        <v/>
      </c>
      <c r="M62" s="90" t="str">
        <f>IF(_epmOfflineCondition_,"",IF(AND(I62="N",J62="N"),_xll.EVPRO($B$1,H62,"PSFTID"),""))</f>
        <v/>
      </c>
      <c r="N62" s="106" t="str">
        <f>IF(_epmOfflineCondition_,"Non-Management",IF(_xll.EVDES(H62,$B$1)="#NODATA","",_xll.EVDES(H62,$B$1)))</f>
        <v>Non-Management</v>
      </c>
      <c r="O62" s="197"/>
      <c r="P62" s="197"/>
      <c r="Q62" s="197"/>
      <c r="R62" s="197"/>
      <c r="S62" s="197"/>
      <c r="T62" s="197"/>
      <c r="U62" s="197"/>
      <c r="V62" s="197"/>
      <c r="W62" s="197"/>
      <c r="X62" s="197"/>
      <c r="Y62" s="197"/>
      <c r="Z62" s="197"/>
      <c r="AA62" s="197" t="str">
        <f>IF($I62="B1","",SUM(O62:Z62))</f>
        <v/>
      </c>
      <c r="AB62" s="198" t="str">
        <f>IF(AA62=0,"",IFERROR(AA62/AA$19,""))</f>
        <v/>
      </c>
      <c r="AC62" s="11"/>
      <c r="AD62" s="197"/>
      <c r="AE62" s="198" t="str">
        <f>IF(AD62=0,"",IFERROR(AD62/AD$19,""))</f>
        <v/>
      </c>
      <c r="AF62" s="199" t="str">
        <f>IF(AND($AA62="",AD62=""),"",$AA62-AD62)</f>
        <v/>
      </c>
      <c r="AG62" s="197"/>
      <c r="AH62" s="198" t="str">
        <f>IF(AG62=0,"",IFERROR(AG62/AG$19,""))</f>
        <v/>
      </c>
      <c r="AI62" s="199" t="str">
        <f>IF(AND($AA62="",AG62=""),"",$AA62-AG62)</f>
        <v/>
      </c>
      <c r="AJ62" s="397">
        <f>IFERROR(AA62/AA$20,0)</f>
        <v>0</v>
      </c>
      <c r="AK62" s="398">
        <f>IFERROR(AD62/AD$20,0)</f>
        <v>0</v>
      </c>
      <c r="AL62" s="399">
        <f>IFERROR(AG62/AG$20,0)</f>
        <v>0</v>
      </c>
      <c r="AM62" s="400">
        <f>+IFERROR(ROUND(($AB62-AE62)*100,2)&amp;" pts.",0)</f>
        <v>0</v>
      </c>
      <c r="AN62" s="401">
        <f>+IFERROR(ROUND(($AB62-AH62)*100,2)&amp;" pts.",0)</f>
        <v>0</v>
      </c>
      <c r="AO62" s="11"/>
    </row>
    <row r="63" spans="1:41" hidden="1" x14ac:dyDescent="0.25">
      <c r="A63" s="11"/>
      <c r="B63" s="11"/>
      <c r="C63" s="11"/>
      <c r="D63" s="11"/>
      <c r="E63" s="11"/>
      <c r="F63" s="11"/>
      <c r="G63" s="11"/>
      <c r="H63" s="88" t="s">
        <v>667</v>
      </c>
      <c r="I63" s="122" t="str">
        <f>IF(_epmOfflineCondition_,"",_xll.EVPRO($B$1,$H63,"STYLE"))</f>
        <v/>
      </c>
      <c r="J63" s="122" t="str">
        <f>IF(_epmOfflineCondition_,"",_xll.EVPRO($B$1,$H63,"CALC"))</f>
        <v/>
      </c>
      <c r="K63" s="179" t="str">
        <f>IF(AND(I63&gt;="T3"),"&gt;","")</f>
        <v/>
      </c>
      <c r="L63" s="90" t="str">
        <f>IF(_epmOfflineCondition_,"",_xll.EVPRO($B$1,H63,"JDEID"))</f>
        <v/>
      </c>
      <c r="M63" s="90" t="str">
        <f>IF(_epmOfflineCondition_,"",IF(AND(I63="N",J63="N"),_xll.EVPRO($B$1,H63,"PSFTID"),""))</f>
        <v/>
      </c>
      <c r="N63" s="90" t="str">
        <f>IF(_epmOfflineCondition_,"",IF(_xll.EVDES(H63,$B$1)="#NODATA","",_xll.EVDES(H63,$B$1)))</f>
        <v/>
      </c>
      <c r="O63" s="239"/>
      <c r="P63" s="239"/>
      <c r="Q63" s="239"/>
      <c r="R63" s="239"/>
      <c r="S63" s="239"/>
      <c r="T63" s="239"/>
      <c r="U63" s="239"/>
      <c r="V63" s="239"/>
      <c r="W63" s="239"/>
      <c r="X63" s="239"/>
      <c r="Y63" s="239"/>
      <c r="Z63" s="239"/>
      <c r="AA63" s="239">
        <f>IF($I63="B1","",SUM(O63:Z63))</f>
        <v>0</v>
      </c>
      <c r="AB63" s="240" t="str">
        <f>IF(AA63=0,"",IFERROR(AA63/AA$19,""))</f>
        <v/>
      </c>
      <c r="AC63" s="140"/>
      <c r="AD63" s="239"/>
      <c r="AE63" s="240" t="str">
        <f>IF(AD63=0,"",IFERROR(AD63/AD$19,""))</f>
        <v/>
      </c>
      <c r="AF63" s="241">
        <f>IF(AND($AA63="",AD63=""),"",$AA63-AD63)</f>
        <v>0</v>
      </c>
      <c r="AG63" s="239"/>
      <c r="AH63" s="240" t="str">
        <f>IF(AG63=0,"",IFERROR(AG63/AG$19,""))</f>
        <v/>
      </c>
      <c r="AI63" s="241">
        <f>IF(AND($AA63="",AG63=""),"",$AA63-AG63)</f>
        <v>0</v>
      </c>
      <c r="AJ63" s="462">
        <f>IFERROR(AA63/AA$20,0)</f>
        <v>0</v>
      </c>
      <c r="AK63" s="463">
        <f>IFERROR(AD63/AD$20,0)</f>
        <v>0</v>
      </c>
      <c r="AL63" s="464">
        <f>IFERROR(AG63/AG$20,0)</f>
        <v>0</v>
      </c>
      <c r="AM63" s="465">
        <f>+IFERROR(ROUND(($AB63-AE63)*100,2)&amp;" pts.",0)</f>
        <v>0</v>
      </c>
      <c r="AN63" s="466">
        <f>+IFERROR(ROUND(($AB63-AH63)*100,2)&amp;" pts.",0)</f>
        <v>0</v>
      </c>
      <c r="AO63" s="11"/>
    </row>
    <row r="64" spans="1:41" hidden="1" x14ac:dyDescent="0.25">
      <c r="A64" s="97" t="s">
        <v>92</v>
      </c>
      <c r="B64" s="98" t="s">
        <v>93</v>
      </c>
      <c r="C64" s="98" t="s">
        <v>94</v>
      </c>
      <c r="D64" s="98" t="s">
        <v>95</v>
      </c>
      <c r="E64" s="98" t="s">
        <v>96</v>
      </c>
      <c r="F64" s="99" t="s">
        <v>97</v>
      </c>
      <c r="G64" s="11"/>
      <c r="H64" s="88"/>
      <c r="I64" s="122" t="str">
        <f>IF(_epmOfflineCondition_,"",_xll.EVPRO($B$1,$H64,"STYLE"))</f>
        <v/>
      </c>
      <c r="J64" s="122" t="str">
        <f>IF(_epmOfflineCondition_,"",_xll.EVPRO($B$1,$H64,"CALC"))</f>
        <v/>
      </c>
      <c r="K64" s="179" t="str">
        <f>IF(AND(I64&gt;="T3"),"&gt;","")</f>
        <v/>
      </c>
      <c r="L64" s="90" t="str">
        <f>IF(_epmOfflineCondition_,"",_xll.EVPRO($B$1,H64,"JDEID"))</f>
        <v/>
      </c>
      <c r="M64" s="90" t="str">
        <f>IF(_epmOfflineCondition_,"",IF(AND(I64="N",J64="N"),_xll.EVPRO($B$1,H64,"PSFTID"),""))</f>
        <v/>
      </c>
      <c r="N64" s="90" t="str">
        <f>IF(_epmOfflineCondition_,"",IF(_xll.EVDES(H64,$B$1)="#NODATA","",_xll.EVDES(H64,$B$1)))</f>
        <v/>
      </c>
      <c r="O64" s="239"/>
      <c r="P64" s="239"/>
      <c r="Q64" s="239"/>
      <c r="R64" s="239"/>
      <c r="S64" s="239"/>
      <c r="T64" s="239"/>
      <c r="U64" s="239"/>
      <c r="V64" s="239"/>
      <c r="W64" s="239"/>
      <c r="X64" s="239"/>
      <c r="Y64" s="239"/>
      <c r="Z64" s="239"/>
      <c r="AA64" s="239">
        <f>IF($I64="B1","",SUM(O64:Z64))</f>
        <v>0</v>
      </c>
      <c r="AB64" s="240" t="str">
        <f>IF(AA64=0,"",IFERROR(AA64/AA$19,""))</f>
        <v/>
      </c>
      <c r="AC64" s="140"/>
      <c r="AD64" s="239"/>
      <c r="AE64" s="240" t="str">
        <f>IF(AD64=0,"",IFERROR(AD64/AD$19,""))</f>
        <v/>
      </c>
      <c r="AF64" s="241">
        <f>IF(AND($AA64="",AD64=""),"",$AA64-AD64)</f>
        <v>0</v>
      </c>
      <c r="AG64" s="239"/>
      <c r="AH64" s="240" t="str">
        <f>IF(AG64=0,"",IFERROR(AG64/AG$19,""))</f>
        <v/>
      </c>
      <c r="AI64" s="241">
        <f>IF(AND($AA64="",AG64=""),"",$AA64-AG64)</f>
        <v>0</v>
      </c>
      <c r="AJ64" s="462">
        <f>IFERROR(AA64/AA$20,0)</f>
        <v>0</v>
      </c>
      <c r="AK64" s="463">
        <f>IFERROR(AD64/AD$20,0)</f>
        <v>0</v>
      </c>
      <c r="AL64" s="464">
        <f>IFERROR(AG64/AG$20,0)</f>
        <v>0</v>
      </c>
      <c r="AM64" s="465">
        <f>+IFERROR(ROUND(($AB64-AE64)*100,2)&amp;" pts.",0)</f>
        <v>0</v>
      </c>
      <c r="AN64" s="466">
        <f>+IFERROR(ROUND(($AB64-AH64)*100,2)&amp;" pts.",0)</f>
        <v>0</v>
      </c>
      <c r="AO64" s="11"/>
    </row>
    <row r="65" spans="1:41" x14ac:dyDescent="0.25">
      <c r="A65" s="11"/>
      <c r="B65" s="11"/>
      <c r="C65" s="11"/>
      <c r="D65" s="11"/>
      <c r="E65" s="11"/>
      <c r="F65" s="11"/>
      <c r="G65" s="11"/>
      <c r="H65" s="11"/>
      <c r="I65" s="59"/>
      <c r="J65" s="59"/>
      <c r="K65" s="11"/>
      <c r="L65" s="11"/>
      <c r="M65" s="11"/>
      <c r="N65" s="11"/>
      <c r="O65" s="129"/>
      <c r="P65" s="130"/>
      <c r="Q65" s="130"/>
      <c r="R65" s="130"/>
      <c r="S65" s="130"/>
      <c r="T65" s="130"/>
      <c r="U65" s="130"/>
      <c r="V65" s="130"/>
      <c r="W65" s="130"/>
      <c r="X65" s="130"/>
      <c r="Y65" s="130"/>
      <c r="Z65" s="130"/>
      <c r="AA65" s="130"/>
      <c r="AB65" s="131"/>
      <c r="AC65" s="11"/>
      <c r="AD65" s="129"/>
      <c r="AE65" s="130"/>
      <c r="AF65" s="131"/>
      <c r="AG65" s="129"/>
      <c r="AH65" s="130"/>
      <c r="AI65" s="131"/>
      <c r="AJ65" s="11"/>
      <c r="AK65" s="11"/>
      <c r="AL65" s="11"/>
      <c r="AM65" s="11"/>
      <c r="AN65" s="11"/>
      <c r="AO65" s="11"/>
    </row>
    <row r="66" spans="1:41" x14ac:dyDescent="0.25">
      <c r="A66" s="11" t="s">
        <v>105</v>
      </c>
      <c r="B66" s="11"/>
      <c r="C66" s="104" t="s">
        <v>101</v>
      </c>
      <c r="D66" s="11" t="s">
        <v>106</v>
      </c>
      <c r="E66" s="11"/>
      <c r="F66" s="11" t="s">
        <v>98</v>
      </c>
      <c r="G66" s="11"/>
      <c r="H66" s="11" t="s">
        <v>82</v>
      </c>
      <c r="I66" s="59" t="str">
        <f>IF(_epmOfflineCondition_,"B1",_xll.EVPRO($B$1,$H66,"STYLE"))</f>
        <v>B1</v>
      </c>
      <c r="J66" s="59" t="str">
        <f>IF(_epmOfflineCondition_,"Y",_xll.EVPRO($B$1,$H66,"CALC"))</f>
        <v>Y</v>
      </c>
      <c r="K66" s="11"/>
      <c r="L66" s="11"/>
      <c r="M66" s="11"/>
      <c r="N66" s="105" t="str">
        <f>IF(_epmOfflineCondition_,"Other Expenses",IF(_xll.EVDES(H66,$B$1)="#NODATA","",_xll.EVDES(H66,$B$1)))</f>
        <v>Other Expenses</v>
      </c>
      <c r="O66" s="119"/>
      <c r="P66" s="120"/>
      <c r="Q66" s="120"/>
      <c r="R66" s="120"/>
      <c r="S66" s="120"/>
      <c r="T66" s="120"/>
      <c r="U66" s="120"/>
      <c r="V66" s="120"/>
      <c r="W66" s="120"/>
      <c r="X66" s="120"/>
      <c r="Y66" s="120"/>
      <c r="Z66" s="120"/>
      <c r="AA66" s="120"/>
      <c r="AB66" s="121"/>
      <c r="AC66" s="11"/>
      <c r="AD66" s="119"/>
      <c r="AE66" s="120"/>
      <c r="AF66" s="121"/>
      <c r="AG66" s="119"/>
      <c r="AH66" s="120"/>
      <c r="AI66" s="121"/>
      <c r="AJ66" s="11"/>
      <c r="AK66" s="11"/>
      <c r="AL66" s="11"/>
      <c r="AM66" s="11"/>
      <c r="AN66" s="11"/>
      <c r="AO66" s="11"/>
    </row>
    <row r="67" spans="1:41" hidden="1" x14ac:dyDescent="0.25">
      <c r="A67" s="11" t="s">
        <v>108</v>
      </c>
      <c r="B67" s="11"/>
      <c r="C67" s="106" t="s">
        <v>101</v>
      </c>
      <c r="D67" s="11" t="s">
        <v>106</v>
      </c>
      <c r="E67" s="11"/>
      <c r="F67" s="11" t="s">
        <v>98</v>
      </c>
      <c r="G67" s="11"/>
      <c r="H67" s="88" t="s">
        <v>667</v>
      </c>
      <c r="I67" s="122" t="str">
        <f>IF(_epmOfflineCondition_,"",_xll.EVPRO($B$1,$H67,"STYLE"))</f>
        <v/>
      </c>
      <c r="J67" s="122" t="str">
        <f>IF(_epmOfflineCondition_,"",_xll.EVPRO($B$1,$H67,"CALC"))</f>
        <v/>
      </c>
      <c r="K67" s="179" t="str">
        <f>IF(AND(I67&lt;&gt;"B1",J67="Y"),"&gt;","")</f>
        <v/>
      </c>
      <c r="L67" s="90" t="str">
        <f>IF(_epmOfflineCondition_,"",_xll.EVPRO($B$1,H67,"JDEID"))</f>
        <v/>
      </c>
      <c r="M67" s="90" t="str">
        <f>IF(_epmOfflineCondition_,"",IF(AND(I67="N",J67="N"),_xll.EVPRO($B$1,H67,"PSFTID"),""))</f>
        <v/>
      </c>
      <c r="N67" s="90" t="str">
        <f>IF(_epmOfflineCondition_,"",IF(_xll.EVDES(H67,$B$1)="#NODATA","",_xll.EVDES(H67,$B$1)))</f>
        <v/>
      </c>
      <c r="O67" s="138"/>
      <c r="P67" s="138"/>
      <c r="Q67" s="138"/>
      <c r="R67" s="138"/>
      <c r="S67" s="138"/>
      <c r="T67" s="138"/>
      <c r="U67" s="138"/>
      <c r="V67" s="138"/>
      <c r="W67" s="138"/>
      <c r="X67" s="138"/>
      <c r="Y67" s="138"/>
      <c r="Z67" s="138"/>
      <c r="AA67" s="138">
        <f>IF($I67="B1","",SUM(O67:Z67))</f>
        <v>0</v>
      </c>
      <c r="AB67" s="142" t="str">
        <f>IF(AA67=0,"",IFERROR(AA67/AA$19,""))</f>
        <v/>
      </c>
      <c r="AC67" s="140"/>
      <c r="AD67" s="138"/>
      <c r="AE67" s="142" t="str">
        <f>IF(AD67=0,"",IFERROR(AD67/AD$19,""))</f>
        <v/>
      </c>
      <c r="AF67" s="141">
        <f>IF(AND($AA67="",AD67=""),"",$AA67-AD67)</f>
        <v>0</v>
      </c>
      <c r="AG67" s="138"/>
      <c r="AH67" s="142" t="str">
        <f>IF(AG67=0,"",IFERROR(AG67/AG$19,""))</f>
        <v/>
      </c>
      <c r="AI67" s="141">
        <f>IF(AND($AA67="",AG67=""),"",$AA67-AG67)</f>
        <v>0</v>
      </c>
      <c r="AJ67" s="462">
        <f>IFERROR(AA67/AA$20,0)</f>
        <v>0</v>
      </c>
      <c r="AK67" s="463">
        <f>IFERROR(AD67/AD$20,0)</f>
        <v>0</v>
      </c>
      <c r="AL67" s="464">
        <f>IFERROR(AG67/AG$20,0)</f>
        <v>0</v>
      </c>
      <c r="AM67" s="465">
        <f>+IFERROR(ROUND(($AB67-AE67)*100,2)&amp;" pts.",0)</f>
        <v>0</v>
      </c>
      <c r="AN67" s="466">
        <f>+IFERROR(ROUND(($AB67-AH67)*100,2)&amp;" pts.",0)</f>
        <v>0</v>
      </c>
      <c r="AO67" s="11"/>
    </row>
    <row r="68" spans="1:41" hidden="1" x14ac:dyDescent="0.25">
      <c r="A68" s="11" t="s">
        <v>108</v>
      </c>
      <c r="B68" s="11"/>
      <c r="C68" s="196" t="s">
        <v>101</v>
      </c>
      <c r="D68" s="11" t="s">
        <v>107</v>
      </c>
      <c r="E68" s="11"/>
      <c r="F68" s="11" t="s">
        <v>99</v>
      </c>
      <c r="G68" s="11"/>
      <c r="H68" s="88"/>
      <c r="I68" s="122" t="str">
        <f>IF(_epmOfflineCondition_,"",_xll.EVPRO($B$1,$H68,"STYLE"))</f>
        <v/>
      </c>
      <c r="J68" s="122" t="str">
        <f>IF(_epmOfflineCondition_,"",_xll.EVPRO($B$1,$H68,"CALC"))</f>
        <v/>
      </c>
      <c r="K68" s="179" t="str">
        <f>IF(AND(I68&lt;&gt;"B1",J68="Y"),"&gt;","")</f>
        <v/>
      </c>
      <c r="L68" s="90" t="str">
        <f>IF(_epmOfflineCondition_,"",_xll.EVPRO($B$1,H68,"JDEID"))</f>
        <v/>
      </c>
      <c r="M68" s="90" t="str">
        <f>IF(_epmOfflineCondition_,"",IF(AND(I68="N",J68="N"),_xll.EVPRO($B$1,H68,"PSFTID"),""))</f>
        <v/>
      </c>
      <c r="N68" s="90" t="str">
        <f>IF(_epmOfflineCondition_,"",IF(_xll.EVDES(H68,$B$1)="#NODATA","",_xll.EVDES(H68,$B$1)))</f>
        <v/>
      </c>
      <c r="O68" s="138"/>
      <c r="P68" s="138"/>
      <c r="Q68" s="138"/>
      <c r="R68" s="138"/>
      <c r="S68" s="138"/>
      <c r="T68" s="138"/>
      <c r="U68" s="138"/>
      <c r="V68" s="138"/>
      <c r="W68" s="138"/>
      <c r="X68" s="138"/>
      <c r="Y68" s="138"/>
      <c r="Z68" s="138"/>
      <c r="AA68" s="138">
        <f>IF($I68="B1","",SUM(O68:Z68))</f>
        <v>0</v>
      </c>
      <c r="AB68" s="142" t="str">
        <f>IF(AA68=0,"",IFERROR(AA68/AA$19,""))</f>
        <v/>
      </c>
      <c r="AC68" s="140"/>
      <c r="AD68" s="138"/>
      <c r="AE68" s="142" t="str">
        <f>IF(AD68=0,"",IFERROR(AD68/AD$19,""))</f>
        <v/>
      </c>
      <c r="AF68" s="141">
        <f>IF(AND($AA68="",AD68=""),"",$AA68-AD68)</f>
        <v>0</v>
      </c>
      <c r="AG68" s="138"/>
      <c r="AH68" s="142" t="str">
        <f>IF(AG68=0,"",IFERROR(AG68/AG$19,""))</f>
        <v/>
      </c>
      <c r="AI68" s="141">
        <f>IF(AND($AA68="",AG68=""),"",$AA68-AG68)</f>
        <v>0</v>
      </c>
      <c r="AJ68" s="462">
        <f>IFERROR(AA68/AA$20,0)</f>
        <v>0</v>
      </c>
      <c r="AK68" s="463">
        <f>IFERROR(AD68/AD$20,0)</f>
        <v>0</v>
      </c>
      <c r="AL68" s="464">
        <f>IFERROR(AG68/AG$20,0)</f>
        <v>0</v>
      </c>
      <c r="AM68" s="465">
        <f>+IFERROR(ROUND(($AB68-AE68)*100,2)&amp;" pts.",0)</f>
        <v>0</v>
      </c>
      <c r="AN68" s="466">
        <f>+IFERROR(ROUND(($AB68-AH68)*100,2)&amp;" pts.",0)</f>
        <v>0</v>
      </c>
      <c r="AO68" s="11"/>
    </row>
    <row r="69" spans="1:41" x14ac:dyDescent="0.25">
      <c r="A69" s="11"/>
      <c r="B69" s="11"/>
      <c r="C69" s="11"/>
      <c r="D69" s="11"/>
      <c r="E69" s="11"/>
      <c r="F69" s="11"/>
      <c r="G69" s="11"/>
      <c r="H69" s="88" t="s">
        <v>79</v>
      </c>
      <c r="I69" s="136" t="str">
        <f>IF(_epmOfflineCondition_,"T3",_xll.EVPRO($B$1,$H69,"STYLE"))</f>
        <v>T3</v>
      </c>
      <c r="J69" s="136" t="str">
        <f>IF(_epmOfflineCondition_,"Y",_xll.EVPRO($B$1,$H69,"CALC"))</f>
        <v>Y</v>
      </c>
      <c r="K69" s="104"/>
      <c r="L69" s="104"/>
      <c r="M69" s="104"/>
      <c r="N69" s="106" t="str">
        <f>IF(_epmOfflineCondition_,"Total Operations Expense",IF(_xll.EVDES(H69,$B$1)="#NODATA","",_xll.EVDES(H69,$B$1)))</f>
        <v>Total Operations Expense</v>
      </c>
      <c r="O69" s="150"/>
      <c r="P69" s="150"/>
      <c r="Q69" s="150"/>
      <c r="R69" s="150"/>
      <c r="S69" s="150"/>
      <c r="T69" s="150"/>
      <c r="U69" s="150"/>
      <c r="V69" s="150"/>
      <c r="W69" s="150"/>
      <c r="X69" s="150"/>
      <c r="Y69" s="150"/>
      <c r="Z69" s="150"/>
      <c r="AA69" s="150">
        <f>IF($I69="B1","",SUM(O69:Z69))</f>
        <v>0</v>
      </c>
      <c r="AB69" s="151" t="str">
        <f>IF(AA69=0,"",IFERROR(AA69/AA$19,""))</f>
        <v/>
      </c>
      <c r="AC69" s="140"/>
      <c r="AD69" s="150"/>
      <c r="AE69" s="151" t="str">
        <f>IF(AD69=0,"",IFERROR(AD69/AD$19,""))</f>
        <v/>
      </c>
      <c r="AF69" s="152">
        <f>IF(AND($AA69="",AD69=""),"",$AA69-AD69)</f>
        <v>0</v>
      </c>
      <c r="AG69" s="150"/>
      <c r="AH69" s="151" t="str">
        <f>IF(AG69=0,"",IFERROR(AG69/AG$19,""))</f>
        <v/>
      </c>
      <c r="AI69" s="152">
        <f>IF(AND($AA69="",AG69=""),"",$AA69-AG69)</f>
        <v>0</v>
      </c>
      <c r="AJ69" s="446">
        <f>IFERROR(AA69/AA$20,0)</f>
        <v>0</v>
      </c>
      <c r="AK69" s="447">
        <f>IFERROR(AD69/AD$20,0)</f>
        <v>0</v>
      </c>
      <c r="AL69" s="448">
        <f>IFERROR(AG69/AG$20,0)</f>
        <v>0</v>
      </c>
      <c r="AM69" s="449">
        <f>+IFERROR(ROUND(($AB69-AE69)*100,2)&amp;" pts.",0)</f>
        <v>0</v>
      </c>
      <c r="AN69" s="546">
        <f>+IFERROR(ROUND(($AB69-AH69)*100,2)&amp;" pts.",0)</f>
        <v>0</v>
      </c>
      <c r="AO69" s="11"/>
    </row>
    <row r="70" spans="1:41" x14ac:dyDescent="0.25">
      <c r="A70" s="11"/>
      <c r="B70" s="11"/>
      <c r="C70" s="208"/>
      <c r="D70" s="11"/>
      <c r="E70" s="11"/>
      <c r="F70" s="11"/>
      <c r="G70" s="11"/>
      <c r="H70" s="11"/>
      <c r="I70" s="59"/>
      <c r="J70" s="59"/>
      <c r="K70" s="11"/>
      <c r="L70" s="11"/>
      <c r="M70" s="11"/>
      <c r="N70" s="11"/>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1"/>
    </row>
    <row r="71" spans="1:41" x14ac:dyDescent="0.25">
      <c r="A71" s="61" t="str">
        <f>IF(_epmOfflineCondition_,"Evdre:Ok",_xll.EVDRE($B$1,A74:B81,A84:B90))</f>
        <v>Evdre:Ok</v>
      </c>
      <c r="B71" s="11"/>
      <c r="C71" s="11"/>
      <c r="D71" s="11"/>
      <c r="E71" s="11"/>
      <c r="F71" s="11"/>
      <c r="G71" s="11"/>
      <c r="H71" s="88" t="s">
        <v>80</v>
      </c>
      <c r="I71" s="136" t="str">
        <f>IF(_epmOfflineCondition_,"T3",_xll.EVPRO($B$1,$H71,"STYLE"))</f>
        <v>T3</v>
      </c>
      <c r="J71" s="136" t="str">
        <f>IF(_epmOfflineCondition_,"Y",_xll.EVPRO($B$1,$H71,"CALC"))</f>
        <v>Y</v>
      </c>
      <c r="K71" s="106"/>
      <c r="L71" s="106"/>
      <c r="M71" s="106"/>
      <c r="N71" s="106" t="str">
        <f>IF(_epmOfflineCondition_,"Total Expenses",IF(_xll.EVDES(H71,$B$1)="#NODATA","",_xll.EVDES(H71,$B$1)))</f>
        <v>Total Expenses</v>
      </c>
      <c r="O71" s="242"/>
      <c r="P71" s="242"/>
      <c r="Q71" s="242"/>
      <c r="R71" s="242"/>
      <c r="S71" s="242"/>
      <c r="T71" s="242"/>
      <c r="U71" s="242"/>
      <c r="V71" s="242"/>
      <c r="W71" s="242"/>
      <c r="X71" s="242"/>
      <c r="Y71" s="242"/>
      <c r="Z71" s="242"/>
      <c r="AA71" s="242">
        <f>IF($I71="B1","",SUM(O71:Z71))</f>
        <v>0</v>
      </c>
      <c r="AB71" s="243" t="str">
        <f>IF(AA71=0,"",IFERROR(AA71/AA$19,""))</f>
        <v/>
      </c>
      <c r="AC71" s="140"/>
      <c r="AD71" s="242"/>
      <c r="AE71" s="243" t="str">
        <f>IF(AD71=0,"",IFERROR(AD71/AD$19,""))</f>
        <v/>
      </c>
      <c r="AF71" s="254">
        <f>IF(AND($AA71="",AD71=""),"",$AA71-AD71)</f>
        <v>0</v>
      </c>
      <c r="AG71" s="255"/>
      <c r="AH71" s="256" t="str">
        <f>IF(AG71=0,"",IFERROR(AG71/AG$19,""))</f>
        <v/>
      </c>
      <c r="AI71" s="254">
        <f>IF(AND($AA71="",AG71=""),"",$AA71-AG71)</f>
        <v>0</v>
      </c>
      <c r="AJ71" s="435">
        <f>IFERROR(AA71/AA$20,0)</f>
        <v>0</v>
      </c>
      <c r="AK71" s="436">
        <f>IFERROR(AD71/AD$20,0)</f>
        <v>0</v>
      </c>
      <c r="AL71" s="437">
        <f>IFERROR(AG71/AG$20,0)</f>
        <v>0</v>
      </c>
      <c r="AM71" s="438">
        <f>+IFERROR(ROUND(($AB71-AE71)*100,2)&amp;" pts.",0)</f>
        <v>0</v>
      </c>
      <c r="AN71" s="547">
        <f>+IFERROR(ROUND(($AB71-AH71)*100,2)&amp;" pts.",0)</f>
        <v>0</v>
      </c>
      <c r="AO71" s="11"/>
    </row>
    <row r="72" spans="1:41" ht="15.75" thickBot="1" x14ac:dyDescent="0.3">
      <c r="A72" s="11"/>
      <c r="B72" s="11"/>
      <c r="C72" s="11"/>
      <c r="D72" s="11"/>
      <c r="E72" s="11"/>
      <c r="F72" s="11"/>
      <c r="G72" s="11"/>
      <c r="H72" s="88" t="s">
        <v>81</v>
      </c>
      <c r="I72" s="136" t="str">
        <f>IF(_epmOfflineCondition_,"T3",_xll.EVPRO($B$1,$H72,"STYLE"))</f>
        <v>T3</v>
      </c>
      <c r="J72" s="136" t="str">
        <f>IF(_epmOfflineCondition_,"Y",_xll.EVPRO($B$1,$H72,"CALC"))</f>
        <v>Y</v>
      </c>
      <c r="K72" s="106"/>
      <c r="L72" s="106"/>
      <c r="M72" s="106"/>
      <c r="N72" s="106" t="str">
        <f>IF(_epmOfflineCondition_,"Department Profit (Loss)",IF(_xll.EVDES(H72,$B$1)="#NODATA","",_xll.EVDES(H72,$B$1)))</f>
        <v>Department Profit (Loss)</v>
      </c>
      <c r="O72" s="165"/>
      <c r="P72" s="165"/>
      <c r="Q72" s="165"/>
      <c r="R72" s="165"/>
      <c r="S72" s="165"/>
      <c r="T72" s="165"/>
      <c r="U72" s="165"/>
      <c r="V72" s="165"/>
      <c r="W72" s="165"/>
      <c r="X72" s="165"/>
      <c r="Y72" s="165"/>
      <c r="Z72" s="165"/>
      <c r="AA72" s="165">
        <f>IF($I72="B1","",SUM(O72:Z72))</f>
        <v>0</v>
      </c>
      <c r="AB72" s="166" t="str">
        <f>IF(AA72=0,"",IFERROR(AA72/AA$19,""))</f>
        <v/>
      </c>
      <c r="AC72" s="140"/>
      <c r="AD72" s="165"/>
      <c r="AE72" s="166" t="str">
        <f>IF(AD72=0,"",IFERROR(AD72/AD$19,""))</f>
        <v/>
      </c>
      <c r="AF72" s="167">
        <f>IF(AND($AA72="",AD72=""),"",$AA72-AD72)</f>
        <v>0</v>
      </c>
      <c r="AG72" s="165"/>
      <c r="AH72" s="166" t="str">
        <f>IF(AG72=0,"",IFERROR(AG72/AG$19,""))</f>
        <v/>
      </c>
      <c r="AI72" s="167">
        <f>IF(AND($AA72="",AG72=""),"",$AA72-AG72)</f>
        <v>0</v>
      </c>
      <c r="AJ72" s="452">
        <f>IFERROR(AA72/AA$20,0)</f>
        <v>0</v>
      </c>
      <c r="AK72" s="453">
        <f>IFERROR(AD72/AD$20,0)</f>
        <v>0</v>
      </c>
      <c r="AL72" s="454">
        <f>IFERROR(AG72/AG$20,0)</f>
        <v>0</v>
      </c>
      <c r="AM72" s="455">
        <f>+IFERROR(ROUND(($AB72-AE72)*100,2)&amp;" pts.",0)</f>
        <v>0</v>
      </c>
      <c r="AN72" s="548">
        <f>+IFERROR(ROUND(($AB72-AH72)*100,2)&amp;" pts.",0)</f>
        <v>0</v>
      </c>
      <c r="AO72" s="11"/>
    </row>
    <row r="73" spans="1:41" ht="15.75" thickTop="1" x14ac:dyDescent="0.25">
      <c r="A73" s="62" t="s">
        <v>0</v>
      </c>
      <c r="B73" s="63" t="s">
        <v>1</v>
      </c>
      <c r="C73" s="11"/>
      <c r="D73" s="11"/>
      <c r="E73" s="11"/>
      <c r="F73" s="11"/>
      <c r="G73" s="11"/>
      <c r="H73" s="11"/>
      <c r="I73" s="59"/>
      <c r="J73" s="59"/>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25">
      <c r="A74" s="65" t="s">
        <v>2</v>
      </c>
      <c r="B74" s="66" t="str">
        <f>IF(_epmOfflineCondition_,"'FB_Retail'!$B$2:$B$10",_xll.EVRNG($B$2:$B$10))</f>
        <v>'FB_Retail'!$B$2:$B$10</v>
      </c>
      <c r="C74" s="11"/>
      <c r="D74" s="11"/>
      <c r="E74" s="11"/>
      <c r="F74" s="11"/>
      <c r="G74" s="11"/>
      <c r="H74" s="11"/>
      <c r="I74" s="59"/>
      <c r="J74" s="59"/>
      <c r="K74" s="11"/>
      <c r="L74" s="11"/>
      <c r="M74" s="11"/>
      <c r="N74" s="104" t="str">
        <f>N71&amp;" - Check"</f>
        <v>Total Expenses - Check</v>
      </c>
      <c r="O74" s="209">
        <f t="shared" ref="O74:AA74" si="22">SUMIF($H$34:$H$72,"600000",O$34:O$72)+SUMIF($H$34:$H$72,"700000",O$34:O$72)-SUMIF($H$34:$H$72,"TOTDEPTEXP",O$34:O$72)</f>
        <v>0</v>
      </c>
      <c r="P74" s="209">
        <f t="shared" si="22"/>
        <v>0</v>
      </c>
      <c r="Q74" s="209">
        <f t="shared" si="22"/>
        <v>0</v>
      </c>
      <c r="R74" s="209">
        <f t="shared" si="22"/>
        <v>0</v>
      </c>
      <c r="S74" s="209">
        <f t="shared" si="22"/>
        <v>0</v>
      </c>
      <c r="T74" s="209">
        <f t="shared" si="22"/>
        <v>0</v>
      </c>
      <c r="U74" s="209">
        <f t="shared" si="22"/>
        <v>0</v>
      </c>
      <c r="V74" s="209">
        <f t="shared" si="22"/>
        <v>0</v>
      </c>
      <c r="W74" s="209">
        <f t="shared" si="22"/>
        <v>0</v>
      </c>
      <c r="X74" s="209">
        <f t="shared" si="22"/>
        <v>0</v>
      </c>
      <c r="Y74" s="209">
        <f t="shared" si="22"/>
        <v>0</v>
      </c>
      <c r="Z74" s="209">
        <f t="shared" si="22"/>
        <v>0</v>
      </c>
      <c r="AA74" s="209">
        <f t="shared" si="22"/>
        <v>0</v>
      </c>
      <c r="AB74" s="100"/>
      <c r="AC74" s="11"/>
      <c r="AD74" s="209">
        <f>SUMIF($H$34:$H$72,"600000",AD$34:AD$72)+SUMIF($H$34:$H$72,"700000",AD$34:AD$72)-SUMIF($H$34:$H$72,"TOTDEPTEXP",AD$34:AD$72)</f>
        <v>0</v>
      </c>
      <c r="AE74" s="100"/>
      <c r="AF74" s="91"/>
      <c r="AG74" s="209">
        <f>SUMIF($H$34:$H$72,"600000",AG$34:AG$72)+SUMIF($H$34:$H$72,"700000",AG$34:AG$72)-SUMIF($H$34:$H$72,"TOTDEPTEXP",AG$34:AG$72)</f>
        <v>0</v>
      </c>
      <c r="AH74" s="100"/>
      <c r="AI74" s="91"/>
      <c r="AJ74" s="11"/>
      <c r="AK74" s="11"/>
      <c r="AL74" s="11"/>
      <c r="AM74" s="11"/>
      <c r="AN74" s="11"/>
      <c r="AO74" s="11"/>
    </row>
    <row r="75" spans="1:41" x14ac:dyDescent="0.25">
      <c r="A75" s="65" t="s">
        <v>3</v>
      </c>
      <c r="B75" s="66" t="str">
        <f>IF(_epmOfflineCondition_,"'FB_Retail'!$O$16:$AN$18",_xll.EVRNG($O$16:$AN$18))</f>
        <v>'FB_Retail'!$O$16:$AN$18</v>
      </c>
      <c r="C75" s="11"/>
      <c r="D75" s="11"/>
      <c r="E75" s="11"/>
      <c r="F75" s="11"/>
      <c r="G75" s="11"/>
      <c r="H75" s="11"/>
      <c r="I75" s="59"/>
      <c r="J75" s="59"/>
      <c r="K75" s="11"/>
      <c r="L75" s="11"/>
      <c r="M75" s="11"/>
      <c r="N75" s="104" t="str">
        <f>N72&amp;" - Check"</f>
        <v>Department Profit (Loss) - Check</v>
      </c>
      <c r="O75" s="209">
        <f t="shared" ref="O75:AA75" si="23">SUMIF($H$34:$H$72,"KPI_GP",O$34:O$72)-SUMIF($H$34:$H$72,"TOTDEPTEXP",O$34:O$72)-SUMIF($H$34:$H$72,"TOTDEPTPL",O$34:O$72)</f>
        <v>0</v>
      </c>
      <c r="P75" s="209">
        <f t="shared" si="23"/>
        <v>0</v>
      </c>
      <c r="Q75" s="209">
        <f t="shared" si="23"/>
        <v>0</v>
      </c>
      <c r="R75" s="209">
        <f t="shared" si="23"/>
        <v>0</v>
      </c>
      <c r="S75" s="209">
        <f t="shared" si="23"/>
        <v>0</v>
      </c>
      <c r="T75" s="209">
        <f t="shared" si="23"/>
        <v>0</v>
      </c>
      <c r="U75" s="209">
        <f t="shared" si="23"/>
        <v>0</v>
      </c>
      <c r="V75" s="209">
        <f t="shared" si="23"/>
        <v>0</v>
      </c>
      <c r="W75" s="209">
        <f t="shared" si="23"/>
        <v>0</v>
      </c>
      <c r="X75" s="209">
        <f t="shared" si="23"/>
        <v>0</v>
      </c>
      <c r="Y75" s="209">
        <f t="shared" si="23"/>
        <v>0</v>
      </c>
      <c r="Z75" s="209">
        <f t="shared" si="23"/>
        <v>0</v>
      </c>
      <c r="AA75" s="209">
        <f t="shared" si="23"/>
        <v>0</v>
      </c>
      <c r="AB75" s="100"/>
      <c r="AC75" s="11"/>
      <c r="AD75" s="209">
        <f>SUMIF($H$34:$H$72,"KPI_GP",AD$34:AD$72)-SUMIF($H$34:$H$72,"TOTDEPTEXP",AD$34:AD$72)-SUMIF($H$34:$H$72,"TOTDEPTPL",AD$34:AD$72)</f>
        <v>0</v>
      </c>
      <c r="AE75" s="100"/>
      <c r="AF75" s="91"/>
      <c r="AG75" s="209">
        <f>SUMIF($H$34:$H$72,"KPI_GP",AG$34:AG$72)-SUMIF($H$34:$H$72,"TOTDEPTEXP",AG$34:AG$72)-SUMIF($H$34:$H$72,"TOTDEPTPL",AG$34:AG$72)</f>
        <v>0</v>
      </c>
      <c r="AH75" s="100"/>
      <c r="AI75" s="91"/>
      <c r="AJ75" s="11"/>
      <c r="AK75" s="11"/>
      <c r="AL75" s="11"/>
      <c r="AM75" s="11"/>
      <c r="AN75" s="11"/>
      <c r="AO75" s="11"/>
    </row>
    <row r="76" spans="1:41" x14ac:dyDescent="0.25">
      <c r="A76" s="65" t="s">
        <v>4</v>
      </c>
      <c r="B76" s="66" t="str">
        <f>IF(_epmOfflineCondition_,"'FB_Retail'!$H$60:$H$61,'FB_Retail'!$H$63:$H$64,'FB_Retail'!$H$67:$H$68",_xll.EVRNG(H60:H61,H63:H64,H67:H68))</f>
        <v>'FB_Retail'!$H$60:$H$61,'FB_Retail'!$H$63:$H$64,'FB_Retail'!$H$67:$H$68</v>
      </c>
      <c r="C76" s="11"/>
      <c r="D76" s="11"/>
      <c r="E76" s="11"/>
      <c r="F76" s="11"/>
      <c r="G76" s="11"/>
      <c r="H76" s="11"/>
      <c r="I76" s="59"/>
      <c r="J76" s="59"/>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25">
      <c r="A77" s="65" t="s">
        <v>5</v>
      </c>
      <c r="B77" s="66"/>
      <c r="C77" s="11"/>
      <c r="D77" s="11"/>
      <c r="E77" s="11"/>
      <c r="F77" s="11"/>
      <c r="G77" s="11"/>
      <c r="H77" s="11"/>
      <c r="I77" s="59"/>
      <c r="J77" s="59"/>
      <c r="K77" s="11"/>
      <c r="L77" s="11"/>
      <c r="M77" s="11"/>
      <c r="N77" s="11"/>
      <c r="O77" s="137"/>
      <c r="P77" s="137"/>
      <c r="Q77" s="137"/>
      <c r="R77" s="137"/>
      <c r="S77" s="137"/>
      <c r="T77" s="137"/>
      <c r="U77" s="137"/>
      <c r="V77" s="137"/>
      <c r="W77" s="137"/>
      <c r="X77" s="137"/>
      <c r="Y77" s="137"/>
      <c r="Z77" s="137"/>
      <c r="AA77" s="137"/>
      <c r="AB77" s="11"/>
      <c r="AC77" s="11"/>
      <c r="AD77" s="137"/>
      <c r="AE77" s="11"/>
      <c r="AF77" s="11"/>
      <c r="AG77" s="137"/>
      <c r="AH77" s="11"/>
      <c r="AI77" s="11"/>
      <c r="AJ77" s="11"/>
      <c r="AK77" s="11"/>
      <c r="AL77" s="11"/>
      <c r="AM77" s="11"/>
      <c r="AN77" s="11"/>
      <c r="AO77" s="11"/>
    </row>
    <row r="78" spans="1:41" x14ac:dyDescent="0.25">
      <c r="A78" s="65" t="s">
        <v>6</v>
      </c>
      <c r="B78" s="66"/>
      <c r="C78" s="11"/>
      <c r="D78" s="11"/>
      <c r="E78" s="11"/>
      <c r="F78" s="11"/>
      <c r="G78" s="11"/>
      <c r="H78" s="11"/>
      <c r="I78" s="59"/>
      <c r="J78" s="59"/>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65" t="s">
        <v>7</v>
      </c>
      <c r="B79" s="66" t="str">
        <f>IF(_epmOfflineCondition_,"'FB_Retail'!$A$93:$F$99",_xll.EVRNG(A93:F99))</f>
        <v>'FB_Retail'!$A$93:$F$99</v>
      </c>
      <c r="C79" s="11"/>
      <c r="D79" s="11"/>
      <c r="E79" s="11"/>
      <c r="F79" s="11"/>
      <c r="G79" s="11"/>
      <c r="H79" s="11"/>
      <c r="I79" s="59"/>
      <c r="J79" s="59"/>
      <c r="K79" s="11"/>
      <c r="L79" s="11"/>
      <c r="M79" s="11"/>
      <c r="N79" s="11"/>
      <c r="O79" s="137"/>
      <c r="P79" s="137"/>
      <c r="Q79" s="137"/>
      <c r="R79" s="137"/>
      <c r="S79" s="137"/>
      <c r="T79" s="137"/>
      <c r="U79" s="137"/>
      <c r="V79" s="137"/>
      <c r="W79" s="137"/>
      <c r="X79" s="137"/>
      <c r="Y79" s="137"/>
      <c r="Z79" s="137"/>
      <c r="AA79" s="137"/>
      <c r="AB79" s="11"/>
      <c r="AC79" s="11"/>
      <c r="AD79" s="137"/>
      <c r="AE79" s="11"/>
      <c r="AF79" s="11"/>
      <c r="AG79" s="137"/>
      <c r="AH79" s="11"/>
      <c r="AI79" s="11"/>
      <c r="AJ79" s="11"/>
      <c r="AK79" s="11"/>
      <c r="AL79" s="11"/>
      <c r="AM79" s="11"/>
      <c r="AN79" s="11"/>
      <c r="AO79" s="11"/>
    </row>
    <row r="80" spans="1:41" x14ac:dyDescent="0.25">
      <c r="A80" s="65" t="s">
        <v>47</v>
      </c>
      <c r="B80" s="66" t="str">
        <f>IF(_epmOfflineCondition_,"'FB_Retail'!$A$116:$B$137",_xll.EVRNG($A$116:$B$137))</f>
        <v>'FB_Retail'!$A$116:$B$137</v>
      </c>
      <c r="C80" s="11"/>
      <c r="D80" s="11"/>
      <c r="E80" s="11"/>
      <c r="F80" s="11"/>
      <c r="G80" s="11"/>
      <c r="H80" s="11"/>
      <c r="I80" s="59"/>
      <c r="J80" s="59"/>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65" t="s">
        <v>8</v>
      </c>
      <c r="B81" s="66"/>
      <c r="C81" s="11"/>
      <c r="D81" s="11"/>
      <c r="E81" s="11"/>
      <c r="F81" s="11"/>
      <c r="G81" s="11"/>
      <c r="H81" s="11"/>
      <c r="I81" s="59"/>
      <c r="J81" s="59"/>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62" t="s">
        <v>9</v>
      </c>
      <c r="B83" s="63" t="s">
        <v>10</v>
      </c>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11</v>
      </c>
      <c r="B84" s="66" t="s">
        <v>21</v>
      </c>
      <c r="C84" s="11"/>
      <c r="D84" s="11"/>
      <c r="E84" s="11"/>
      <c r="F84" s="11"/>
      <c r="G84" s="11"/>
      <c r="H84" s="59"/>
      <c r="I84" s="59"/>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65" t="s">
        <v>12</v>
      </c>
      <c r="B85" s="66" t="s">
        <v>22</v>
      </c>
      <c r="C85" s="11"/>
      <c r="D85" s="11"/>
      <c r="E85" s="11"/>
      <c r="F85" s="11"/>
      <c r="G85" s="11"/>
      <c r="H85" s="59"/>
      <c r="I85" s="59"/>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13</v>
      </c>
      <c r="B86" s="66" t="s">
        <v>737</v>
      </c>
      <c r="C86" s="11"/>
      <c r="D86" s="11"/>
      <c r="E86" s="11"/>
      <c r="F86" s="11"/>
      <c r="G86" s="11"/>
      <c r="H86" s="59"/>
      <c r="I86" s="59"/>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14</v>
      </c>
      <c r="B87" s="66"/>
      <c r="C87" s="11"/>
      <c r="D87" s="11"/>
      <c r="E87" s="11"/>
      <c r="F87" s="11"/>
      <c r="G87" s="11"/>
      <c r="H87" s="59"/>
      <c r="I87" s="59"/>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15</v>
      </c>
      <c r="B88" s="66"/>
      <c r="C88" s="11"/>
      <c r="D88" s="11"/>
      <c r="E88" s="11"/>
      <c r="F88" s="11"/>
      <c r="G88" s="11"/>
      <c r="H88" s="59"/>
      <c r="I88" s="59"/>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65" t="s">
        <v>16</v>
      </c>
      <c r="B89" s="66" t="s">
        <v>78</v>
      </c>
      <c r="C89" s="11"/>
      <c r="D89" s="11"/>
      <c r="E89" s="11"/>
      <c r="F89" s="11"/>
      <c r="G89" s="76"/>
      <c r="H89" s="59"/>
      <c r="I89" s="59"/>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17</v>
      </c>
      <c r="B90" s="66"/>
      <c r="C90" s="11"/>
      <c r="D90" s="11"/>
      <c r="E90" s="11"/>
      <c r="F90" s="11"/>
      <c r="G90" s="11"/>
      <c r="H90" s="59"/>
      <c r="I90" s="59"/>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11"/>
      <c r="H91" s="59"/>
      <c r="I91" s="59"/>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97" t="s">
        <v>92</v>
      </c>
      <c r="B92" s="98" t="s">
        <v>93</v>
      </c>
      <c r="C92" s="98" t="s">
        <v>94</v>
      </c>
      <c r="D92" s="98" t="s">
        <v>95</v>
      </c>
      <c r="E92" s="98" t="s">
        <v>96</v>
      </c>
      <c r="F92" s="99" t="s">
        <v>97</v>
      </c>
      <c r="G92" s="11"/>
      <c r="H92" s="59"/>
      <c r="I92" s="59"/>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11"/>
      <c r="B93" s="11"/>
      <c r="C93" s="11"/>
      <c r="D93" s="11"/>
      <c r="E93" s="11"/>
      <c r="F93" s="11"/>
      <c r="G93" s="11"/>
      <c r="H93" s="59"/>
      <c r="I93" s="59"/>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11" t="s">
        <v>108</v>
      </c>
      <c r="B94" s="11"/>
      <c r="C94" s="104" t="s">
        <v>101</v>
      </c>
      <c r="D94" s="11" t="s">
        <v>106</v>
      </c>
      <c r="E94" s="11"/>
      <c r="F94" s="11" t="s">
        <v>98</v>
      </c>
      <c r="G94" s="11"/>
      <c r="H94" s="59"/>
      <c r="I94" s="59"/>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11" t="s">
        <v>100</v>
      </c>
      <c r="B95" s="11"/>
      <c r="C95" s="53" t="s">
        <v>101</v>
      </c>
      <c r="D95" s="11" t="s">
        <v>106</v>
      </c>
      <c r="E95" s="11"/>
      <c r="F95" s="11" t="s">
        <v>98</v>
      </c>
      <c r="G95" s="11"/>
      <c r="H95" s="59"/>
      <c r="I95" s="59"/>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11" t="s">
        <v>109</v>
      </c>
      <c r="B96" s="11"/>
      <c r="C96" s="106" t="s">
        <v>101</v>
      </c>
      <c r="D96" s="11" t="s">
        <v>106</v>
      </c>
      <c r="E96" s="11"/>
      <c r="F96" s="11" t="s">
        <v>98</v>
      </c>
      <c r="G96" s="11"/>
      <c r="H96" s="59"/>
      <c r="I96" s="59"/>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11" t="s">
        <v>109</v>
      </c>
      <c r="B97" s="11"/>
      <c r="C97" s="196" t="s">
        <v>101</v>
      </c>
      <c r="D97" s="11" t="s">
        <v>107</v>
      </c>
      <c r="E97" s="11"/>
      <c r="F97" s="11" t="s">
        <v>99</v>
      </c>
      <c r="G97" s="11"/>
      <c r="H97" s="59"/>
      <c r="I97" s="59"/>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11" t="s">
        <v>110</v>
      </c>
      <c r="B98" s="11"/>
      <c r="C98" s="106" t="s">
        <v>101</v>
      </c>
      <c r="D98" s="11" t="s">
        <v>106</v>
      </c>
      <c r="E98" s="11"/>
      <c r="F98" s="11" t="s">
        <v>98</v>
      </c>
      <c r="G98" s="11"/>
      <c r="H98" s="59"/>
      <c r="I98" s="59"/>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11" t="s">
        <v>110</v>
      </c>
      <c r="B99" s="11"/>
      <c r="C99" s="109" t="s">
        <v>101</v>
      </c>
      <c r="D99" s="11" t="s">
        <v>107</v>
      </c>
      <c r="E99" s="11"/>
      <c r="F99" s="11" t="s">
        <v>99</v>
      </c>
      <c r="G99" s="11"/>
      <c r="H99" s="59"/>
      <c r="I99" s="59"/>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208"/>
      <c r="D100" s="11"/>
      <c r="E100" s="11"/>
      <c r="F100" s="11"/>
      <c r="G100" s="11"/>
      <c r="H100" s="59"/>
      <c r="I100" s="59"/>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11"/>
      <c r="B101" s="11"/>
      <c r="C101" s="11"/>
      <c r="D101" s="11"/>
      <c r="E101" s="11"/>
      <c r="F101" s="11"/>
      <c r="G101" s="11"/>
      <c r="H101" s="59"/>
      <c r="I101" s="59"/>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61" t="str">
        <f>IF(_epmOfflineCondition_,"Evdre:Ok",_xll.EVDRE($B$1,A105:B112))</f>
        <v>Evdre:Ok</v>
      </c>
      <c r="B102" s="11" t="s">
        <v>736</v>
      </c>
      <c r="C102" s="11"/>
      <c r="D102" s="11"/>
      <c r="E102" s="11"/>
      <c r="F102" s="11"/>
      <c r="G102" s="11"/>
      <c r="H102" s="59"/>
      <c r="I102" s="59"/>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c r="B103" s="11"/>
      <c r="C103" s="11"/>
      <c r="D103" s="11"/>
      <c r="E103" s="11"/>
      <c r="F103" s="11"/>
      <c r="G103" s="76"/>
      <c r="H103" s="59"/>
      <c r="I103" s="59"/>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62" t="s">
        <v>0</v>
      </c>
      <c r="B104" s="63" t="s">
        <v>1</v>
      </c>
      <c r="C104" s="11"/>
      <c r="D104" s="11"/>
      <c r="E104" s="11"/>
      <c r="F104" s="11"/>
      <c r="G104" s="11"/>
      <c r="H104" s="59"/>
      <c r="I104" s="59"/>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65" t="s">
        <v>2</v>
      </c>
      <c r="B105" s="66" t="str">
        <f>IF(_epmOfflineCondition_,"'FB_Retail'!$B$2:$B$10",_xll.EVRNG($B$2:$B$10))</f>
        <v>'FB_Retail'!$B$2:$B$10</v>
      </c>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65" t="s">
        <v>3</v>
      </c>
      <c r="B106" s="66" t="str">
        <f>IF(_epmOfflineCondition_,"'FB_Retail'!$O$16:$AN$18",_xll.EVRNG($O$16:$AN$18))</f>
        <v>'FB_Retail'!$O$16:$AN$18</v>
      </c>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65" t="s">
        <v>4</v>
      </c>
      <c r="B107" s="66" t="str">
        <f>IF(_epmOfflineCondition_,"'FB_Retail'!$H$69:$H$72",_xll.EVRNG(H69:H72))</f>
        <v>'FB_Retail'!$H$69:$H$72</v>
      </c>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65" t="s">
        <v>5</v>
      </c>
      <c r="B108" s="66"/>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65" t="s">
        <v>6</v>
      </c>
      <c r="B109" s="66"/>
      <c r="C109" s="11"/>
      <c r="D109" s="11"/>
      <c r="E109" s="11"/>
      <c r="F109" s="11"/>
      <c r="G109" s="76"/>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65" t="s">
        <v>7</v>
      </c>
      <c r="B110" s="66"/>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5" t="s">
        <v>47</v>
      </c>
      <c r="B111" s="66" t="str">
        <f>IF(_epmOfflineCondition_,"'FB_Retail'!$A$116:$B$137",_xll.EVRNG($A$116:$B$137))</f>
        <v>'FB_Retail'!$A$116:$B$137</v>
      </c>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65" t="s">
        <v>8</v>
      </c>
      <c r="B112" s="66"/>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2" t="s">
        <v>23</v>
      </c>
      <c r="B115" s="63" t="s">
        <v>24</v>
      </c>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25</v>
      </c>
      <c r="B116" s="66"/>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26</v>
      </c>
      <c r="B117" s="66"/>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27</v>
      </c>
      <c r="B118" s="66"/>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28</v>
      </c>
      <c r="B119" s="66"/>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29</v>
      </c>
      <c r="B120" s="66"/>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30</v>
      </c>
      <c r="B121" s="66" t="s">
        <v>78</v>
      </c>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65" t="s">
        <v>31</v>
      </c>
      <c r="B122" s="66" t="s">
        <v>78</v>
      </c>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65" t="s">
        <v>32</v>
      </c>
      <c r="B123" s="66"/>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5" t="s">
        <v>33</v>
      </c>
      <c r="B124" s="66"/>
      <c r="C124" s="11"/>
      <c r="D124" s="11"/>
      <c r="E124" s="11"/>
      <c r="F124" s="11"/>
      <c r="G124" s="11"/>
      <c r="H124" s="11"/>
      <c r="I124" s="59"/>
      <c r="J124" s="59"/>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34</v>
      </c>
      <c r="B125" s="66"/>
      <c r="C125" s="11"/>
      <c r="D125" s="11"/>
      <c r="E125" s="11"/>
      <c r="F125" s="11"/>
      <c r="G125" s="11"/>
      <c r="H125" s="11"/>
      <c r="I125" s="59"/>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35</v>
      </c>
      <c r="B126" s="66"/>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65" t="s">
        <v>36</v>
      </c>
      <c r="B127" s="66"/>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65" t="s">
        <v>37</v>
      </c>
      <c r="B128" s="66"/>
      <c r="C128" s="11"/>
      <c r="D128" s="11"/>
      <c r="E128" s="11"/>
      <c r="F128" s="11"/>
      <c r="G128" s="11"/>
      <c r="H128" s="11"/>
      <c r="I128" s="59"/>
      <c r="J128" s="59"/>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65" t="s">
        <v>38</v>
      </c>
      <c r="B129" s="66"/>
      <c r="C129" s="11"/>
      <c r="D129" s="11"/>
      <c r="E129" s="11"/>
      <c r="F129" s="11"/>
      <c r="G129" s="11"/>
      <c r="H129" s="11"/>
      <c r="I129" s="59"/>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65" t="s">
        <v>39</v>
      </c>
      <c r="B130" s="66"/>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65" t="s">
        <v>40</v>
      </c>
      <c r="B131" s="66"/>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65" t="s">
        <v>41</v>
      </c>
      <c r="B132" s="66"/>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65" t="s">
        <v>42</v>
      </c>
      <c r="B133" s="66"/>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65" t="s">
        <v>43</v>
      </c>
      <c r="B134" s="66"/>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65" t="s">
        <v>44</v>
      </c>
      <c r="B135" s="66"/>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65" t="s">
        <v>45</v>
      </c>
      <c r="B136" s="66"/>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65" t="s">
        <v>46</v>
      </c>
      <c r="B137" s="66"/>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11"/>
      <c r="B145" s="11"/>
      <c r="C145" s="11"/>
      <c r="D145" s="11"/>
      <c r="E145" s="11"/>
      <c r="F145" s="11"/>
      <c r="G145" s="11"/>
      <c r="H145" s="11"/>
      <c r="I145" s="267"/>
      <c r="J145" s="11"/>
      <c r="K145" s="267"/>
      <c r="L145" s="267"/>
      <c r="M145" s="267"/>
      <c r="N145" s="11"/>
      <c r="O145" s="267"/>
      <c r="P145" s="267"/>
      <c r="Q145" s="267"/>
      <c r="R145" s="267"/>
      <c r="S145" s="267"/>
      <c r="T145" s="267"/>
      <c r="U145" s="267"/>
      <c r="V145" s="267"/>
      <c r="W145" s="267"/>
      <c r="X145" s="267"/>
      <c r="Y145" s="267"/>
      <c r="Z145" s="267"/>
      <c r="AA145" s="267"/>
      <c r="AB145" s="11"/>
      <c r="AC145" s="11"/>
      <c r="AD145" s="267"/>
      <c r="AE145" s="11"/>
      <c r="AF145" s="267"/>
      <c r="AG145" s="11"/>
      <c r="AH145" s="267"/>
      <c r="AI145" s="11"/>
      <c r="AJ145" s="11"/>
      <c r="AK145" s="11"/>
      <c r="AL145" s="11"/>
      <c r="AM145" s="11"/>
      <c r="AN145" s="11"/>
      <c r="AO145" s="11"/>
    </row>
    <row r="146" spans="1:41" x14ac:dyDescent="0.2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267"/>
      <c r="J149" s="11"/>
      <c r="K149" s="267"/>
      <c r="L149" s="267"/>
      <c r="M149" s="267"/>
      <c r="N149" s="11"/>
      <c r="O149" s="267"/>
      <c r="P149" s="267"/>
      <c r="Q149" s="267"/>
      <c r="R149" s="267"/>
      <c r="S149" s="267"/>
      <c r="T149" s="267"/>
      <c r="U149" s="267"/>
      <c r="V149" s="267"/>
      <c r="W149" s="267"/>
      <c r="X149" s="267"/>
      <c r="Y149" s="267"/>
      <c r="Z149" s="267"/>
      <c r="AA149" s="267"/>
      <c r="AB149" s="11"/>
      <c r="AC149" s="11"/>
      <c r="AD149" s="267"/>
      <c r="AE149" s="11"/>
      <c r="AF149" s="267"/>
      <c r="AG149" s="11"/>
      <c r="AH149" s="267"/>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267"/>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267"/>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59"/>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row>
    <row r="171" spans="1:41" x14ac:dyDescent="0.25">
      <c r="A171" s="11"/>
      <c r="B171" s="11"/>
      <c r="C171" s="11"/>
      <c r="D171" s="11"/>
      <c r="E171" s="11"/>
      <c r="F171" s="11"/>
      <c r="G171" s="11"/>
      <c r="H171" s="11"/>
      <c r="I171" s="59"/>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59"/>
      <c r="J174" s="59"/>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row>
    <row r="175" spans="1:41" x14ac:dyDescent="0.25">
      <c r="A175" s="11"/>
      <c r="B175" s="11"/>
      <c r="C175" s="11"/>
      <c r="D175" s="11"/>
      <c r="E175" s="11"/>
      <c r="F175" s="11"/>
      <c r="G175" s="11"/>
      <c r="H175" s="11"/>
      <c r="I175" s="59"/>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267"/>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11"/>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267"/>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sheetData>
  <sheetProtection algorithmName="SHA-512" hashValue="qrxvYbnX9KKUPbKMuqGrjzf7yEbhRoMcGd4VDQrgKQsj0bciu8BGuuO+l5T2zF5dxOUQQonhfixXKSo/9v2zjQ==" saltValue="tq9Ay57+nX6aUyCwsQi0lA==" spinCount="100000" sheet="1" scenarios="1"/>
  <mergeCells count="2">
    <mergeCell ref="AD31:AE31"/>
    <mergeCell ref="AG31:AH31"/>
  </mergeCells>
  <dataValidations disablePrompts="1" count="2">
    <dataValidation type="list" allowBlank="1" sqref="B57 B28 B85" xr:uid="{00000000-0002-0000-2300-000000000000}">
      <formula1>"ACCOUNT,BUSINESSUNIT,CATEGORY,DATASRC,DEPARTMENT,INTCO,MEASURES,RPTCURRENCY,TIME"</formula1>
    </dataValidation>
    <dataValidation type="list" allowBlank="1" sqref="B58 B29 B86" xr:uid="{00000000-0002-0000-23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38920"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38920" r:id="rId7" name="FPMExcelClientSheetOptionstb1"/>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0">
    <tabColor theme="9" tint="0.39997558519241921"/>
    <pageSetUpPr fitToPage="1"/>
  </sheetPr>
  <dimension ref="A1:AO194"/>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36.7109375" style="1" customWidth="1" collapsed="1"/>
    <col min="15" max="26" width="11.7109375" style="1" customWidth="1" outlineLevel="1"/>
    <col min="27" max="27" width="12.7109375" style="1" customWidth="1"/>
    <col min="28" max="28" width="8.4257812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423</v>
      </c>
      <c r="C6" s="11" t="str">
        <f>IF(_epmOfflineCondition_,"Minor Operated Departments",_xll.EVDES(B6,$B$1))</f>
        <v>Minor Operated Departments</v>
      </c>
      <c r="D6" s="11"/>
      <c r="E6" s="58" t="str">
        <f>IF(_epmOfflineCondition_,"D1138",_xll.EVPRO($B$1,$B$6,$F$6))</f>
        <v>D1138</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IF(_epmOfflineCondition_,"'Minor_Op'!$B$2:$B$10",_xll.EVRNG($B$2:$B$10))</f>
        <v>'Minor_Op'!$B$2:$B$10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IF(_epmOfflineCondition_,"'Minor_Op'!$O$16:$AN$18",_xll.EVRNG($O$16:$AN$18))</f>
        <v>'Minor_Op'!$O$16:$AN$18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0" t="str">
        <f>IF(SetUp!$O$1=TRUE,"TRAILING12",IF(Z17="CURRENT","ROLLINGFORECAST","PERIODIC"))</f>
        <v>PERIODIC</v>
      </c>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IF(_epmOfflineCondition_,"'Minor_Op'!$H$34:$H$53,'Minor_Op'!$H$56:$H$74",_xll.EVRNG(H34:H53,H56:H74))</f>
        <v>'Minor_Op'!$H$34:$H$53,'Minor_Op'!$H$56:$H$74</v>
      </c>
      <c r="C19" s="11"/>
      <c r="D19" s="11"/>
      <c r="E19" s="11"/>
      <c r="F19" s="11"/>
      <c r="G19" s="67" t="str">
        <f>$B$6</f>
        <v>D1138</v>
      </c>
      <c r="H19" s="67">
        <v>400000</v>
      </c>
      <c r="I19" s="68"/>
      <c r="J19" s="68"/>
      <c r="K19" s="67"/>
      <c r="L19" s="67"/>
      <c r="M19" s="67"/>
      <c r="N19" s="67" t="str">
        <f>IF(_epmOfflineCondition_,"Total Revenue",_xll.EVDES(H19))</f>
        <v>Total Revenue</v>
      </c>
      <c r="O19" s="69">
        <f>IF(_epmOfflineCondition_,1627.99,_xll.EVGTS($B$1,1,$B$3,$B$5,$B$7,$B$9,O$16,O$17,O$18,$G$19,$H$19))</f>
        <v>1627.99</v>
      </c>
      <c r="P19" s="69">
        <f>IF(_epmOfflineCondition_,2405.74,_xll.EVGTS($B$1,1,$B$3,$B$5,$B$7,$B$9,P$16,P$17,P$18,$G$19,$H$19))</f>
        <v>2405.7399999999998</v>
      </c>
      <c r="Q19" s="69">
        <f>IF(_epmOfflineCondition_,3553.93,_xll.EVGTS($B$1,1,$B$3,$B$5,$B$7,$B$9,Q$16,Q$17,Q$18,$G$19,$H$19))</f>
        <v>3553.93</v>
      </c>
      <c r="R19" s="69">
        <f>IF(_epmOfflineCondition_,3896.8,_xll.EVGTS($B$1,1,$B$3,$B$5,$B$7,$B$9,R$16,R$17,R$18,$G$19,$H$19))</f>
        <v>3896.8</v>
      </c>
      <c r="S19" s="69">
        <f>IF(_epmOfflineCondition_,2556.13,_xll.EVGTS($B$1,1,$B$3,$B$5,$B$7,$B$9,S$16,S$17,S$18,$G$19,$H$19))</f>
        <v>2556.13</v>
      </c>
      <c r="T19" s="69">
        <f>IF(_epmOfflineCondition_,1693.33,_xll.EVGTS($B$1,1,$B$3,$B$5,$B$7,$B$9,T$16,T$17,T$18,$G$19,$H$19))</f>
        <v>1693.33</v>
      </c>
      <c r="U19" s="69">
        <f>IF(_epmOfflineCondition_,1428.96,_xll.EVGTS($B$1,1,$B$3,$B$5,$B$7,$B$9,U$16,U$17,U$18,$G$19,$H$19))</f>
        <v>1428.96</v>
      </c>
      <c r="V19" s="69">
        <f>IF(_epmOfflineCondition_,2055.02,_xll.EVGTS($B$1,1,$B$3,$B$5,$B$7,$B$9,V$16,V$17,V$18,$G$19,$H$19))</f>
        <v>2055.02</v>
      </c>
      <c r="W19" s="69">
        <f>IF(_epmOfflineCondition_,688.75,_xll.EVGTS($B$1,1,$B$3,$B$5,$B$7,$B$9,W$16,W$17,W$18,$G$19,$H$19))</f>
        <v>688.75</v>
      </c>
      <c r="X19" s="69">
        <f>IF(_epmOfflineCondition_,2507.38,_xll.EVGTS($B$1,1,$B$3,$B$5,$B$7,$B$9,X$16,X$17,X$18,$G$19,$H$19))</f>
        <v>2507.38</v>
      </c>
      <c r="Y19" s="69">
        <f>IF(_epmOfflineCondition_,3265.13,_xll.EVGTS($B$1,1,$B$3,$B$5,$B$7,$B$9,Y$16,Y$17,Y$18,$G$19,$H$19))</f>
        <v>3265.13</v>
      </c>
      <c r="Z19" s="69">
        <f>IF(_epmOfflineCondition_,2287.26,_xll.EVGTS($B$1,1,$B$3,$B$5,$B$7,$B$9,Z$16,Z$17,Z$18,$G$19,$H$19))</f>
        <v>2287.2600000000002</v>
      </c>
      <c r="AA19" s="69">
        <f>SUM(O19:Z19)</f>
        <v>27966.420000000006</v>
      </c>
      <c r="AB19" s="67"/>
      <c r="AC19" s="67"/>
      <c r="AD19" s="69">
        <f>IF(_epmOfflineCondition_,17174.08,_xll.EVGTS($B$1,1,$B$3,$B$5,$B$7,$B$9,AD$16,AD$17,AD$18,$G$19,$H$19))</f>
        <v>17174.080000000002</v>
      </c>
      <c r="AE19" s="67"/>
      <c r="AF19" s="67"/>
      <c r="AG19" s="69">
        <f>IF(_epmOfflineCondition_,19581.85,_xll.EVGTS($B$1,1,$B$3,$B$5,$B$7,$B$9,AG$16,AG$17,AG$18,$G$19,$H$19))</f>
        <v>19581.849999999999</v>
      </c>
      <c r="AH19" s="67"/>
      <c r="AI19" s="67"/>
      <c r="AJ19" s="11"/>
      <c r="AK19" s="11"/>
      <c r="AL19" s="11"/>
      <c r="AM19" s="11"/>
      <c r="AN19" s="11"/>
      <c r="AO19" s="11"/>
    </row>
    <row r="20" spans="1:41" hidden="1" outlineLevel="1" x14ac:dyDescent="0.2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IF(_epmOfflineCondition_,3762,_xll.EVGTS($B$1,1,$B$3,$B$5,$B$7,$B$9,O$16,O$17,O$18,$G$20,$H$20))</f>
        <v>3762</v>
      </c>
      <c r="P20" s="69">
        <f>IF(_epmOfflineCondition_,3568,_xll.EVGTS($B$1,1,$B$3,$B$5,$B$7,$B$9,P$16,P$17,P$18,$G$20,$H$20))</f>
        <v>3568</v>
      </c>
      <c r="Q20" s="69">
        <f>IF(_epmOfflineCondition_,3855,_xll.EVGTS($B$1,1,$B$3,$B$5,$B$7,$B$9,Q$16,Q$17,Q$18,$G$20,$H$20))</f>
        <v>3855</v>
      </c>
      <c r="R20" s="69">
        <f>IF(_epmOfflineCondition_,3602,_xll.EVGTS($B$1,1,$B$3,$B$5,$B$7,$B$9,R$16,R$17,R$18,$G$20,$H$20))</f>
        <v>3602</v>
      </c>
      <c r="S20" s="69">
        <f>IF(_epmOfflineCondition_,3580,_xll.EVGTS($B$1,1,$B$3,$B$5,$B$7,$B$9,S$16,S$17,S$18,$G$20,$H$20))</f>
        <v>3580</v>
      </c>
      <c r="T20" s="69">
        <f>IF(_epmOfflineCondition_,3259,_xll.EVGTS($B$1,1,$B$3,$B$5,$B$7,$B$9,T$16,T$17,T$18,$G$20,$H$20))</f>
        <v>3259</v>
      </c>
      <c r="U20" s="69">
        <f>IF(_epmOfflineCondition_,3548,_xll.EVGTS($B$1,1,$B$3,$B$5,$B$7,$B$9,U$16,U$17,U$18,$G$20,$H$20))</f>
        <v>3548</v>
      </c>
      <c r="V20" s="69">
        <f>IF(_epmOfflineCondition_,3348,_xll.EVGTS($B$1,1,$B$3,$B$5,$B$7,$B$9,V$16,V$17,V$18,$G$20,$H$20))</f>
        <v>3348</v>
      </c>
      <c r="W20" s="69">
        <f>IF(_epmOfflineCondition_,2744,_xll.EVGTS($B$1,1,$B$3,$B$5,$B$7,$B$9,W$16,W$17,W$18,$G$20,$H$20))</f>
        <v>2744</v>
      </c>
      <c r="X20" s="69">
        <f>IF(_epmOfflineCondition_,3076,_xll.EVGTS($B$1,1,$B$3,$B$5,$B$7,$B$9,X$16,X$17,X$18,$G$20,$H$20))</f>
        <v>3076</v>
      </c>
      <c r="Y20" s="69">
        <f>IF(_epmOfflineCondition_,3431,_xll.EVGTS($B$1,1,$B$3,$B$5,$B$7,$B$9,Y$16,Y$17,Y$18,$G$20,$H$20))</f>
        <v>3431</v>
      </c>
      <c r="Z20" s="69">
        <f>IF(_epmOfflineCondition_,3541,_xll.EVGTS($B$1,1,$B$3,$B$5,$B$7,$B$9,Z$16,Z$17,Z$18,$G$20,$H$20))</f>
        <v>3541</v>
      </c>
      <c r="AA20" s="69">
        <f>SUM(O20:Z20)</f>
        <v>41314</v>
      </c>
      <c r="AB20" s="67"/>
      <c r="AC20" s="67"/>
      <c r="AD20" s="69">
        <f>IF(_epmOfflineCondition_,39032,_xll.EVGTS($B$1,1,$B$3,$B$5,$B$7,$B$9,AD$16,AD$17,AD$18,$G$20,$H$20))</f>
        <v>39032</v>
      </c>
      <c r="AE20" s="67"/>
      <c r="AF20" s="67"/>
      <c r="AG20" s="69">
        <f>IF(_epmOfflineCondition_,40219,_xll.EVGTS($B$1,1,$B$3,$B$5,$B$7,$B$9,AG$16,AG$17,AG$18,$G$20,$H$20))</f>
        <v>40219</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IF(_epmOfflineCondition_,"'Minor_Op'!$A$58:$F$62",_xll.EVRNG(A58:F62))</f>
        <v>'Minor_Op'!$A$58:$F$62</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IF(_epmOfflineCondition_,"'Minor_Op'!$A$79:$B$100",_xll.EVRNG($A$79:$B$100))</f>
        <v>'Minor_Op'!$A$79:$B$100</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IF(_epmOfflineCondition_,"Minor Operated Departments",IF(_xll.EVDES(B6,$B$1)="#NODATA","",_xll.EVDES(B6,$B$1)))</f>
        <v>Minor Operated Departments</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"DEP(450000) AND "&amp;$E$6&amp;"=Y,400000|DEP(550000) AND "&amp;$E$6&amp;"=Y,500001"</f>
        <v>DEP(450000) AND D1138=Y,400000|DEP(550000) AND D1138=Y,500001</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88" t="s">
        <v>424</v>
      </c>
      <c r="I34" s="122" t="str">
        <f>IF(_epmOfflineCondition_,"T5",_xll.EVPRO($B$1,$H34,"STYLE"))</f>
        <v>T5</v>
      </c>
      <c r="J34" s="122" t="str">
        <f>IF(_epmOfflineCondition_,"Y",_xll.EVPRO($B$1,$H34,"CALC"))</f>
        <v>Y</v>
      </c>
      <c r="K34" s="179" t="str">
        <f t="shared" ref="K34:K53" si="0">IF(AND(I34&gt;="T5"),"&gt;","")</f>
        <v>&gt;</v>
      </c>
      <c r="L34" s="90" t="str">
        <f>IF(_epmOfflineCondition_,"410000",_xll.EVPRO($B$1,H34,"JDEID"))</f>
        <v>410000</v>
      </c>
      <c r="M34" s="90" t="str">
        <f>IF(_epmOfflineCondition_,"",IF(AND(I34="N",J34="N"),_xll.EVPRO($B$1,H34,"PSFTID"),""))</f>
        <v/>
      </c>
      <c r="N34" s="90" t="str">
        <f>IF(_epmOfflineCondition_,"Total Guest Communication Rev",IF(_xll.EVDES(H34,$B$1)="#NODATA","",_xll.EVDES(H34,$B$1)))</f>
        <v>Total Guest Communication Rev</v>
      </c>
      <c r="O34" s="138">
        <v>503.49</v>
      </c>
      <c r="P34" s="138">
        <v>551.27</v>
      </c>
      <c r="Q34" s="138">
        <v>393.64</v>
      </c>
      <c r="R34" s="138">
        <v>1153.45</v>
      </c>
      <c r="S34" s="138">
        <v>508.16</v>
      </c>
      <c r="T34" s="138">
        <v>229.39</v>
      </c>
      <c r="U34" s="138">
        <v>415.91</v>
      </c>
      <c r="V34" s="138">
        <v>338.92</v>
      </c>
      <c r="W34" s="138">
        <v>263.75</v>
      </c>
      <c r="X34" s="138">
        <v>481.27</v>
      </c>
      <c r="Y34" s="138">
        <v>766.21</v>
      </c>
      <c r="Z34" s="138">
        <v>271.74</v>
      </c>
      <c r="AA34" s="210">
        <f t="shared" ref="AA34:AA53" si="1">IF($I34="B1","",SUM(O34:Z34))</f>
        <v>5877.2</v>
      </c>
      <c r="AB34" s="142">
        <f t="shared" ref="AB34:AB53" si="2">IF(AA34=0,"",IFERROR(AA34/AA$19,""))</f>
        <v>0.21015203233020166</v>
      </c>
      <c r="AC34" s="140"/>
      <c r="AD34" s="138">
        <v>5854.8</v>
      </c>
      <c r="AE34" s="142">
        <f t="shared" ref="AE34:AE53" si="3">IF(AD34=0,"",IFERROR(AD34/AD$19,""))</f>
        <v>0.34090909090909088</v>
      </c>
      <c r="AF34" s="141">
        <f t="shared" ref="AF34:AF53" si="4">IF(AND($AA34="",AD34=""),"",$AA34-AD34)</f>
        <v>22.399999999999636</v>
      </c>
      <c r="AG34" s="138">
        <v>6724.85</v>
      </c>
      <c r="AH34" s="142">
        <f t="shared" ref="AH34:AH53" si="5">IF(AG34=0,"",IFERROR(AG34/AG$19,""))</f>
        <v>0.34342260818053455</v>
      </c>
      <c r="AI34" s="141">
        <f t="shared" ref="AI34:AI53" si="6">IF(AND($AA34="",AG34=""),"",$AA34-AG34)</f>
        <v>-847.65000000000055</v>
      </c>
      <c r="AJ34" s="462">
        <f t="shared" ref="AJ34:AJ53" si="7">IFERROR(AA34/AA$20,0)</f>
        <v>0.14225686208065061</v>
      </c>
      <c r="AK34" s="463">
        <f t="shared" ref="AK34:AK53" si="8">IFERROR(AD34/AD$20,0)</f>
        <v>0.15</v>
      </c>
      <c r="AL34" s="464">
        <f t="shared" ref="AL34:AL53" si="9">IFERROR(AG34/AG$20,0)</f>
        <v>0.16720579825455631</v>
      </c>
      <c r="AM34" s="465" t="str">
        <f t="shared" ref="AM34:AM53" si="10">+IFERROR(ROUND(($AB34-AE34)*100,2)&amp;" pts.",0)</f>
        <v>-13.08 pts.</v>
      </c>
      <c r="AN34" s="466" t="str">
        <f t="shared" ref="AN34:AN53" si="11">+IFERROR(ROUND(($AB34-AH34)*100,2)&amp;" pts.",0)</f>
        <v>-13.33 pts.</v>
      </c>
      <c r="AO34" s="11"/>
    </row>
    <row r="35" spans="1:41" x14ac:dyDescent="0.25">
      <c r="A35" s="11"/>
      <c r="B35" s="11"/>
      <c r="C35" s="11"/>
      <c r="D35" s="11"/>
      <c r="E35" s="11"/>
      <c r="F35" s="11"/>
      <c r="G35" s="11"/>
      <c r="H35" s="88" t="s">
        <v>425</v>
      </c>
      <c r="I35" s="122" t="str">
        <f>IF(_epmOfflineCondition_,"T5",_xll.EVPRO($B$1,$H35,"STYLE"))</f>
        <v>T5</v>
      </c>
      <c r="J35" s="122" t="str">
        <f>IF(_epmOfflineCondition_,"Y",_xll.EVPRO($B$1,$H35,"CALC"))</f>
        <v>Y</v>
      </c>
      <c r="K35" s="179" t="str">
        <f t="shared" si="0"/>
        <v>&gt;</v>
      </c>
      <c r="L35" s="90" t="str">
        <f>IF(_epmOfflineCondition_,"450100",_xll.EVPRO($B$1,H35,"JDEID"))</f>
        <v>450100</v>
      </c>
      <c r="M35" s="90" t="str">
        <f>IF(_epmOfflineCondition_,"",IF(AND(I35="N",J35="N"),_xll.EVPRO($B$1,H35,"PSFTID"),""))</f>
        <v/>
      </c>
      <c r="N35" s="90" t="str">
        <f>IF(_epmOfflineCondition_,"In Room Movies",IF(_xll.EVDES(H35,$B$1)="#NODATA","",_xll.EVDES(H35,$B$1)))</f>
        <v>In Room Movies</v>
      </c>
      <c r="O35" s="138"/>
      <c r="P35" s="138"/>
      <c r="Q35" s="138"/>
      <c r="R35" s="138"/>
      <c r="S35" s="138"/>
      <c r="T35" s="138"/>
      <c r="U35" s="138"/>
      <c r="V35" s="138"/>
      <c r="W35" s="138"/>
      <c r="X35" s="138"/>
      <c r="Y35" s="138"/>
      <c r="Z35" s="138"/>
      <c r="AA35" s="210">
        <f t="shared" si="1"/>
        <v>0</v>
      </c>
      <c r="AB35" s="142" t="str">
        <f t="shared" si="2"/>
        <v/>
      </c>
      <c r="AC35" s="140"/>
      <c r="AD35" s="138"/>
      <c r="AE35" s="142" t="str">
        <f t="shared" si="3"/>
        <v/>
      </c>
      <c r="AF35" s="141">
        <f t="shared" si="4"/>
        <v>0</v>
      </c>
      <c r="AG35" s="138"/>
      <c r="AH35" s="142" t="str">
        <f t="shared" si="5"/>
        <v/>
      </c>
      <c r="AI35" s="141">
        <f t="shared" si="6"/>
        <v>0</v>
      </c>
      <c r="AJ35" s="462">
        <f t="shared" si="7"/>
        <v>0</v>
      </c>
      <c r="AK35" s="463">
        <f t="shared" si="8"/>
        <v>0</v>
      </c>
      <c r="AL35" s="464">
        <f t="shared" si="9"/>
        <v>0</v>
      </c>
      <c r="AM35" s="465">
        <f t="shared" si="10"/>
        <v>0</v>
      </c>
      <c r="AN35" s="466">
        <f t="shared" si="11"/>
        <v>0</v>
      </c>
      <c r="AO35" s="11"/>
    </row>
    <row r="36" spans="1:41" x14ac:dyDescent="0.25">
      <c r="A36" s="61" t="str">
        <f>IF(_epmOfflineCondition_,"Evdre:Ok",_xll.EVDRE($B$1,A39:B46,A49:B55))</f>
        <v>Evdre:Ok</v>
      </c>
      <c r="B36" s="11"/>
      <c r="C36" s="11"/>
      <c r="D36" s="11"/>
      <c r="E36" s="11"/>
      <c r="F36" s="11"/>
      <c r="G36" s="11"/>
      <c r="H36" s="88" t="s">
        <v>426</v>
      </c>
      <c r="I36" s="122" t="str">
        <f>IF(_epmOfflineCondition_,"T5",_xll.EVPRO($B$1,$H36,"STYLE"))</f>
        <v>T5</v>
      </c>
      <c r="J36" s="122" t="str">
        <f>IF(_epmOfflineCondition_,"Y",_xll.EVPRO($B$1,$H36,"CALC"))</f>
        <v>Y</v>
      </c>
      <c r="K36" s="179" t="str">
        <f t="shared" si="0"/>
        <v>&gt;</v>
      </c>
      <c r="L36" s="90" t="str">
        <f>IF(_epmOfflineCondition_,"450150",_xll.EVPRO($B$1,H36,"JDEID"))</f>
        <v>450150</v>
      </c>
      <c r="M36" s="90" t="str">
        <f>IF(_epmOfflineCondition_,"",IF(AND(I36="N",J36="N"),_xll.EVPRO($B$1,H36,"PSFTID"),""))</f>
        <v/>
      </c>
      <c r="N36" s="90" t="str">
        <f>IF(_epmOfflineCondition_,"Guest Laundry &amp; Dry Cleaning",IF(_xll.EVDES(H36,$B$1)="#NODATA","",_xll.EVDES(H36,$B$1)))</f>
        <v>Guest Laundry &amp; Dry Cleaning</v>
      </c>
      <c r="O36" s="138">
        <v>419.5</v>
      </c>
      <c r="P36" s="138">
        <v>574.47</v>
      </c>
      <c r="Q36" s="138">
        <v>770.27</v>
      </c>
      <c r="R36" s="138">
        <v>1658.35</v>
      </c>
      <c r="S36" s="138">
        <v>997.97</v>
      </c>
      <c r="T36" s="138">
        <v>543.94000000000005</v>
      </c>
      <c r="U36" s="138">
        <v>248.05</v>
      </c>
      <c r="V36" s="138">
        <v>111.1</v>
      </c>
      <c r="W36" s="138"/>
      <c r="X36" s="138">
        <v>1426.11</v>
      </c>
      <c r="Y36" s="138">
        <v>1511.62</v>
      </c>
      <c r="Z36" s="138">
        <v>1240.52</v>
      </c>
      <c r="AA36" s="210">
        <f t="shared" si="1"/>
        <v>9501.9000000000015</v>
      </c>
      <c r="AB36" s="142">
        <f t="shared" si="2"/>
        <v>0.33976104199250384</v>
      </c>
      <c r="AC36" s="140"/>
      <c r="AD36" s="138">
        <v>5074.16</v>
      </c>
      <c r="AE36" s="142">
        <f t="shared" si="3"/>
        <v>0.29545454545454541</v>
      </c>
      <c r="AF36" s="141">
        <f t="shared" si="4"/>
        <v>4427.7400000000016</v>
      </c>
      <c r="AG36" s="138">
        <v>6667</v>
      </c>
      <c r="AH36" s="142">
        <f t="shared" si="5"/>
        <v>0.34046834185738328</v>
      </c>
      <c r="AI36" s="141">
        <f t="shared" si="6"/>
        <v>2834.9000000000015</v>
      </c>
      <c r="AJ36" s="462">
        <f t="shared" si="7"/>
        <v>0.22999225444159369</v>
      </c>
      <c r="AK36" s="463">
        <f t="shared" si="8"/>
        <v>0.13</v>
      </c>
      <c r="AL36" s="464">
        <f t="shared" si="9"/>
        <v>0.16576742335711978</v>
      </c>
      <c r="AM36" s="465" t="str">
        <f t="shared" si="10"/>
        <v>4.43 pts.</v>
      </c>
      <c r="AN36" s="466" t="str">
        <f t="shared" si="11"/>
        <v>-0.07 pts.</v>
      </c>
      <c r="AO36" s="11"/>
    </row>
    <row r="37" spans="1:41" x14ac:dyDescent="0.25">
      <c r="A37" s="11"/>
      <c r="B37" s="11"/>
      <c r="C37" s="11"/>
      <c r="D37" s="11"/>
      <c r="E37" s="11"/>
      <c r="F37" s="11"/>
      <c r="G37" s="11"/>
      <c r="H37" s="88" t="s">
        <v>427</v>
      </c>
      <c r="I37" s="122" t="str">
        <f>IF(_epmOfflineCondition_,"T5",_xll.EVPRO($B$1,$H37,"STYLE"))</f>
        <v>T5</v>
      </c>
      <c r="J37" s="122" t="str">
        <f>IF(_epmOfflineCondition_,"Y",_xll.EVPRO($B$1,$H37,"CALC"))</f>
        <v>Y</v>
      </c>
      <c r="K37" s="179" t="str">
        <f t="shared" si="0"/>
        <v>&gt;</v>
      </c>
      <c r="L37" s="90" t="str">
        <f>IF(_epmOfflineCondition_,"450200",_xll.EVPRO($B$1,H37,"JDEID"))</f>
        <v>450200</v>
      </c>
      <c r="M37" s="90" t="str">
        <f>IF(_epmOfflineCondition_,"",IF(AND(I37="N",J37="N"),_xll.EVPRO($B$1,H37,"PSFTID"),""))</f>
        <v/>
      </c>
      <c r="N37" s="90" t="str">
        <f>IF(_epmOfflineCondition_,"In Room Fax",IF(_xll.EVDES(H37,$B$1)="#NODATA","",_xll.EVDES(H37,$B$1)))</f>
        <v>In Room Fax</v>
      </c>
      <c r="O37" s="138"/>
      <c r="P37" s="138"/>
      <c r="Q37" s="138"/>
      <c r="R37" s="138"/>
      <c r="S37" s="138"/>
      <c r="T37" s="138"/>
      <c r="U37" s="138"/>
      <c r="V37" s="138"/>
      <c r="W37" s="138"/>
      <c r="X37" s="138"/>
      <c r="Y37" s="138"/>
      <c r="Z37" s="138"/>
      <c r="AA37" s="210">
        <f t="shared" si="1"/>
        <v>0</v>
      </c>
      <c r="AB37" s="142" t="str">
        <f t="shared" si="2"/>
        <v/>
      </c>
      <c r="AC37" s="140"/>
      <c r="AD37" s="138"/>
      <c r="AE37" s="142" t="str">
        <f t="shared" si="3"/>
        <v/>
      </c>
      <c r="AF37" s="141">
        <f t="shared" si="4"/>
        <v>0</v>
      </c>
      <c r="AG37" s="138"/>
      <c r="AH37" s="142" t="str">
        <f t="shared" si="5"/>
        <v/>
      </c>
      <c r="AI37" s="141">
        <f t="shared" si="6"/>
        <v>0</v>
      </c>
      <c r="AJ37" s="462">
        <f t="shared" si="7"/>
        <v>0</v>
      </c>
      <c r="AK37" s="463">
        <f t="shared" si="8"/>
        <v>0</v>
      </c>
      <c r="AL37" s="464">
        <f t="shared" si="9"/>
        <v>0</v>
      </c>
      <c r="AM37" s="465">
        <f t="shared" si="10"/>
        <v>0</v>
      </c>
      <c r="AN37" s="466">
        <f t="shared" si="11"/>
        <v>0</v>
      </c>
      <c r="AO37" s="11"/>
    </row>
    <row r="38" spans="1:41" x14ac:dyDescent="0.25">
      <c r="A38" s="62" t="s">
        <v>0</v>
      </c>
      <c r="B38" s="63" t="s">
        <v>1</v>
      </c>
      <c r="C38" s="11"/>
      <c r="D38" s="11"/>
      <c r="E38" s="11"/>
      <c r="F38" s="11"/>
      <c r="G38" s="11"/>
      <c r="H38" s="88" t="s">
        <v>428</v>
      </c>
      <c r="I38" s="122" t="str">
        <f>IF(_epmOfflineCondition_,"T5",_xll.EVPRO($B$1,$H38,"STYLE"))</f>
        <v>T5</v>
      </c>
      <c r="J38" s="122" t="str">
        <f>IF(_epmOfflineCondition_,"Y",_xll.EVPRO($B$1,$H38,"CALC"))</f>
        <v>Y</v>
      </c>
      <c r="K38" s="179" t="str">
        <f t="shared" si="0"/>
        <v>&gt;</v>
      </c>
      <c r="L38" s="90" t="str">
        <f>IF(_epmOfflineCondition_,"450250",_xll.EVPRO($B$1,H38,"JDEID"))</f>
        <v>450250</v>
      </c>
      <c r="M38" s="90" t="str">
        <f>IF(_epmOfflineCondition_,"",IF(AND(I38="N",J38="N"),_xll.EVPRO($B$1,H38,"PSFTID"),""))</f>
        <v/>
      </c>
      <c r="N38" s="90" t="str">
        <f>IF(_epmOfflineCondition_,"In Room Items",IF(_xll.EVDES(H38,$B$1)="#NODATA","",_xll.EVDES(H38,$B$1)))</f>
        <v>In Room Items</v>
      </c>
      <c r="O38" s="138">
        <v>705</v>
      </c>
      <c r="P38" s="138">
        <v>1280</v>
      </c>
      <c r="Q38" s="138">
        <v>2390.02</v>
      </c>
      <c r="R38" s="138">
        <v>1085</v>
      </c>
      <c r="S38" s="138">
        <v>1050</v>
      </c>
      <c r="T38" s="138">
        <v>920</v>
      </c>
      <c r="U38" s="138">
        <v>765</v>
      </c>
      <c r="V38" s="138">
        <v>1605</v>
      </c>
      <c r="W38" s="138">
        <v>425</v>
      </c>
      <c r="X38" s="138">
        <v>600</v>
      </c>
      <c r="Y38" s="138">
        <v>987.3</v>
      </c>
      <c r="Z38" s="138">
        <v>775</v>
      </c>
      <c r="AA38" s="210">
        <f t="shared" si="1"/>
        <v>12587.32</v>
      </c>
      <c r="AB38" s="142">
        <f t="shared" si="2"/>
        <v>0.4500869256772943</v>
      </c>
      <c r="AC38" s="140"/>
      <c r="AD38" s="138">
        <v>6245.12</v>
      </c>
      <c r="AE38" s="142">
        <f t="shared" si="3"/>
        <v>0.36363636363636359</v>
      </c>
      <c r="AF38" s="141">
        <f t="shared" si="4"/>
        <v>6342.2</v>
      </c>
      <c r="AG38" s="138">
        <v>6095</v>
      </c>
      <c r="AH38" s="142">
        <f t="shared" si="5"/>
        <v>0.31125761866217955</v>
      </c>
      <c r="AI38" s="141">
        <f t="shared" si="6"/>
        <v>6492.32</v>
      </c>
      <c r="AJ38" s="462">
        <f t="shared" si="7"/>
        <v>0.30467444449823305</v>
      </c>
      <c r="AK38" s="463">
        <f t="shared" si="8"/>
        <v>0.16</v>
      </c>
      <c r="AL38" s="464">
        <f t="shared" si="9"/>
        <v>0.15154528953976976</v>
      </c>
      <c r="AM38" s="465" t="str">
        <f t="shared" si="10"/>
        <v>8.65 pts.</v>
      </c>
      <c r="AN38" s="466" t="str">
        <f t="shared" si="11"/>
        <v>13.88 pts.</v>
      </c>
      <c r="AO38" s="11"/>
    </row>
    <row r="39" spans="1:41" x14ac:dyDescent="0.25">
      <c r="A39" s="65" t="s">
        <v>2</v>
      </c>
      <c r="B39" s="66" t="str">
        <f>IF(_epmOfflineCondition_,"'Minor_Op'!$B$2:$B$10",_xll.EVRNG($B$2:$B$10))</f>
        <v>'Minor_Op'!$B$2:$B$10</v>
      </c>
      <c r="C39" s="11"/>
      <c r="D39" s="11"/>
      <c r="E39" s="11"/>
      <c r="F39" s="11"/>
      <c r="G39" s="11"/>
      <c r="H39" s="88" t="s">
        <v>429</v>
      </c>
      <c r="I39" s="122" t="str">
        <f>IF(_epmOfflineCondition_,"T5",_xll.EVPRO($B$1,$H39,"STYLE"))</f>
        <v>T5</v>
      </c>
      <c r="J39" s="122" t="str">
        <f>IF(_epmOfflineCondition_,"Y",_xll.EVPRO($B$1,$H39,"CALC"))</f>
        <v>Y</v>
      </c>
      <c r="K39" s="179" t="str">
        <f t="shared" si="0"/>
        <v>&gt;</v>
      </c>
      <c r="L39" s="90" t="str">
        <f>IF(_epmOfflineCondition_,"450300",_xll.EVPRO($B$1,H39,"JDEID"))</f>
        <v>450300</v>
      </c>
      <c r="M39" s="90" t="str">
        <f>IF(_epmOfflineCondition_,"",IF(AND(I39="N",J39="N"),_xll.EVPRO($B$1,H39,"PSFTID"),""))</f>
        <v/>
      </c>
      <c r="N39" s="90" t="str">
        <f>IF(_epmOfflineCondition_,"Massage Services",IF(_xll.EVDES(H39,$B$1)="#NODATA","",_xll.EVDES(H39,$B$1)))</f>
        <v>Massage Services</v>
      </c>
      <c r="O39" s="138"/>
      <c r="P39" s="138"/>
      <c r="Q39" s="138"/>
      <c r="R39" s="138"/>
      <c r="S39" s="138"/>
      <c r="T39" s="138"/>
      <c r="U39" s="138"/>
      <c r="V39" s="138"/>
      <c r="W39" s="138"/>
      <c r="X39" s="138"/>
      <c r="Y39" s="138"/>
      <c r="Z39" s="138"/>
      <c r="AA39" s="210">
        <f t="shared" si="1"/>
        <v>0</v>
      </c>
      <c r="AB39" s="142" t="str">
        <f t="shared" si="2"/>
        <v/>
      </c>
      <c r="AC39" s="140"/>
      <c r="AD39" s="138"/>
      <c r="AE39" s="142" t="str">
        <f t="shared" si="3"/>
        <v/>
      </c>
      <c r="AF39" s="141">
        <f t="shared" si="4"/>
        <v>0</v>
      </c>
      <c r="AG39" s="138"/>
      <c r="AH39" s="142" t="str">
        <f t="shared" si="5"/>
        <v/>
      </c>
      <c r="AI39" s="141">
        <f t="shared" si="6"/>
        <v>0</v>
      </c>
      <c r="AJ39" s="462">
        <f t="shared" si="7"/>
        <v>0</v>
      </c>
      <c r="AK39" s="463">
        <f t="shared" si="8"/>
        <v>0</v>
      </c>
      <c r="AL39" s="464">
        <f t="shared" si="9"/>
        <v>0</v>
      </c>
      <c r="AM39" s="465">
        <f t="shared" si="10"/>
        <v>0</v>
      </c>
      <c r="AN39" s="466">
        <f t="shared" si="11"/>
        <v>0</v>
      </c>
      <c r="AO39" s="11"/>
    </row>
    <row r="40" spans="1:41" x14ac:dyDescent="0.25">
      <c r="A40" s="65" t="s">
        <v>3</v>
      </c>
      <c r="B40" s="66" t="str">
        <f>IF(_epmOfflineCondition_,"'Minor_Op'!$O$16:$AN$18",_xll.EVRNG($O$16:$AN$18))</f>
        <v>'Minor_Op'!$O$16:$AN$18</v>
      </c>
      <c r="C40" s="11"/>
      <c r="D40" s="11"/>
      <c r="E40" s="11"/>
      <c r="F40" s="11"/>
      <c r="G40" s="11"/>
      <c r="H40" s="88" t="s">
        <v>430</v>
      </c>
      <c r="I40" s="122" t="str">
        <f>IF(_epmOfflineCondition_,"T5",_xll.EVPRO($B$1,$H40,"STYLE"))</f>
        <v>T5</v>
      </c>
      <c r="J40" s="122" t="str">
        <f>IF(_epmOfflineCondition_,"Y",_xll.EVPRO($B$1,$H40,"CALC"))</f>
        <v>Y</v>
      </c>
      <c r="K40" s="179" t="str">
        <f t="shared" si="0"/>
        <v>&gt;</v>
      </c>
      <c r="L40" s="90" t="str">
        <f>IF(_epmOfflineCondition_,"450350",_xll.EVPRO($B$1,H40,"JDEID"))</f>
        <v>450350</v>
      </c>
      <c r="M40" s="90" t="str">
        <f>IF(_epmOfflineCondition_,"",IF(AND(I40="N",J40="N"),_xll.EVPRO($B$1,H40,"PSFTID"),""))</f>
        <v/>
      </c>
      <c r="N40" s="90" t="str">
        <f>IF(_epmOfflineCondition_,"Gym Passes",IF(_xll.EVDES(H40,$B$1)="#NODATA","",_xll.EVDES(H40,$B$1)))</f>
        <v>Gym Passes</v>
      </c>
      <c r="O40" s="138"/>
      <c r="P40" s="138"/>
      <c r="Q40" s="138"/>
      <c r="R40" s="138"/>
      <c r="S40" s="138"/>
      <c r="T40" s="138"/>
      <c r="U40" s="138"/>
      <c r="V40" s="138"/>
      <c r="W40" s="138"/>
      <c r="X40" s="138"/>
      <c r="Y40" s="138"/>
      <c r="Z40" s="138"/>
      <c r="AA40" s="210">
        <f t="shared" si="1"/>
        <v>0</v>
      </c>
      <c r="AB40" s="142" t="str">
        <f t="shared" si="2"/>
        <v/>
      </c>
      <c r="AC40" s="140"/>
      <c r="AD40" s="138"/>
      <c r="AE40" s="142" t="str">
        <f t="shared" si="3"/>
        <v/>
      </c>
      <c r="AF40" s="141">
        <f t="shared" si="4"/>
        <v>0</v>
      </c>
      <c r="AG40" s="138"/>
      <c r="AH40" s="142" t="str">
        <f t="shared" si="5"/>
        <v/>
      </c>
      <c r="AI40" s="141">
        <f t="shared" si="6"/>
        <v>0</v>
      </c>
      <c r="AJ40" s="462">
        <f t="shared" si="7"/>
        <v>0</v>
      </c>
      <c r="AK40" s="463">
        <f t="shared" si="8"/>
        <v>0</v>
      </c>
      <c r="AL40" s="464">
        <f t="shared" si="9"/>
        <v>0</v>
      </c>
      <c r="AM40" s="465">
        <f t="shared" si="10"/>
        <v>0</v>
      </c>
      <c r="AN40" s="466">
        <f t="shared" si="11"/>
        <v>0</v>
      </c>
      <c r="AO40" s="11"/>
    </row>
    <row r="41" spans="1:41" x14ac:dyDescent="0.25">
      <c r="A41" s="65" t="s">
        <v>4</v>
      </c>
      <c r="B41" s="66" t="str">
        <f>IF(_epmOfflineCondition_,"'Minor_Op'!$H$77:$H$94",_xll.EVRNG(H77:H94))</f>
        <v>'Minor_Op'!$H$77:$H$94</v>
      </c>
      <c r="C41" s="11"/>
      <c r="D41" s="11"/>
      <c r="E41" s="11"/>
      <c r="F41" s="11"/>
      <c r="G41" s="11"/>
      <c r="H41" s="88" t="s">
        <v>475</v>
      </c>
      <c r="I41" s="122" t="str">
        <f>IF(_epmOfflineCondition_,"N",_xll.EVPRO($B$1,$H41,"STYLE"))</f>
        <v>N</v>
      </c>
      <c r="J41" s="122" t="str">
        <f>IF(_epmOfflineCondition_,"N",_xll.EVPRO($B$1,$H41,"CALC"))</f>
        <v>N</v>
      </c>
      <c r="K41" s="179" t="str">
        <f t="shared" si="0"/>
        <v/>
      </c>
      <c r="L41" s="90" t="str">
        <f>IF(_epmOfflineCondition_,"450375",_xll.EVPRO($B$1,H41,"JDEID"))</f>
        <v>450375</v>
      </c>
      <c r="M41" s="90" t="str">
        <f>IF(_epmOfflineCondition_,"207005",IF(AND(I41="N",J41="N"),_xll.EVPRO($B$1,H41,"PSFTID"),""))</f>
        <v>207005</v>
      </c>
      <c r="N41" s="90" t="str">
        <f>IF(_epmOfflineCondition_,"Shared Facilities &amp; Services Revenue",IF(_xll.EVDES(H41,$B$1)="#NODATA","",_xll.EVDES(H41,$B$1)))</f>
        <v>Shared Facilities &amp; Services Revenue</v>
      </c>
      <c r="O41" s="138"/>
      <c r="P41" s="138"/>
      <c r="Q41" s="138"/>
      <c r="R41" s="138"/>
      <c r="S41" s="138"/>
      <c r="T41" s="138"/>
      <c r="U41" s="138"/>
      <c r="V41" s="138"/>
      <c r="W41" s="138"/>
      <c r="X41" s="138"/>
      <c r="Y41" s="138"/>
      <c r="Z41" s="138"/>
      <c r="AA41" s="210">
        <f t="shared" si="1"/>
        <v>0</v>
      </c>
      <c r="AB41" s="142" t="str">
        <f t="shared" si="2"/>
        <v/>
      </c>
      <c r="AC41" s="140"/>
      <c r="AD41" s="138"/>
      <c r="AE41" s="142" t="str">
        <f t="shared" si="3"/>
        <v/>
      </c>
      <c r="AF41" s="141">
        <f t="shared" si="4"/>
        <v>0</v>
      </c>
      <c r="AG41" s="138"/>
      <c r="AH41" s="142" t="str">
        <f t="shared" si="5"/>
        <v/>
      </c>
      <c r="AI41" s="141">
        <f t="shared" si="6"/>
        <v>0</v>
      </c>
      <c r="AJ41" s="462">
        <f t="shared" si="7"/>
        <v>0</v>
      </c>
      <c r="AK41" s="463">
        <f t="shared" si="8"/>
        <v>0</v>
      </c>
      <c r="AL41" s="464">
        <f t="shared" si="9"/>
        <v>0</v>
      </c>
      <c r="AM41" s="465">
        <f t="shared" si="10"/>
        <v>0</v>
      </c>
      <c r="AN41" s="466">
        <f t="shared" si="11"/>
        <v>0</v>
      </c>
      <c r="AO41" s="11"/>
    </row>
    <row r="42" spans="1:41" x14ac:dyDescent="0.25">
      <c r="A42" s="65" t="s">
        <v>5</v>
      </c>
      <c r="B42" s="66"/>
      <c r="C42" s="11"/>
      <c r="D42" s="11"/>
      <c r="E42" s="11"/>
      <c r="F42" s="11"/>
      <c r="G42" s="11"/>
      <c r="H42" s="88" t="s">
        <v>476</v>
      </c>
      <c r="I42" s="122" t="str">
        <f>IF(_epmOfflineCondition_,"T5",_xll.EVPRO($B$1,$H42,"STYLE"))</f>
        <v>T5</v>
      </c>
      <c r="J42" s="122" t="str">
        <f>IF(_epmOfflineCondition_,"Y",_xll.EVPRO($B$1,$H42,"CALC"))</f>
        <v>Y</v>
      </c>
      <c r="K42" s="179" t="str">
        <f t="shared" si="0"/>
        <v>&gt;</v>
      </c>
      <c r="L42" s="90" t="str">
        <f>IF(_epmOfflineCondition_,"450380",_xll.EVPRO($B$1,H42,"JDEID"))</f>
        <v>450380</v>
      </c>
      <c r="M42" s="90" t="str">
        <f>IF(_epmOfflineCondition_,"",IF(AND(I42="N",J42="N"),_xll.EVPRO($B$1,H42,"PSFTID"),""))</f>
        <v/>
      </c>
      <c r="N42" s="90" t="str">
        <f>IF(_epmOfflineCondition_,"Retail Kiosk",IF(_xll.EVDES(H42,$B$1)="#NODATA","",_xll.EVDES(H42,$B$1)))</f>
        <v>Retail Kiosk</v>
      </c>
      <c r="O42" s="138"/>
      <c r="P42" s="138"/>
      <c r="Q42" s="138"/>
      <c r="R42" s="138"/>
      <c r="S42" s="138"/>
      <c r="T42" s="138"/>
      <c r="U42" s="138"/>
      <c r="V42" s="138"/>
      <c r="W42" s="138"/>
      <c r="X42" s="138"/>
      <c r="Y42" s="138"/>
      <c r="Z42" s="138"/>
      <c r="AA42" s="210">
        <f t="shared" si="1"/>
        <v>0</v>
      </c>
      <c r="AB42" s="142" t="str">
        <f t="shared" si="2"/>
        <v/>
      </c>
      <c r="AC42" s="140"/>
      <c r="AD42" s="138"/>
      <c r="AE42" s="142" t="str">
        <f t="shared" si="3"/>
        <v/>
      </c>
      <c r="AF42" s="141">
        <f t="shared" si="4"/>
        <v>0</v>
      </c>
      <c r="AG42" s="138"/>
      <c r="AH42" s="142" t="str">
        <f t="shared" si="5"/>
        <v/>
      </c>
      <c r="AI42" s="141">
        <f t="shared" si="6"/>
        <v>0</v>
      </c>
      <c r="AJ42" s="462">
        <f t="shared" si="7"/>
        <v>0</v>
      </c>
      <c r="AK42" s="463">
        <f t="shared" si="8"/>
        <v>0</v>
      </c>
      <c r="AL42" s="464">
        <f t="shared" si="9"/>
        <v>0</v>
      </c>
      <c r="AM42" s="465">
        <f t="shared" si="10"/>
        <v>0</v>
      </c>
      <c r="AN42" s="466">
        <f t="shared" si="11"/>
        <v>0</v>
      </c>
      <c r="AO42" s="11"/>
    </row>
    <row r="43" spans="1:41" x14ac:dyDescent="0.25">
      <c r="A43" s="65" t="s">
        <v>6</v>
      </c>
      <c r="B43" s="66"/>
      <c r="C43" s="11"/>
      <c r="D43" s="11"/>
      <c r="E43" s="11"/>
      <c r="F43" s="11"/>
      <c r="G43" s="11"/>
      <c r="H43" s="88" t="s">
        <v>477</v>
      </c>
      <c r="I43" s="122" t="str">
        <f>IF(_epmOfflineCondition_,"T5",_xll.EVPRO($B$1,$H43,"STYLE"))</f>
        <v>T5</v>
      </c>
      <c r="J43" s="122" t="str">
        <f>IF(_epmOfflineCondition_,"Y",_xll.EVPRO($B$1,$H43,"CALC"))</f>
        <v>Y</v>
      </c>
      <c r="K43" s="179" t="str">
        <f t="shared" si="0"/>
        <v>&gt;</v>
      </c>
      <c r="L43" s="90" t="str">
        <f>IF(_epmOfflineCondition_,"450385",_xll.EVPRO($B$1,H43,"JDEID"))</f>
        <v>450385</v>
      </c>
      <c r="M43" s="90" t="str">
        <f>IF(_epmOfflineCondition_,"",IF(AND(I43="N",J43="N"),_xll.EVPRO($B$1,H43,"PSFTID"),""))</f>
        <v/>
      </c>
      <c r="N43" s="90" t="str">
        <f>IF(_epmOfflineCondition_,"Vending Machines",IF(_xll.EVDES(H43,$B$1)="#NODATA","",_xll.EVDES(H43,$B$1)))</f>
        <v>Vending Machines</v>
      </c>
      <c r="O43" s="138"/>
      <c r="P43" s="138"/>
      <c r="Q43" s="138"/>
      <c r="R43" s="138"/>
      <c r="S43" s="138"/>
      <c r="T43" s="138"/>
      <c r="U43" s="138"/>
      <c r="V43" s="138"/>
      <c r="W43" s="138"/>
      <c r="X43" s="138"/>
      <c r="Y43" s="138"/>
      <c r="Z43" s="138"/>
      <c r="AA43" s="210">
        <f t="shared" si="1"/>
        <v>0</v>
      </c>
      <c r="AB43" s="142" t="str">
        <f t="shared" si="2"/>
        <v/>
      </c>
      <c r="AC43" s="140"/>
      <c r="AD43" s="138"/>
      <c r="AE43" s="142" t="str">
        <f t="shared" si="3"/>
        <v/>
      </c>
      <c r="AF43" s="141">
        <f t="shared" si="4"/>
        <v>0</v>
      </c>
      <c r="AG43" s="138"/>
      <c r="AH43" s="142" t="str">
        <f t="shared" si="5"/>
        <v/>
      </c>
      <c r="AI43" s="141">
        <f t="shared" si="6"/>
        <v>0</v>
      </c>
      <c r="AJ43" s="462">
        <f t="shared" si="7"/>
        <v>0</v>
      </c>
      <c r="AK43" s="463">
        <f t="shared" si="8"/>
        <v>0</v>
      </c>
      <c r="AL43" s="464">
        <f t="shared" si="9"/>
        <v>0</v>
      </c>
      <c r="AM43" s="465">
        <f t="shared" si="10"/>
        <v>0</v>
      </c>
      <c r="AN43" s="466">
        <f t="shared" si="11"/>
        <v>0</v>
      </c>
      <c r="AO43" s="11"/>
    </row>
    <row r="44" spans="1:41" x14ac:dyDescent="0.25">
      <c r="A44" s="65" t="s">
        <v>7</v>
      </c>
      <c r="B44" s="66" t="str">
        <f>IF(_epmOfflineCondition_,"'Minor_Op'!$A$58:$F$62",_xll.EVRNG(A58:F62))</f>
        <v>'Minor_Op'!$A$58:$F$62</v>
      </c>
      <c r="C44" s="11"/>
      <c r="D44" s="11"/>
      <c r="E44" s="11"/>
      <c r="F44" s="11"/>
      <c r="G44" s="11"/>
      <c r="H44" s="88" t="s">
        <v>478</v>
      </c>
      <c r="I44" s="122" t="str">
        <f>IF(_epmOfflineCondition_,"T5",_xll.EVPRO($B$1,$H44,"STYLE"))</f>
        <v>T5</v>
      </c>
      <c r="J44" s="122" t="str">
        <f>IF(_epmOfflineCondition_,"Y",_xll.EVPRO($B$1,$H44,"CALC"))</f>
        <v>Y</v>
      </c>
      <c r="K44" s="179" t="str">
        <f t="shared" si="0"/>
        <v>&gt;</v>
      </c>
      <c r="L44" s="90" t="str">
        <f>IF(_epmOfflineCondition_,"450390",_xll.EVPRO($B$1,H44,"JDEID"))</f>
        <v>450390</v>
      </c>
      <c r="M44" s="90" t="str">
        <f>IF(_epmOfflineCondition_,"",IF(AND(I44="N",J44="N"),_xll.EVPRO($B$1,H44,"PSFTID"),""))</f>
        <v/>
      </c>
      <c r="N44" s="90" t="str">
        <f>IF(_epmOfflineCondition_,"Laundry Machines",IF(_xll.EVDES(H44,$B$1)="#NODATA","",_xll.EVDES(H44,$B$1)))</f>
        <v>Laundry Machines</v>
      </c>
      <c r="O44" s="138"/>
      <c r="P44" s="138"/>
      <c r="Q44" s="138"/>
      <c r="R44" s="138"/>
      <c r="S44" s="138"/>
      <c r="T44" s="138"/>
      <c r="U44" s="138"/>
      <c r="V44" s="138"/>
      <c r="W44" s="138"/>
      <c r="X44" s="138"/>
      <c r="Y44" s="138"/>
      <c r="Z44" s="138"/>
      <c r="AA44" s="210">
        <f t="shared" si="1"/>
        <v>0</v>
      </c>
      <c r="AB44" s="142" t="str">
        <f t="shared" si="2"/>
        <v/>
      </c>
      <c r="AC44" s="140"/>
      <c r="AD44" s="138"/>
      <c r="AE44" s="142" t="str">
        <f t="shared" si="3"/>
        <v/>
      </c>
      <c r="AF44" s="141">
        <f t="shared" si="4"/>
        <v>0</v>
      </c>
      <c r="AG44" s="138"/>
      <c r="AH44" s="142" t="str">
        <f t="shared" si="5"/>
        <v/>
      </c>
      <c r="AI44" s="141">
        <f t="shared" si="6"/>
        <v>0</v>
      </c>
      <c r="AJ44" s="462">
        <f t="shared" si="7"/>
        <v>0</v>
      </c>
      <c r="AK44" s="463">
        <f t="shared" si="8"/>
        <v>0</v>
      </c>
      <c r="AL44" s="464">
        <f t="shared" si="9"/>
        <v>0</v>
      </c>
      <c r="AM44" s="465">
        <f t="shared" si="10"/>
        <v>0</v>
      </c>
      <c r="AN44" s="466">
        <f t="shared" si="11"/>
        <v>0</v>
      </c>
      <c r="AO44" s="11"/>
    </row>
    <row r="45" spans="1:41" x14ac:dyDescent="0.25">
      <c r="A45" s="65" t="s">
        <v>47</v>
      </c>
      <c r="B45" s="66" t="str">
        <f>IF(_epmOfflineCondition_,"'Minor_Op'!$A$79:$B$100",_xll.EVRNG($A$79:$B$100))</f>
        <v>'Minor_Op'!$A$79:$B$100</v>
      </c>
      <c r="C45" s="11"/>
      <c r="D45" s="11"/>
      <c r="E45" s="11"/>
      <c r="F45" s="11"/>
      <c r="G45" s="11"/>
      <c r="H45" s="88" t="s">
        <v>479</v>
      </c>
      <c r="I45" s="122" t="str">
        <f>IF(_epmOfflineCondition_,"T5",_xll.EVPRO($B$1,$H45,"STYLE"))</f>
        <v>T5</v>
      </c>
      <c r="J45" s="122" t="str">
        <f>IF(_epmOfflineCondition_,"Y",_xll.EVPRO($B$1,$H45,"CALC"))</f>
        <v>Y</v>
      </c>
      <c r="K45" s="179" t="str">
        <f t="shared" si="0"/>
        <v>&gt;</v>
      </c>
      <c r="L45" s="90" t="str">
        <f>IF(_epmOfflineCondition_,"450395",_xll.EVPRO($B$1,H45,"JDEID"))</f>
        <v>450395</v>
      </c>
      <c r="M45" s="90" t="str">
        <f>IF(_epmOfflineCondition_,"",IF(AND(I45="N",J45="N"),_xll.EVPRO($B$1,H45,"PSFTID"),""))</f>
        <v/>
      </c>
      <c r="N45" s="90" t="str">
        <f>IF(_epmOfflineCondition_,"Occasional F&amp;B",IF(_xll.EVDES(H45,$B$1)="#NODATA","",_xll.EVDES(H45,$B$1)))</f>
        <v>Occasional F&amp;B</v>
      </c>
      <c r="O45" s="138"/>
      <c r="P45" s="138"/>
      <c r="Q45" s="138"/>
      <c r="R45" s="138"/>
      <c r="S45" s="138"/>
      <c r="T45" s="138"/>
      <c r="U45" s="138"/>
      <c r="V45" s="138"/>
      <c r="W45" s="138"/>
      <c r="X45" s="138"/>
      <c r="Y45" s="138"/>
      <c r="Z45" s="138"/>
      <c r="AA45" s="210">
        <f t="shared" si="1"/>
        <v>0</v>
      </c>
      <c r="AB45" s="142" t="str">
        <f t="shared" si="2"/>
        <v/>
      </c>
      <c r="AC45" s="140"/>
      <c r="AD45" s="138"/>
      <c r="AE45" s="142" t="str">
        <f t="shared" si="3"/>
        <v/>
      </c>
      <c r="AF45" s="141">
        <f t="shared" si="4"/>
        <v>0</v>
      </c>
      <c r="AG45" s="138"/>
      <c r="AH45" s="142" t="str">
        <f t="shared" si="5"/>
        <v/>
      </c>
      <c r="AI45" s="141">
        <f t="shared" si="6"/>
        <v>0</v>
      </c>
      <c r="AJ45" s="462">
        <f t="shared" si="7"/>
        <v>0</v>
      </c>
      <c r="AK45" s="463">
        <f t="shared" si="8"/>
        <v>0</v>
      </c>
      <c r="AL45" s="464">
        <f t="shared" si="9"/>
        <v>0</v>
      </c>
      <c r="AM45" s="465">
        <f t="shared" si="10"/>
        <v>0</v>
      </c>
      <c r="AN45" s="466">
        <f t="shared" si="11"/>
        <v>0</v>
      </c>
      <c r="AO45" s="11"/>
    </row>
    <row r="46" spans="1:41" x14ac:dyDescent="0.25">
      <c r="A46" s="65" t="s">
        <v>8</v>
      </c>
      <c r="B46" s="66"/>
      <c r="C46" s="11"/>
      <c r="D46" s="11"/>
      <c r="E46" s="11"/>
      <c r="F46" s="11"/>
      <c r="G46" s="11"/>
      <c r="H46" s="88" t="s">
        <v>431</v>
      </c>
      <c r="I46" s="122" t="str">
        <f>IF(_epmOfflineCondition_,"T5",_xll.EVPRO($B$1,$H46,"STYLE"))</f>
        <v>T5</v>
      </c>
      <c r="J46" s="122" t="str">
        <f>IF(_epmOfflineCondition_,"Y",_xll.EVPRO($B$1,$H46,"CALC"))</f>
        <v>Y</v>
      </c>
      <c r="K46" s="179" t="str">
        <f t="shared" si="0"/>
        <v>&gt;</v>
      </c>
      <c r="L46" s="90" t="str">
        <f>IF(_epmOfflineCondition_,"450400",_xll.EVPRO($B$1,H46,"JDEID"))</f>
        <v>450400</v>
      </c>
      <c r="M46" s="90" t="str">
        <f>IF(_epmOfflineCondition_,"",IF(AND(I46="N",J46="N"),_xll.EVPRO($B$1,H46,"PSFTID"),""))</f>
        <v/>
      </c>
      <c r="N46" s="90" t="str">
        <f>IF(_epmOfflineCondition_,"Other 1",IF(_xll.EVDES(H46,$B$1)="#NODATA","",_xll.EVDES(H46,$B$1)))</f>
        <v>Other 1</v>
      </c>
      <c r="O46" s="138"/>
      <c r="P46" s="138"/>
      <c r="Q46" s="138"/>
      <c r="R46" s="138"/>
      <c r="S46" s="138"/>
      <c r="T46" s="138"/>
      <c r="U46" s="138"/>
      <c r="V46" s="138"/>
      <c r="W46" s="138"/>
      <c r="X46" s="138"/>
      <c r="Y46" s="138"/>
      <c r="Z46" s="138"/>
      <c r="AA46" s="210">
        <f t="shared" si="1"/>
        <v>0</v>
      </c>
      <c r="AB46" s="142" t="str">
        <f t="shared" si="2"/>
        <v/>
      </c>
      <c r="AC46" s="140"/>
      <c r="AD46" s="138"/>
      <c r="AE46" s="142" t="str">
        <f t="shared" si="3"/>
        <v/>
      </c>
      <c r="AF46" s="141">
        <f t="shared" si="4"/>
        <v>0</v>
      </c>
      <c r="AG46" s="138">
        <v>95</v>
      </c>
      <c r="AH46" s="142">
        <f t="shared" si="5"/>
        <v>4.8514312999027162E-3</v>
      </c>
      <c r="AI46" s="141">
        <f t="shared" si="6"/>
        <v>-95</v>
      </c>
      <c r="AJ46" s="462">
        <f t="shared" si="7"/>
        <v>0</v>
      </c>
      <c r="AK46" s="463">
        <f t="shared" si="8"/>
        <v>0</v>
      </c>
      <c r="AL46" s="464">
        <f t="shared" si="9"/>
        <v>2.3620676794549838E-3</v>
      </c>
      <c r="AM46" s="465">
        <f t="shared" si="10"/>
        <v>0</v>
      </c>
      <c r="AN46" s="466">
        <f t="shared" si="11"/>
        <v>0</v>
      </c>
      <c r="AO46" s="11"/>
    </row>
    <row r="47" spans="1:41" x14ac:dyDescent="0.25">
      <c r="A47" s="11"/>
      <c r="B47" s="11"/>
      <c r="C47" s="11"/>
      <c r="D47" s="11"/>
      <c r="E47" s="11"/>
      <c r="F47" s="11"/>
      <c r="G47" s="11"/>
      <c r="H47" s="88" t="s">
        <v>432</v>
      </c>
      <c r="I47" s="122" t="str">
        <f>IF(_epmOfflineCondition_,"T5",_xll.EVPRO($B$1,$H47,"STYLE"))</f>
        <v>T5</v>
      </c>
      <c r="J47" s="122" t="str">
        <f>IF(_epmOfflineCondition_,"Y",_xll.EVPRO($B$1,$H47,"CALC"))</f>
        <v>Y</v>
      </c>
      <c r="K47" s="179" t="str">
        <f t="shared" si="0"/>
        <v>&gt;</v>
      </c>
      <c r="L47" s="90" t="str">
        <f>IF(_epmOfflineCondition_,"450450",_xll.EVPRO($B$1,H47,"JDEID"))</f>
        <v>450450</v>
      </c>
      <c r="M47" s="90" t="str">
        <f>IF(_epmOfflineCondition_,"",IF(AND(I47="N",J47="N"),_xll.EVPRO($B$1,H47,"PSFTID"),""))</f>
        <v/>
      </c>
      <c r="N47" s="90" t="str">
        <f>IF(_epmOfflineCondition_,"Other 2",IF(_xll.EVDES(H47,$B$1)="#NODATA","",_xll.EVDES(H47,$B$1)))</f>
        <v>Other 2</v>
      </c>
      <c r="O47" s="138"/>
      <c r="P47" s="138"/>
      <c r="Q47" s="138"/>
      <c r="R47" s="138"/>
      <c r="S47" s="138"/>
      <c r="T47" s="138"/>
      <c r="U47" s="138"/>
      <c r="V47" s="138"/>
      <c r="W47" s="138"/>
      <c r="X47" s="138"/>
      <c r="Y47" s="138"/>
      <c r="Z47" s="138"/>
      <c r="AA47" s="210">
        <f t="shared" si="1"/>
        <v>0</v>
      </c>
      <c r="AB47" s="142" t="str">
        <f t="shared" si="2"/>
        <v/>
      </c>
      <c r="AC47" s="140"/>
      <c r="AD47" s="138"/>
      <c r="AE47" s="142" t="str">
        <f t="shared" si="3"/>
        <v/>
      </c>
      <c r="AF47" s="141">
        <f t="shared" si="4"/>
        <v>0</v>
      </c>
      <c r="AG47" s="138"/>
      <c r="AH47" s="142" t="str">
        <f t="shared" si="5"/>
        <v/>
      </c>
      <c r="AI47" s="141">
        <f t="shared" si="6"/>
        <v>0</v>
      </c>
      <c r="AJ47" s="462">
        <f t="shared" si="7"/>
        <v>0</v>
      </c>
      <c r="AK47" s="463">
        <f t="shared" si="8"/>
        <v>0</v>
      </c>
      <c r="AL47" s="464">
        <f t="shared" si="9"/>
        <v>0</v>
      </c>
      <c r="AM47" s="465">
        <f t="shared" si="10"/>
        <v>0</v>
      </c>
      <c r="AN47" s="466">
        <f t="shared" si="11"/>
        <v>0</v>
      </c>
      <c r="AO47" s="11"/>
    </row>
    <row r="48" spans="1:41" x14ac:dyDescent="0.25">
      <c r="A48" s="62" t="s">
        <v>9</v>
      </c>
      <c r="B48" s="63" t="s">
        <v>10</v>
      </c>
      <c r="C48" s="11"/>
      <c r="D48" s="11"/>
      <c r="E48" s="11"/>
      <c r="F48" s="11"/>
      <c r="G48" s="11"/>
      <c r="H48" s="88" t="s">
        <v>433</v>
      </c>
      <c r="I48" s="122" t="str">
        <f>IF(_epmOfflineCondition_,"T5",_xll.EVPRO($B$1,$H48,"STYLE"))</f>
        <v>T5</v>
      </c>
      <c r="J48" s="122" t="str">
        <f>IF(_epmOfflineCondition_,"Y",_xll.EVPRO($B$1,$H48,"CALC"))</f>
        <v>Y</v>
      </c>
      <c r="K48" s="179" t="str">
        <f t="shared" si="0"/>
        <v>&gt;</v>
      </c>
      <c r="L48" s="90" t="str">
        <f>IF(_epmOfflineCondition_,"450500",_xll.EVPRO($B$1,H48,"JDEID"))</f>
        <v>450500</v>
      </c>
      <c r="M48" s="90" t="str">
        <f>IF(_epmOfflineCondition_,"",IF(AND(I48="N",J48="N"),_xll.EVPRO($B$1,H48,"PSFTID"),""))</f>
        <v/>
      </c>
      <c r="N48" s="90" t="str">
        <f>IF(_epmOfflineCondition_,"Other 3",IF(_xll.EVDES(H48,$B$1)="#NODATA","",_xll.EVDES(H48,$B$1)))</f>
        <v>Other 3</v>
      </c>
      <c r="O48" s="138"/>
      <c r="P48" s="138"/>
      <c r="Q48" s="138"/>
      <c r="R48" s="138"/>
      <c r="S48" s="138"/>
      <c r="T48" s="138"/>
      <c r="U48" s="138"/>
      <c r="V48" s="138"/>
      <c r="W48" s="138"/>
      <c r="X48" s="138"/>
      <c r="Y48" s="138"/>
      <c r="Z48" s="138"/>
      <c r="AA48" s="210">
        <f t="shared" si="1"/>
        <v>0</v>
      </c>
      <c r="AB48" s="142" t="str">
        <f t="shared" si="2"/>
        <v/>
      </c>
      <c r="AC48" s="140"/>
      <c r="AD48" s="138"/>
      <c r="AE48" s="142" t="str">
        <f t="shared" si="3"/>
        <v/>
      </c>
      <c r="AF48" s="141">
        <f t="shared" si="4"/>
        <v>0</v>
      </c>
      <c r="AG48" s="138"/>
      <c r="AH48" s="142" t="str">
        <f t="shared" si="5"/>
        <v/>
      </c>
      <c r="AI48" s="141">
        <f t="shared" si="6"/>
        <v>0</v>
      </c>
      <c r="AJ48" s="462">
        <f t="shared" si="7"/>
        <v>0</v>
      </c>
      <c r="AK48" s="463">
        <f t="shared" si="8"/>
        <v>0</v>
      </c>
      <c r="AL48" s="464">
        <f t="shared" si="9"/>
        <v>0</v>
      </c>
      <c r="AM48" s="465">
        <f t="shared" si="10"/>
        <v>0</v>
      </c>
      <c r="AN48" s="466">
        <f t="shared" si="11"/>
        <v>0</v>
      </c>
      <c r="AO48" s="11"/>
    </row>
    <row r="49" spans="1:41" x14ac:dyDescent="0.25">
      <c r="A49" s="65" t="s">
        <v>11</v>
      </c>
      <c r="B49" s="66" t="s">
        <v>21</v>
      </c>
      <c r="C49" s="11"/>
      <c r="D49" s="11"/>
      <c r="E49" s="11"/>
      <c r="F49" s="11"/>
      <c r="G49" s="11"/>
      <c r="H49" s="88" t="s">
        <v>434</v>
      </c>
      <c r="I49" s="122" t="str">
        <f>IF(_epmOfflineCondition_,"T5",_xll.EVPRO($B$1,$H49,"STYLE"))</f>
        <v>T5</v>
      </c>
      <c r="J49" s="122" t="str">
        <f>IF(_epmOfflineCondition_,"Y",_xll.EVPRO($B$1,$H49,"CALC"))</f>
        <v>Y</v>
      </c>
      <c r="K49" s="179" t="str">
        <f t="shared" si="0"/>
        <v>&gt;</v>
      </c>
      <c r="L49" s="90" t="str">
        <f>IF(_epmOfflineCondition_,"450550",_xll.EVPRO($B$1,H49,"JDEID"))</f>
        <v>450550</v>
      </c>
      <c r="M49" s="90" t="str">
        <f>IF(_epmOfflineCondition_,"",IF(AND(I49="N",J49="N"),_xll.EVPRO($B$1,H49,"PSFTID"),""))</f>
        <v/>
      </c>
      <c r="N49" s="90" t="str">
        <f>IF(_epmOfflineCondition_,"Other 4",IF(_xll.EVDES(H49,$B$1)="#NODATA","",_xll.EVDES(H49,$B$1)))</f>
        <v>Other 4</v>
      </c>
      <c r="O49" s="138"/>
      <c r="P49" s="138"/>
      <c r="Q49" s="138"/>
      <c r="R49" s="138"/>
      <c r="S49" s="138"/>
      <c r="T49" s="138"/>
      <c r="U49" s="138"/>
      <c r="V49" s="138"/>
      <c r="W49" s="138"/>
      <c r="X49" s="138"/>
      <c r="Y49" s="138"/>
      <c r="Z49" s="138"/>
      <c r="AA49" s="210">
        <f t="shared" si="1"/>
        <v>0</v>
      </c>
      <c r="AB49" s="142" t="str">
        <f t="shared" si="2"/>
        <v/>
      </c>
      <c r="AC49" s="140"/>
      <c r="AD49" s="138"/>
      <c r="AE49" s="142" t="str">
        <f t="shared" si="3"/>
        <v/>
      </c>
      <c r="AF49" s="141">
        <f t="shared" si="4"/>
        <v>0</v>
      </c>
      <c r="AG49" s="138"/>
      <c r="AH49" s="142" t="str">
        <f t="shared" si="5"/>
        <v/>
      </c>
      <c r="AI49" s="141">
        <f t="shared" si="6"/>
        <v>0</v>
      </c>
      <c r="AJ49" s="462">
        <f t="shared" si="7"/>
        <v>0</v>
      </c>
      <c r="AK49" s="463">
        <f t="shared" si="8"/>
        <v>0</v>
      </c>
      <c r="AL49" s="464">
        <f t="shared" si="9"/>
        <v>0</v>
      </c>
      <c r="AM49" s="465">
        <f t="shared" si="10"/>
        <v>0</v>
      </c>
      <c r="AN49" s="466">
        <f t="shared" si="11"/>
        <v>0</v>
      </c>
      <c r="AO49" s="11"/>
    </row>
    <row r="50" spans="1:41" x14ac:dyDescent="0.25">
      <c r="A50" s="65" t="s">
        <v>12</v>
      </c>
      <c r="B50" s="66" t="s">
        <v>22</v>
      </c>
      <c r="C50" s="11"/>
      <c r="D50" s="11"/>
      <c r="E50" s="11"/>
      <c r="F50" s="11"/>
      <c r="G50" s="11"/>
      <c r="H50" s="88" t="s">
        <v>435</v>
      </c>
      <c r="I50" s="122" t="str">
        <f>IF(_epmOfflineCondition_,"T5",_xll.EVPRO($B$1,$H50,"STYLE"))</f>
        <v>T5</v>
      </c>
      <c r="J50" s="122" t="str">
        <f>IF(_epmOfflineCondition_,"Y",_xll.EVPRO($B$1,$H50,"CALC"))</f>
        <v>Y</v>
      </c>
      <c r="K50" s="179" t="str">
        <f t="shared" si="0"/>
        <v>&gt;</v>
      </c>
      <c r="L50" s="90" t="str">
        <f>IF(_epmOfflineCondition_,"450600",_xll.EVPRO($B$1,H50,"JDEID"))</f>
        <v>450600</v>
      </c>
      <c r="M50" s="90" t="str">
        <f>IF(_epmOfflineCondition_,"",IF(AND(I50="N",J50="N"),_xll.EVPRO($B$1,H50,"PSFTID"),""))</f>
        <v/>
      </c>
      <c r="N50" s="90" t="str">
        <f>IF(_epmOfflineCondition_,"Other 5",IF(_xll.EVDES(H50,$B$1)="#NODATA","",_xll.EVDES(H50,$B$1)))</f>
        <v>Other 5</v>
      </c>
      <c r="O50" s="138"/>
      <c r="P50" s="138"/>
      <c r="Q50" s="138"/>
      <c r="R50" s="138"/>
      <c r="S50" s="138"/>
      <c r="T50" s="138"/>
      <c r="U50" s="138"/>
      <c r="V50" s="138"/>
      <c r="W50" s="138"/>
      <c r="X50" s="138"/>
      <c r="Y50" s="138"/>
      <c r="Z50" s="138"/>
      <c r="AA50" s="210">
        <f t="shared" si="1"/>
        <v>0</v>
      </c>
      <c r="AB50" s="142" t="str">
        <f t="shared" si="2"/>
        <v/>
      </c>
      <c r="AC50" s="140"/>
      <c r="AD50" s="138"/>
      <c r="AE50" s="142" t="str">
        <f t="shared" si="3"/>
        <v/>
      </c>
      <c r="AF50" s="141">
        <f t="shared" si="4"/>
        <v>0</v>
      </c>
      <c r="AG50" s="138"/>
      <c r="AH50" s="142" t="str">
        <f t="shared" si="5"/>
        <v/>
      </c>
      <c r="AI50" s="141">
        <f t="shared" si="6"/>
        <v>0</v>
      </c>
      <c r="AJ50" s="462">
        <f t="shared" si="7"/>
        <v>0</v>
      </c>
      <c r="AK50" s="463">
        <f t="shared" si="8"/>
        <v>0</v>
      </c>
      <c r="AL50" s="464">
        <f t="shared" si="9"/>
        <v>0</v>
      </c>
      <c r="AM50" s="465">
        <f t="shared" si="10"/>
        <v>0</v>
      </c>
      <c r="AN50" s="466">
        <f t="shared" si="11"/>
        <v>0</v>
      </c>
      <c r="AO50" s="11"/>
    </row>
    <row r="51" spans="1:41" x14ac:dyDescent="0.25">
      <c r="A51" s="65" t="s">
        <v>13</v>
      </c>
      <c r="B51" s="66" t="str">
        <f>"DEP(450000) AND "&amp;$E$6&amp;"=Y AND ID&lt;&gt;ALLOW_MOP"</f>
        <v>DEP(450000) AND D1138=Y AND ID&lt;&gt;ALLOW_MOP</v>
      </c>
      <c r="C51" s="11"/>
      <c r="D51" s="11"/>
      <c r="E51" s="11"/>
      <c r="F51" s="11"/>
      <c r="G51" s="11"/>
      <c r="H51" s="88" t="s">
        <v>436</v>
      </c>
      <c r="I51" s="122" t="str">
        <f>IF(_epmOfflineCondition_,"T5",_xll.EVPRO($B$1,$H51,"STYLE"))</f>
        <v>T5</v>
      </c>
      <c r="J51" s="122" t="str">
        <f>IF(_epmOfflineCondition_,"Y",_xll.EVPRO($B$1,$H51,"CALC"))</f>
        <v>Y</v>
      </c>
      <c r="K51" s="179" t="str">
        <f t="shared" si="0"/>
        <v>&gt;</v>
      </c>
      <c r="L51" s="90" t="str">
        <f>IF(_epmOfflineCondition_,"450650",_xll.EVPRO($B$1,H51,"JDEID"))</f>
        <v>450650</v>
      </c>
      <c r="M51" s="90" t="str">
        <f>IF(_epmOfflineCondition_,"",IF(AND(I51="N",J51="N"),_xll.EVPRO($B$1,H51,"PSFTID"),""))</f>
        <v/>
      </c>
      <c r="N51" s="90" t="str">
        <f>IF(_epmOfflineCondition_,"Other 6",IF(_xll.EVDES(H51,$B$1)="#NODATA","",_xll.EVDES(H51,$B$1)))</f>
        <v>Other 6</v>
      </c>
      <c r="O51" s="138"/>
      <c r="P51" s="138"/>
      <c r="Q51" s="138"/>
      <c r="R51" s="138"/>
      <c r="S51" s="138"/>
      <c r="T51" s="138"/>
      <c r="U51" s="138"/>
      <c r="V51" s="138"/>
      <c r="W51" s="138"/>
      <c r="X51" s="138"/>
      <c r="Y51" s="138"/>
      <c r="Z51" s="138"/>
      <c r="AA51" s="210">
        <f t="shared" si="1"/>
        <v>0</v>
      </c>
      <c r="AB51" s="142" t="str">
        <f t="shared" si="2"/>
        <v/>
      </c>
      <c r="AC51" s="140"/>
      <c r="AD51" s="138"/>
      <c r="AE51" s="142" t="str">
        <f t="shared" si="3"/>
        <v/>
      </c>
      <c r="AF51" s="141">
        <f t="shared" si="4"/>
        <v>0</v>
      </c>
      <c r="AG51" s="138"/>
      <c r="AH51" s="142" t="str">
        <f t="shared" si="5"/>
        <v/>
      </c>
      <c r="AI51" s="141">
        <f t="shared" si="6"/>
        <v>0</v>
      </c>
      <c r="AJ51" s="462">
        <f t="shared" si="7"/>
        <v>0</v>
      </c>
      <c r="AK51" s="463">
        <f t="shared" si="8"/>
        <v>0</v>
      </c>
      <c r="AL51" s="464">
        <f t="shared" si="9"/>
        <v>0</v>
      </c>
      <c r="AM51" s="465">
        <f t="shared" si="10"/>
        <v>0</v>
      </c>
      <c r="AN51" s="466">
        <f t="shared" si="11"/>
        <v>0</v>
      </c>
      <c r="AO51" s="11"/>
    </row>
    <row r="52" spans="1:41" x14ac:dyDescent="0.25">
      <c r="A52" s="65" t="s">
        <v>14</v>
      </c>
      <c r="B52" s="66"/>
      <c r="C52" s="11"/>
      <c r="D52" s="11"/>
      <c r="E52" s="11"/>
      <c r="F52" s="11"/>
      <c r="G52" s="11"/>
      <c r="H52" s="88" t="s">
        <v>480</v>
      </c>
      <c r="I52" s="122" t="str">
        <f>IF(_epmOfflineCondition_,"T5",_xll.EVPRO($B$1,$H52,"STYLE"))</f>
        <v>T5</v>
      </c>
      <c r="J52" s="122" t="str">
        <f>IF(_epmOfflineCondition_,"Y",_xll.EVPRO($B$1,$H52,"CALC"))</f>
        <v>Y</v>
      </c>
      <c r="K52" s="179" t="str">
        <f t="shared" si="0"/>
        <v>&gt;</v>
      </c>
      <c r="L52" s="90" t="str">
        <f>IF(_epmOfflineCondition_,"",_xll.EVPRO($B$1,H52,"JDEID"))</f>
        <v/>
      </c>
      <c r="M52" s="90" t="str">
        <f>IF(_epmOfflineCondition_,"",IF(AND(I52="N",J52="N"),_xll.EVPRO($B$1,H52,"PSFTID"),""))</f>
        <v/>
      </c>
      <c r="N52" s="90" t="str">
        <f>IF(_epmOfflineCondition_,"Minor Operated: Allowances",IF(_xll.EVDES(H52,$B$1)="#NODATA","",_xll.EVDES(H52,$B$1)))</f>
        <v>Minor Operated: Allowances</v>
      </c>
      <c r="O52" s="215"/>
      <c r="P52" s="215"/>
      <c r="Q52" s="215"/>
      <c r="R52" s="215"/>
      <c r="S52" s="215"/>
      <c r="T52" s="215"/>
      <c r="U52" s="215"/>
      <c r="V52" s="215"/>
      <c r="W52" s="215"/>
      <c r="X52" s="215"/>
      <c r="Y52" s="215"/>
      <c r="Z52" s="215"/>
      <c r="AA52" s="216">
        <f t="shared" si="1"/>
        <v>0</v>
      </c>
      <c r="AB52" s="217" t="str">
        <f t="shared" si="2"/>
        <v/>
      </c>
      <c r="AC52" s="140"/>
      <c r="AD52" s="215"/>
      <c r="AE52" s="217" t="str">
        <f t="shared" si="3"/>
        <v/>
      </c>
      <c r="AF52" s="218">
        <f t="shared" si="4"/>
        <v>0</v>
      </c>
      <c r="AG52" s="215"/>
      <c r="AH52" s="217" t="str">
        <f t="shared" si="5"/>
        <v/>
      </c>
      <c r="AI52" s="218">
        <f t="shared" si="6"/>
        <v>0</v>
      </c>
      <c r="AJ52" s="471">
        <f t="shared" si="7"/>
        <v>0</v>
      </c>
      <c r="AK52" s="472">
        <f t="shared" si="8"/>
        <v>0</v>
      </c>
      <c r="AL52" s="473">
        <f t="shared" si="9"/>
        <v>0</v>
      </c>
      <c r="AM52" s="474">
        <f t="shared" si="10"/>
        <v>0</v>
      </c>
      <c r="AN52" s="475">
        <f t="shared" si="11"/>
        <v>0</v>
      </c>
      <c r="AO52" s="11"/>
    </row>
    <row r="53" spans="1:41" x14ac:dyDescent="0.25">
      <c r="A53" s="65" t="s">
        <v>15</v>
      </c>
      <c r="B53" s="66"/>
      <c r="C53" s="11"/>
      <c r="D53" s="11"/>
      <c r="E53" s="11"/>
      <c r="F53" s="11"/>
      <c r="G53" s="11"/>
      <c r="H53" s="88" t="s">
        <v>280</v>
      </c>
      <c r="I53" s="188" t="str">
        <f>IF(_epmOfflineCondition_,"T3",_xll.EVPRO($B$1,$H53,"STYLE"))</f>
        <v>T3</v>
      </c>
      <c r="J53" s="188" t="str">
        <f>IF(_epmOfflineCondition_,"Y",_xll.EVPRO($B$1,$H53,"CALC"))</f>
        <v>Y</v>
      </c>
      <c r="K53" s="189" t="str">
        <f t="shared" si="0"/>
        <v/>
      </c>
      <c r="L53" s="190" t="str">
        <f>IF(_epmOfflineCondition_,"400000",_xll.EVPRO($B$1,H53,"JDEID"))</f>
        <v>400000</v>
      </c>
      <c r="M53" s="190" t="str">
        <f>IF(_epmOfflineCondition_,"",IF(AND(I53="N",J53="N"),_xll.EVPRO($B$1,H53,"PSFTID"),""))</f>
        <v/>
      </c>
      <c r="N53" s="190" t="str">
        <f>IF(_epmOfflineCondition_,"Total Revenue",IF(_xll.EVDES(H53,$B$1)="#NODATA","",_xll.EVDES(H53,$B$1)))</f>
        <v>Total Revenue</v>
      </c>
      <c r="O53" s="223">
        <v>1627.99</v>
      </c>
      <c r="P53" s="223">
        <v>2405.7399999999998</v>
      </c>
      <c r="Q53" s="223">
        <v>3553.93</v>
      </c>
      <c r="R53" s="223">
        <v>3896.8</v>
      </c>
      <c r="S53" s="223">
        <v>2556.13</v>
      </c>
      <c r="T53" s="223">
        <v>1693.33</v>
      </c>
      <c r="U53" s="223">
        <v>1428.96</v>
      </c>
      <c r="V53" s="223">
        <v>2055.02</v>
      </c>
      <c r="W53" s="223">
        <v>688.75</v>
      </c>
      <c r="X53" s="223">
        <v>2507.38</v>
      </c>
      <c r="Y53" s="223">
        <v>3265.13</v>
      </c>
      <c r="Z53" s="223">
        <v>2287.2600000000002</v>
      </c>
      <c r="AA53" s="223">
        <f t="shared" si="1"/>
        <v>27966.420000000006</v>
      </c>
      <c r="AB53" s="224">
        <f t="shared" si="2"/>
        <v>1</v>
      </c>
      <c r="AC53" s="225"/>
      <c r="AD53" s="223">
        <v>17174.080000000002</v>
      </c>
      <c r="AE53" s="224">
        <f t="shared" si="3"/>
        <v>1</v>
      </c>
      <c r="AF53" s="226">
        <f t="shared" si="4"/>
        <v>10792.340000000004</v>
      </c>
      <c r="AG53" s="223">
        <v>19581.849999999999</v>
      </c>
      <c r="AH53" s="224">
        <f t="shared" si="5"/>
        <v>1</v>
      </c>
      <c r="AI53" s="226">
        <f t="shared" si="6"/>
        <v>8384.570000000007</v>
      </c>
      <c r="AJ53" s="227">
        <f t="shared" si="7"/>
        <v>0.67692356102047746</v>
      </c>
      <c r="AK53" s="228">
        <f t="shared" si="8"/>
        <v>0.44000000000000006</v>
      </c>
      <c r="AL53" s="230">
        <f t="shared" si="9"/>
        <v>0.4868805788309008</v>
      </c>
      <c r="AM53" s="427" t="str">
        <f t="shared" si="10"/>
        <v>0 pts.</v>
      </c>
      <c r="AN53" s="478" t="str">
        <f t="shared" si="11"/>
        <v>0 pts.</v>
      </c>
      <c r="AO53" s="11"/>
    </row>
    <row r="54" spans="1:41" x14ac:dyDescent="0.25">
      <c r="A54" s="65" t="s">
        <v>16</v>
      </c>
      <c r="B54" s="66"/>
      <c r="C54" s="11"/>
      <c r="D54" s="11"/>
      <c r="E54" s="11"/>
      <c r="F54" s="11"/>
      <c r="G54" s="11"/>
      <c r="H54" s="11"/>
      <c r="I54" s="59"/>
      <c r="J54" s="59"/>
      <c r="K54" s="11"/>
      <c r="L54" s="11"/>
      <c r="M54" s="11"/>
      <c r="N54" s="11"/>
      <c r="O54" s="203"/>
      <c r="P54" s="204"/>
      <c r="Q54" s="204"/>
      <c r="R54" s="204"/>
      <c r="S54" s="204"/>
      <c r="T54" s="204"/>
      <c r="U54" s="204"/>
      <c r="V54" s="204"/>
      <c r="W54" s="204"/>
      <c r="X54" s="204"/>
      <c r="Y54" s="204"/>
      <c r="Z54" s="204"/>
      <c r="AA54" s="204"/>
      <c r="AB54" s="118"/>
      <c r="AC54" s="11"/>
      <c r="AD54" s="203"/>
      <c r="AE54" s="204"/>
      <c r="AF54" s="118"/>
      <c r="AG54" s="203"/>
      <c r="AH54" s="204"/>
      <c r="AI54" s="118"/>
      <c r="AJ54" s="11"/>
      <c r="AK54" s="11"/>
      <c r="AL54" s="11"/>
      <c r="AM54" s="11"/>
      <c r="AN54" s="11"/>
      <c r="AO54" s="11"/>
    </row>
    <row r="55" spans="1:41" x14ac:dyDescent="0.25">
      <c r="A55" s="65" t="s">
        <v>17</v>
      </c>
      <c r="B55" s="66"/>
      <c r="C55" s="11"/>
      <c r="D55" s="11"/>
      <c r="E55" s="11"/>
      <c r="F55" s="11"/>
      <c r="G55" s="11"/>
      <c r="H55" s="11" t="s">
        <v>281</v>
      </c>
      <c r="I55" s="59" t="str">
        <f>IF(_epmOfflineCondition_,"B1",_xll.EVPRO($B$1,$H55,"STYLE"))</f>
        <v>B1</v>
      </c>
      <c r="J55" s="59" t="str">
        <f>IF(_epmOfflineCondition_,"Y",_xll.EVPRO($B$1,$H55,"CALC"))</f>
        <v>Y</v>
      </c>
      <c r="K55" s="11"/>
      <c r="L55" s="11"/>
      <c r="M55" s="11"/>
      <c r="N55" s="105" t="str">
        <f>IF(_epmOfflineCondition_,"Cost of Sales",IF(_xll.EVDES(H55,$B$1)="#NODATA","",_xll.EVDES(H55,$B$1)))</f>
        <v>Cost of Sales</v>
      </c>
      <c r="O55" s="203"/>
      <c r="P55" s="204"/>
      <c r="Q55" s="204"/>
      <c r="R55" s="204"/>
      <c r="S55" s="204"/>
      <c r="T55" s="204"/>
      <c r="U55" s="204"/>
      <c r="V55" s="204"/>
      <c r="W55" s="204"/>
      <c r="X55" s="204"/>
      <c r="Y55" s="204"/>
      <c r="Z55" s="204"/>
      <c r="AA55" s="204"/>
      <c r="AB55" s="118"/>
      <c r="AC55" s="11"/>
      <c r="AD55" s="203"/>
      <c r="AE55" s="204"/>
      <c r="AF55" s="118"/>
      <c r="AG55" s="203"/>
      <c r="AH55" s="204"/>
      <c r="AI55" s="118"/>
      <c r="AJ55" s="11"/>
      <c r="AK55" s="11"/>
      <c r="AL55" s="11"/>
      <c r="AM55" s="11"/>
      <c r="AN55" s="11"/>
      <c r="AO55" s="11"/>
    </row>
    <row r="56" spans="1:41" x14ac:dyDescent="0.25">
      <c r="A56" s="11"/>
      <c r="B56" s="11"/>
      <c r="C56" s="11"/>
      <c r="D56" s="11"/>
      <c r="E56" s="11"/>
      <c r="F56" s="11"/>
      <c r="G56" s="76"/>
      <c r="H56" s="88" t="s">
        <v>437</v>
      </c>
      <c r="I56" s="122" t="str">
        <f>IF(_epmOfflineCondition_,"T5",_xll.EVPRO($B$1,$H56,"STYLE"))</f>
        <v>T5</v>
      </c>
      <c r="J56" s="122" t="str">
        <f>IF(_epmOfflineCondition_,"Y",_xll.EVPRO($B$1,$H56,"CALC"))</f>
        <v>Y</v>
      </c>
      <c r="K56" s="179" t="str">
        <f t="shared" ref="K56:K74" si="12">IF(AND(I56&gt;="T5"),"&gt;","")</f>
        <v>&gt;</v>
      </c>
      <c r="L56" s="90" t="str">
        <f>IF(_epmOfflineCondition_,"510000",_xll.EVPRO($B$1,H56,"JDEID"))</f>
        <v>510000</v>
      </c>
      <c r="M56" s="90" t="str">
        <f>IF(_epmOfflineCondition_,"",IF(AND(I56="N",J56="N"),_xll.EVPRO($B$1,H56,"PSFTID"),""))</f>
        <v/>
      </c>
      <c r="N56" s="90" t="str">
        <f>IF(_epmOfflineCondition_,"Total Guest Communication COS",IF(_xll.EVDES(H56,$B$1)="#NODATA","",_xll.EVDES(H56,$B$1)))</f>
        <v>Total Guest Communication COS</v>
      </c>
      <c r="O56" s="138">
        <v>231</v>
      </c>
      <c r="P56" s="138">
        <v>253</v>
      </c>
      <c r="Q56" s="138">
        <v>181</v>
      </c>
      <c r="R56" s="138">
        <v>529</v>
      </c>
      <c r="S56" s="138">
        <v>225</v>
      </c>
      <c r="T56" s="138">
        <v>105</v>
      </c>
      <c r="U56" s="138">
        <v>190.9</v>
      </c>
      <c r="V56" s="138">
        <v>156</v>
      </c>
      <c r="W56" s="138">
        <v>121</v>
      </c>
      <c r="X56" s="138">
        <v>221</v>
      </c>
      <c r="Y56" s="138">
        <v>352</v>
      </c>
      <c r="Z56" s="138">
        <v>569</v>
      </c>
      <c r="AA56" s="210">
        <f t="shared" ref="AA56:AA74" si="13">IF($I56="B1","",SUM(O56:Z56))</f>
        <v>3133.9</v>
      </c>
      <c r="AB56" s="142">
        <f>IF(_epmOfflineCondition_,0.533230109575989,IF(AA56=0,"",IFERROR(AA56/_xll.EVGTS($B$1,1,_xll.EVPRO($B$1,$H56,"COSBASIS"),$B$3,$B$5,$B$6,$B$7,$B$9,AA$16,Z$17,AA$18),"")))</f>
        <v>0.53323010957598904</v>
      </c>
      <c r="AC56" s="140"/>
      <c r="AD56" s="138">
        <v>2687.3532</v>
      </c>
      <c r="AE56" s="142">
        <f>IF(_epmOfflineCondition_,0.459,IF(AD56=0,"",IFERROR(AD56/_xll.EVGTS($B$1,1,_xll.EVPRO($B$1,$H56,"COSBASIS"),$B$3,$B$5,$B$6,$B$7,$B$9,AD$16,AD$17,AD$18),"")))</f>
        <v>0.45900000000000002</v>
      </c>
      <c r="AF56" s="141">
        <f t="shared" ref="AF56:AF74" si="14">IF(AND($AA56="",AD56=""),"",$AA56-AD56)</f>
        <v>446.54680000000008</v>
      </c>
      <c r="AG56" s="138">
        <v>2305.6999999999998</v>
      </c>
      <c r="AH56" s="142">
        <f>IF(_epmOfflineCondition_,0.342862666081771,IF(AG56=0,"",IFERROR(AG56/_xll.EVGTS($B$1,1,_xll.EVPRO($B$1,$H56,"COSBASIS"),$B$3,$B$5,$B$6,$B$7,$B$9,AG$16,AG$17,AG$18),"")))</f>
        <v>0.34286266608177102</v>
      </c>
      <c r="AI56" s="141">
        <f t="shared" ref="AI56:AI74" si="15">IF(AND($AA56="",AG56=""),"",$AA56-AG56)</f>
        <v>828.20000000000027</v>
      </c>
      <c r="AJ56" s="462">
        <f t="shared" ref="AJ56:AJ74" si="16">IFERROR(AA56/AA$20,0)</f>
        <v>7.585564215520163E-2</v>
      </c>
      <c r="AK56" s="463">
        <f t="shared" ref="AK56:AK74" si="17">IFERROR(AD56/AD$20,0)</f>
        <v>6.8849999999999995E-2</v>
      </c>
      <c r="AL56" s="464">
        <f t="shared" ref="AL56:AL74" si="18">IFERROR(AG56/AG$20,0)</f>
        <v>5.7328625773887962E-2</v>
      </c>
      <c r="AM56" s="465" t="str">
        <f t="shared" ref="AM56:AM74" si="19">+IFERROR(ROUND(($AB56-AE56)*100,2)&amp;" pts.",0)</f>
        <v>7.42 pts.</v>
      </c>
      <c r="AN56" s="466" t="str">
        <f t="shared" ref="AN56:AN74" si="20">+IFERROR(ROUND(($AB56-AH56)*100,2)&amp;" pts.",0)</f>
        <v>19.04 pts.</v>
      </c>
      <c r="AO56" s="11"/>
    </row>
    <row r="57" spans="1:41" x14ac:dyDescent="0.25">
      <c r="A57" s="97" t="s">
        <v>92</v>
      </c>
      <c r="B57" s="98" t="s">
        <v>93</v>
      </c>
      <c r="C57" s="98" t="s">
        <v>94</v>
      </c>
      <c r="D57" s="98" t="s">
        <v>95</v>
      </c>
      <c r="E57" s="98" t="s">
        <v>96</v>
      </c>
      <c r="F57" s="99" t="s">
        <v>97</v>
      </c>
      <c r="G57" s="11"/>
      <c r="H57" s="88" t="s">
        <v>438</v>
      </c>
      <c r="I57" s="122" t="str">
        <f>IF(_epmOfflineCondition_,"N",_xll.EVPRO($B$1,$H57,"STYLE"))</f>
        <v>N</v>
      </c>
      <c r="J57" s="122" t="str">
        <f>IF(_epmOfflineCondition_,"N",_xll.EVPRO($B$1,$H57,"CALC"))</f>
        <v>N</v>
      </c>
      <c r="K57" s="179" t="str">
        <f t="shared" si="12"/>
        <v/>
      </c>
      <c r="L57" s="90" t="str">
        <f>IF(_epmOfflineCondition_,"550100",_xll.EVPRO($B$1,H57,"JDEID"))</f>
        <v>550100</v>
      </c>
      <c r="M57" s="90" t="str">
        <f>IF(_epmOfflineCondition_,"306025",IF(AND(I57="N",J57="N"),_xll.EVPRO($B$1,H57,"PSFTID"),""))</f>
        <v>306025</v>
      </c>
      <c r="N57" s="90" t="str">
        <f>IF(_epmOfflineCondition_,"In Room Movie Cost of Sales",IF(_xll.EVDES(H57,$B$1)="#NODATA","",_xll.EVDES(H57,$B$1)))</f>
        <v>In Room Movie Cost of Sales</v>
      </c>
      <c r="O57" s="138"/>
      <c r="P57" s="138"/>
      <c r="Q57" s="138"/>
      <c r="R57" s="138"/>
      <c r="S57" s="138"/>
      <c r="T57" s="138"/>
      <c r="U57" s="138"/>
      <c r="V57" s="138"/>
      <c r="W57" s="138"/>
      <c r="X57" s="138"/>
      <c r="Y57" s="138"/>
      <c r="Z57" s="138"/>
      <c r="AA57" s="210">
        <f t="shared" si="13"/>
        <v>0</v>
      </c>
      <c r="AB57" s="142" t="str">
        <f>IF(_epmOfflineCondition_,"",IF(AA57=0,"",IFERROR(AA57/_xll.EVGTS($B$1,1,_xll.EVPRO($B$1,$H57,"COSBASIS"),$B$3,$B$5,$B$6,$B$7,$B$9,AA$16,Z$17,AA$18),"")))</f>
        <v/>
      </c>
      <c r="AC57" s="140"/>
      <c r="AD57" s="138"/>
      <c r="AE57" s="142" t="str">
        <f>IF(_epmOfflineCondition_,"",IF(AD57=0,"",IFERROR(AD57/_xll.EVGTS($B$1,1,_xll.EVPRO($B$1,$H57,"COSBASIS"),$B$3,$B$5,$B$6,$B$7,$B$9,AD$16,AD$17,AD$18),"")))</f>
        <v/>
      </c>
      <c r="AF57" s="141">
        <f t="shared" si="14"/>
        <v>0</v>
      </c>
      <c r="AG57" s="138"/>
      <c r="AH57" s="142" t="str">
        <f>IF(_epmOfflineCondition_,"",IF(AG57=0,"",IFERROR(AG57/_xll.EVGTS($B$1,1,_xll.EVPRO($B$1,$H57,"COSBASIS"),$B$3,$B$5,$B$6,$B$7,$B$9,AG$16,AG$17,AG$18),"")))</f>
        <v/>
      </c>
      <c r="AI57" s="141">
        <f t="shared" si="15"/>
        <v>0</v>
      </c>
      <c r="AJ57" s="462">
        <f t="shared" si="16"/>
        <v>0</v>
      </c>
      <c r="AK57" s="463">
        <f t="shared" si="17"/>
        <v>0</v>
      </c>
      <c r="AL57" s="464">
        <f t="shared" si="18"/>
        <v>0</v>
      </c>
      <c r="AM57" s="465">
        <f t="shared" si="19"/>
        <v>0</v>
      </c>
      <c r="AN57" s="466">
        <f t="shared" si="20"/>
        <v>0</v>
      </c>
      <c r="AO57" s="11"/>
    </row>
    <row r="58" spans="1:41" x14ac:dyDescent="0.25">
      <c r="A58" s="11"/>
      <c r="B58" s="11"/>
      <c r="C58" s="11"/>
      <c r="D58" s="11"/>
      <c r="E58" s="11"/>
      <c r="F58" s="11"/>
      <c r="G58" s="11"/>
      <c r="H58" s="88" t="s">
        <v>439</v>
      </c>
      <c r="I58" s="122" t="str">
        <f>IF(_epmOfflineCondition_,"N",_xll.EVPRO($B$1,$H58,"STYLE"))</f>
        <v>N</v>
      </c>
      <c r="J58" s="122" t="str">
        <f>IF(_epmOfflineCondition_,"N",_xll.EVPRO($B$1,$H58,"CALC"))</f>
        <v>N</v>
      </c>
      <c r="K58" s="179" t="str">
        <f t="shared" si="12"/>
        <v/>
      </c>
      <c r="L58" s="90" t="str">
        <f>IF(_epmOfflineCondition_,"550150",_xll.EVPRO($B$1,H58,"JDEID"))</f>
        <v>550150</v>
      </c>
      <c r="M58" s="90" t="str">
        <f>IF(_epmOfflineCondition_,"307065",IF(AND(I58="N",J58="N"),_xll.EVPRO($B$1,H58,"PSFTID"),""))</f>
        <v>307065</v>
      </c>
      <c r="N58" s="90" t="str">
        <f>IF(_epmOfflineCondition_,"Guest Laundry Cost of Sales",IF(_xll.EVDES(H58,$B$1)="#NODATA","",_xll.EVDES(H58,$B$1)))</f>
        <v>Guest Laundry Cost of Sales</v>
      </c>
      <c r="O58" s="138">
        <v>-183.92</v>
      </c>
      <c r="P58" s="138">
        <v>719.28</v>
      </c>
      <c r="Q58" s="138">
        <v>719.28</v>
      </c>
      <c r="R58" s="138">
        <v>1097.9000000000001</v>
      </c>
      <c r="S58" s="138">
        <v>1232.1099999999999</v>
      </c>
      <c r="T58" s="138">
        <v>417.07</v>
      </c>
      <c r="U58" s="138">
        <v>337.26</v>
      </c>
      <c r="V58" s="138">
        <v>580.46</v>
      </c>
      <c r="W58" s="138"/>
      <c r="X58" s="138">
        <v>988.17</v>
      </c>
      <c r="Y58" s="138">
        <v>1297.1099999999999</v>
      </c>
      <c r="Z58" s="138">
        <v>1060.6600000000001</v>
      </c>
      <c r="AA58" s="210">
        <f t="shared" si="13"/>
        <v>8265.3799999999992</v>
      </c>
      <c r="AB58" s="142">
        <f>IF(_epmOfflineCondition_,0.869866026794641,IF(AA58=0,"",IFERROR(AA58/_xll.EVGTS($B$1,1,_xll.EVPRO($B$1,$H58,"COSBASIS"),$B$3,$B$5,$B$6,$B$7,$B$9,AA$16,Z$17,AA$18),"")))</f>
        <v>0.86986602679464098</v>
      </c>
      <c r="AC58" s="140"/>
      <c r="AD58" s="138">
        <v>4059.328</v>
      </c>
      <c r="AE58" s="142">
        <f>IF(_epmOfflineCondition_,0.8,IF(AD58=0,"",IFERROR(AD58/_xll.EVGTS($B$1,1,_xll.EVPRO($B$1,$H58,"COSBASIS"),$B$3,$B$5,$B$6,$B$7,$B$9,AD$16,AD$17,AD$18),"")))</f>
        <v>0.8</v>
      </c>
      <c r="AF58" s="141">
        <f t="shared" si="14"/>
        <v>4206.0519999999997</v>
      </c>
      <c r="AG58" s="138">
        <v>6779.35</v>
      </c>
      <c r="AH58" s="142">
        <f>IF(_epmOfflineCondition_,1.01685165741713,IF(AG58=0,"",IFERROR(AG58/_xll.EVGTS($B$1,1,_xll.EVPRO($B$1,$H58,"COSBASIS"),$B$3,$B$5,$B$6,$B$7,$B$9,AG$16,AG$17,AG$18),"")))</f>
        <v>1.01685165741713</v>
      </c>
      <c r="AI58" s="141">
        <f t="shared" si="15"/>
        <v>1486.0299999999988</v>
      </c>
      <c r="AJ58" s="462">
        <f t="shared" si="16"/>
        <v>0.20006244856465119</v>
      </c>
      <c r="AK58" s="463">
        <f t="shared" si="17"/>
        <v>0.104</v>
      </c>
      <c r="AL58" s="464">
        <f t="shared" si="18"/>
        <v>0.16856087918645418</v>
      </c>
      <c r="AM58" s="465" t="str">
        <f t="shared" si="19"/>
        <v>6.99 pts.</v>
      </c>
      <c r="AN58" s="466" t="str">
        <f t="shared" si="20"/>
        <v>-14.7 pts.</v>
      </c>
      <c r="AO58" s="11"/>
    </row>
    <row r="59" spans="1:41" x14ac:dyDescent="0.25">
      <c r="A59" s="11" t="s">
        <v>105</v>
      </c>
      <c r="B59" s="11"/>
      <c r="C59" s="104" t="s">
        <v>101</v>
      </c>
      <c r="D59" s="11" t="s">
        <v>106</v>
      </c>
      <c r="E59" s="11"/>
      <c r="F59" s="11" t="s">
        <v>98</v>
      </c>
      <c r="G59" s="11"/>
      <c r="H59" s="88" t="s">
        <v>440</v>
      </c>
      <c r="I59" s="122" t="str">
        <f>IF(_epmOfflineCondition_,"N",_xll.EVPRO($B$1,$H59,"STYLE"))</f>
        <v>N</v>
      </c>
      <c r="J59" s="122" t="str">
        <f>IF(_epmOfflineCondition_,"N",_xll.EVPRO($B$1,$H59,"CALC"))</f>
        <v>N</v>
      </c>
      <c r="K59" s="179" t="str">
        <f t="shared" si="12"/>
        <v/>
      </c>
      <c r="L59" s="90" t="str">
        <f>IF(_epmOfflineCondition_,"550200",_xll.EVPRO($B$1,H59,"JDEID"))</f>
        <v>550200</v>
      </c>
      <c r="M59" s="90" t="str">
        <f>IF(_epmOfflineCondition_,"306099",IF(AND(I59="N",J59="N"),_xll.EVPRO($B$1,H59,"PSFTID"),""))</f>
        <v>306099</v>
      </c>
      <c r="N59" s="90" t="str">
        <f>IF(_epmOfflineCondition_,"In Room Fax Cost of Sales",IF(_xll.EVDES(H59,$B$1)="#NODATA","",_xll.EVDES(H59,$B$1)))</f>
        <v>In Room Fax Cost of Sales</v>
      </c>
      <c r="O59" s="138"/>
      <c r="P59" s="138"/>
      <c r="Q59" s="138"/>
      <c r="R59" s="138"/>
      <c r="S59" s="138"/>
      <c r="T59" s="138"/>
      <c r="U59" s="138"/>
      <c r="V59" s="138"/>
      <c r="W59" s="138"/>
      <c r="X59" s="138"/>
      <c r="Y59" s="138"/>
      <c r="Z59" s="138"/>
      <c r="AA59" s="210">
        <f t="shared" si="13"/>
        <v>0</v>
      </c>
      <c r="AB59" s="142" t="str">
        <f>IF(_epmOfflineCondition_,"",IF(AA59=0,"",IFERROR(AA59/_xll.EVGTS($B$1,1,_xll.EVPRO($B$1,$H59,"COSBASIS"),$B$3,$B$5,$B$6,$B$7,$B$9,AA$16,Z$17,AA$18),"")))</f>
        <v/>
      </c>
      <c r="AC59" s="140"/>
      <c r="AD59" s="138"/>
      <c r="AE59" s="142" t="str">
        <f>IF(_epmOfflineCondition_,"",IF(AD59=0,"",IFERROR(AD59/_xll.EVGTS($B$1,1,_xll.EVPRO($B$1,$H59,"COSBASIS"),$B$3,$B$5,$B$6,$B$7,$B$9,AD$16,AD$17,AD$18),"")))</f>
        <v/>
      </c>
      <c r="AF59" s="141">
        <f t="shared" si="14"/>
        <v>0</v>
      </c>
      <c r="AG59" s="138"/>
      <c r="AH59" s="142" t="str">
        <f>IF(_epmOfflineCondition_,"",IF(AG59=0,"",IFERROR(AG59/_xll.EVGTS($B$1,1,_xll.EVPRO($B$1,$H59,"COSBASIS"),$B$3,$B$5,$B$6,$B$7,$B$9,AG$16,AG$17,AG$18),"")))</f>
        <v/>
      </c>
      <c r="AI59" s="141">
        <f t="shared" si="15"/>
        <v>0</v>
      </c>
      <c r="AJ59" s="462">
        <f t="shared" si="16"/>
        <v>0</v>
      </c>
      <c r="AK59" s="463">
        <f t="shared" si="17"/>
        <v>0</v>
      </c>
      <c r="AL59" s="464">
        <f t="shared" si="18"/>
        <v>0</v>
      </c>
      <c r="AM59" s="465">
        <f t="shared" si="19"/>
        <v>0</v>
      </c>
      <c r="AN59" s="466">
        <f t="shared" si="20"/>
        <v>0</v>
      </c>
      <c r="AO59" s="11"/>
    </row>
    <row r="60" spans="1:41" x14ac:dyDescent="0.25">
      <c r="A60" s="11" t="s">
        <v>104</v>
      </c>
      <c r="B60" s="11"/>
      <c r="C60" s="104" t="s">
        <v>101</v>
      </c>
      <c r="D60" s="11" t="s">
        <v>106</v>
      </c>
      <c r="E60" s="11"/>
      <c r="F60" s="11" t="s">
        <v>98</v>
      </c>
      <c r="G60" s="11"/>
      <c r="H60" s="88" t="s">
        <v>441</v>
      </c>
      <c r="I60" s="122" t="str">
        <f>IF(_epmOfflineCondition_,"N",_xll.EVPRO($B$1,$H60,"STYLE"))</f>
        <v>N</v>
      </c>
      <c r="J60" s="122" t="str">
        <f>IF(_epmOfflineCondition_,"N",_xll.EVPRO($B$1,$H60,"CALC"))</f>
        <v>N</v>
      </c>
      <c r="K60" s="179" t="str">
        <f t="shared" si="12"/>
        <v/>
      </c>
      <c r="L60" s="90" t="str">
        <f>IF(_epmOfflineCondition_,"550250",_xll.EVPRO($B$1,H60,"JDEID"))</f>
        <v>550250</v>
      </c>
      <c r="M60" s="90" t="str">
        <f>IF(_epmOfflineCondition_,"306055",IF(AND(I60="N",J60="N"),_xll.EVPRO($B$1,H60,"PSFTID"),""))</f>
        <v>306055</v>
      </c>
      <c r="N60" s="90" t="str">
        <f>IF(_epmOfflineCondition_,"In Room Item Cost of Sales",IF(_xll.EVDES(H60,$B$1)="#NODATA","",_xll.EVDES(H60,$B$1)))</f>
        <v>In Room Item Cost of Sales</v>
      </c>
      <c r="O60" s="138"/>
      <c r="P60" s="138"/>
      <c r="Q60" s="138"/>
      <c r="R60" s="138"/>
      <c r="S60" s="138"/>
      <c r="T60" s="138"/>
      <c r="U60" s="138"/>
      <c r="V60" s="138"/>
      <c r="W60" s="138"/>
      <c r="X60" s="138"/>
      <c r="Y60" s="138"/>
      <c r="Z60" s="138"/>
      <c r="AA60" s="210">
        <f t="shared" si="13"/>
        <v>0</v>
      </c>
      <c r="AB60" s="142" t="str">
        <f>IF(_epmOfflineCondition_,"",IF(AA60=0,"",IFERROR(AA60/_xll.EVGTS($B$1,1,_xll.EVPRO($B$1,$H60,"COSBASIS"),$B$3,$B$5,$B$6,$B$7,$B$9,AA$16,Z$17,AA$18),"")))</f>
        <v/>
      </c>
      <c r="AC60" s="140"/>
      <c r="AD60" s="138"/>
      <c r="AE60" s="142" t="str">
        <f>IF(_epmOfflineCondition_,"",IF(AD60=0,"",IFERROR(AD60/_xll.EVGTS($B$1,1,_xll.EVPRO($B$1,$H60,"COSBASIS"),$B$3,$B$5,$B$6,$B$7,$B$9,AD$16,AD$17,AD$18),"")))</f>
        <v/>
      </c>
      <c r="AF60" s="141">
        <f t="shared" si="14"/>
        <v>0</v>
      </c>
      <c r="AG60" s="138"/>
      <c r="AH60" s="142" t="str">
        <f>IF(_epmOfflineCondition_,"",IF(AG60=0,"",IFERROR(AG60/_xll.EVGTS($B$1,1,_xll.EVPRO($B$1,$H60,"COSBASIS"),$B$3,$B$5,$B$6,$B$7,$B$9,AG$16,AG$17,AG$18),"")))</f>
        <v/>
      </c>
      <c r="AI60" s="141">
        <f t="shared" si="15"/>
        <v>0</v>
      </c>
      <c r="AJ60" s="462">
        <f t="shared" si="16"/>
        <v>0</v>
      </c>
      <c r="AK60" s="463">
        <f t="shared" si="17"/>
        <v>0</v>
      </c>
      <c r="AL60" s="464">
        <f t="shared" si="18"/>
        <v>0</v>
      </c>
      <c r="AM60" s="465">
        <f t="shared" si="19"/>
        <v>0</v>
      </c>
      <c r="AN60" s="466">
        <f t="shared" si="20"/>
        <v>0</v>
      </c>
      <c r="AO60" s="11"/>
    </row>
    <row r="61" spans="1:41" x14ac:dyDescent="0.25">
      <c r="A61" s="11" t="s">
        <v>108</v>
      </c>
      <c r="B61" s="11"/>
      <c r="C61" s="106" t="s">
        <v>101</v>
      </c>
      <c r="D61" s="11" t="s">
        <v>106</v>
      </c>
      <c r="E61" s="11"/>
      <c r="F61" s="11" t="s">
        <v>98</v>
      </c>
      <c r="G61" s="11"/>
      <c r="H61" s="88" t="s">
        <v>442</v>
      </c>
      <c r="I61" s="122" t="str">
        <f>IF(_epmOfflineCondition_,"N",_xll.EVPRO($B$1,$H61,"STYLE"))</f>
        <v>N</v>
      </c>
      <c r="J61" s="122" t="str">
        <f>IF(_epmOfflineCondition_,"N",_xll.EVPRO($B$1,$H61,"CALC"))</f>
        <v>N</v>
      </c>
      <c r="K61" s="179" t="str">
        <f t="shared" si="12"/>
        <v/>
      </c>
      <c r="L61" s="90" t="str">
        <f>IF(_epmOfflineCondition_,"550300",_xll.EVPRO($B$1,H61,"JDEID"))</f>
        <v>550300</v>
      </c>
      <c r="M61" s="90" t="str">
        <f>IF(_epmOfflineCondition_,"305015",IF(AND(I61="N",J61="N"),_xll.EVPRO($B$1,H61,"PSFTID"),""))</f>
        <v>305015</v>
      </c>
      <c r="N61" s="90" t="str">
        <f>IF(_epmOfflineCondition_,"Massage Cost of Sales",IF(_xll.EVDES(H61,$B$1)="#NODATA","",_xll.EVDES(H61,$B$1)))</f>
        <v>Massage Cost of Sales</v>
      </c>
      <c r="O61" s="138"/>
      <c r="P61" s="138"/>
      <c r="Q61" s="138"/>
      <c r="R61" s="138"/>
      <c r="S61" s="138"/>
      <c r="T61" s="138"/>
      <c r="U61" s="138"/>
      <c r="V61" s="138"/>
      <c r="W61" s="138"/>
      <c r="X61" s="138"/>
      <c r="Y61" s="138"/>
      <c r="Z61" s="138"/>
      <c r="AA61" s="210">
        <f t="shared" si="13"/>
        <v>0</v>
      </c>
      <c r="AB61" s="142" t="str">
        <f>IF(_epmOfflineCondition_,"",IF(AA61=0,"",IFERROR(AA61/_xll.EVGTS($B$1,1,_xll.EVPRO($B$1,$H61,"COSBASIS"),$B$3,$B$5,$B$6,$B$7,$B$9,AA$16,Z$17,AA$18),"")))</f>
        <v/>
      </c>
      <c r="AC61" s="140"/>
      <c r="AD61" s="138"/>
      <c r="AE61" s="142" t="str">
        <f>IF(_epmOfflineCondition_,"",IF(AD61=0,"",IFERROR(AD61/_xll.EVGTS($B$1,1,_xll.EVPRO($B$1,$H61,"COSBASIS"),$B$3,$B$5,$B$6,$B$7,$B$9,AD$16,AD$17,AD$18),"")))</f>
        <v/>
      </c>
      <c r="AF61" s="141">
        <f t="shared" si="14"/>
        <v>0</v>
      </c>
      <c r="AG61" s="138"/>
      <c r="AH61" s="142" t="str">
        <f>IF(_epmOfflineCondition_,"",IF(AG61=0,"",IFERROR(AG61/_xll.EVGTS($B$1,1,_xll.EVPRO($B$1,$H61,"COSBASIS"),$B$3,$B$5,$B$6,$B$7,$B$9,AG$16,AG$17,AG$18),"")))</f>
        <v/>
      </c>
      <c r="AI61" s="141">
        <f t="shared" si="15"/>
        <v>0</v>
      </c>
      <c r="AJ61" s="462">
        <f t="shared" si="16"/>
        <v>0</v>
      </c>
      <c r="AK61" s="463">
        <f t="shared" si="17"/>
        <v>0</v>
      </c>
      <c r="AL61" s="464">
        <f t="shared" si="18"/>
        <v>0</v>
      </c>
      <c r="AM61" s="465">
        <f t="shared" si="19"/>
        <v>0</v>
      </c>
      <c r="AN61" s="466">
        <f t="shared" si="20"/>
        <v>0</v>
      </c>
      <c r="AO61" s="11"/>
    </row>
    <row r="62" spans="1:41" x14ac:dyDescent="0.25">
      <c r="A62" s="11" t="s">
        <v>108</v>
      </c>
      <c r="B62" s="11"/>
      <c r="C62" s="196" t="s">
        <v>101</v>
      </c>
      <c r="D62" s="11" t="s">
        <v>107</v>
      </c>
      <c r="E62" s="11"/>
      <c r="F62" s="11" t="s">
        <v>99</v>
      </c>
      <c r="G62" s="11"/>
      <c r="H62" s="88" t="s">
        <v>443</v>
      </c>
      <c r="I62" s="122" t="str">
        <f>IF(_epmOfflineCondition_,"N",_xll.EVPRO($B$1,$H62,"STYLE"))</f>
        <v>N</v>
      </c>
      <c r="J62" s="122" t="str">
        <f>IF(_epmOfflineCondition_,"N",_xll.EVPRO($B$1,$H62,"CALC"))</f>
        <v>N</v>
      </c>
      <c r="K62" s="179" t="str">
        <f t="shared" si="12"/>
        <v/>
      </c>
      <c r="L62" s="90" t="str">
        <f>IF(_epmOfflineCondition_,"550350",_xll.EVPRO($B$1,H62,"JDEID"))</f>
        <v>550350</v>
      </c>
      <c r="M62" s="90" t="str">
        <f>IF(_epmOfflineCondition_,"306099",IF(AND(I62="N",J62="N"),_xll.EVPRO($B$1,H62,"PSFTID"),""))</f>
        <v>306099</v>
      </c>
      <c r="N62" s="90" t="str">
        <f>IF(_epmOfflineCondition_,"Gym Pass Cost of Sales",IF(_xll.EVDES(H62,$B$1)="#NODATA","",_xll.EVDES(H62,$B$1)))</f>
        <v>Gym Pass Cost of Sales</v>
      </c>
      <c r="O62" s="138"/>
      <c r="P62" s="138"/>
      <c r="Q62" s="138"/>
      <c r="R62" s="138"/>
      <c r="S62" s="138"/>
      <c r="T62" s="138"/>
      <c r="U62" s="138"/>
      <c r="V62" s="138"/>
      <c r="W62" s="138"/>
      <c r="X62" s="138"/>
      <c r="Y62" s="138"/>
      <c r="Z62" s="138"/>
      <c r="AA62" s="210">
        <f t="shared" si="13"/>
        <v>0</v>
      </c>
      <c r="AB62" s="142" t="str">
        <f>IF(_epmOfflineCondition_,"",IF(AA62=0,"",IFERROR(AA62/_xll.EVGTS($B$1,1,_xll.EVPRO($B$1,$H62,"COSBASIS"),$B$3,$B$5,$B$6,$B$7,$B$9,AA$16,Z$17,AA$18),"")))</f>
        <v/>
      </c>
      <c r="AC62" s="140"/>
      <c r="AD62" s="138"/>
      <c r="AE62" s="142" t="str">
        <f>IF(_epmOfflineCondition_,"",IF(AD62=0,"",IFERROR(AD62/_xll.EVGTS($B$1,1,_xll.EVPRO($B$1,$H62,"COSBASIS"),$B$3,$B$5,$B$6,$B$7,$B$9,AD$16,AD$17,AD$18),"")))</f>
        <v/>
      </c>
      <c r="AF62" s="141">
        <f t="shared" si="14"/>
        <v>0</v>
      </c>
      <c r="AG62" s="138"/>
      <c r="AH62" s="142" t="str">
        <f>IF(_epmOfflineCondition_,"",IF(AG62=0,"",IFERROR(AG62/_xll.EVGTS($B$1,1,_xll.EVPRO($B$1,$H62,"COSBASIS"),$B$3,$B$5,$B$6,$B$7,$B$9,AG$16,AG$17,AG$18),"")))</f>
        <v/>
      </c>
      <c r="AI62" s="141">
        <f t="shared" si="15"/>
        <v>0</v>
      </c>
      <c r="AJ62" s="462">
        <f t="shared" si="16"/>
        <v>0</v>
      </c>
      <c r="AK62" s="463">
        <f t="shared" si="17"/>
        <v>0</v>
      </c>
      <c r="AL62" s="464">
        <f t="shared" si="18"/>
        <v>0</v>
      </c>
      <c r="AM62" s="465">
        <f t="shared" si="19"/>
        <v>0</v>
      </c>
      <c r="AN62" s="466">
        <f t="shared" si="20"/>
        <v>0</v>
      </c>
      <c r="AO62" s="11"/>
    </row>
    <row r="63" spans="1:41" x14ac:dyDescent="0.25">
      <c r="A63" s="11"/>
      <c r="B63" s="11"/>
      <c r="C63" s="11"/>
      <c r="D63" s="11"/>
      <c r="E63" s="11"/>
      <c r="F63" s="11"/>
      <c r="G63" s="11"/>
      <c r="H63" s="88" t="s">
        <v>481</v>
      </c>
      <c r="I63" s="122" t="str">
        <f>IF(_epmOfflineCondition_,"N",_xll.EVPRO($B$1,$H63,"STYLE"))</f>
        <v>N</v>
      </c>
      <c r="J63" s="122" t="str">
        <f>IF(_epmOfflineCondition_,"N",_xll.EVPRO($B$1,$H63,"CALC"))</f>
        <v>N</v>
      </c>
      <c r="K63" s="179" t="str">
        <f t="shared" si="12"/>
        <v/>
      </c>
      <c r="L63" s="90" t="str">
        <f>IF(_epmOfflineCondition_,"550375",_xll.EVPRO($B$1,H63,"JDEID"))</f>
        <v>550375</v>
      </c>
      <c r="M63" s="90" t="str">
        <f>IF(_epmOfflineCondition_,"307005",IF(AND(I63="N",J63="N"),_xll.EVPRO($B$1,H63,"PSFTID"),""))</f>
        <v>307005</v>
      </c>
      <c r="N63" s="90" t="str">
        <f>IF(_epmOfflineCondition_,"Shared Facilities &amp; Services Expense",IF(_xll.EVDES(H63,$B$1)="#NODATA","",_xll.EVDES(H63,$B$1)))</f>
        <v>Shared Facilities &amp; Services Expense</v>
      </c>
      <c r="O63" s="138"/>
      <c r="P63" s="138"/>
      <c r="Q63" s="138"/>
      <c r="R63" s="138"/>
      <c r="S63" s="138"/>
      <c r="T63" s="138"/>
      <c r="U63" s="138"/>
      <c r="V63" s="138"/>
      <c r="W63" s="138"/>
      <c r="X63" s="138"/>
      <c r="Y63" s="138"/>
      <c r="Z63" s="138"/>
      <c r="AA63" s="210">
        <f t="shared" si="13"/>
        <v>0</v>
      </c>
      <c r="AB63" s="142" t="str">
        <f>IF(_epmOfflineCondition_,"",IF(AA63=0,"",IFERROR(AA63/_xll.EVGTS($B$1,1,_xll.EVPRO($B$1,$H63,"COSBASIS"),$B$3,$B$5,$B$6,$B$7,$B$9,AA$16,Z$17,AA$18),"")))</f>
        <v/>
      </c>
      <c r="AC63" s="140"/>
      <c r="AD63" s="138"/>
      <c r="AE63" s="142" t="str">
        <f>IF(_epmOfflineCondition_,"",IF(AD63=0,"",IFERROR(AD63/_xll.EVGTS($B$1,1,_xll.EVPRO($B$1,$H63,"COSBASIS"),$B$3,$B$5,$B$6,$B$7,$B$9,AD$16,AD$17,AD$18),"")))</f>
        <v/>
      </c>
      <c r="AF63" s="141">
        <f t="shared" si="14"/>
        <v>0</v>
      </c>
      <c r="AG63" s="138"/>
      <c r="AH63" s="142" t="str">
        <f>IF(_epmOfflineCondition_,"",IF(AG63=0,"",IFERROR(AG63/_xll.EVGTS($B$1,1,_xll.EVPRO($B$1,$H63,"COSBASIS"),$B$3,$B$5,$B$6,$B$7,$B$9,AG$16,AG$17,AG$18),"")))</f>
        <v/>
      </c>
      <c r="AI63" s="141">
        <f t="shared" si="15"/>
        <v>0</v>
      </c>
      <c r="AJ63" s="462">
        <f t="shared" si="16"/>
        <v>0</v>
      </c>
      <c r="AK63" s="463">
        <f t="shared" si="17"/>
        <v>0</v>
      </c>
      <c r="AL63" s="464">
        <f t="shared" si="18"/>
        <v>0</v>
      </c>
      <c r="AM63" s="465">
        <f t="shared" si="19"/>
        <v>0</v>
      </c>
      <c r="AN63" s="466">
        <f t="shared" si="20"/>
        <v>0</v>
      </c>
      <c r="AO63" s="11"/>
    </row>
    <row r="64" spans="1:41" x14ac:dyDescent="0.25">
      <c r="A64" s="11"/>
      <c r="B64" s="11"/>
      <c r="C64" s="208"/>
      <c r="D64" s="11"/>
      <c r="E64" s="11"/>
      <c r="F64" s="11"/>
      <c r="G64" s="11"/>
      <c r="H64" s="88" t="s">
        <v>482</v>
      </c>
      <c r="I64" s="122" t="str">
        <f>IF(_epmOfflineCondition_,"N",_xll.EVPRO($B$1,$H64,"STYLE"))</f>
        <v>N</v>
      </c>
      <c r="J64" s="122" t="str">
        <f>IF(_epmOfflineCondition_,"N",_xll.EVPRO($B$1,$H64,"CALC"))</f>
        <v>N</v>
      </c>
      <c r="K64" s="179" t="str">
        <f t="shared" si="12"/>
        <v/>
      </c>
      <c r="L64" s="90" t="str">
        <f>IF(_epmOfflineCondition_,"550380",_xll.EVPRO($B$1,H64,"JDEID"))</f>
        <v>550380</v>
      </c>
      <c r="M64" s="90" t="str">
        <f>IF(_epmOfflineCondition_,"306020",IF(AND(I64="N",J64="N"),_xll.EVPRO($B$1,H64,"PSFTID"),""))</f>
        <v>306020</v>
      </c>
      <c r="N64" s="90" t="str">
        <f>IF(_epmOfflineCondition_,"Retail Kiosk Cost of Sales",IF(_xll.EVDES(H64,$B$1)="#NODATA","",_xll.EVDES(H64,$B$1)))</f>
        <v>Retail Kiosk Cost of Sales</v>
      </c>
      <c r="O64" s="138"/>
      <c r="P64" s="138"/>
      <c r="Q64" s="138"/>
      <c r="R64" s="138"/>
      <c r="S64" s="138"/>
      <c r="T64" s="138"/>
      <c r="U64" s="138"/>
      <c r="V64" s="138"/>
      <c r="W64" s="138"/>
      <c r="X64" s="138"/>
      <c r="Y64" s="138"/>
      <c r="Z64" s="138"/>
      <c r="AA64" s="210">
        <f t="shared" si="13"/>
        <v>0</v>
      </c>
      <c r="AB64" s="142" t="str">
        <f>IF(_epmOfflineCondition_,"",IF(AA64=0,"",IFERROR(AA64/_xll.EVGTS($B$1,1,_xll.EVPRO($B$1,$H64,"COSBASIS"),$B$3,$B$5,$B$6,$B$7,$B$9,AA$16,Z$17,AA$18),"")))</f>
        <v/>
      </c>
      <c r="AC64" s="140"/>
      <c r="AD64" s="138"/>
      <c r="AE64" s="142" t="str">
        <f>IF(_epmOfflineCondition_,"",IF(AD64=0,"",IFERROR(AD64/_xll.EVGTS($B$1,1,_xll.EVPRO($B$1,$H64,"COSBASIS"),$B$3,$B$5,$B$6,$B$7,$B$9,AD$16,AD$17,AD$18),"")))</f>
        <v/>
      </c>
      <c r="AF64" s="141">
        <f t="shared" si="14"/>
        <v>0</v>
      </c>
      <c r="AG64" s="138"/>
      <c r="AH64" s="142" t="str">
        <f>IF(_epmOfflineCondition_,"",IF(AG64=0,"",IFERROR(AG64/_xll.EVGTS($B$1,1,_xll.EVPRO($B$1,$H64,"COSBASIS"),$B$3,$B$5,$B$6,$B$7,$B$9,AG$16,AG$17,AG$18),"")))</f>
        <v/>
      </c>
      <c r="AI64" s="141">
        <f t="shared" si="15"/>
        <v>0</v>
      </c>
      <c r="AJ64" s="462">
        <f t="shared" si="16"/>
        <v>0</v>
      </c>
      <c r="AK64" s="463">
        <f t="shared" si="17"/>
        <v>0</v>
      </c>
      <c r="AL64" s="464">
        <f t="shared" si="18"/>
        <v>0</v>
      </c>
      <c r="AM64" s="465">
        <f t="shared" si="19"/>
        <v>0</v>
      </c>
      <c r="AN64" s="466">
        <f t="shared" si="20"/>
        <v>0</v>
      </c>
      <c r="AO64" s="11"/>
    </row>
    <row r="65" spans="1:41" x14ac:dyDescent="0.25">
      <c r="A65" s="61" t="str">
        <f>IF(_epmOfflineCondition_,"Evdre:Ok",_xll.EVDRE($B$1,A68:B75))</f>
        <v>Evdre:Ok</v>
      </c>
      <c r="B65" s="11" t="s">
        <v>736</v>
      </c>
      <c r="C65" s="11"/>
      <c r="D65" s="11"/>
      <c r="E65" s="11"/>
      <c r="F65" s="11"/>
      <c r="G65" s="11"/>
      <c r="H65" s="88" t="s">
        <v>483</v>
      </c>
      <c r="I65" s="122" t="str">
        <f>IF(_epmOfflineCondition_,"N",_xll.EVPRO($B$1,$H65,"STYLE"))</f>
        <v>N</v>
      </c>
      <c r="J65" s="122" t="str">
        <f>IF(_epmOfflineCondition_,"N",_xll.EVPRO($B$1,$H65,"CALC"))</f>
        <v>N</v>
      </c>
      <c r="K65" s="179" t="str">
        <f t="shared" si="12"/>
        <v/>
      </c>
      <c r="L65" s="90" t="str">
        <f>IF(_epmOfflineCondition_,"550385",_xll.EVPRO($B$1,H65,"JDEID"))</f>
        <v>550385</v>
      </c>
      <c r="M65" s="90" t="str">
        <f>IF(_epmOfflineCondition_,"306045",IF(AND(I65="N",J65="N"),_xll.EVPRO($B$1,H65,"PSFTID"),""))</f>
        <v>306045</v>
      </c>
      <c r="N65" s="90" t="str">
        <f>IF(_epmOfflineCondition_,"Vending Machines Cost of Sales",IF(_xll.EVDES(H65,$B$1)="#NODATA","",_xll.EVDES(H65,$B$1)))</f>
        <v>Vending Machines Cost of Sales</v>
      </c>
      <c r="O65" s="138"/>
      <c r="P65" s="138"/>
      <c r="Q65" s="138"/>
      <c r="R65" s="138"/>
      <c r="S65" s="138"/>
      <c r="T65" s="138"/>
      <c r="U65" s="138"/>
      <c r="V65" s="138"/>
      <c r="W65" s="138"/>
      <c r="X65" s="138"/>
      <c r="Y65" s="138"/>
      <c r="Z65" s="138"/>
      <c r="AA65" s="210">
        <f t="shared" si="13"/>
        <v>0</v>
      </c>
      <c r="AB65" s="142" t="str">
        <f>IF(_epmOfflineCondition_,"",IF(AA65=0,"",IFERROR(AA65/_xll.EVGTS($B$1,1,_xll.EVPRO($B$1,$H65,"COSBASIS"),$B$3,$B$5,$B$6,$B$7,$B$9,AA$16,Z$17,AA$18),"")))</f>
        <v/>
      </c>
      <c r="AC65" s="140"/>
      <c r="AD65" s="138"/>
      <c r="AE65" s="142" t="str">
        <f>IF(_epmOfflineCondition_,"",IF(AD65=0,"",IFERROR(AD65/_xll.EVGTS($B$1,1,_xll.EVPRO($B$1,$H65,"COSBASIS"),$B$3,$B$5,$B$6,$B$7,$B$9,AD$16,AD$17,AD$18),"")))</f>
        <v/>
      </c>
      <c r="AF65" s="141">
        <f t="shared" si="14"/>
        <v>0</v>
      </c>
      <c r="AG65" s="138"/>
      <c r="AH65" s="142" t="str">
        <f>IF(_epmOfflineCondition_,"",IF(AG65=0,"",IFERROR(AG65/_xll.EVGTS($B$1,1,_xll.EVPRO($B$1,$H65,"COSBASIS"),$B$3,$B$5,$B$6,$B$7,$B$9,AG$16,AG$17,AG$18),"")))</f>
        <v/>
      </c>
      <c r="AI65" s="141">
        <f t="shared" si="15"/>
        <v>0</v>
      </c>
      <c r="AJ65" s="462">
        <f t="shared" si="16"/>
        <v>0</v>
      </c>
      <c r="AK65" s="463">
        <f t="shared" si="17"/>
        <v>0</v>
      </c>
      <c r="AL65" s="464">
        <f t="shared" si="18"/>
        <v>0</v>
      </c>
      <c r="AM65" s="465">
        <f t="shared" si="19"/>
        <v>0</v>
      </c>
      <c r="AN65" s="466">
        <f t="shared" si="20"/>
        <v>0</v>
      </c>
      <c r="AO65" s="11"/>
    </row>
    <row r="66" spans="1:41" x14ac:dyDescent="0.25">
      <c r="A66" s="11"/>
      <c r="B66" s="11"/>
      <c r="C66" s="11"/>
      <c r="D66" s="11"/>
      <c r="E66" s="11"/>
      <c r="F66" s="11"/>
      <c r="G66" s="11"/>
      <c r="H66" s="88" t="s">
        <v>484</v>
      </c>
      <c r="I66" s="122" t="str">
        <f>IF(_epmOfflineCondition_,"N",_xll.EVPRO($B$1,$H66,"STYLE"))</f>
        <v>N</v>
      </c>
      <c r="J66" s="122" t="str">
        <f>IF(_epmOfflineCondition_,"N",_xll.EVPRO($B$1,$H66,"CALC"))</f>
        <v>N</v>
      </c>
      <c r="K66" s="179" t="str">
        <f t="shared" si="12"/>
        <v/>
      </c>
      <c r="L66" s="90" t="str">
        <f>IF(_epmOfflineCondition_,"550390",_xll.EVPRO($B$1,H66,"JDEID"))</f>
        <v>550390</v>
      </c>
      <c r="M66" s="90" t="str">
        <f>IF(_epmOfflineCondition_,"306015",IF(AND(I66="N",J66="N"),_xll.EVPRO($B$1,H66,"PSFTID"),""))</f>
        <v>306015</v>
      </c>
      <c r="N66" s="90" t="str">
        <f>IF(_epmOfflineCondition_,"Laundry Machines Cost of Sales",IF(_xll.EVDES(H66,$B$1)="#NODATA","",_xll.EVDES(H66,$B$1)))</f>
        <v>Laundry Machines Cost of Sales</v>
      </c>
      <c r="O66" s="138"/>
      <c r="P66" s="138"/>
      <c r="Q66" s="138"/>
      <c r="R66" s="138"/>
      <c r="S66" s="138"/>
      <c r="T66" s="138"/>
      <c r="U66" s="138"/>
      <c r="V66" s="138"/>
      <c r="W66" s="138"/>
      <c r="X66" s="138"/>
      <c r="Y66" s="138"/>
      <c r="Z66" s="138"/>
      <c r="AA66" s="210">
        <f t="shared" si="13"/>
        <v>0</v>
      </c>
      <c r="AB66" s="142" t="str">
        <f>IF(_epmOfflineCondition_,"",IF(AA66=0,"",IFERROR(AA66/_xll.EVGTS($B$1,1,_xll.EVPRO($B$1,$H66,"COSBASIS"),$B$3,$B$5,$B$6,$B$7,$B$9,AA$16,Z$17,AA$18),"")))</f>
        <v/>
      </c>
      <c r="AC66" s="140"/>
      <c r="AD66" s="138"/>
      <c r="AE66" s="142" t="str">
        <f>IF(_epmOfflineCondition_,"",IF(AD66=0,"",IFERROR(AD66/_xll.EVGTS($B$1,1,_xll.EVPRO($B$1,$H66,"COSBASIS"),$B$3,$B$5,$B$6,$B$7,$B$9,AD$16,AD$17,AD$18),"")))</f>
        <v/>
      </c>
      <c r="AF66" s="141">
        <f t="shared" si="14"/>
        <v>0</v>
      </c>
      <c r="AG66" s="138"/>
      <c r="AH66" s="142" t="str">
        <f>IF(_epmOfflineCondition_,"",IF(AG66=0,"",IFERROR(AG66/_xll.EVGTS($B$1,1,_xll.EVPRO($B$1,$H66,"COSBASIS"),$B$3,$B$5,$B$6,$B$7,$B$9,AG$16,AG$17,AG$18),"")))</f>
        <v/>
      </c>
      <c r="AI66" s="141">
        <f t="shared" si="15"/>
        <v>0</v>
      </c>
      <c r="AJ66" s="462">
        <f t="shared" si="16"/>
        <v>0</v>
      </c>
      <c r="AK66" s="463">
        <f t="shared" si="17"/>
        <v>0</v>
      </c>
      <c r="AL66" s="464">
        <f t="shared" si="18"/>
        <v>0</v>
      </c>
      <c r="AM66" s="465">
        <f t="shared" si="19"/>
        <v>0</v>
      </c>
      <c r="AN66" s="466">
        <f t="shared" si="20"/>
        <v>0</v>
      </c>
      <c r="AO66" s="11"/>
    </row>
    <row r="67" spans="1:41" x14ac:dyDescent="0.25">
      <c r="A67" s="62" t="s">
        <v>0</v>
      </c>
      <c r="B67" s="63" t="s">
        <v>1</v>
      </c>
      <c r="C67" s="11"/>
      <c r="D67" s="11"/>
      <c r="E67" s="11"/>
      <c r="F67" s="11"/>
      <c r="G67" s="11"/>
      <c r="H67" s="88" t="s">
        <v>485</v>
      </c>
      <c r="I67" s="122" t="str">
        <f>IF(_epmOfflineCondition_,"N",_xll.EVPRO($B$1,$H67,"STYLE"))</f>
        <v>N</v>
      </c>
      <c r="J67" s="122" t="str">
        <f>IF(_epmOfflineCondition_,"N",_xll.EVPRO($B$1,$H67,"CALC"))</f>
        <v>N</v>
      </c>
      <c r="K67" s="179" t="str">
        <f t="shared" si="12"/>
        <v/>
      </c>
      <c r="L67" s="90" t="str">
        <f>IF(_epmOfflineCondition_,"550395",_xll.EVPRO($B$1,H67,"JDEID"))</f>
        <v>550395</v>
      </c>
      <c r="M67" s="90" t="str">
        <f>IF(_epmOfflineCondition_,"307010",IF(AND(I67="N",J67="N"),_xll.EVPRO($B$1,H67,"PSFTID"),""))</f>
        <v>307010</v>
      </c>
      <c r="N67" s="90" t="str">
        <f>IF(_epmOfflineCondition_,"Occasional F&amp;B Cost of Sales",IF(_xll.EVDES(H67,$B$1)="#NODATA","",_xll.EVDES(H67,$B$1)))</f>
        <v>Occasional F&amp;B Cost of Sales</v>
      </c>
      <c r="O67" s="138"/>
      <c r="P67" s="138"/>
      <c r="Q67" s="138"/>
      <c r="R67" s="138"/>
      <c r="S67" s="138"/>
      <c r="T67" s="138"/>
      <c r="U67" s="138"/>
      <c r="V67" s="138"/>
      <c r="W67" s="138"/>
      <c r="X67" s="138"/>
      <c r="Y67" s="138"/>
      <c r="Z67" s="138"/>
      <c r="AA67" s="210">
        <f t="shared" si="13"/>
        <v>0</v>
      </c>
      <c r="AB67" s="142" t="str">
        <f>IF(_epmOfflineCondition_,"",IF(AA67=0,"",IFERROR(AA67/_xll.EVGTS($B$1,1,_xll.EVPRO($B$1,$H67,"COSBASIS"),$B$3,$B$5,$B$6,$B$7,$B$9,AA$16,Z$17,AA$18),"")))</f>
        <v/>
      </c>
      <c r="AC67" s="140"/>
      <c r="AD67" s="138"/>
      <c r="AE67" s="142" t="str">
        <f>IF(_epmOfflineCondition_,"",IF(AD67=0,"",IFERROR(AD67/_xll.EVGTS($B$1,1,_xll.EVPRO($B$1,$H67,"COSBASIS"),$B$3,$B$5,$B$6,$B$7,$B$9,AD$16,AD$17,AD$18),"")))</f>
        <v/>
      </c>
      <c r="AF67" s="141">
        <f t="shared" si="14"/>
        <v>0</v>
      </c>
      <c r="AG67" s="138"/>
      <c r="AH67" s="142" t="str">
        <f>IF(_epmOfflineCondition_,"",IF(AG67=0,"",IFERROR(AG67/_xll.EVGTS($B$1,1,_xll.EVPRO($B$1,$H67,"COSBASIS"),$B$3,$B$5,$B$6,$B$7,$B$9,AG$16,AG$17,AG$18),"")))</f>
        <v/>
      </c>
      <c r="AI67" s="141">
        <f t="shared" si="15"/>
        <v>0</v>
      </c>
      <c r="AJ67" s="462">
        <f t="shared" si="16"/>
        <v>0</v>
      </c>
      <c r="AK67" s="463">
        <f t="shared" si="17"/>
        <v>0</v>
      </c>
      <c r="AL67" s="464">
        <f t="shared" si="18"/>
        <v>0</v>
      </c>
      <c r="AM67" s="465">
        <f t="shared" si="19"/>
        <v>0</v>
      </c>
      <c r="AN67" s="466">
        <f t="shared" si="20"/>
        <v>0</v>
      </c>
      <c r="AO67" s="11"/>
    </row>
    <row r="68" spans="1:41" x14ac:dyDescent="0.25">
      <c r="A68" s="65" t="s">
        <v>2</v>
      </c>
      <c r="B68" s="66" t="str">
        <f>IF(_epmOfflineCondition_,"'Minor_Op'!$B$2:$B$10",_xll.EVRNG($B$2:$B$10))</f>
        <v>'Minor_Op'!$B$2:$B$10</v>
      </c>
      <c r="C68" s="11"/>
      <c r="D68" s="11"/>
      <c r="E68" s="11"/>
      <c r="F68" s="11"/>
      <c r="G68" s="11"/>
      <c r="H68" s="88" t="s">
        <v>444</v>
      </c>
      <c r="I68" s="122" t="str">
        <f>IF(_epmOfflineCondition_,"N",_xll.EVPRO($B$1,$H68,"STYLE"))</f>
        <v>N</v>
      </c>
      <c r="J68" s="122" t="str">
        <f>IF(_epmOfflineCondition_,"N",_xll.EVPRO($B$1,$H68,"CALC"))</f>
        <v>N</v>
      </c>
      <c r="K68" s="179" t="str">
        <f t="shared" si="12"/>
        <v/>
      </c>
      <c r="L68" s="90" t="str">
        <f>IF(_epmOfflineCondition_,"550400",_xll.EVPRO($B$1,H68,"JDEID"))</f>
        <v>550400</v>
      </c>
      <c r="M68" s="90" t="str">
        <f>IF(_epmOfflineCondition_,"307014",IF(AND(I68="N",J68="N"),_xll.EVPRO($B$1,H68,"PSFTID"),""))</f>
        <v>307014</v>
      </c>
      <c r="N68" s="90" t="str">
        <f>IF(_epmOfflineCondition_,"Other 1 Cost of Sales",IF(_xll.EVDES(H68,$B$1)="#NODATA","",_xll.EVDES(H68,$B$1)))</f>
        <v>Other 1 Cost of Sales</v>
      </c>
      <c r="O68" s="138"/>
      <c r="P68" s="138"/>
      <c r="Q68" s="138"/>
      <c r="R68" s="138"/>
      <c r="S68" s="138"/>
      <c r="T68" s="138"/>
      <c r="U68" s="138"/>
      <c r="V68" s="138"/>
      <c r="W68" s="138"/>
      <c r="X68" s="138"/>
      <c r="Y68" s="138"/>
      <c r="Z68" s="138"/>
      <c r="AA68" s="210">
        <f t="shared" si="13"/>
        <v>0</v>
      </c>
      <c r="AB68" s="142" t="str">
        <f>IF(_epmOfflineCondition_,"",IF(AA68=0,"",IFERROR(AA68/_xll.EVGTS($B$1,1,_xll.EVPRO($B$1,$H68,"COSBASIS"),$B$3,$B$5,$B$6,$B$7,$B$9,AA$16,Z$17,AA$18),"")))</f>
        <v/>
      </c>
      <c r="AC68" s="140"/>
      <c r="AD68" s="138"/>
      <c r="AE68" s="142" t="str">
        <f>IF(_epmOfflineCondition_,"",IF(AD68=0,"",IFERROR(AD68/_xll.EVGTS($B$1,1,_xll.EVPRO($B$1,$H68,"COSBASIS"),$B$3,$B$5,$B$6,$B$7,$B$9,AD$16,AD$17,AD$18),"")))</f>
        <v/>
      </c>
      <c r="AF68" s="141">
        <f t="shared" si="14"/>
        <v>0</v>
      </c>
      <c r="AG68" s="138"/>
      <c r="AH68" s="142" t="str">
        <f>IF(_epmOfflineCondition_,"",IF(AG68=0,"",IFERROR(AG68/_xll.EVGTS($B$1,1,_xll.EVPRO($B$1,$H68,"COSBASIS"),$B$3,$B$5,$B$6,$B$7,$B$9,AG$16,AG$17,AG$18),"")))</f>
        <v/>
      </c>
      <c r="AI68" s="141">
        <f t="shared" si="15"/>
        <v>0</v>
      </c>
      <c r="AJ68" s="462">
        <f t="shared" si="16"/>
        <v>0</v>
      </c>
      <c r="AK68" s="463">
        <f t="shared" si="17"/>
        <v>0</v>
      </c>
      <c r="AL68" s="464">
        <f t="shared" si="18"/>
        <v>0</v>
      </c>
      <c r="AM68" s="465">
        <f t="shared" si="19"/>
        <v>0</v>
      </c>
      <c r="AN68" s="466">
        <f t="shared" si="20"/>
        <v>0</v>
      </c>
      <c r="AO68" s="11"/>
    </row>
    <row r="69" spans="1:41" x14ac:dyDescent="0.25">
      <c r="A69" s="65" t="s">
        <v>3</v>
      </c>
      <c r="B69" s="66" t="str">
        <f>IF(_epmOfflineCondition_,"'Minor_Op'!$O$16:$AN$18",_xll.EVRNG($O$16:$AN$18))</f>
        <v>'Minor_Op'!$O$16:$AN$18</v>
      </c>
      <c r="C69" s="11"/>
      <c r="D69" s="11"/>
      <c r="E69" s="11"/>
      <c r="F69" s="11"/>
      <c r="G69" s="11"/>
      <c r="H69" s="88" t="s">
        <v>445</v>
      </c>
      <c r="I69" s="122" t="str">
        <f>IF(_epmOfflineCondition_,"N",_xll.EVPRO($B$1,$H69,"STYLE"))</f>
        <v>N</v>
      </c>
      <c r="J69" s="122" t="str">
        <f>IF(_epmOfflineCondition_,"N",_xll.EVPRO($B$1,$H69,"CALC"))</f>
        <v>N</v>
      </c>
      <c r="K69" s="179" t="str">
        <f t="shared" si="12"/>
        <v/>
      </c>
      <c r="L69" s="90" t="str">
        <f>IF(_epmOfflineCondition_,"550450",_xll.EVPRO($B$1,H69,"JDEID"))</f>
        <v>550450</v>
      </c>
      <c r="M69" s="90" t="str">
        <f>IF(_epmOfflineCondition_,"307015",IF(AND(I69="N",J69="N"),_xll.EVPRO($B$1,H69,"PSFTID"),""))</f>
        <v>307015</v>
      </c>
      <c r="N69" s="90" t="str">
        <f>IF(_epmOfflineCondition_,"Other 2 Cost of Sales",IF(_xll.EVDES(H69,$B$1)="#NODATA","",_xll.EVDES(H69,$B$1)))</f>
        <v>Other 2 Cost of Sales</v>
      </c>
      <c r="O69" s="138"/>
      <c r="P69" s="138"/>
      <c r="Q69" s="138"/>
      <c r="R69" s="138"/>
      <c r="S69" s="138"/>
      <c r="T69" s="138"/>
      <c r="U69" s="138"/>
      <c r="V69" s="138"/>
      <c r="W69" s="138"/>
      <c r="X69" s="138"/>
      <c r="Y69" s="138"/>
      <c r="Z69" s="138"/>
      <c r="AA69" s="210">
        <f t="shared" si="13"/>
        <v>0</v>
      </c>
      <c r="AB69" s="142" t="str">
        <f>IF(_epmOfflineCondition_,"",IF(AA69=0,"",IFERROR(AA69/_xll.EVGTS($B$1,1,_xll.EVPRO($B$1,$H69,"COSBASIS"),$B$3,$B$5,$B$6,$B$7,$B$9,AA$16,Z$17,AA$18),"")))</f>
        <v/>
      </c>
      <c r="AC69" s="140"/>
      <c r="AD69" s="138"/>
      <c r="AE69" s="142" t="str">
        <f>IF(_epmOfflineCondition_,"",IF(AD69=0,"",IFERROR(AD69/_xll.EVGTS($B$1,1,_xll.EVPRO($B$1,$H69,"COSBASIS"),$B$3,$B$5,$B$6,$B$7,$B$9,AD$16,AD$17,AD$18),"")))</f>
        <v/>
      </c>
      <c r="AF69" s="141">
        <f t="shared" si="14"/>
        <v>0</v>
      </c>
      <c r="AG69" s="138"/>
      <c r="AH69" s="142" t="str">
        <f>IF(_epmOfflineCondition_,"",IF(AG69=0,"",IFERROR(AG69/_xll.EVGTS($B$1,1,_xll.EVPRO($B$1,$H69,"COSBASIS"),$B$3,$B$5,$B$6,$B$7,$B$9,AG$16,AG$17,AG$18),"")))</f>
        <v/>
      </c>
      <c r="AI69" s="141">
        <f t="shared" si="15"/>
        <v>0</v>
      </c>
      <c r="AJ69" s="462">
        <f t="shared" si="16"/>
        <v>0</v>
      </c>
      <c r="AK69" s="463">
        <f t="shared" si="17"/>
        <v>0</v>
      </c>
      <c r="AL69" s="464">
        <f t="shared" si="18"/>
        <v>0</v>
      </c>
      <c r="AM69" s="465">
        <f t="shared" si="19"/>
        <v>0</v>
      </c>
      <c r="AN69" s="466">
        <f t="shared" si="20"/>
        <v>0</v>
      </c>
      <c r="AO69" s="11"/>
    </row>
    <row r="70" spans="1:41" x14ac:dyDescent="0.25">
      <c r="A70" s="65" t="s">
        <v>4</v>
      </c>
      <c r="B70" s="66" t="str">
        <f>IF(_epmOfflineCondition_,"'Minor_Op'!$H$95:$H$98",_xll.EVRNG(H95:H98))</f>
        <v>'Minor_Op'!$H$95:$H$98</v>
      </c>
      <c r="C70" s="11"/>
      <c r="D70" s="11"/>
      <c r="E70" s="11"/>
      <c r="F70" s="11"/>
      <c r="G70" s="11"/>
      <c r="H70" s="88" t="s">
        <v>446</v>
      </c>
      <c r="I70" s="122" t="str">
        <f>IF(_epmOfflineCondition_,"N",_xll.EVPRO($B$1,$H70,"STYLE"))</f>
        <v>N</v>
      </c>
      <c r="J70" s="122" t="str">
        <f>IF(_epmOfflineCondition_,"N",_xll.EVPRO($B$1,$H70,"CALC"))</f>
        <v>N</v>
      </c>
      <c r="K70" s="179" t="str">
        <f t="shared" si="12"/>
        <v/>
      </c>
      <c r="L70" s="90" t="str">
        <f>IF(_epmOfflineCondition_,"550500",_xll.EVPRO($B$1,H70,"JDEID"))</f>
        <v>550500</v>
      </c>
      <c r="M70" s="90" t="str">
        <f>IF(_epmOfflineCondition_,"307016",IF(AND(I70="N",J70="N"),_xll.EVPRO($B$1,H70,"PSFTID"),""))</f>
        <v>307016</v>
      </c>
      <c r="N70" s="90" t="str">
        <f>IF(_epmOfflineCondition_,"Other 3 Cost of Sales",IF(_xll.EVDES(H70,$B$1)="#NODATA","",_xll.EVDES(H70,$B$1)))</f>
        <v>Other 3 Cost of Sales</v>
      </c>
      <c r="O70" s="138"/>
      <c r="P70" s="138"/>
      <c r="Q70" s="138"/>
      <c r="R70" s="138"/>
      <c r="S70" s="138"/>
      <c r="T70" s="138"/>
      <c r="U70" s="138"/>
      <c r="V70" s="138"/>
      <c r="W70" s="138"/>
      <c r="X70" s="138"/>
      <c r="Y70" s="138"/>
      <c r="Z70" s="138"/>
      <c r="AA70" s="210">
        <f t="shared" si="13"/>
        <v>0</v>
      </c>
      <c r="AB70" s="142" t="str">
        <f>IF(_epmOfflineCondition_,"",IF(AA70=0,"",IFERROR(AA70/_xll.EVGTS($B$1,1,_xll.EVPRO($B$1,$H70,"COSBASIS"),$B$3,$B$5,$B$6,$B$7,$B$9,AA$16,Z$17,AA$18),"")))</f>
        <v/>
      </c>
      <c r="AC70" s="140"/>
      <c r="AD70" s="138"/>
      <c r="AE70" s="142" t="str">
        <f>IF(_epmOfflineCondition_,"",IF(AD70=0,"",IFERROR(AD70/_xll.EVGTS($B$1,1,_xll.EVPRO($B$1,$H70,"COSBASIS"),$B$3,$B$5,$B$6,$B$7,$B$9,AD$16,AD$17,AD$18),"")))</f>
        <v/>
      </c>
      <c r="AF70" s="141">
        <f t="shared" si="14"/>
        <v>0</v>
      </c>
      <c r="AG70" s="138"/>
      <c r="AH70" s="142" t="str">
        <f>IF(_epmOfflineCondition_,"",IF(AG70=0,"",IFERROR(AG70/_xll.EVGTS($B$1,1,_xll.EVPRO($B$1,$H70,"COSBASIS"),$B$3,$B$5,$B$6,$B$7,$B$9,AG$16,AG$17,AG$18),"")))</f>
        <v/>
      </c>
      <c r="AI70" s="141">
        <f t="shared" si="15"/>
        <v>0</v>
      </c>
      <c r="AJ70" s="462">
        <f t="shared" si="16"/>
        <v>0</v>
      </c>
      <c r="AK70" s="463">
        <f t="shared" si="17"/>
        <v>0</v>
      </c>
      <c r="AL70" s="464">
        <f t="shared" si="18"/>
        <v>0</v>
      </c>
      <c r="AM70" s="465">
        <f t="shared" si="19"/>
        <v>0</v>
      </c>
      <c r="AN70" s="466">
        <f t="shared" si="20"/>
        <v>0</v>
      </c>
      <c r="AO70" s="11"/>
    </row>
    <row r="71" spans="1:41" x14ac:dyDescent="0.25">
      <c r="A71" s="65" t="s">
        <v>5</v>
      </c>
      <c r="B71" s="66"/>
      <c r="C71" s="11"/>
      <c r="D71" s="11"/>
      <c r="E71" s="11"/>
      <c r="F71" s="11"/>
      <c r="G71" s="11"/>
      <c r="H71" s="88" t="s">
        <v>447</v>
      </c>
      <c r="I71" s="122" t="str">
        <f>IF(_epmOfflineCondition_,"N",_xll.EVPRO($B$1,$H71,"STYLE"))</f>
        <v>N</v>
      </c>
      <c r="J71" s="122" t="str">
        <f>IF(_epmOfflineCondition_,"N",_xll.EVPRO($B$1,$H71,"CALC"))</f>
        <v>N</v>
      </c>
      <c r="K71" s="179" t="str">
        <f t="shared" si="12"/>
        <v/>
      </c>
      <c r="L71" s="90" t="str">
        <f>IF(_epmOfflineCondition_,"550550",_xll.EVPRO($B$1,H71,"JDEID"))</f>
        <v>550550</v>
      </c>
      <c r="M71" s="90" t="str">
        <f>IF(_epmOfflineCondition_,"307017",IF(AND(I71="N",J71="N"),_xll.EVPRO($B$1,H71,"PSFTID"),""))</f>
        <v>307017</v>
      </c>
      <c r="N71" s="90" t="str">
        <f>IF(_epmOfflineCondition_,"Other 4 Cost of Sales",IF(_xll.EVDES(H71,$B$1)="#NODATA","",_xll.EVDES(H71,$B$1)))</f>
        <v>Other 4 Cost of Sales</v>
      </c>
      <c r="O71" s="138"/>
      <c r="P71" s="138"/>
      <c r="Q71" s="138"/>
      <c r="R71" s="138"/>
      <c r="S71" s="138"/>
      <c r="T71" s="138"/>
      <c r="U71" s="138"/>
      <c r="V71" s="138"/>
      <c r="W71" s="138"/>
      <c r="X71" s="138"/>
      <c r="Y71" s="138"/>
      <c r="Z71" s="138"/>
      <c r="AA71" s="210">
        <f t="shared" si="13"/>
        <v>0</v>
      </c>
      <c r="AB71" s="142" t="str">
        <f>IF(_epmOfflineCondition_,"",IF(AA71=0,"",IFERROR(AA71/_xll.EVGTS($B$1,1,_xll.EVPRO($B$1,$H71,"COSBASIS"),$B$3,$B$5,$B$6,$B$7,$B$9,AA$16,Z$17,AA$18),"")))</f>
        <v/>
      </c>
      <c r="AC71" s="140"/>
      <c r="AD71" s="138"/>
      <c r="AE71" s="142" t="str">
        <f>IF(_epmOfflineCondition_,"",IF(AD71=0,"",IFERROR(AD71/_xll.EVGTS($B$1,1,_xll.EVPRO($B$1,$H71,"COSBASIS"),$B$3,$B$5,$B$6,$B$7,$B$9,AD$16,AD$17,AD$18),"")))</f>
        <v/>
      </c>
      <c r="AF71" s="141">
        <f t="shared" si="14"/>
        <v>0</v>
      </c>
      <c r="AG71" s="138"/>
      <c r="AH71" s="142" t="str">
        <f>IF(_epmOfflineCondition_,"",IF(AG71=0,"",IFERROR(AG71/_xll.EVGTS($B$1,1,_xll.EVPRO($B$1,$H71,"COSBASIS"),$B$3,$B$5,$B$6,$B$7,$B$9,AG$16,AG$17,AG$18),"")))</f>
        <v/>
      </c>
      <c r="AI71" s="141">
        <f t="shared" si="15"/>
        <v>0</v>
      </c>
      <c r="AJ71" s="462">
        <f t="shared" si="16"/>
        <v>0</v>
      </c>
      <c r="AK71" s="463">
        <f t="shared" si="17"/>
        <v>0</v>
      </c>
      <c r="AL71" s="464">
        <f t="shared" si="18"/>
        <v>0</v>
      </c>
      <c r="AM71" s="465">
        <f t="shared" si="19"/>
        <v>0</v>
      </c>
      <c r="AN71" s="466">
        <f t="shared" si="20"/>
        <v>0</v>
      </c>
      <c r="AO71" s="11"/>
    </row>
    <row r="72" spans="1:41" x14ac:dyDescent="0.25">
      <c r="A72" s="65" t="s">
        <v>6</v>
      </c>
      <c r="B72" s="66"/>
      <c r="C72" s="11"/>
      <c r="D72" s="11"/>
      <c r="E72" s="11"/>
      <c r="F72" s="11"/>
      <c r="G72" s="11"/>
      <c r="H72" s="88" t="s">
        <v>448</v>
      </c>
      <c r="I72" s="122" t="str">
        <f>IF(_epmOfflineCondition_,"N",_xll.EVPRO($B$1,$H72,"STYLE"))</f>
        <v>N</v>
      </c>
      <c r="J72" s="122" t="str">
        <f>IF(_epmOfflineCondition_,"N",_xll.EVPRO($B$1,$H72,"CALC"))</f>
        <v>N</v>
      </c>
      <c r="K72" s="179" t="str">
        <f t="shared" si="12"/>
        <v/>
      </c>
      <c r="L72" s="90" t="str">
        <f>IF(_epmOfflineCondition_,"550600",_xll.EVPRO($B$1,H72,"JDEID"))</f>
        <v>550600</v>
      </c>
      <c r="M72" s="90" t="str">
        <f>IF(_epmOfflineCondition_,"307018",IF(AND(I72="N",J72="N"),_xll.EVPRO($B$1,H72,"PSFTID"),""))</f>
        <v>307018</v>
      </c>
      <c r="N72" s="90" t="str">
        <f>IF(_epmOfflineCondition_,"Other 5 Cost of Sales",IF(_xll.EVDES(H72,$B$1)="#NODATA","",_xll.EVDES(H72,$B$1)))</f>
        <v>Other 5 Cost of Sales</v>
      </c>
      <c r="O72" s="138"/>
      <c r="P72" s="138"/>
      <c r="Q72" s="138"/>
      <c r="R72" s="138"/>
      <c r="S72" s="138"/>
      <c r="T72" s="138"/>
      <c r="U72" s="138"/>
      <c r="V72" s="138"/>
      <c r="W72" s="138"/>
      <c r="X72" s="138"/>
      <c r="Y72" s="138"/>
      <c r="Z72" s="138"/>
      <c r="AA72" s="210">
        <f t="shared" si="13"/>
        <v>0</v>
      </c>
      <c r="AB72" s="142" t="str">
        <f>IF(_epmOfflineCondition_,"",IF(AA72=0,"",IFERROR(AA72/_xll.EVGTS($B$1,1,_xll.EVPRO($B$1,$H72,"COSBASIS"),$B$3,$B$5,$B$6,$B$7,$B$9,AA$16,Z$17,AA$18),"")))</f>
        <v/>
      </c>
      <c r="AC72" s="140"/>
      <c r="AD72" s="138"/>
      <c r="AE72" s="142" t="str">
        <f>IF(_epmOfflineCondition_,"",IF(AD72=0,"",IFERROR(AD72/_xll.EVGTS($B$1,1,_xll.EVPRO($B$1,$H72,"COSBASIS"),$B$3,$B$5,$B$6,$B$7,$B$9,AD$16,AD$17,AD$18),"")))</f>
        <v/>
      </c>
      <c r="AF72" s="141">
        <f t="shared" si="14"/>
        <v>0</v>
      </c>
      <c r="AG72" s="138"/>
      <c r="AH72" s="142" t="str">
        <f>IF(_epmOfflineCondition_,"",IF(AG72=0,"",IFERROR(AG72/_xll.EVGTS($B$1,1,_xll.EVPRO($B$1,$H72,"COSBASIS"),$B$3,$B$5,$B$6,$B$7,$B$9,AG$16,AG$17,AG$18),"")))</f>
        <v/>
      </c>
      <c r="AI72" s="141">
        <f t="shared" si="15"/>
        <v>0</v>
      </c>
      <c r="AJ72" s="462">
        <f t="shared" si="16"/>
        <v>0</v>
      </c>
      <c r="AK72" s="463">
        <f t="shared" si="17"/>
        <v>0</v>
      </c>
      <c r="AL72" s="464">
        <f t="shared" si="18"/>
        <v>0</v>
      </c>
      <c r="AM72" s="465">
        <f t="shared" si="19"/>
        <v>0</v>
      </c>
      <c r="AN72" s="466">
        <f t="shared" si="20"/>
        <v>0</v>
      </c>
      <c r="AO72" s="11"/>
    </row>
    <row r="73" spans="1:41" x14ac:dyDescent="0.25">
      <c r="A73" s="65" t="s">
        <v>7</v>
      </c>
      <c r="B73" s="66"/>
      <c r="C73" s="11"/>
      <c r="D73" s="11"/>
      <c r="E73" s="11"/>
      <c r="F73" s="11"/>
      <c r="G73" s="11"/>
      <c r="H73" s="88" t="s">
        <v>449</v>
      </c>
      <c r="I73" s="122" t="str">
        <f>IF(_epmOfflineCondition_,"N",_xll.EVPRO($B$1,$H73,"STYLE"))</f>
        <v>N</v>
      </c>
      <c r="J73" s="122" t="str">
        <f>IF(_epmOfflineCondition_,"N",_xll.EVPRO($B$1,$H73,"CALC"))</f>
        <v>N</v>
      </c>
      <c r="K73" s="179" t="str">
        <f t="shared" si="12"/>
        <v/>
      </c>
      <c r="L73" s="90" t="str">
        <f>IF(_epmOfflineCondition_,"550650",_xll.EVPRO($B$1,H73,"JDEID"))</f>
        <v>550650</v>
      </c>
      <c r="M73" s="90" t="str">
        <f>IF(_epmOfflineCondition_,"307019",IF(AND(I73="N",J73="N"),_xll.EVPRO($B$1,H73,"PSFTID"),""))</f>
        <v>307019</v>
      </c>
      <c r="N73" s="90" t="str">
        <f>IF(_epmOfflineCondition_,"Other 6 Cost of Sales",IF(_xll.EVDES(H73,$B$1)="#NODATA","",_xll.EVDES(H73,$B$1)))</f>
        <v>Other 6 Cost of Sales</v>
      </c>
      <c r="O73" s="215"/>
      <c r="P73" s="215"/>
      <c r="Q73" s="215"/>
      <c r="R73" s="215"/>
      <c r="S73" s="215"/>
      <c r="T73" s="215"/>
      <c r="U73" s="215"/>
      <c r="V73" s="215"/>
      <c r="W73" s="215"/>
      <c r="X73" s="215"/>
      <c r="Y73" s="215"/>
      <c r="Z73" s="215"/>
      <c r="AA73" s="216">
        <f t="shared" si="13"/>
        <v>0</v>
      </c>
      <c r="AB73" s="217" t="str">
        <f>IF(_epmOfflineCondition_,"",IF(AA73=0,"",IFERROR(AA73/_xll.EVGTS($B$1,1,_xll.EVPRO($B$1,$H73,"COSBASIS"),$B$3,$B$5,$B$6,$B$7,$B$9,AA$16,Z$17,AA$18),"")))</f>
        <v/>
      </c>
      <c r="AC73" s="140"/>
      <c r="AD73" s="215"/>
      <c r="AE73" s="217" t="str">
        <f>IF(_epmOfflineCondition_,"",IF(AD73=0,"",IFERROR(AD73/_xll.EVGTS($B$1,1,_xll.EVPRO($B$1,$H73,"COSBASIS"),$B$3,$B$5,$B$6,$B$7,$B$9,AD$16,AD$17,AD$18),"")))</f>
        <v/>
      </c>
      <c r="AF73" s="218">
        <f t="shared" si="14"/>
        <v>0</v>
      </c>
      <c r="AG73" s="215"/>
      <c r="AH73" s="217" t="str">
        <f>IF(_epmOfflineCondition_,"",IF(AG73=0,"",IFERROR(AG73/_xll.EVGTS($B$1,1,_xll.EVPRO($B$1,$H73,"COSBASIS"),$B$3,$B$5,$B$6,$B$7,$B$9,AG$16,AG$17,AG$18),"")))</f>
        <v/>
      </c>
      <c r="AI73" s="218">
        <f t="shared" si="15"/>
        <v>0</v>
      </c>
      <c r="AJ73" s="471">
        <f t="shared" si="16"/>
        <v>0</v>
      </c>
      <c r="AK73" s="472">
        <f t="shared" si="17"/>
        <v>0</v>
      </c>
      <c r="AL73" s="473">
        <f t="shared" si="18"/>
        <v>0</v>
      </c>
      <c r="AM73" s="474">
        <f t="shared" si="19"/>
        <v>0</v>
      </c>
      <c r="AN73" s="475">
        <f t="shared" si="20"/>
        <v>0</v>
      </c>
      <c r="AO73" s="11"/>
    </row>
    <row r="74" spans="1:41" x14ac:dyDescent="0.25">
      <c r="A74" s="65" t="s">
        <v>47</v>
      </c>
      <c r="B74" s="66" t="str">
        <f>IF(_epmOfflineCondition_,"'Minor_Op'!$A$79:$B$100",_xll.EVRNG($A$79:$B$100))</f>
        <v>'Minor_Op'!$A$79:$B$100</v>
      </c>
      <c r="C74" s="11"/>
      <c r="D74" s="11"/>
      <c r="E74" s="11"/>
      <c r="F74" s="11"/>
      <c r="G74" s="11"/>
      <c r="H74" s="88" t="s">
        <v>289</v>
      </c>
      <c r="I74" s="188" t="str">
        <f>IF(_epmOfflineCondition_,"T3",_xll.EVPRO($B$1,$H74,"STYLE"))</f>
        <v>T3</v>
      </c>
      <c r="J74" s="188" t="str">
        <f>IF(_epmOfflineCondition_,"Y",_xll.EVPRO($B$1,$H74,"CALC"))</f>
        <v>Y</v>
      </c>
      <c r="K74" s="189" t="str">
        <f t="shared" si="12"/>
        <v/>
      </c>
      <c r="L74" s="190" t="str">
        <f>IF(_epmOfflineCondition_,"500001",_xll.EVPRO($B$1,H74,"JDEID"))</f>
        <v>500001</v>
      </c>
      <c r="M74" s="190" t="str">
        <f>IF(_epmOfflineCondition_,"",IF(AND(I74="N",J74="N"),_xll.EVPRO($B$1,H74,"PSFTID"),""))</f>
        <v/>
      </c>
      <c r="N74" s="190" t="str">
        <f>IF(_epmOfflineCondition_,"Total Cost of Sales",IF(_xll.EVDES(H74,$B$1)="#NODATA","",_xll.EVDES(H74,$B$1)))</f>
        <v>Total Cost of Sales</v>
      </c>
      <c r="O74" s="223">
        <v>47.08</v>
      </c>
      <c r="P74" s="223">
        <v>972.28</v>
      </c>
      <c r="Q74" s="223">
        <v>900.28</v>
      </c>
      <c r="R74" s="223">
        <v>1626.9</v>
      </c>
      <c r="S74" s="223">
        <v>1457.11</v>
      </c>
      <c r="T74" s="223">
        <v>522.07000000000005</v>
      </c>
      <c r="U74" s="223">
        <v>528.16</v>
      </c>
      <c r="V74" s="223">
        <v>736.46</v>
      </c>
      <c r="W74" s="223">
        <v>121</v>
      </c>
      <c r="X74" s="223">
        <v>1209.17</v>
      </c>
      <c r="Y74" s="223">
        <v>1649.11</v>
      </c>
      <c r="Z74" s="223">
        <v>1629.66</v>
      </c>
      <c r="AA74" s="223">
        <f t="shared" si="13"/>
        <v>11399.279999999999</v>
      </c>
      <c r="AB74" s="224">
        <f>IF(_epmOfflineCondition_,0.407605978884677,IF(AA74=0,"",IFERROR(AA74/_xll.EVGTS($B$1,1,_xll.EVPRO($B$1,$H74,"COSBASIS"),$B$3,$B$5,$B$6,$B$7,$B$9,AA$16,Z$17,AA$18),"")))</f>
        <v>0.40760597888467698</v>
      </c>
      <c r="AC74" s="225"/>
      <c r="AD74" s="223">
        <v>6746.6812</v>
      </c>
      <c r="AE74" s="224">
        <f>IF(_epmOfflineCondition_,0.392840909090909,IF(AD74=0,"",IFERROR(AD74/_xll.EVGTS($B$1,1,_xll.EVPRO($B$1,$H74,"COSBASIS"),$B$3,$B$5,$B$6,$B$7,$B$9,AD$16,AD$17,AD$18),"")))</f>
        <v>0.39284090909090902</v>
      </c>
      <c r="AF74" s="226">
        <f t="shared" si="14"/>
        <v>4652.5987999999988</v>
      </c>
      <c r="AG74" s="223">
        <v>9085.0499999999993</v>
      </c>
      <c r="AH74" s="224">
        <f>IF(_epmOfflineCondition_,0.463952588749275,IF(AG74=0,"",IFERROR(AG74/_xll.EVGTS($B$1,1,_xll.EVPRO($B$1,$H74,"COSBASIS"),$B$3,$B$5,$B$6,$B$7,$B$9,AG$16,AG$17,AG$18),"")))</f>
        <v>0.46395258874927497</v>
      </c>
      <c r="AI74" s="226">
        <f t="shared" si="15"/>
        <v>2314.2299999999996</v>
      </c>
      <c r="AJ74" s="227">
        <f t="shared" si="16"/>
        <v>0.27591809071985279</v>
      </c>
      <c r="AK74" s="228">
        <f t="shared" si="17"/>
        <v>0.17285</v>
      </c>
      <c r="AL74" s="230">
        <f t="shared" si="18"/>
        <v>0.2258895049603421</v>
      </c>
      <c r="AM74" s="427" t="str">
        <f t="shared" si="19"/>
        <v>1.48 pts.</v>
      </c>
      <c r="AN74" s="478" t="str">
        <f t="shared" si="20"/>
        <v>-5.63 pts.</v>
      </c>
      <c r="AO74" s="11"/>
    </row>
    <row r="75" spans="1:41" x14ac:dyDescent="0.25">
      <c r="A75" s="65" t="s">
        <v>8</v>
      </c>
      <c r="B75" s="66"/>
      <c r="C75" s="11"/>
      <c r="D75" s="11"/>
      <c r="E75" s="11"/>
      <c r="F75" s="11"/>
      <c r="G75" s="11"/>
      <c r="H75" s="11"/>
      <c r="I75" s="11"/>
      <c r="J75" s="11"/>
      <c r="K75" s="11"/>
      <c r="L75" s="11"/>
      <c r="M75" s="11"/>
      <c r="N75" s="11"/>
      <c r="O75" s="203"/>
      <c r="P75" s="204"/>
      <c r="Q75" s="204"/>
      <c r="R75" s="204"/>
      <c r="S75" s="204"/>
      <c r="T75" s="204"/>
      <c r="U75" s="204"/>
      <c r="V75" s="204"/>
      <c r="W75" s="204"/>
      <c r="X75" s="204"/>
      <c r="Y75" s="204"/>
      <c r="Z75" s="204"/>
      <c r="AA75" s="204"/>
      <c r="AB75" s="118"/>
      <c r="AC75" s="11"/>
      <c r="AD75" s="203"/>
      <c r="AE75" s="204"/>
      <c r="AF75" s="118"/>
      <c r="AG75" s="203"/>
      <c r="AH75" s="204"/>
      <c r="AI75" s="118"/>
      <c r="AJ75" s="11"/>
      <c r="AK75" s="11"/>
      <c r="AL75" s="11"/>
      <c r="AM75" s="11"/>
      <c r="AN75" s="11"/>
      <c r="AO75" s="11"/>
    </row>
    <row r="76" spans="1:41" x14ac:dyDescent="0.25">
      <c r="A76" s="11"/>
      <c r="B76" s="11"/>
      <c r="C76" s="11"/>
      <c r="D76" s="11"/>
      <c r="E76" s="11"/>
      <c r="F76" s="11"/>
      <c r="G76" s="11"/>
      <c r="H76" s="11" t="s">
        <v>81</v>
      </c>
      <c r="I76" s="11" t="str">
        <f>IF(_epmOfflineCondition_,"T3",_xll.EVPRO($B$1,$H76,"STYLE"))</f>
        <v>T3</v>
      </c>
      <c r="J76" s="11" t="str">
        <f>IF(_epmOfflineCondition_,"Y",_xll.EVPRO($B$1,$H76,"CALC"))</f>
        <v>Y</v>
      </c>
      <c r="K76" s="11"/>
      <c r="L76" s="11"/>
      <c r="M76" s="11"/>
      <c r="N76" s="105" t="str">
        <f>IF(_epmOfflineCondition_,"Department Profit (Loss)",IF(_xll.EVDES(H76,$B$1)="#NODATA","",_xll.EVDES(H76,$B$1)))</f>
        <v>Department Profit (Loss)</v>
      </c>
      <c r="O76" s="203"/>
      <c r="P76" s="204"/>
      <c r="Q76" s="204"/>
      <c r="R76" s="204"/>
      <c r="S76" s="204"/>
      <c r="T76" s="204"/>
      <c r="U76" s="204"/>
      <c r="V76" s="204"/>
      <c r="W76" s="204"/>
      <c r="X76" s="204"/>
      <c r="Y76" s="204"/>
      <c r="Z76" s="204"/>
      <c r="AA76" s="204"/>
      <c r="AB76" s="118"/>
      <c r="AC76" s="11"/>
      <c r="AD76" s="203"/>
      <c r="AE76" s="204"/>
      <c r="AF76" s="118"/>
      <c r="AG76" s="203"/>
      <c r="AH76" s="204"/>
      <c r="AI76" s="118"/>
      <c r="AJ76" s="11"/>
      <c r="AK76" s="11"/>
      <c r="AL76" s="11"/>
      <c r="AM76" s="11"/>
      <c r="AN76" s="11"/>
      <c r="AO76" s="11"/>
    </row>
    <row r="77" spans="1:41" x14ac:dyDescent="0.25">
      <c r="A77" s="11"/>
      <c r="B77" s="11"/>
      <c r="C77" s="11"/>
      <c r="D77" s="11"/>
      <c r="E77" s="11"/>
      <c r="F77" s="11"/>
      <c r="G77" s="11" t="s">
        <v>450</v>
      </c>
      <c r="H77" s="88" t="s">
        <v>424</v>
      </c>
      <c r="I77" s="122" t="str">
        <f>IF(_epmOfflineCondition_,"T5",_xll.EVPRO($B$1,$H77,"STYLE"))</f>
        <v>T5</v>
      </c>
      <c r="J77" s="122" t="str">
        <f>IF(_epmOfflineCondition_,"Y",_xll.EVPRO($B$1,$H77,"CALC"))</f>
        <v>Y</v>
      </c>
      <c r="K77" s="90"/>
      <c r="L77" s="90"/>
      <c r="M77" s="90"/>
      <c r="N77" s="90" t="str">
        <f t="shared" ref="N77:N94" si="21">G77</f>
        <v>Guest Communication</v>
      </c>
      <c r="O77" s="138">
        <f t="shared" ref="O77:Z77" si="22">IFERROR(O34-O56,"")</f>
        <v>272.49</v>
      </c>
      <c r="P77" s="138">
        <f t="shared" si="22"/>
        <v>298.27</v>
      </c>
      <c r="Q77" s="138">
        <f t="shared" si="22"/>
        <v>212.64</v>
      </c>
      <c r="R77" s="138">
        <f t="shared" si="22"/>
        <v>624.45000000000005</v>
      </c>
      <c r="S77" s="138">
        <f t="shared" si="22"/>
        <v>283.16000000000003</v>
      </c>
      <c r="T77" s="138">
        <f t="shared" si="22"/>
        <v>124.38999999999999</v>
      </c>
      <c r="U77" s="138">
        <f t="shared" si="22"/>
        <v>225.01000000000002</v>
      </c>
      <c r="V77" s="138">
        <f t="shared" si="22"/>
        <v>182.92000000000002</v>
      </c>
      <c r="W77" s="138">
        <f t="shared" si="22"/>
        <v>142.75</v>
      </c>
      <c r="X77" s="138">
        <f t="shared" si="22"/>
        <v>260.27</v>
      </c>
      <c r="Y77" s="138">
        <f t="shared" si="22"/>
        <v>414.21000000000004</v>
      </c>
      <c r="Z77" s="138">
        <f t="shared" si="22"/>
        <v>-297.26</v>
      </c>
      <c r="AA77" s="210">
        <f t="shared" ref="AA77:AA96" si="23">IF($I77="B1","",SUM(O77:Z77))</f>
        <v>2743.3</v>
      </c>
      <c r="AB77" s="142">
        <f t="shared" ref="AB77:AB94" si="24">IF(AA77=0,"",IFERROR(AA77/AA34,""))</f>
        <v>0.46676989042401146</v>
      </c>
      <c r="AC77" s="140"/>
      <c r="AD77" s="138">
        <f t="shared" ref="AD77:AD94" si="25">IFERROR(AD34-AD56,"")</f>
        <v>3167.4468000000002</v>
      </c>
      <c r="AE77" s="142">
        <f t="shared" ref="AE77:AE94" si="26">IF(AD77=0,"",IFERROR(AD77/AD34,""))</f>
        <v>0.54100000000000004</v>
      </c>
      <c r="AF77" s="141">
        <f t="shared" ref="AF77:AF96" si="27">IF(AND($AA77="",AD77=""),"",$AA77-AD77)</f>
        <v>-424.14679999999998</v>
      </c>
      <c r="AG77" s="138">
        <f t="shared" ref="AG77:AG94" si="28">IFERROR(AG34-AG56,"")</f>
        <v>4419.1500000000005</v>
      </c>
      <c r="AH77" s="142">
        <f t="shared" ref="AH77:AH94" si="29">IF(AG77=0,"",IFERROR(AG77/AG34,""))</f>
        <v>0.65713733391822871</v>
      </c>
      <c r="AI77" s="141">
        <f t="shared" ref="AI77:AI96" si="30">IF(AND($AA77="",AG77=""),"",$AA77-AG77)</f>
        <v>-1675.8500000000004</v>
      </c>
      <c r="AJ77" s="462">
        <f t="shared" ref="AJ77:AJ96" si="31">IFERROR(AA77/AA$20,0)</f>
        <v>6.6401219925449007E-2</v>
      </c>
      <c r="AK77" s="463">
        <f t="shared" ref="AK77:AK96" si="32">IFERROR(AD77/AD$20,0)</f>
        <v>8.115E-2</v>
      </c>
      <c r="AL77" s="464">
        <f t="shared" ref="AL77:AL96" si="33">IFERROR(AG77/AG$20,0)</f>
        <v>0.10987717248066835</v>
      </c>
      <c r="AM77" s="465" t="str">
        <f t="shared" ref="AM77:AM96" si="34">+IFERROR(ROUND(($AB77-AE77)*100,2)&amp;" pts.",0)</f>
        <v>-7.42 pts.</v>
      </c>
      <c r="AN77" s="466" t="str">
        <f t="shared" ref="AN77:AN96" si="35">+IFERROR(ROUND(($AB77-AH77)*100,2)&amp;" pts.",0)</f>
        <v>-19.04 pts.</v>
      </c>
      <c r="AO77" s="11"/>
    </row>
    <row r="78" spans="1:41" x14ac:dyDescent="0.25">
      <c r="A78" s="62" t="s">
        <v>23</v>
      </c>
      <c r="B78" s="63" t="s">
        <v>24</v>
      </c>
      <c r="C78" s="11"/>
      <c r="D78" s="11"/>
      <c r="E78" s="11"/>
      <c r="F78" s="11"/>
      <c r="G78" s="11" t="s">
        <v>451</v>
      </c>
      <c r="H78" s="88" t="s">
        <v>425</v>
      </c>
      <c r="I78" s="122" t="str">
        <f>IF(_epmOfflineCondition_,"T5",_xll.EVPRO($B$1,$H78,"STYLE"))</f>
        <v>T5</v>
      </c>
      <c r="J78" s="122" t="str">
        <f>IF(_epmOfflineCondition_,"Y",_xll.EVPRO($B$1,$H78,"CALC"))</f>
        <v>Y</v>
      </c>
      <c r="K78" s="90"/>
      <c r="L78" s="90"/>
      <c r="M78" s="90"/>
      <c r="N78" s="90" t="str">
        <f t="shared" si="21"/>
        <v>Movie</v>
      </c>
      <c r="O78" s="138">
        <f t="shared" ref="O78:Z78" si="36">IFERROR(O35-O57,"")</f>
        <v>0</v>
      </c>
      <c r="P78" s="138">
        <f t="shared" si="36"/>
        <v>0</v>
      </c>
      <c r="Q78" s="138">
        <f t="shared" si="36"/>
        <v>0</v>
      </c>
      <c r="R78" s="138">
        <f t="shared" si="36"/>
        <v>0</v>
      </c>
      <c r="S78" s="138">
        <f t="shared" si="36"/>
        <v>0</v>
      </c>
      <c r="T78" s="138">
        <f t="shared" si="36"/>
        <v>0</v>
      </c>
      <c r="U78" s="138">
        <f t="shared" si="36"/>
        <v>0</v>
      </c>
      <c r="V78" s="138">
        <f t="shared" si="36"/>
        <v>0</v>
      </c>
      <c r="W78" s="138">
        <f t="shared" si="36"/>
        <v>0</v>
      </c>
      <c r="X78" s="138">
        <f t="shared" si="36"/>
        <v>0</v>
      </c>
      <c r="Y78" s="138">
        <f t="shared" si="36"/>
        <v>0</v>
      </c>
      <c r="Z78" s="138">
        <f t="shared" si="36"/>
        <v>0</v>
      </c>
      <c r="AA78" s="210">
        <f t="shared" si="23"/>
        <v>0</v>
      </c>
      <c r="AB78" s="142" t="str">
        <f t="shared" si="24"/>
        <v/>
      </c>
      <c r="AC78" s="140"/>
      <c r="AD78" s="138">
        <f t="shared" si="25"/>
        <v>0</v>
      </c>
      <c r="AE78" s="142" t="str">
        <f t="shared" si="26"/>
        <v/>
      </c>
      <c r="AF78" s="141">
        <f t="shared" si="27"/>
        <v>0</v>
      </c>
      <c r="AG78" s="138">
        <f t="shared" si="28"/>
        <v>0</v>
      </c>
      <c r="AH78" s="142" t="str">
        <f t="shared" si="29"/>
        <v/>
      </c>
      <c r="AI78" s="141">
        <f t="shared" si="30"/>
        <v>0</v>
      </c>
      <c r="AJ78" s="462">
        <f t="shared" si="31"/>
        <v>0</v>
      </c>
      <c r="AK78" s="463">
        <f t="shared" si="32"/>
        <v>0</v>
      </c>
      <c r="AL78" s="464">
        <f t="shared" si="33"/>
        <v>0</v>
      </c>
      <c r="AM78" s="465">
        <f t="shared" si="34"/>
        <v>0</v>
      </c>
      <c r="AN78" s="466">
        <f t="shared" si="35"/>
        <v>0</v>
      </c>
      <c r="AO78" s="11"/>
    </row>
    <row r="79" spans="1:41" x14ac:dyDescent="0.25">
      <c r="A79" s="65" t="s">
        <v>25</v>
      </c>
      <c r="B79" s="66"/>
      <c r="C79" s="11"/>
      <c r="D79" s="11"/>
      <c r="E79" s="11"/>
      <c r="F79" s="11"/>
      <c r="G79" s="11" t="s">
        <v>452</v>
      </c>
      <c r="H79" s="88" t="s">
        <v>426</v>
      </c>
      <c r="I79" s="122" t="str">
        <f>IF(_epmOfflineCondition_,"T5",_xll.EVPRO($B$1,$H79,"STYLE"))</f>
        <v>T5</v>
      </c>
      <c r="J79" s="122" t="str">
        <f>IF(_epmOfflineCondition_,"Y",_xll.EVPRO($B$1,$H79,"CALC"))</f>
        <v>Y</v>
      </c>
      <c r="K79" s="90"/>
      <c r="L79" s="90"/>
      <c r="M79" s="90"/>
      <c r="N79" s="90" t="str">
        <f t="shared" si="21"/>
        <v>Guest Laundry</v>
      </c>
      <c r="O79" s="138">
        <f t="shared" ref="O79:Z79" si="37">IFERROR(O36-O58,"")</f>
        <v>603.41999999999996</v>
      </c>
      <c r="P79" s="138">
        <f t="shared" si="37"/>
        <v>-144.80999999999995</v>
      </c>
      <c r="Q79" s="138">
        <f t="shared" si="37"/>
        <v>50.990000000000009</v>
      </c>
      <c r="R79" s="138">
        <f t="shared" si="37"/>
        <v>560.44999999999982</v>
      </c>
      <c r="S79" s="138">
        <f t="shared" si="37"/>
        <v>-234.13999999999987</v>
      </c>
      <c r="T79" s="138">
        <f t="shared" si="37"/>
        <v>126.87000000000006</v>
      </c>
      <c r="U79" s="138">
        <f t="shared" si="37"/>
        <v>-89.20999999999998</v>
      </c>
      <c r="V79" s="138">
        <f t="shared" si="37"/>
        <v>-469.36</v>
      </c>
      <c r="W79" s="138">
        <f t="shared" si="37"/>
        <v>0</v>
      </c>
      <c r="X79" s="138">
        <f t="shared" si="37"/>
        <v>437.93999999999994</v>
      </c>
      <c r="Y79" s="138">
        <f t="shared" si="37"/>
        <v>214.51</v>
      </c>
      <c r="Z79" s="138">
        <f t="shared" si="37"/>
        <v>179.8599999999999</v>
      </c>
      <c r="AA79" s="210">
        <f t="shared" si="23"/>
        <v>1236.5199999999998</v>
      </c>
      <c r="AB79" s="142">
        <f t="shared" si="24"/>
        <v>0.13013397320535888</v>
      </c>
      <c r="AC79" s="140"/>
      <c r="AD79" s="138">
        <f t="shared" si="25"/>
        <v>1014.8319999999999</v>
      </c>
      <c r="AE79" s="142">
        <f t="shared" si="26"/>
        <v>0.19999999999999998</v>
      </c>
      <c r="AF79" s="141">
        <f t="shared" si="27"/>
        <v>221.68799999999987</v>
      </c>
      <c r="AG79" s="138">
        <f t="shared" si="28"/>
        <v>-112.35000000000036</v>
      </c>
      <c r="AH79" s="142">
        <f t="shared" si="29"/>
        <v>-1.6851657417129198E-2</v>
      </c>
      <c r="AI79" s="141">
        <f t="shared" si="30"/>
        <v>1348.8700000000001</v>
      </c>
      <c r="AJ79" s="462">
        <f t="shared" si="31"/>
        <v>2.9929805876942436E-2</v>
      </c>
      <c r="AK79" s="463">
        <f t="shared" si="32"/>
        <v>2.5999999999999995E-2</v>
      </c>
      <c r="AL79" s="464">
        <f t="shared" si="33"/>
        <v>-2.793455829334403E-3</v>
      </c>
      <c r="AM79" s="465" t="str">
        <f t="shared" si="34"/>
        <v>-6.99 pts.</v>
      </c>
      <c r="AN79" s="466" t="str">
        <f t="shared" si="35"/>
        <v>14.7 pts.</v>
      </c>
      <c r="AO79" s="11"/>
    </row>
    <row r="80" spans="1:41" x14ac:dyDescent="0.25">
      <c r="A80" s="65" t="s">
        <v>26</v>
      </c>
      <c r="B80" s="66"/>
      <c r="C80" s="11"/>
      <c r="D80" s="11"/>
      <c r="E80" s="11"/>
      <c r="F80" s="11"/>
      <c r="G80" s="11" t="s">
        <v>453</v>
      </c>
      <c r="H80" s="88" t="s">
        <v>427</v>
      </c>
      <c r="I80" s="122" t="str">
        <f>IF(_epmOfflineCondition_,"T5",_xll.EVPRO($B$1,$H80,"STYLE"))</f>
        <v>T5</v>
      </c>
      <c r="J80" s="122" t="str">
        <f>IF(_epmOfflineCondition_,"Y",_xll.EVPRO($B$1,$H80,"CALC"))</f>
        <v>Y</v>
      </c>
      <c r="K80" s="90"/>
      <c r="L80" s="90"/>
      <c r="M80" s="90"/>
      <c r="N80" s="90" t="str">
        <f t="shared" si="21"/>
        <v>In Room Fax</v>
      </c>
      <c r="O80" s="138">
        <f t="shared" ref="O80:Z80" si="38">IFERROR(O37-O59,"")</f>
        <v>0</v>
      </c>
      <c r="P80" s="138">
        <f t="shared" si="38"/>
        <v>0</v>
      </c>
      <c r="Q80" s="138">
        <f t="shared" si="38"/>
        <v>0</v>
      </c>
      <c r="R80" s="138">
        <f t="shared" si="38"/>
        <v>0</v>
      </c>
      <c r="S80" s="138">
        <f t="shared" si="38"/>
        <v>0</v>
      </c>
      <c r="T80" s="138">
        <f t="shared" si="38"/>
        <v>0</v>
      </c>
      <c r="U80" s="138">
        <f t="shared" si="38"/>
        <v>0</v>
      </c>
      <c r="V80" s="138">
        <f t="shared" si="38"/>
        <v>0</v>
      </c>
      <c r="W80" s="138">
        <f t="shared" si="38"/>
        <v>0</v>
      </c>
      <c r="X80" s="138">
        <f t="shared" si="38"/>
        <v>0</v>
      </c>
      <c r="Y80" s="138">
        <f t="shared" si="38"/>
        <v>0</v>
      </c>
      <c r="Z80" s="138">
        <f t="shared" si="38"/>
        <v>0</v>
      </c>
      <c r="AA80" s="210">
        <f t="shared" si="23"/>
        <v>0</v>
      </c>
      <c r="AB80" s="142" t="str">
        <f t="shared" si="24"/>
        <v/>
      </c>
      <c r="AC80" s="140"/>
      <c r="AD80" s="138">
        <f t="shared" si="25"/>
        <v>0</v>
      </c>
      <c r="AE80" s="142" t="str">
        <f t="shared" si="26"/>
        <v/>
      </c>
      <c r="AF80" s="141">
        <f t="shared" si="27"/>
        <v>0</v>
      </c>
      <c r="AG80" s="138">
        <f t="shared" si="28"/>
        <v>0</v>
      </c>
      <c r="AH80" s="142" t="str">
        <f t="shared" si="29"/>
        <v/>
      </c>
      <c r="AI80" s="141">
        <f t="shared" si="30"/>
        <v>0</v>
      </c>
      <c r="AJ80" s="462">
        <f t="shared" si="31"/>
        <v>0</v>
      </c>
      <c r="AK80" s="463">
        <f t="shared" si="32"/>
        <v>0</v>
      </c>
      <c r="AL80" s="464">
        <f t="shared" si="33"/>
        <v>0</v>
      </c>
      <c r="AM80" s="465">
        <f t="shared" si="34"/>
        <v>0</v>
      </c>
      <c r="AN80" s="466">
        <f t="shared" si="35"/>
        <v>0</v>
      </c>
      <c r="AO80" s="11"/>
    </row>
    <row r="81" spans="1:41" x14ac:dyDescent="0.25">
      <c r="A81" s="65" t="s">
        <v>27</v>
      </c>
      <c r="B81" s="66"/>
      <c r="C81" s="11"/>
      <c r="D81" s="11"/>
      <c r="E81" s="11"/>
      <c r="F81" s="11"/>
      <c r="G81" s="11" t="s">
        <v>454</v>
      </c>
      <c r="H81" s="88" t="s">
        <v>428</v>
      </c>
      <c r="I81" s="122" t="str">
        <f>IF(_epmOfflineCondition_,"T5",_xll.EVPRO($B$1,$H81,"STYLE"))</f>
        <v>T5</v>
      </c>
      <c r="J81" s="122" t="str">
        <f>IF(_epmOfflineCondition_,"Y",_xll.EVPRO($B$1,$H81,"CALC"))</f>
        <v>Y</v>
      </c>
      <c r="K81" s="90"/>
      <c r="L81" s="90"/>
      <c r="M81" s="90"/>
      <c r="N81" s="90" t="str">
        <f t="shared" si="21"/>
        <v>In Room Items</v>
      </c>
      <c r="O81" s="138">
        <f t="shared" ref="O81:Z81" si="39">IFERROR(O38-O60,"")</f>
        <v>705</v>
      </c>
      <c r="P81" s="138">
        <f t="shared" si="39"/>
        <v>1280</v>
      </c>
      <c r="Q81" s="138">
        <f t="shared" si="39"/>
        <v>2390.02</v>
      </c>
      <c r="R81" s="138">
        <f t="shared" si="39"/>
        <v>1085</v>
      </c>
      <c r="S81" s="138">
        <f t="shared" si="39"/>
        <v>1050</v>
      </c>
      <c r="T81" s="138">
        <f t="shared" si="39"/>
        <v>920</v>
      </c>
      <c r="U81" s="138">
        <f t="shared" si="39"/>
        <v>765</v>
      </c>
      <c r="V81" s="138">
        <f t="shared" si="39"/>
        <v>1605</v>
      </c>
      <c r="W81" s="138">
        <f t="shared" si="39"/>
        <v>425</v>
      </c>
      <c r="X81" s="138">
        <f t="shared" si="39"/>
        <v>600</v>
      </c>
      <c r="Y81" s="138">
        <f t="shared" si="39"/>
        <v>987.3</v>
      </c>
      <c r="Z81" s="138">
        <f t="shared" si="39"/>
        <v>775</v>
      </c>
      <c r="AA81" s="210">
        <f t="shared" si="23"/>
        <v>12587.32</v>
      </c>
      <c r="AB81" s="142">
        <f t="shared" si="24"/>
        <v>1</v>
      </c>
      <c r="AC81" s="140"/>
      <c r="AD81" s="138">
        <f t="shared" si="25"/>
        <v>6245.12</v>
      </c>
      <c r="AE81" s="142">
        <f t="shared" si="26"/>
        <v>1</v>
      </c>
      <c r="AF81" s="141">
        <f t="shared" si="27"/>
        <v>6342.2</v>
      </c>
      <c r="AG81" s="138">
        <f t="shared" si="28"/>
        <v>6095</v>
      </c>
      <c r="AH81" s="142">
        <f t="shared" si="29"/>
        <v>1</v>
      </c>
      <c r="AI81" s="141">
        <f t="shared" si="30"/>
        <v>6492.32</v>
      </c>
      <c r="AJ81" s="462">
        <f t="shared" si="31"/>
        <v>0.30467444449823305</v>
      </c>
      <c r="AK81" s="463">
        <f t="shared" si="32"/>
        <v>0.16</v>
      </c>
      <c r="AL81" s="464">
        <f t="shared" si="33"/>
        <v>0.15154528953976976</v>
      </c>
      <c r="AM81" s="465" t="str">
        <f t="shared" si="34"/>
        <v>0 pts.</v>
      </c>
      <c r="AN81" s="466" t="str">
        <f t="shared" si="35"/>
        <v>0 pts.</v>
      </c>
      <c r="AO81" s="11"/>
    </row>
    <row r="82" spans="1:41" x14ac:dyDescent="0.25">
      <c r="A82" s="65" t="s">
        <v>28</v>
      </c>
      <c r="B82" s="66"/>
      <c r="C82" s="11"/>
      <c r="D82" s="11"/>
      <c r="E82" s="11"/>
      <c r="F82" s="11"/>
      <c r="G82" s="11" t="s">
        <v>455</v>
      </c>
      <c r="H82" s="88" t="s">
        <v>429</v>
      </c>
      <c r="I82" s="122" t="str">
        <f>IF(_epmOfflineCondition_,"T5",_xll.EVPRO($B$1,$H82,"STYLE"))</f>
        <v>T5</v>
      </c>
      <c r="J82" s="122" t="str">
        <f>IF(_epmOfflineCondition_,"Y",_xll.EVPRO($B$1,$H82,"CALC"))</f>
        <v>Y</v>
      </c>
      <c r="K82" s="90"/>
      <c r="L82" s="90"/>
      <c r="M82" s="90"/>
      <c r="N82" s="90" t="str">
        <f t="shared" si="21"/>
        <v>Massage</v>
      </c>
      <c r="O82" s="138">
        <f t="shared" ref="O82:Z82" si="40">IFERROR(O39-O61,"")</f>
        <v>0</v>
      </c>
      <c r="P82" s="138">
        <f t="shared" si="40"/>
        <v>0</v>
      </c>
      <c r="Q82" s="138">
        <f t="shared" si="40"/>
        <v>0</v>
      </c>
      <c r="R82" s="138">
        <f t="shared" si="40"/>
        <v>0</v>
      </c>
      <c r="S82" s="138">
        <f t="shared" si="40"/>
        <v>0</v>
      </c>
      <c r="T82" s="138">
        <f t="shared" si="40"/>
        <v>0</v>
      </c>
      <c r="U82" s="138">
        <f t="shared" si="40"/>
        <v>0</v>
      </c>
      <c r="V82" s="138">
        <f t="shared" si="40"/>
        <v>0</v>
      </c>
      <c r="W82" s="138">
        <f t="shared" si="40"/>
        <v>0</v>
      </c>
      <c r="X82" s="138">
        <f t="shared" si="40"/>
        <v>0</v>
      </c>
      <c r="Y82" s="138">
        <f t="shared" si="40"/>
        <v>0</v>
      </c>
      <c r="Z82" s="138">
        <f t="shared" si="40"/>
        <v>0</v>
      </c>
      <c r="AA82" s="210">
        <f t="shared" si="23"/>
        <v>0</v>
      </c>
      <c r="AB82" s="142" t="str">
        <f t="shared" si="24"/>
        <v/>
      </c>
      <c r="AC82" s="140"/>
      <c r="AD82" s="138">
        <f t="shared" si="25"/>
        <v>0</v>
      </c>
      <c r="AE82" s="142" t="str">
        <f t="shared" si="26"/>
        <v/>
      </c>
      <c r="AF82" s="141">
        <f t="shared" si="27"/>
        <v>0</v>
      </c>
      <c r="AG82" s="138">
        <f t="shared" si="28"/>
        <v>0</v>
      </c>
      <c r="AH82" s="142" t="str">
        <f t="shared" si="29"/>
        <v/>
      </c>
      <c r="AI82" s="141">
        <f t="shared" si="30"/>
        <v>0</v>
      </c>
      <c r="AJ82" s="462">
        <f t="shared" si="31"/>
        <v>0</v>
      </c>
      <c r="AK82" s="463">
        <f t="shared" si="32"/>
        <v>0</v>
      </c>
      <c r="AL82" s="464">
        <f t="shared" si="33"/>
        <v>0</v>
      </c>
      <c r="AM82" s="465">
        <f t="shared" si="34"/>
        <v>0</v>
      </c>
      <c r="AN82" s="466">
        <f t="shared" si="35"/>
        <v>0</v>
      </c>
      <c r="AO82" s="11"/>
    </row>
    <row r="83" spans="1:41" x14ac:dyDescent="0.25">
      <c r="A83" s="65" t="s">
        <v>29</v>
      </c>
      <c r="B83" s="66"/>
      <c r="C83" s="11"/>
      <c r="D83" s="11"/>
      <c r="E83" s="11"/>
      <c r="F83" s="11"/>
      <c r="G83" s="11" t="s">
        <v>487</v>
      </c>
      <c r="H83" s="88" t="s">
        <v>430</v>
      </c>
      <c r="I83" s="122" t="str">
        <f>IF(_epmOfflineCondition_,"T5",_xll.EVPRO($B$1,$H83,"STYLE"))</f>
        <v>T5</v>
      </c>
      <c r="J83" s="122" t="str">
        <f>IF(_epmOfflineCondition_,"Y",_xll.EVPRO($B$1,$H83,"CALC"))</f>
        <v>Y</v>
      </c>
      <c r="K83" s="90"/>
      <c r="L83" s="90"/>
      <c r="M83" s="90"/>
      <c r="N83" s="90" t="str">
        <f t="shared" si="21"/>
        <v>Gym Pass</v>
      </c>
      <c r="O83" s="138">
        <f t="shared" ref="O83:Z83" si="41">IFERROR(O40-O62,"")</f>
        <v>0</v>
      </c>
      <c r="P83" s="138">
        <f t="shared" si="41"/>
        <v>0</v>
      </c>
      <c r="Q83" s="138">
        <f t="shared" si="41"/>
        <v>0</v>
      </c>
      <c r="R83" s="138">
        <f t="shared" si="41"/>
        <v>0</v>
      </c>
      <c r="S83" s="138">
        <f t="shared" si="41"/>
        <v>0</v>
      </c>
      <c r="T83" s="138">
        <f t="shared" si="41"/>
        <v>0</v>
      </c>
      <c r="U83" s="138">
        <f t="shared" si="41"/>
        <v>0</v>
      </c>
      <c r="V83" s="138">
        <f t="shared" si="41"/>
        <v>0</v>
      </c>
      <c r="W83" s="138">
        <f t="shared" si="41"/>
        <v>0</v>
      </c>
      <c r="X83" s="138">
        <f t="shared" si="41"/>
        <v>0</v>
      </c>
      <c r="Y83" s="138">
        <f t="shared" si="41"/>
        <v>0</v>
      </c>
      <c r="Z83" s="138">
        <f t="shared" si="41"/>
        <v>0</v>
      </c>
      <c r="AA83" s="210">
        <f t="shared" si="23"/>
        <v>0</v>
      </c>
      <c r="AB83" s="142" t="str">
        <f t="shared" si="24"/>
        <v/>
      </c>
      <c r="AC83" s="140"/>
      <c r="AD83" s="138">
        <f t="shared" si="25"/>
        <v>0</v>
      </c>
      <c r="AE83" s="142" t="str">
        <f t="shared" si="26"/>
        <v/>
      </c>
      <c r="AF83" s="141">
        <f t="shared" si="27"/>
        <v>0</v>
      </c>
      <c r="AG83" s="138">
        <f t="shared" si="28"/>
        <v>0</v>
      </c>
      <c r="AH83" s="142" t="str">
        <f t="shared" si="29"/>
        <v/>
      </c>
      <c r="AI83" s="141">
        <f t="shared" si="30"/>
        <v>0</v>
      </c>
      <c r="AJ83" s="462">
        <f t="shared" si="31"/>
        <v>0</v>
      </c>
      <c r="AK83" s="463">
        <f t="shared" si="32"/>
        <v>0</v>
      </c>
      <c r="AL83" s="464">
        <f t="shared" si="33"/>
        <v>0</v>
      </c>
      <c r="AM83" s="465">
        <f t="shared" si="34"/>
        <v>0</v>
      </c>
      <c r="AN83" s="466">
        <f t="shared" si="35"/>
        <v>0</v>
      </c>
      <c r="AO83" s="11"/>
    </row>
    <row r="84" spans="1:41" x14ac:dyDescent="0.25">
      <c r="A84" s="65" t="s">
        <v>30</v>
      </c>
      <c r="B84" s="66" t="s">
        <v>78</v>
      </c>
      <c r="C84" s="11"/>
      <c r="D84" s="11"/>
      <c r="E84" s="11"/>
      <c r="F84" s="11"/>
      <c r="G84" s="11" t="s">
        <v>488</v>
      </c>
      <c r="H84" s="88" t="s">
        <v>475</v>
      </c>
      <c r="I84" s="122" t="str">
        <f>IF(_epmOfflineCondition_,"N",_xll.EVPRO($B$1,$H84,"STYLE"))</f>
        <v>N</v>
      </c>
      <c r="J84" s="122" t="str">
        <f>IF(_epmOfflineCondition_,"N",_xll.EVPRO($B$1,$H84,"CALC"))</f>
        <v>N</v>
      </c>
      <c r="K84" s="90"/>
      <c r="L84" s="90"/>
      <c r="M84" s="90"/>
      <c r="N84" s="90" t="str">
        <f t="shared" si="21"/>
        <v>Shared Facilities &amp; Services</v>
      </c>
      <c r="O84" s="138">
        <f t="shared" ref="O84:Z84" si="42">IFERROR(O41-O63,"")</f>
        <v>0</v>
      </c>
      <c r="P84" s="138">
        <f t="shared" si="42"/>
        <v>0</v>
      </c>
      <c r="Q84" s="138">
        <f t="shared" si="42"/>
        <v>0</v>
      </c>
      <c r="R84" s="138">
        <f t="shared" si="42"/>
        <v>0</v>
      </c>
      <c r="S84" s="138">
        <f t="shared" si="42"/>
        <v>0</v>
      </c>
      <c r="T84" s="138">
        <f t="shared" si="42"/>
        <v>0</v>
      </c>
      <c r="U84" s="138">
        <f t="shared" si="42"/>
        <v>0</v>
      </c>
      <c r="V84" s="138">
        <f t="shared" si="42"/>
        <v>0</v>
      </c>
      <c r="W84" s="138">
        <f t="shared" si="42"/>
        <v>0</v>
      </c>
      <c r="X84" s="138">
        <f t="shared" si="42"/>
        <v>0</v>
      </c>
      <c r="Y84" s="138">
        <f t="shared" si="42"/>
        <v>0</v>
      </c>
      <c r="Z84" s="138">
        <f t="shared" si="42"/>
        <v>0</v>
      </c>
      <c r="AA84" s="210">
        <f t="shared" si="23"/>
        <v>0</v>
      </c>
      <c r="AB84" s="142" t="str">
        <f t="shared" si="24"/>
        <v/>
      </c>
      <c r="AC84" s="140"/>
      <c r="AD84" s="138">
        <f t="shared" si="25"/>
        <v>0</v>
      </c>
      <c r="AE84" s="142" t="str">
        <f t="shared" si="26"/>
        <v/>
      </c>
      <c r="AF84" s="141">
        <f t="shared" si="27"/>
        <v>0</v>
      </c>
      <c r="AG84" s="138">
        <f t="shared" si="28"/>
        <v>0</v>
      </c>
      <c r="AH84" s="142" t="str">
        <f t="shared" si="29"/>
        <v/>
      </c>
      <c r="AI84" s="141">
        <f t="shared" si="30"/>
        <v>0</v>
      </c>
      <c r="AJ84" s="462">
        <f t="shared" si="31"/>
        <v>0</v>
      </c>
      <c r="AK84" s="463">
        <f t="shared" si="32"/>
        <v>0</v>
      </c>
      <c r="AL84" s="464">
        <f t="shared" si="33"/>
        <v>0</v>
      </c>
      <c r="AM84" s="465">
        <f t="shared" si="34"/>
        <v>0</v>
      </c>
      <c r="AN84" s="466">
        <f t="shared" si="35"/>
        <v>0</v>
      </c>
      <c r="AO84" s="11"/>
    </row>
    <row r="85" spans="1:41" x14ac:dyDescent="0.25">
      <c r="A85" s="65" t="s">
        <v>31</v>
      </c>
      <c r="B85" s="66" t="s">
        <v>78</v>
      </c>
      <c r="C85" s="11"/>
      <c r="D85" s="11"/>
      <c r="E85" s="11"/>
      <c r="F85" s="11"/>
      <c r="G85" s="11" t="s">
        <v>489</v>
      </c>
      <c r="H85" s="88" t="s">
        <v>476</v>
      </c>
      <c r="I85" s="122" t="str">
        <f>IF(_epmOfflineCondition_,"T5",_xll.EVPRO($B$1,$H85,"STYLE"))</f>
        <v>T5</v>
      </c>
      <c r="J85" s="122" t="str">
        <f>IF(_epmOfflineCondition_,"Y",_xll.EVPRO($B$1,$H85,"CALC"))</f>
        <v>Y</v>
      </c>
      <c r="K85" s="90"/>
      <c r="L85" s="90"/>
      <c r="M85" s="90"/>
      <c r="N85" s="90" t="str">
        <f t="shared" si="21"/>
        <v>Retail Kiosk</v>
      </c>
      <c r="O85" s="138">
        <f t="shared" ref="O85:Z85" si="43">IFERROR(O42-O64,"")</f>
        <v>0</v>
      </c>
      <c r="P85" s="138">
        <f t="shared" si="43"/>
        <v>0</v>
      </c>
      <c r="Q85" s="138">
        <f t="shared" si="43"/>
        <v>0</v>
      </c>
      <c r="R85" s="138">
        <f t="shared" si="43"/>
        <v>0</v>
      </c>
      <c r="S85" s="138">
        <f t="shared" si="43"/>
        <v>0</v>
      </c>
      <c r="T85" s="138">
        <f t="shared" si="43"/>
        <v>0</v>
      </c>
      <c r="U85" s="138">
        <f t="shared" si="43"/>
        <v>0</v>
      </c>
      <c r="V85" s="138">
        <f t="shared" si="43"/>
        <v>0</v>
      </c>
      <c r="W85" s="138">
        <f t="shared" si="43"/>
        <v>0</v>
      </c>
      <c r="X85" s="138">
        <f t="shared" si="43"/>
        <v>0</v>
      </c>
      <c r="Y85" s="138">
        <f t="shared" si="43"/>
        <v>0</v>
      </c>
      <c r="Z85" s="138">
        <f t="shared" si="43"/>
        <v>0</v>
      </c>
      <c r="AA85" s="210">
        <f t="shared" si="23"/>
        <v>0</v>
      </c>
      <c r="AB85" s="142" t="str">
        <f t="shared" si="24"/>
        <v/>
      </c>
      <c r="AC85" s="140"/>
      <c r="AD85" s="138">
        <f t="shared" si="25"/>
        <v>0</v>
      </c>
      <c r="AE85" s="142" t="str">
        <f t="shared" si="26"/>
        <v/>
      </c>
      <c r="AF85" s="141">
        <f t="shared" si="27"/>
        <v>0</v>
      </c>
      <c r="AG85" s="138">
        <f t="shared" si="28"/>
        <v>0</v>
      </c>
      <c r="AH85" s="142" t="str">
        <f t="shared" si="29"/>
        <v/>
      </c>
      <c r="AI85" s="141">
        <f t="shared" si="30"/>
        <v>0</v>
      </c>
      <c r="AJ85" s="462">
        <f t="shared" si="31"/>
        <v>0</v>
      </c>
      <c r="AK85" s="463">
        <f t="shared" si="32"/>
        <v>0</v>
      </c>
      <c r="AL85" s="464">
        <f t="shared" si="33"/>
        <v>0</v>
      </c>
      <c r="AM85" s="465">
        <f t="shared" si="34"/>
        <v>0</v>
      </c>
      <c r="AN85" s="466">
        <f t="shared" si="35"/>
        <v>0</v>
      </c>
      <c r="AO85" s="11"/>
    </row>
    <row r="86" spans="1:41" x14ac:dyDescent="0.25">
      <c r="A86" s="65" t="s">
        <v>32</v>
      </c>
      <c r="B86" s="66"/>
      <c r="C86" s="11"/>
      <c r="D86" s="11"/>
      <c r="E86" s="11"/>
      <c r="F86" s="11"/>
      <c r="G86" s="11" t="s">
        <v>490</v>
      </c>
      <c r="H86" s="88" t="s">
        <v>477</v>
      </c>
      <c r="I86" s="122" t="str">
        <f>IF(_epmOfflineCondition_,"T5",_xll.EVPRO($B$1,$H86,"STYLE"))</f>
        <v>T5</v>
      </c>
      <c r="J86" s="122" t="str">
        <f>IF(_epmOfflineCondition_,"Y",_xll.EVPRO($B$1,$H86,"CALC"))</f>
        <v>Y</v>
      </c>
      <c r="K86" s="90"/>
      <c r="L86" s="90"/>
      <c r="M86" s="90"/>
      <c r="N86" s="90" t="str">
        <f t="shared" si="21"/>
        <v>Vending Machines</v>
      </c>
      <c r="O86" s="138">
        <f t="shared" ref="O86:Z86" si="44">IFERROR(O43-O65,"")</f>
        <v>0</v>
      </c>
      <c r="P86" s="138">
        <f t="shared" si="44"/>
        <v>0</v>
      </c>
      <c r="Q86" s="138">
        <f t="shared" si="44"/>
        <v>0</v>
      </c>
      <c r="R86" s="138">
        <f t="shared" si="44"/>
        <v>0</v>
      </c>
      <c r="S86" s="138">
        <f t="shared" si="44"/>
        <v>0</v>
      </c>
      <c r="T86" s="138">
        <f t="shared" si="44"/>
        <v>0</v>
      </c>
      <c r="U86" s="138">
        <f t="shared" si="44"/>
        <v>0</v>
      </c>
      <c r="V86" s="138">
        <f t="shared" si="44"/>
        <v>0</v>
      </c>
      <c r="W86" s="138">
        <f t="shared" si="44"/>
        <v>0</v>
      </c>
      <c r="X86" s="138">
        <f t="shared" si="44"/>
        <v>0</v>
      </c>
      <c r="Y86" s="138">
        <f t="shared" si="44"/>
        <v>0</v>
      </c>
      <c r="Z86" s="138">
        <f t="shared" si="44"/>
        <v>0</v>
      </c>
      <c r="AA86" s="210">
        <f t="shared" si="23"/>
        <v>0</v>
      </c>
      <c r="AB86" s="142" t="str">
        <f t="shared" si="24"/>
        <v/>
      </c>
      <c r="AC86" s="140"/>
      <c r="AD86" s="138">
        <f t="shared" si="25"/>
        <v>0</v>
      </c>
      <c r="AE86" s="142" t="str">
        <f t="shared" si="26"/>
        <v/>
      </c>
      <c r="AF86" s="141">
        <f t="shared" si="27"/>
        <v>0</v>
      </c>
      <c r="AG86" s="138">
        <f t="shared" si="28"/>
        <v>0</v>
      </c>
      <c r="AH86" s="142" t="str">
        <f t="shared" si="29"/>
        <v/>
      </c>
      <c r="AI86" s="141">
        <f t="shared" si="30"/>
        <v>0</v>
      </c>
      <c r="AJ86" s="462">
        <f t="shared" si="31"/>
        <v>0</v>
      </c>
      <c r="AK86" s="463">
        <f t="shared" si="32"/>
        <v>0</v>
      </c>
      <c r="AL86" s="464">
        <f t="shared" si="33"/>
        <v>0</v>
      </c>
      <c r="AM86" s="465">
        <f t="shared" si="34"/>
        <v>0</v>
      </c>
      <c r="AN86" s="466">
        <f t="shared" si="35"/>
        <v>0</v>
      </c>
      <c r="AO86" s="11"/>
    </row>
    <row r="87" spans="1:41" x14ac:dyDescent="0.25">
      <c r="A87" s="65" t="s">
        <v>33</v>
      </c>
      <c r="B87" s="66"/>
      <c r="C87" s="11"/>
      <c r="D87" s="11"/>
      <c r="E87" s="11"/>
      <c r="F87" s="11"/>
      <c r="G87" s="11" t="s">
        <v>491</v>
      </c>
      <c r="H87" s="88" t="s">
        <v>478</v>
      </c>
      <c r="I87" s="122" t="str">
        <f>IF(_epmOfflineCondition_,"T5",_xll.EVPRO($B$1,$H87,"STYLE"))</f>
        <v>T5</v>
      </c>
      <c r="J87" s="122" t="str">
        <f>IF(_epmOfflineCondition_,"Y",_xll.EVPRO($B$1,$H87,"CALC"))</f>
        <v>Y</v>
      </c>
      <c r="K87" s="90"/>
      <c r="L87" s="90"/>
      <c r="M87" s="90"/>
      <c r="N87" s="90" t="str">
        <f t="shared" si="21"/>
        <v>Laundry Machines</v>
      </c>
      <c r="O87" s="138">
        <f t="shared" ref="O87:Z87" si="45">IFERROR(O44-O66,"")</f>
        <v>0</v>
      </c>
      <c r="P87" s="138">
        <f t="shared" si="45"/>
        <v>0</v>
      </c>
      <c r="Q87" s="138">
        <f t="shared" si="45"/>
        <v>0</v>
      </c>
      <c r="R87" s="138">
        <f t="shared" si="45"/>
        <v>0</v>
      </c>
      <c r="S87" s="138">
        <f t="shared" si="45"/>
        <v>0</v>
      </c>
      <c r="T87" s="138">
        <f t="shared" si="45"/>
        <v>0</v>
      </c>
      <c r="U87" s="138">
        <f t="shared" si="45"/>
        <v>0</v>
      </c>
      <c r="V87" s="138">
        <f t="shared" si="45"/>
        <v>0</v>
      </c>
      <c r="W87" s="138">
        <f t="shared" si="45"/>
        <v>0</v>
      </c>
      <c r="X87" s="138">
        <f t="shared" si="45"/>
        <v>0</v>
      </c>
      <c r="Y87" s="138">
        <f t="shared" si="45"/>
        <v>0</v>
      </c>
      <c r="Z87" s="138">
        <f t="shared" si="45"/>
        <v>0</v>
      </c>
      <c r="AA87" s="210">
        <f t="shared" si="23"/>
        <v>0</v>
      </c>
      <c r="AB87" s="142" t="str">
        <f t="shared" si="24"/>
        <v/>
      </c>
      <c r="AC87" s="140"/>
      <c r="AD87" s="138">
        <f t="shared" si="25"/>
        <v>0</v>
      </c>
      <c r="AE87" s="142" t="str">
        <f t="shared" si="26"/>
        <v/>
      </c>
      <c r="AF87" s="141">
        <f t="shared" si="27"/>
        <v>0</v>
      </c>
      <c r="AG87" s="138">
        <f t="shared" si="28"/>
        <v>0</v>
      </c>
      <c r="AH87" s="142" t="str">
        <f t="shared" si="29"/>
        <v/>
      </c>
      <c r="AI87" s="141">
        <f t="shared" si="30"/>
        <v>0</v>
      </c>
      <c r="AJ87" s="462">
        <f t="shared" si="31"/>
        <v>0</v>
      </c>
      <c r="AK87" s="463">
        <f t="shared" si="32"/>
        <v>0</v>
      </c>
      <c r="AL87" s="464">
        <f t="shared" si="33"/>
        <v>0</v>
      </c>
      <c r="AM87" s="465">
        <f t="shared" si="34"/>
        <v>0</v>
      </c>
      <c r="AN87" s="466">
        <f t="shared" si="35"/>
        <v>0</v>
      </c>
      <c r="AO87" s="11"/>
    </row>
    <row r="88" spans="1:41" x14ac:dyDescent="0.25">
      <c r="A88" s="65" t="s">
        <v>34</v>
      </c>
      <c r="B88" s="66"/>
      <c r="C88" s="11"/>
      <c r="D88" s="11"/>
      <c r="E88" s="11"/>
      <c r="F88" s="11"/>
      <c r="G88" s="11" t="s">
        <v>492</v>
      </c>
      <c r="H88" s="88" t="s">
        <v>479</v>
      </c>
      <c r="I88" s="122" t="str">
        <f>IF(_epmOfflineCondition_,"T5",_xll.EVPRO($B$1,$H88,"STYLE"))</f>
        <v>T5</v>
      </c>
      <c r="J88" s="122" t="str">
        <f>IF(_epmOfflineCondition_,"Y",_xll.EVPRO($B$1,$H88,"CALC"))</f>
        <v>Y</v>
      </c>
      <c r="K88" s="90"/>
      <c r="L88" s="90"/>
      <c r="M88" s="90"/>
      <c r="N88" s="90" t="str">
        <f t="shared" si="21"/>
        <v>Occasional F&amp;B</v>
      </c>
      <c r="O88" s="138">
        <f t="shared" ref="O88:Z88" si="46">IFERROR(O45-O67,"")</f>
        <v>0</v>
      </c>
      <c r="P88" s="138">
        <f t="shared" si="46"/>
        <v>0</v>
      </c>
      <c r="Q88" s="138">
        <f t="shared" si="46"/>
        <v>0</v>
      </c>
      <c r="R88" s="138">
        <f t="shared" si="46"/>
        <v>0</v>
      </c>
      <c r="S88" s="138">
        <f t="shared" si="46"/>
        <v>0</v>
      </c>
      <c r="T88" s="138">
        <f t="shared" si="46"/>
        <v>0</v>
      </c>
      <c r="U88" s="138">
        <f t="shared" si="46"/>
        <v>0</v>
      </c>
      <c r="V88" s="138">
        <f t="shared" si="46"/>
        <v>0</v>
      </c>
      <c r="W88" s="138">
        <f t="shared" si="46"/>
        <v>0</v>
      </c>
      <c r="X88" s="138">
        <f t="shared" si="46"/>
        <v>0</v>
      </c>
      <c r="Y88" s="138">
        <f t="shared" si="46"/>
        <v>0</v>
      </c>
      <c r="Z88" s="138">
        <f t="shared" si="46"/>
        <v>0</v>
      </c>
      <c r="AA88" s="210">
        <f t="shared" si="23"/>
        <v>0</v>
      </c>
      <c r="AB88" s="142" t="str">
        <f t="shared" si="24"/>
        <v/>
      </c>
      <c r="AC88" s="140"/>
      <c r="AD88" s="138">
        <f t="shared" si="25"/>
        <v>0</v>
      </c>
      <c r="AE88" s="142" t="str">
        <f t="shared" si="26"/>
        <v/>
      </c>
      <c r="AF88" s="141">
        <f t="shared" si="27"/>
        <v>0</v>
      </c>
      <c r="AG88" s="138">
        <f t="shared" si="28"/>
        <v>0</v>
      </c>
      <c r="AH88" s="142" t="str">
        <f t="shared" si="29"/>
        <v/>
      </c>
      <c r="AI88" s="141">
        <f t="shared" si="30"/>
        <v>0</v>
      </c>
      <c r="AJ88" s="462">
        <f t="shared" si="31"/>
        <v>0</v>
      </c>
      <c r="AK88" s="463">
        <f t="shared" si="32"/>
        <v>0</v>
      </c>
      <c r="AL88" s="464">
        <f t="shared" si="33"/>
        <v>0</v>
      </c>
      <c r="AM88" s="465">
        <f t="shared" si="34"/>
        <v>0</v>
      </c>
      <c r="AN88" s="466">
        <f t="shared" si="35"/>
        <v>0</v>
      </c>
      <c r="AO88" s="11"/>
    </row>
    <row r="89" spans="1:41" x14ac:dyDescent="0.25">
      <c r="A89" s="65" t="s">
        <v>35</v>
      </c>
      <c r="B89" s="66"/>
      <c r="C89" s="11"/>
      <c r="D89" s="11"/>
      <c r="E89" s="11"/>
      <c r="F89" s="11"/>
      <c r="G89" s="11" t="s">
        <v>456</v>
      </c>
      <c r="H89" s="88" t="s">
        <v>431</v>
      </c>
      <c r="I89" s="122" t="str">
        <f>IF(_epmOfflineCondition_,"T5",_xll.EVPRO($B$1,$H89,"STYLE"))</f>
        <v>T5</v>
      </c>
      <c r="J89" s="122" t="str">
        <f>IF(_epmOfflineCondition_,"Y",_xll.EVPRO($B$1,$H89,"CALC"))</f>
        <v>Y</v>
      </c>
      <c r="K89" s="90"/>
      <c r="L89" s="90"/>
      <c r="M89" s="90"/>
      <c r="N89" s="90" t="str">
        <f t="shared" si="21"/>
        <v>Other 1</v>
      </c>
      <c r="O89" s="138">
        <f t="shared" ref="O89:Z89" si="47">IFERROR(O46-O68,"")</f>
        <v>0</v>
      </c>
      <c r="P89" s="138">
        <f t="shared" si="47"/>
        <v>0</v>
      </c>
      <c r="Q89" s="138">
        <f t="shared" si="47"/>
        <v>0</v>
      </c>
      <c r="R89" s="138">
        <f t="shared" si="47"/>
        <v>0</v>
      </c>
      <c r="S89" s="138">
        <f t="shared" si="47"/>
        <v>0</v>
      </c>
      <c r="T89" s="138">
        <f t="shared" si="47"/>
        <v>0</v>
      </c>
      <c r="U89" s="138">
        <f t="shared" si="47"/>
        <v>0</v>
      </c>
      <c r="V89" s="138">
        <f t="shared" si="47"/>
        <v>0</v>
      </c>
      <c r="W89" s="138">
        <f t="shared" si="47"/>
        <v>0</v>
      </c>
      <c r="X89" s="138">
        <f t="shared" si="47"/>
        <v>0</v>
      </c>
      <c r="Y89" s="138">
        <f t="shared" si="47"/>
        <v>0</v>
      </c>
      <c r="Z89" s="138">
        <f t="shared" si="47"/>
        <v>0</v>
      </c>
      <c r="AA89" s="210">
        <f t="shared" si="23"/>
        <v>0</v>
      </c>
      <c r="AB89" s="142" t="str">
        <f t="shared" si="24"/>
        <v/>
      </c>
      <c r="AC89" s="140"/>
      <c r="AD89" s="138">
        <f t="shared" si="25"/>
        <v>0</v>
      </c>
      <c r="AE89" s="142" t="str">
        <f t="shared" si="26"/>
        <v/>
      </c>
      <c r="AF89" s="141">
        <f t="shared" si="27"/>
        <v>0</v>
      </c>
      <c r="AG89" s="138">
        <f t="shared" si="28"/>
        <v>95</v>
      </c>
      <c r="AH89" s="142">
        <f t="shared" si="29"/>
        <v>1</v>
      </c>
      <c r="AI89" s="141">
        <f t="shared" si="30"/>
        <v>-95</v>
      </c>
      <c r="AJ89" s="462">
        <f t="shared" si="31"/>
        <v>0</v>
      </c>
      <c r="AK89" s="463">
        <f t="shared" si="32"/>
        <v>0</v>
      </c>
      <c r="AL89" s="464">
        <f t="shared" si="33"/>
        <v>2.3620676794549838E-3</v>
      </c>
      <c r="AM89" s="465">
        <f t="shared" si="34"/>
        <v>0</v>
      </c>
      <c r="AN89" s="466">
        <f t="shared" si="35"/>
        <v>0</v>
      </c>
      <c r="AO89" s="11"/>
    </row>
    <row r="90" spans="1:41" x14ac:dyDescent="0.25">
      <c r="A90" s="65" t="s">
        <v>36</v>
      </c>
      <c r="B90" s="66"/>
      <c r="C90" s="11"/>
      <c r="D90" s="11"/>
      <c r="E90" s="11"/>
      <c r="F90" s="11"/>
      <c r="G90" s="11" t="s">
        <v>457</v>
      </c>
      <c r="H90" s="88" t="s">
        <v>432</v>
      </c>
      <c r="I90" s="122" t="str">
        <f>IF(_epmOfflineCondition_,"T5",_xll.EVPRO($B$1,$H90,"STYLE"))</f>
        <v>T5</v>
      </c>
      <c r="J90" s="122" t="str">
        <f>IF(_epmOfflineCondition_,"Y",_xll.EVPRO($B$1,$H90,"CALC"))</f>
        <v>Y</v>
      </c>
      <c r="K90" s="90"/>
      <c r="L90" s="90"/>
      <c r="M90" s="90"/>
      <c r="N90" s="90" t="str">
        <f t="shared" si="21"/>
        <v>Other 2</v>
      </c>
      <c r="O90" s="138">
        <f t="shared" ref="O90:Z90" si="48">IFERROR(O47-O69,"")</f>
        <v>0</v>
      </c>
      <c r="P90" s="138">
        <f t="shared" si="48"/>
        <v>0</v>
      </c>
      <c r="Q90" s="138">
        <f t="shared" si="48"/>
        <v>0</v>
      </c>
      <c r="R90" s="138">
        <f t="shared" si="48"/>
        <v>0</v>
      </c>
      <c r="S90" s="138">
        <f t="shared" si="48"/>
        <v>0</v>
      </c>
      <c r="T90" s="138">
        <f t="shared" si="48"/>
        <v>0</v>
      </c>
      <c r="U90" s="138">
        <f t="shared" si="48"/>
        <v>0</v>
      </c>
      <c r="V90" s="138">
        <f t="shared" si="48"/>
        <v>0</v>
      </c>
      <c r="W90" s="138">
        <f t="shared" si="48"/>
        <v>0</v>
      </c>
      <c r="X90" s="138">
        <f t="shared" si="48"/>
        <v>0</v>
      </c>
      <c r="Y90" s="138">
        <f t="shared" si="48"/>
        <v>0</v>
      </c>
      <c r="Z90" s="138">
        <f t="shared" si="48"/>
        <v>0</v>
      </c>
      <c r="AA90" s="210">
        <f t="shared" si="23"/>
        <v>0</v>
      </c>
      <c r="AB90" s="142" t="str">
        <f t="shared" si="24"/>
        <v/>
      </c>
      <c r="AC90" s="140"/>
      <c r="AD90" s="138">
        <f t="shared" si="25"/>
        <v>0</v>
      </c>
      <c r="AE90" s="142" t="str">
        <f t="shared" si="26"/>
        <v/>
      </c>
      <c r="AF90" s="141">
        <f t="shared" si="27"/>
        <v>0</v>
      </c>
      <c r="AG90" s="138">
        <f t="shared" si="28"/>
        <v>0</v>
      </c>
      <c r="AH90" s="142" t="str">
        <f t="shared" si="29"/>
        <v/>
      </c>
      <c r="AI90" s="141">
        <f t="shared" si="30"/>
        <v>0</v>
      </c>
      <c r="AJ90" s="462">
        <f t="shared" si="31"/>
        <v>0</v>
      </c>
      <c r="AK90" s="463">
        <f t="shared" si="32"/>
        <v>0</v>
      </c>
      <c r="AL90" s="464">
        <f t="shared" si="33"/>
        <v>0</v>
      </c>
      <c r="AM90" s="465">
        <f t="shared" si="34"/>
        <v>0</v>
      </c>
      <c r="AN90" s="466">
        <f t="shared" si="35"/>
        <v>0</v>
      </c>
      <c r="AO90" s="11"/>
    </row>
    <row r="91" spans="1:41" x14ac:dyDescent="0.25">
      <c r="A91" s="65" t="s">
        <v>37</v>
      </c>
      <c r="B91" s="66"/>
      <c r="C91" s="11"/>
      <c r="D91" s="11"/>
      <c r="E91" s="11"/>
      <c r="F91" s="11"/>
      <c r="G91" s="11" t="s">
        <v>458</v>
      </c>
      <c r="H91" s="88" t="s">
        <v>433</v>
      </c>
      <c r="I91" s="122" t="str">
        <f>IF(_epmOfflineCondition_,"T5",_xll.EVPRO($B$1,$H91,"STYLE"))</f>
        <v>T5</v>
      </c>
      <c r="J91" s="122" t="str">
        <f>IF(_epmOfflineCondition_,"Y",_xll.EVPRO($B$1,$H91,"CALC"))</f>
        <v>Y</v>
      </c>
      <c r="K91" s="90"/>
      <c r="L91" s="90"/>
      <c r="M91" s="90"/>
      <c r="N91" s="90" t="str">
        <f t="shared" si="21"/>
        <v>Other 3</v>
      </c>
      <c r="O91" s="138">
        <f t="shared" ref="O91:Z91" si="49">IFERROR(O48-O70,"")</f>
        <v>0</v>
      </c>
      <c r="P91" s="138">
        <f t="shared" si="49"/>
        <v>0</v>
      </c>
      <c r="Q91" s="138">
        <f t="shared" si="49"/>
        <v>0</v>
      </c>
      <c r="R91" s="138">
        <f t="shared" si="49"/>
        <v>0</v>
      </c>
      <c r="S91" s="138">
        <f t="shared" si="49"/>
        <v>0</v>
      </c>
      <c r="T91" s="138">
        <f t="shared" si="49"/>
        <v>0</v>
      </c>
      <c r="U91" s="138">
        <f t="shared" si="49"/>
        <v>0</v>
      </c>
      <c r="V91" s="138">
        <f t="shared" si="49"/>
        <v>0</v>
      </c>
      <c r="W91" s="138">
        <f t="shared" si="49"/>
        <v>0</v>
      </c>
      <c r="X91" s="138">
        <f t="shared" si="49"/>
        <v>0</v>
      </c>
      <c r="Y91" s="138">
        <f t="shared" si="49"/>
        <v>0</v>
      </c>
      <c r="Z91" s="138">
        <f t="shared" si="49"/>
        <v>0</v>
      </c>
      <c r="AA91" s="210">
        <f t="shared" si="23"/>
        <v>0</v>
      </c>
      <c r="AB91" s="142" t="str">
        <f t="shared" si="24"/>
        <v/>
      </c>
      <c r="AC91" s="140"/>
      <c r="AD91" s="138">
        <f t="shared" si="25"/>
        <v>0</v>
      </c>
      <c r="AE91" s="142" t="str">
        <f t="shared" si="26"/>
        <v/>
      </c>
      <c r="AF91" s="141">
        <f t="shared" si="27"/>
        <v>0</v>
      </c>
      <c r="AG91" s="138">
        <f t="shared" si="28"/>
        <v>0</v>
      </c>
      <c r="AH91" s="142" t="str">
        <f t="shared" si="29"/>
        <v/>
      </c>
      <c r="AI91" s="141">
        <f t="shared" si="30"/>
        <v>0</v>
      </c>
      <c r="AJ91" s="462">
        <f t="shared" si="31"/>
        <v>0</v>
      </c>
      <c r="AK91" s="463">
        <f t="shared" si="32"/>
        <v>0</v>
      </c>
      <c r="AL91" s="464">
        <f t="shared" si="33"/>
        <v>0</v>
      </c>
      <c r="AM91" s="465">
        <f t="shared" si="34"/>
        <v>0</v>
      </c>
      <c r="AN91" s="466">
        <f t="shared" si="35"/>
        <v>0</v>
      </c>
      <c r="AO91" s="11"/>
    </row>
    <row r="92" spans="1:41" x14ac:dyDescent="0.25">
      <c r="A92" s="65" t="s">
        <v>38</v>
      </c>
      <c r="B92" s="66"/>
      <c r="C92" s="11"/>
      <c r="D92" s="11"/>
      <c r="E92" s="11"/>
      <c r="F92" s="11"/>
      <c r="G92" s="11" t="s">
        <v>459</v>
      </c>
      <c r="H92" s="88" t="s">
        <v>434</v>
      </c>
      <c r="I92" s="122" t="str">
        <f>IF(_epmOfflineCondition_,"T5",_xll.EVPRO($B$1,$H92,"STYLE"))</f>
        <v>T5</v>
      </c>
      <c r="J92" s="122" t="str">
        <f>IF(_epmOfflineCondition_,"Y",_xll.EVPRO($B$1,$H92,"CALC"))</f>
        <v>Y</v>
      </c>
      <c r="K92" s="90"/>
      <c r="L92" s="90"/>
      <c r="M92" s="90"/>
      <c r="N92" s="90" t="str">
        <f t="shared" si="21"/>
        <v>Other 4</v>
      </c>
      <c r="O92" s="138">
        <f t="shared" ref="O92:Z92" si="50">IFERROR(O49-O71,"")</f>
        <v>0</v>
      </c>
      <c r="P92" s="138">
        <f t="shared" si="50"/>
        <v>0</v>
      </c>
      <c r="Q92" s="138">
        <f t="shared" si="50"/>
        <v>0</v>
      </c>
      <c r="R92" s="138">
        <f t="shared" si="50"/>
        <v>0</v>
      </c>
      <c r="S92" s="138">
        <f t="shared" si="50"/>
        <v>0</v>
      </c>
      <c r="T92" s="138">
        <f t="shared" si="50"/>
        <v>0</v>
      </c>
      <c r="U92" s="138">
        <f t="shared" si="50"/>
        <v>0</v>
      </c>
      <c r="V92" s="138">
        <f t="shared" si="50"/>
        <v>0</v>
      </c>
      <c r="W92" s="138">
        <f t="shared" si="50"/>
        <v>0</v>
      </c>
      <c r="X92" s="138">
        <f t="shared" si="50"/>
        <v>0</v>
      </c>
      <c r="Y92" s="138">
        <f t="shared" si="50"/>
        <v>0</v>
      </c>
      <c r="Z92" s="138">
        <f t="shared" si="50"/>
        <v>0</v>
      </c>
      <c r="AA92" s="210">
        <f t="shared" si="23"/>
        <v>0</v>
      </c>
      <c r="AB92" s="142" t="str">
        <f t="shared" si="24"/>
        <v/>
      </c>
      <c r="AC92" s="140"/>
      <c r="AD92" s="138">
        <f t="shared" si="25"/>
        <v>0</v>
      </c>
      <c r="AE92" s="142" t="str">
        <f t="shared" si="26"/>
        <v/>
      </c>
      <c r="AF92" s="141">
        <f t="shared" si="27"/>
        <v>0</v>
      </c>
      <c r="AG92" s="138">
        <f t="shared" si="28"/>
        <v>0</v>
      </c>
      <c r="AH92" s="142" t="str">
        <f t="shared" si="29"/>
        <v/>
      </c>
      <c r="AI92" s="141">
        <f t="shared" si="30"/>
        <v>0</v>
      </c>
      <c r="AJ92" s="462">
        <f t="shared" si="31"/>
        <v>0</v>
      </c>
      <c r="AK92" s="463">
        <f t="shared" si="32"/>
        <v>0</v>
      </c>
      <c r="AL92" s="464">
        <f t="shared" si="33"/>
        <v>0</v>
      </c>
      <c r="AM92" s="465">
        <f t="shared" si="34"/>
        <v>0</v>
      </c>
      <c r="AN92" s="466">
        <f t="shared" si="35"/>
        <v>0</v>
      </c>
      <c r="AO92" s="11"/>
    </row>
    <row r="93" spans="1:41" x14ac:dyDescent="0.25">
      <c r="A93" s="65" t="s">
        <v>39</v>
      </c>
      <c r="B93" s="66"/>
      <c r="C93" s="11"/>
      <c r="D93" s="11"/>
      <c r="E93" s="11"/>
      <c r="F93" s="11"/>
      <c r="G93" s="11" t="s">
        <v>460</v>
      </c>
      <c r="H93" s="88" t="s">
        <v>435</v>
      </c>
      <c r="I93" s="122" t="str">
        <f>IF(_epmOfflineCondition_,"T5",_xll.EVPRO($B$1,$H93,"STYLE"))</f>
        <v>T5</v>
      </c>
      <c r="J93" s="122" t="str">
        <f>IF(_epmOfflineCondition_,"Y",_xll.EVPRO($B$1,$H93,"CALC"))</f>
        <v>Y</v>
      </c>
      <c r="K93" s="90"/>
      <c r="L93" s="90"/>
      <c r="M93" s="90"/>
      <c r="N93" s="90" t="str">
        <f t="shared" si="21"/>
        <v>Other 5</v>
      </c>
      <c r="O93" s="138">
        <f t="shared" ref="O93:Z93" si="51">IFERROR(O50-O72,"")</f>
        <v>0</v>
      </c>
      <c r="P93" s="138">
        <f t="shared" si="51"/>
        <v>0</v>
      </c>
      <c r="Q93" s="138">
        <f t="shared" si="51"/>
        <v>0</v>
      </c>
      <c r="R93" s="138">
        <f t="shared" si="51"/>
        <v>0</v>
      </c>
      <c r="S93" s="138">
        <f t="shared" si="51"/>
        <v>0</v>
      </c>
      <c r="T93" s="138">
        <f t="shared" si="51"/>
        <v>0</v>
      </c>
      <c r="U93" s="138">
        <f t="shared" si="51"/>
        <v>0</v>
      </c>
      <c r="V93" s="138">
        <f t="shared" si="51"/>
        <v>0</v>
      </c>
      <c r="W93" s="138">
        <f t="shared" si="51"/>
        <v>0</v>
      </c>
      <c r="X93" s="138">
        <f t="shared" si="51"/>
        <v>0</v>
      </c>
      <c r="Y93" s="138">
        <f t="shared" si="51"/>
        <v>0</v>
      </c>
      <c r="Z93" s="138">
        <f t="shared" si="51"/>
        <v>0</v>
      </c>
      <c r="AA93" s="210">
        <f t="shared" si="23"/>
        <v>0</v>
      </c>
      <c r="AB93" s="142" t="str">
        <f t="shared" si="24"/>
        <v/>
      </c>
      <c r="AC93" s="140"/>
      <c r="AD93" s="138">
        <f t="shared" si="25"/>
        <v>0</v>
      </c>
      <c r="AE93" s="142" t="str">
        <f t="shared" si="26"/>
        <v/>
      </c>
      <c r="AF93" s="141">
        <f t="shared" si="27"/>
        <v>0</v>
      </c>
      <c r="AG93" s="138">
        <f t="shared" si="28"/>
        <v>0</v>
      </c>
      <c r="AH93" s="142" t="str">
        <f t="shared" si="29"/>
        <v/>
      </c>
      <c r="AI93" s="141">
        <f t="shared" si="30"/>
        <v>0</v>
      </c>
      <c r="AJ93" s="462">
        <f t="shared" si="31"/>
        <v>0</v>
      </c>
      <c r="AK93" s="463">
        <f t="shared" si="32"/>
        <v>0</v>
      </c>
      <c r="AL93" s="464">
        <f t="shared" si="33"/>
        <v>0</v>
      </c>
      <c r="AM93" s="465">
        <f t="shared" si="34"/>
        <v>0</v>
      </c>
      <c r="AN93" s="466">
        <f t="shared" si="35"/>
        <v>0</v>
      </c>
      <c r="AO93" s="11"/>
    </row>
    <row r="94" spans="1:41" x14ac:dyDescent="0.25">
      <c r="A94" s="65" t="s">
        <v>40</v>
      </c>
      <c r="B94" s="66"/>
      <c r="C94" s="11"/>
      <c r="D94" s="11"/>
      <c r="E94" s="11"/>
      <c r="F94" s="11"/>
      <c r="G94" s="11" t="s">
        <v>461</v>
      </c>
      <c r="H94" s="88" t="s">
        <v>436</v>
      </c>
      <c r="I94" s="122" t="str">
        <f>IF(_epmOfflineCondition_,"T5",_xll.EVPRO($B$1,$H94,"STYLE"))</f>
        <v>T5</v>
      </c>
      <c r="J94" s="122" t="str">
        <f>IF(_epmOfflineCondition_,"Y",_xll.EVPRO($B$1,$H94,"CALC"))</f>
        <v>Y</v>
      </c>
      <c r="K94" s="90"/>
      <c r="L94" s="90"/>
      <c r="M94" s="90"/>
      <c r="N94" s="90" t="str">
        <f t="shared" si="21"/>
        <v>Other 6</v>
      </c>
      <c r="O94" s="138">
        <f t="shared" ref="O94:Z94" si="52">IFERROR(O51-O73,"")</f>
        <v>0</v>
      </c>
      <c r="P94" s="138">
        <f t="shared" si="52"/>
        <v>0</v>
      </c>
      <c r="Q94" s="138">
        <f t="shared" si="52"/>
        <v>0</v>
      </c>
      <c r="R94" s="138">
        <f t="shared" si="52"/>
        <v>0</v>
      </c>
      <c r="S94" s="138">
        <f t="shared" si="52"/>
        <v>0</v>
      </c>
      <c r="T94" s="138">
        <f t="shared" si="52"/>
        <v>0</v>
      </c>
      <c r="U94" s="138">
        <f t="shared" si="52"/>
        <v>0</v>
      </c>
      <c r="V94" s="138">
        <f t="shared" si="52"/>
        <v>0</v>
      </c>
      <c r="W94" s="138">
        <f t="shared" si="52"/>
        <v>0</v>
      </c>
      <c r="X94" s="138">
        <f t="shared" si="52"/>
        <v>0</v>
      </c>
      <c r="Y94" s="138">
        <f t="shared" si="52"/>
        <v>0</v>
      </c>
      <c r="Z94" s="138">
        <f t="shared" si="52"/>
        <v>0</v>
      </c>
      <c r="AA94" s="210">
        <f t="shared" si="23"/>
        <v>0</v>
      </c>
      <c r="AB94" s="142" t="str">
        <f t="shared" si="24"/>
        <v/>
      </c>
      <c r="AC94" s="140"/>
      <c r="AD94" s="138">
        <f t="shared" si="25"/>
        <v>0</v>
      </c>
      <c r="AE94" s="142" t="str">
        <f t="shared" si="26"/>
        <v/>
      </c>
      <c r="AF94" s="141">
        <f t="shared" si="27"/>
        <v>0</v>
      </c>
      <c r="AG94" s="138">
        <f t="shared" si="28"/>
        <v>0</v>
      </c>
      <c r="AH94" s="142" t="str">
        <f t="shared" si="29"/>
        <v/>
      </c>
      <c r="AI94" s="141">
        <f t="shared" si="30"/>
        <v>0</v>
      </c>
      <c r="AJ94" s="462">
        <f t="shared" si="31"/>
        <v>0</v>
      </c>
      <c r="AK94" s="463">
        <f t="shared" si="32"/>
        <v>0</v>
      </c>
      <c r="AL94" s="464">
        <f t="shared" si="33"/>
        <v>0</v>
      </c>
      <c r="AM94" s="465">
        <f t="shared" si="34"/>
        <v>0</v>
      </c>
      <c r="AN94" s="466">
        <f t="shared" si="35"/>
        <v>0</v>
      </c>
      <c r="AO94" s="11"/>
    </row>
    <row r="95" spans="1:41" x14ac:dyDescent="0.25">
      <c r="A95" s="65" t="s">
        <v>41</v>
      </c>
      <c r="B95" s="66"/>
      <c r="C95" s="11"/>
      <c r="D95" s="11"/>
      <c r="E95" s="11"/>
      <c r="F95" s="11"/>
      <c r="G95" s="11"/>
      <c r="H95" s="88" t="s">
        <v>480</v>
      </c>
      <c r="I95" s="122" t="str">
        <f>IF(_epmOfflineCondition_,"T5",_xll.EVPRO($B$1,$H95,"STYLE"))</f>
        <v>T5</v>
      </c>
      <c r="J95" s="122" t="str">
        <f>IF(_epmOfflineCondition_,"Y",_xll.EVPRO($B$1,$H95,"CALC"))</f>
        <v>Y</v>
      </c>
      <c r="K95" s="90"/>
      <c r="L95" s="90"/>
      <c r="M95" s="90"/>
      <c r="N95" s="90" t="str">
        <f>IF(_epmOfflineCondition_,"Minor Operated: Allowances",IF(_xll.EVDES(H95,$B$1)="#NODATA","",_xll.EVDES(H95,$B$1)))</f>
        <v>Minor Operated: Allowances</v>
      </c>
      <c r="O95" s="138"/>
      <c r="P95" s="138"/>
      <c r="Q95" s="138"/>
      <c r="R95" s="138"/>
      <c r="S95" s="138"/>
      <c r="T95" s="138"/>
      <c r="U95" s="138"/>
      <c r="V95" s="138"/>
      <c r="W95" s="138"/>
      <c r="X95" s="138"/>
      <c r="Y95" s="138"/>
      <c r="Z95" s="138"/>
      <c r="AA95" s="210">
        <f t="shared" si="23"/>
        <v>0</v>
      </c>
      <c r="AB95" s="142"/>
      <c r="AC95" s="140"/>
      <c r="AD95" s="138"/>
      <c r="AE95" s="142"/>
      <c r="AF95" s="141">
        <f t="shared" si="27"/>
        <v>0</v>
      </c>
      <c r="AG95" s="138"/>
      <c r="AH95" s="142"/>
      <c r="AI95" s="141">
        <f t="shared" si="30"/>
        <v>0</v>
      </c>
      <c r="AJ95" s="471">
        <f t="shared" si="31"/>
        <v>0</v>
      </c>
      <c r="AK95" s="472">
        <f t="shared" si="32"/>
        <v>0</v>
      </c>
      <c r="AL95" s="473">
        <f t="shared" si="33"/>
        <v>0</v>
      </c>
      <c r="AM95" s="474" t="str">
        <f t="shared" si="34"/>
        <v>0 pts.</v>
      </c>
      <c r="AN95" s="475" t="str">
        <f t="shared" si="35"/>
        <v>0 pts.</v>
      </c>
      <c r="AO95" s="11"/>
    </row>
    <row r="96" spans="1:41" x14ac:dyDescent="0.25">
      <c r="A96" s="65" t="s">
        <v>42</v>
      </c>
      <c r="B96" s="66"/>
      <c r="C96" s="11"/>
      <c r="D96" s="11"/>
      <c r="E96" s="11"/>
      <c r="F96" s="11"/>
      <c r="G96" s="11"/>
      <c r="H96" s="88"/>
      <c r="I96" s="122"/>
      <c r="J96" s="122"/>
      <c r="K96" s="90"/>
      <c r="L96" s="90"/>
      <c r="M96" s="90"/>
      <c r="N96" s="53" t="s">
        <v>462</v>
      </c>
      <c r="O96" s="223">
        <f t="shared" ref="O96:Z96" si="53">SUM(O77:O95)</f>
        <v>1580.9099999999999</v>
      </c>
      <c r="P96" s="223">
        <f t="shared" si="53"/>
        <v>1433.46</v>
      </c>
      <c r="Q96" s="223">
        <f t="shared" si="53"/>
        <v>2653.65</v>
      </c>
      <c r="R96" s="223">
        <f t="shared" si="53"/>
        <v>2269.8999999999996</v>
      </c>
      <c r="S96" s="223">
        <f t="shared" si="53"/>
        <v>1099.0200000000002</v>
      </c>
      <c r="T96" s="223">
        <f t="shared" si="53"/>
        <v>1171.26</v>
      </c>
      <c r="U96" s="223">
        <f t="shared" si="53"/>
        <v>900.80000000000007</v>
      </c>
      <c r="V96" s="223">
        <f t="shared" si="53"/>
        <v>1318.56</v>
      </c>
      <c r="W96" s="223">
        <f t="shared" si="53"/>
        <v>567.75</v>
      </c>
      <c r="X96" s="223">
        <f t="shared" si="53"/>
        <v>1298.21</v>
      </c>
      <c r="Y96" s="223">
        <f t="shared" si="53"/>
        <v>1616.02</v>
      </c>
      <c r="Z96" s="223">
        <f t="shared" si="53"/>
        <v>657.59999999999991</v>
      </c>
      <c r="AA96" s="223">
        <f t="shared" si="23"/>
        <v>16567.14</v>
      </c>
      <c r="AB96" s="224">
        <f>IF(AA96=0,"",IFERROR(AA96/AA19,""))</f>
        <v>0.59239402111532313</v>
      </c>
      <c r="AC96" s="225"/>
      <c r="AD96" s="223">
        <f>SUM(AD77:AD95)</f>
        <v>10427.398799999999</v>
      </c>
      <c r="AE96" s="224">
        <f>IF(AD96=0,"",IFERROR(AD96/AD19,""))</f>
        <v>0.60715909090909082</v>
      </c>
      <c r="AF96" s="226">
        <f t="shared" si="27"/>
        <v>6139.7412000000004</v>
      </c>
      <c r="AG96" s="223">
        <f>SUM(AG77:AG95)</f>
        <v>10496.8</v>
      </c>
      <c r="AH96" s="224">
        <f>IF(AG96=0,"",IFERROR(AG96/AG19,""))</f>
        <v>0.53604741125072453</v>
      </c>
      <c r="AI96" s="226">
        <f t="shared" si="30"/>
        <v>6070.34</v>
      </c>
      <c r="AJ96" s="435">
        <f t="shared" si="31"/>
        <v>0.40100547030062444</v>
      </c>
      <c r="AK96" s="436">
        <f t="shared" si="32"/>
        <v>0.26715</v>
      </c>
      <c r="AL96" s="437">
        <f t="shared" si="33"/>
        <v>0.2609910738705587</v>
      </c>
      <c r="AM96" s="438" t="str">
        <f t="shared" si="34"/>
        <v>-1.48 pts.</v>
      </c>
      <c r="AN96" s="547" t="str">
        <f t="shared" si="35"/>
        <v>5.63 pts.</v>
      </c>
      <c r="AO96" s="11"/>
    </row>
    <row r="97" spans="1:41" x14ac:dyDescent="0.25">
      <c r="A97" s="65" t="s">
        <v>43</v>
      </c>
      <c r="B97" s="66"/>
      <c r="C97" s="11"/>
      <c r="D97" s="11"/>
      <c r="E97" s="11"/>
      <c r="F97" s="11"/>
      <c r="G97" s="11"/>
      <c r="H97" s="11"/>
      <c r="I97" s="11"/>
      <c r="J97" s="11"/>
      <c r="K97" s="11"/>
      <c r="L97" s="11"/>
      <c r="M97" s="11"/>
      <c r="N97" s="11"/>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1"/>
    </row>
    <row r="98" spans="1:41" ht="15.75" thickBot="1" x14ac:dyDescent="0.3">
      <c r="A98" s="65" t="s">
        <v>44</v>
      </c>
      <c r="B98" s="66"/>
      <c r="C98" s="11"/>
      <c r="D98" s="11"/>
      <c r="E98" s="11"/>
      <c r="F98" s="11"/>
      <c r="G98" s="11"/>
      <c r="H98" s="88" t="s">
        <v>81</v>
      </c>
      <c r="I98" s="136" t="str">
        <f>IF(_epmOfflineCondition_,"T3",_xll.EVPRO($B$1,$H98,"STYLE"))</f>
        <v>T3</v>
      </c>
      <c r="J98" s="136" t="str">
        <f>IF(_epmOfflineCondition_,"Y",_xll.EVPRO($B$1,$H98,"CALC"))</f>
        <v>Y</v>
      </c>
      <c r="K98" s="106"/>
      <c r="L98" s="106"/>
      <c r="M98" s="106"/>
      <c r="N98" s="106" t="str">
        <f>IF(_epmOfflineCondition_,"Department Profit (Loss)",IF(_xll.EVDES(H98,$B$1)="#NODATA","",_xll.EVDES(H98,$B$1)))</f>
        <v>Department Profit (Loss)</v>
      </c>
      <c r="O98" s="165">
        <v>1580.91</v>
      </c>
      <c r="P98" s="165">
        <v>1433.46</v>
      </c>
      <c r="Q98" s="165">
        <v>2653.65</v>
      </c>
      <c r="R98" s="165">
        <v>2269.9</v>
      </c>
      <c r="S98" s="165">
        <v>1099.02</v>
      </c>
      <c r="T98" s="165">
        <v>1171.26</v>
      </c>
      <c r="U98" s="165">
        <v>900.8</v>
      </c>
      <c r="V98" s="165">
        <v>1318.56</v>
      </c>
      <c r="W98" s="165">
        <v>567.75</v>
      </c>
      <c r="X98" s="165">
        <v>1298.21</v>
      </c>
      <c r="Y98" s="165">
        <v>1616.02</v>
      </c>
      <c r="Z98" s="165">
        <v>657.6</v>
      </c>
      <c r="AA98" s="165">
        <f>IF($I98="B1","",SUM(O98:Z98))</f>
        <v>16567.14</v>
      </c>
      <c r="AB98" s="166">
        <f>IF(AA98=0,"",IFERROR(AA98/AA$19,""))</f>
        <v>0.59239402111532313</v>
      </c>
      <c r="AC98" s="140"/>
      <c r="AD98" s="165">
        <v>10427.398800000001</v>
      </c>
      <c r="AE98" s="166">
        <f>IF(AD98=0,"",IFERROR(AD98/AD$19,""))</f>
        <v>0.60715909090909093</v>
      </c>
      <c r="AF98" s="167">
        <f>IF(AND($AA98="",AD98=""),"",$AA98-AD98)</f>
        <v>6139.7411999999986</v>
      </c>
      <c r="AG98" s="165">
        <v>10496.8</v>
      </c>
      <c r="AH98" s="166">
        <f>IF(AG98=0,"",IFERROR(AG98/AG$19,""))</f>
        <v>0.53604741125072453</v>
      </c>
      <c r="AI98" s="167">
        <f>IF(AND($AA98="",AG98=""),"",$AA98-AG98)</f>
        <v>6070.34</v>
      </c>
      <c r="AJ98" s="452">
        <f>IFERROR(AA98/AA$20,0)</f>
        <v>0.40100547030062444</v>
      </c>
      <c r="AK98" s="453">
        <f>IFERROR(AD98/AD$20,0)</f>
        <v>0.26715</v>
      </c>
      <c r="AL98" s="454">
        <f>IFERROR(AG98/AG$20,0)</f>
        <v>0.2609910738705587</v>
      </c>
      <c r="AM98" s="455" t="str">
        <f>+IFERROR(ROUND(($AB98-AE98)*100,2)&amp;" pts.",0)</f>
        <v>-1.48 pts.</v>
      </c>
      <c r="AN98" s="548" t="str">
        <f>+IFERROR(ROUND(($AB98-AH98)*100,2)&amp;" pts.",0)</f>
        <v>5.63 pts.</v>
      </c>
      <c r="AO98" s="11"/>
    </row>
    <row r="99" spans="1:41" ht="15.75" thickTop="1" x14ac:dyDescent="0.25">
      <c r="A99" s="65" t="s">
        <v>45</v>
      </c>
      <c r="B99" s="66"/>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65" t="s">
        <v>46</v>
      </c>
      <c r="B100" s="66"/>
      <c r="C100" s="11"/>
      <c r="D100" s="11"/>
      <c r="E100" s="11"/>
      <c r="F100" s="11"/>
      <c r="G100" s="11"/>
      <c r="H100" s="11"/>
      <c r="I100" s="59"/>
      <c r="J100" s="59"/>
      <c r="K100" s="11"/>
      <c r="L100" s="11"/>
      <c r="M100" s="11"/>
      <c r="N100" s="104" t="str">
        <f>N98&amp;" - Check"</f>
        <v>Department Profit (Loss) - Check</v>
      </c>
      <c r="O100" s="209">
        <f t="shared" ref="O100:AA100" si="54">SUMIF($H$34:$H$74,"400000",O$34:O$74)-SUMIF($H$34:$H$74,"500001",O$34:O$74)-O96</f>
        <v>0</v>
      </c>
      <c r="P100" s="209">
        <f t="shared" si="54"/>
        <v>0</v>
      </c>
      <c r="Q100" s="209">
        <f t="shared" si="54"/>
        <v>0</v>
      </c>
      <c r="R100" s="209">
        <f t="shared" si="54"/>
        <v>0</v>
      </c>
      <c r="S100" s="209">
        <f t="shared" si="54"/>
        <v>0</v>
      </c>
      <c r="T100" s="209">
        <f t="shared" si="54"/>
        <v>0</v>
      </c>
      <c r="U100" s="209">
        <f t="shared" si="54"/>
        <v>0</v>
      </c>
      <c r="V100" s="209">
        <f t="shared" si="54"/>
        <v>0</v>
      </c>
      <c r="W100" s="209">
        <f t="shared" si="54"/>
        <v>0</v>
      </c>
      <c r="X100" s="209">
        <f t="shared" si="54"/>
        <v>0</v>
      </c>
      <c r="Y100" s="209">
        <f t="shared" si="54"/>
        <v>0</v>
      </c>
      <c r="Z100" s="209">
        <f t="shared" si="54"/>
        <v>0</v>
      </c>
      <c r="AA100" s="209">
        <f t="shared" si="54"/>
        <v>0</v>
      </c>
      <c r="AB100" s="100"/>
      <c r="AC100" s="11"/>
      <c r="AD100" s="209">
        <f>SUMIF($H$34:$H$74,"400000",AD$34:AD$74)-SUMIF($H$34:$H$74,"500001",AD$34:AD$74)-AD96</f>
        <v>0</v>
      </c>
      <c r="AE100" s="100"/>
      <c r="AF100" s="91"/>
      <c r="AG100" s="209">
        <f>SUMIF($H$34:$H$74,"400000",AG$34:AG$74)-SUMIF($H$34:$H$74,"500001",AG$34:AG$74)-AG96</f>
        <v>0</v>
      </c>
      <c r="AH100" s="100"/>
      <c r="AI100" s="91"/>
      <c r="AJ100" s="11"/>
      <c r="AK100" s="11"/>
      <c r="AL100" s="11"/>
      <c r="AM100" s="11"/>
      <c r="AN100" s="11"/>
      <c r="AO100" s="11"/>
    </row>
    <row r="101" spans="1:41" x14ac:dyDescent="0.2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11"/>
      <c r="I102" s="59"/>
      <c r="J102" s="59"/>
      <c r="K102" s="11"/>
      <c r="L102" s="11"/>
      <c r="M102" s="11"/>
      <c r="N102" s="11"/>
      <c r="O102" s="137"/>
      <c r="P102" s="137"/>
      <c r="Q102" s="137"/>
      <c r="R102" s="137"/>
      <c r="S102" s="137"/>
      <c r="T102" s="137"/>
      <c r="U102" s="137"/>
      <c r="V102" s="137"/>
      <c r="W102" s="137"/>
      <c r="X102" s="137"/>
      <c r="Y102" s="137"/>
      <c r="Z102" s="137"/>
      <c r="AA102" s="137"/>
      <c r="AB102" s="11"/>
      <c r="AC102" s="11"/>
      <c r="AD102" s="137"/>
      <c r="AE102" s="11"/>
      <c r="AF102" s="11"/>
      <c r="AG102" s="137"/>
      <c r="AH102" s="11"/>
      <c r="AI102" s="11"/>
      <c r="AJ102" s="11"/>
      <c r="AK102" s="11"/>
      <c r="AL102" s="11"/>
      <c r="AM102" s="11"/>
      <c r="AN102" s="11"/>
      <c r="AO102" s="11"/>
    </row>
    <row r="103" spans="1:41" x14ac:dyDescent="0.2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c r="B104" s="11"/>
      <c r="C104" s="11"/>
      <c r="D104" s="11"/>
      <c r="E104" s="11"/>
      <c r="F104" s="11"/>
      <c r="G104" s="11"/>
      <c r="H104" s="11"/>
      <c r="I104" s="59"/>
      <c r="J104" s="59"/>
      <c r="K104" s="11"/>
      <c r="L104" s="11"/>
      <c r="M104" s="11"/>
      <c r="N104" s="11"/>
      <c r="O104" s="137"/>
      <c r="P104" s="137"/>
      <c r="Q104" s="137"/>
      <c r="R104" s="137"/>
      <c r="S104" s="137"/>
      <c r="T104" s="137"/>
      <c r="U104" s="137"/>
      <c r="V104" s="137"/>
      <c r="W104" s="137"/>
      <c r="X104" s="137"/>
      <c r="Y104" s="137"/>
      <c r="Z104" s="137"/>
      <c r="AA104" s="137"/>
      <c r="AB104" s="11"/>
      <c r="AC104" s="11"/>
      <c r="AD104" s="137"/>
      <c r="AE104" s="11"/>
      <c r="AF104" s="11"/>
      <c r="AG104" s="137"/>
      <c r="AH104" s="11"/>
      <c r="AI104" s="11"/>
      <c r="AJ104" s="11"/>
      <c r="AK104" s="11"/>
      <c r="AL104" s="11"/>
      <c r="AM104" s="11"/>
      <c r="AN104" s="11"/>
      <c r="AO104" s="11"/>
    </row>
    <row r="105" spans="1:41" x14ac:dyDescent="0.25">
      <c r="A105" s="11"/>
      <c r="B105" s="11"/>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c r="B106" s="11"/>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c r="B107" s="11"/>
      <c r="C107" s="11"/>
      <c r="D107" s="11"/>
      <c r="E107" s="11"/>
      <c r="F107" s="11"/>
      <c r="G107" s="11"/>
      <c r="H107" s="11"/>
      <c r="I107" s="59"/>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c r="B108" s="11"/>
      <c r="C108" s="11"/>
      <c r="D108" s="11"/>
      <c r="E108" s="11"/>
      <c r="F108" s="11"/>
      <c r="G108" s="11"/>
      <c r="H108" s="59"/>
      <c r="I108" s="59"/>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11"/>
      <c r="D109" s="11"/>
      <c r="E109" s="11"/>
      <c r="F109" s="11"/>
      <c r="G109" s="11"/>
      <c r="H109" s="59"/>
      <c r="I109" s="59"/>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59"/>
      <c r="I110" s="59"/>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11"/>
      <c r="B111" s="11"/>
      <c r="C111" s="11"/>
      <c r="D111" s="11"/>
      <c r="E111" s="11"/>
      <c r="F111" s="11"/>
      <c r="G111" s="11"/>
      <c r="H111" s="59"/>
      <c r="I111" s="59"/>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59"/>
      <c r="I112" s="59"/>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11"/>
      <c r="B113" s="11"/>
      <c r="C113" s="11"/>
      <c r="D113" s="11"/>
      <c r="E113" s="11"/>
      <c r="F113" s="11"/>
      <c r="G113" s="11"/>
      <c r="H113" s="59"/>
      <c r="I113" s="59"/>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11"/>
      <c r="B114" s="11"/>
      <c r="C114" s="11"/>
      <c r="D114" s="11"/>
      <c r="E114" s="11"/>
      <c r="F114" s="11"/>
      <c r="G114" s="11"/>
      <c r="H114" s="59"/>
      <c r="I114" s="59"/>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11"/>
      <c r="B115" s="11"/>
      <c r="C115" s="11"/>
      <c r="D115" s="11"/>
      <c r="E115" s="11"/>
      <c r="F115" s="11"/>
      <c r="G115" s="11"/>
      <c r="H115" s="59"/>
      <c r="I115" s="59"/>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11"/>
      <c r="B116" s="11"/>
      <c r="C116" s="11"/>
      <c r="D116" s="11"/>
      <c r="E116" s="11"/>
      <c r="F116" s="11"/>
      <c r="G116" s="11"/>
      <c r="H116" s="59"/>
      <c r="I116" s="59"/>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11"/>
      <c r="B117" s="11"/>
      <c r="C117" s="11"/>
      <c r="D117" s="11"/>
      <c r="E117" s="267"/>
      <c r="F117" s="11"/>
      <c r="G117" s="11"/>
      <c r="H117" s="59"/>
      <c r="I117" s="59"/>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11"/>
      <c r="B118" s="11"/>
      <c r="C118" s="11"/>
      <c r="D118" s="11"/>
      <c r="E118" s="11"/>
      <c r="F118" s="11"/>
      <c r="G118" s="11"/>
      <c r="H118" s="59"/>
      <c r="I118" s="59"/>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11"/>
      <c r="B119" s="11"/>
      <c r="C119" s="11"/>
      <c r="D119" s="11"/>
      <c r="E119" s="11"/>
      <c r="F119" s="11"/>
      <c r="G119" s="11"/>
      <c r="H119" s="59"/>
      <c r="I119" s="59"/>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11"/>
      <c r="B120" s="11"/>
      <c r="C120" s="11"/>
      <c r="D120" s="11"/>
      <c r="E120" s="11"/>
      <c r="F120" s="11"/>
      <c r="G120" s="11"/>
      <c r="H120" s="59"/>
      <c r="I120" s="59"/>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11"/>
      <c r="B121" s="11"/>
      <c r="C121" s="11"/>
      <c r="D121" s="11"/>
      <c r="E121" s="267"/>
      <c r="F121" s="11"/>
      <c r="G121" s="11"/>
      <c r="H121" s="59"/>
      <c r="I121" s="59"/>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59"/>
      <c r="I122" s="59"/>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59"/>
      <c r="I123" s="59"/>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11"/>
      <c r="B124" s="11"/>
      <c r="C124" s="11"/>
      <c r="D124" s="11"/>
      <c r="E124" s="11"/>
      <c r="F124" s="11"/>
      <c r="G124" s="11"/>
      <c r="H124" s="59"/>
      <c r="I124" s="59"/>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11"/>
      <c r="B125" s="11"/>
      <c r="C125" s="11"/>
      <c r="D125" s="11"/>
      <c r="E125" s="11"/>
      <c r="F125" s="11"/>
      <c r="G125" s="11"/>
      <c r="H125" s="59"/>
      <c r="I125" s="59"/>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11"/>
      <c r="B126" s="11"/>
      <c r="C126" s="11"/>
      <c r="D126" s="11"/>
      <c r="E126" s="11"/>
      <c r="F126" s="11"/>
      <c r="G126" s="11"/>
      <c r="H126" s="59"/>
      <c r="I126" s="59"/>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11"/>
      <c r="B127" s="11"/>
      <c r="C127" s="11"/>
      <c r="D127" s="11"/>
      <c r="E127" s="11"/>
      <c r="F127" s="11"/>
      <c r="G127" s="11"/>
      <c r="H127" s="59"/>
      <c r="I127" s="59"/>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11"/>
      <c r="B128" s="11"/>
      <c r="C128" s="11"/>
      <c r="D128" s="11"/>
      <c r="E128" s="11"/>
      <c r="F128" s="11"/>
      <c r="G128" s="11"/>
      <c r="H128" s="59"/>
      <c r="I128" s="59"/>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row>
    <row r="129" spans="1:41" x14ac:dyDescent="0.25">
      <c r="A129" s="11"/>
      <c r="B129" s="11"/>
      <c r="C129" s="11"/>
      <c r="D129" s="11"/>
      <c r="E129" s="11"/>
      <c r="F129" s="11"/>
      <c r="G129" s="11"/>
      <c r="H129" s="59"/>
      <c r="I129" s="59"/>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11"/>
      <c r="B130" s="11"/>
      <c r="C130" s="11"/>
      <c r="D130" s="11"/>
      <c r="E130" s="11"/>
      <c r="F130" s="11"/>
      <c r="G130" s="11"/>
      <c r="H130" s="59"/>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11"/>
      <c r="B131" s="11"/>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11"/>
      <c r="B132" s="11"/>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11"/>
      <c r="B135" s="11"/>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11"/>
      <c r="B136" s="11"/>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11"/>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11"/>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row r="162" spans="1:41" x14ac:dyDescent="0.25">
      <c r="A162" s="11"/>
      <c r="B162" s="11"/>
      <c r="C162" s="11"/>
      <c r="D162" s="11"/>
      <c r="E162" s="11"/>
      <c r="F162" s="11"/>
      <c r="G162" s="11"/>
      <c r="H162" s="11"/>
      <c r="I162" s="59"/>
      <c r="J162" s="59"/>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row>
    <row r="163" spans="1:41" x14ac:dyDescent="0.25">
      <c r="A163" s="11"/>
      <c r="B163" s="11"/>
      <c r="C163" s="11"/>
      <c r="D163" s="11"/>
      <c r="E163" s="11"/>
      <c r="F163" s="11"/>
      <c r="G163" s="11"/>
      <c r="H163" s="11"/>
      <c r="I163" s="59"/>
      <c r="J163" s="59"/>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row>
    <row r="164" spans="1:41" x14ac:dyDescent="0.25">
      <c r="A164" s="11"/>
      <c r="B164" s="11"/>
      <c r="C164" s="11"/>
      <c r="D164" s="11"/>
      <c r="E164" s="11"/>
      <c r="F164" s="11"/>
      <c r="G164" s="11"/>
      <c r="H164" s="11"/>
      <c r="I164" s="59"/>
      <c r="J164" s="59"/>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row>
    <row r="165" spans="1:41" x14ac:dyDescent="0.25">
      <c r="A165" s="11"/>
      <c r="B165" s="11"/>
      <c r="C165" s="11"/>
      <c r="D165" s="11"/>
      <c r="E165" s="11"/>
      <c r="F165" s="11"/>
      <c r="G165" s="11"/>
      <c r="H165" s="11"/>
      <c r="I165" s="59"/>
      <c r="J165" s="59"/>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row>
    <row r="166" spans="1:41" x14ac:dyDescent="0.25">
      <c r="A166" s="11"/>
      <c r="B166" s="11"/>
      <c r="C166" s="11"/>
      <c r="D166" s="11"/>
      <c r="E166" s="11"/>
      <c r="F166" s="11"/>
      <c r="G166" s="11"/>
      <c r="H166" s="11"/>
      <c r="I166" s="59"/>
      <c r="J166" s="59"/>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row>
    <row r="167" spans="1:41" x14ac:dyDescent="0.25">
      <c r="A167" s="11"/>
      <c r="B167" s="11"/>
      <c r="C167" s="11"/>
      <c r="D167" s="11"/>
      <c r="E167" s="11"/>
      <c r="F167" s="11"/>
      <c r="G167" s="11"/>
      <c r="H167" s="11"/>
      <c r="I167" s="59"/>
      <c r="J167" s="59"/>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row>
    <row r="168" spans="1:41" x14ac:dyDescent="0.25">
      <c r="A168" s="11"/>
      <c r="B168" s="11"/>
      <c r="C168" s="11"/>
      <c r="D168" s="11"/>
      <c r="E168" s="11"/>
      <c r="F168" s="11"/>
      <c r="G168" s="11"/>
      <c r="H168" s="11"/>
      <c r="I168" s="59"/>
      <c r="J168" s="59"/>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row>
    <row r="169" spans="1:41" x14ac:dyDescent="0.25">
      <c r="A169" s="11"/>
      <c r="B169" s="11"/>
      <c r="C169" s="11"/>
      <c r="D169" s="11"/>
      <c r="E169" s="11"/>
      <c r="F169" s="11"/>
      <c r="G169" s="11"/>
      <c r="H169" s="11"/>
      <c r="I169" s="59"/>
      <c r="J169" s="59"/>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row>
    <row r="170" spans="1:41" x14ac:dyDescent="0.25">
      <c r="A170" s="11"/>
      <c r="B170" s="11"/>
      <c r="C170" s="11"/>
      <c r="D170" s="11"/>
      <c r="E170" s="11"/>
      <c r="F170" s="11"/>
      <c r="G170" s="11"/>
      <c r="H170" s="11"/>
      <c r="I170" s="59"/>
      <c r="J170" s="11"/>
      <c r="K170" s="267"/>
      <c r="L170" s="267"/>
      <c r="M170" s="267"/>
      <c r="N170" s="11"/>
      <c r="O170" s="267"/>
      <c r="P170" s="267"/>
      <c r="Q170" s="267"/>
      <c r="R170" s="267"/>
      <c r="S170" s="267"/>
      <c r="T170" s="267"/>
      <c r="U170" s="267"/>
      <c r="V170" s="267"/>
      <c r="W170" s="267"/>
      <c r="X170" s="267"/>
      <c r="Y170" s="267"/>
      <c r="Z170" s="267"/>
      <c r="AA170" s="267"/>
      <c r="AB170" s="11"/>
      <c r="AC170" s="11"/>
      <c r="AD170" s="267"/>
      <c r="AE170" s="11"/>
      <c r="AF170" s="267"/>
      <c r="AG170" s="11"/>
      <c r="AH170" s="267"/>
      <c r="AI170" s="11"/>
      <c r="AJ170" s="11"/>
      <c r="AK170" s="11"/>
      <c r="AL170" s="11"/>
      <c r="AM170" s="11"/>
      <c r="AN170" s="11"/>
      <c r="AO170" s="11"/>
    </row>
    <row r="171" spans="1:41" x14ac:dyDescent="0.25">
      <c r="A171" s="11"/>
      <c r="B171" s="11"/>
      <c r="C171" s="11"/>
      <c r="D171" s="11"/>
      <c r="E171" s="11"/>
      <c r="F171" s="11"/>
      <c r="G171" s="11"/>
      <c r="H171" s="11"/>
      <c r="I171" s="267"/>
      <c r="J171" s="59"/>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row>
    <row r="172" spans="1:41" x14ac:dyDescent="0.25">
      <c r="A172" s="11"/>
      <c r="B172" s="11"/>
      <c r="C172" s="11"/>
      <c r="D172" s="11"/>
      <c r="E172" s="11"/>
      <c r="F172" s="11"/>
      <c r="G172" s="11"/>
      <c r="H172" s="11"/>
      <c r="I172" s="59"/>
      <c r="J172" s="59"/>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row>
    <row r="173" spans="1:41" x14ac:dyDescent="0.25">
      <c r="A173" s="11"/>
      <c r="B173" s="11"/>
      <c r="C173" s="11"/>
      <c r="D173" s="11"/>
      <c r="E173" s="11"/>
      <c r="F173" s="11"/>
      <c r="G173" s="11"/>
      <c r="H173" s="11"/>
      <c r="I173" s="59"/>
      <c r="J173" s="59"/>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row>
    <row r="174" spans="1:41" x14ac:dyDescent="0.25">
      <c r="A174" s="11"/>
      <c r="B174" s="11"/>
      <c r="C174" s="11"/>
      <c r="D174" s="11"/>
      <c r="E174" s="11"/>
      <c r="F174" s="11"/>
      <c r="G174" s="11"/>
      <c r="H174" s="11"/>
      <c r="I174" s="59"/>
      <c r="J174" s="11"/>
      <c r="K174" s="267"/>
      <c r="L174" s="267"/>
      <c r="M174" s="267"/>
      <c r="N174" s="11"/>
      <c r="O174" s="267"/>
      <c r="P174" s="267"/>
      <c r="Q174" s="267"/>
      <c r="R174" s="267"/>
      <c r="S174" s="267"/>
      <c r="T174" s="267"/>
      <c r="U174" s="267"/>
      <c r="V174" s="267"/>
      <c r="W174" s="267"/>
      <c r="X174" s="267"/>
      <c r="Y174" s="267"/>
      <c r="Z174" s="267"/>
      <c r="AA174" s="267"/>
      <c r="AB174" s="11"/>
      <c r="AC174" s="11"/>
      <c r="AD174" s="267"/>
      <c r="AE174" s="11"/>
      <c r="AF174" s="267"/>
      <c r="AG174" s="11"/>
      <c r="AH174" s="267"/>
      <c r="AI174" s="11"/>
      <c r="AJ174" s="11"/>
      <c r="AK174" s="11"/>
      <c r="AL174" s="11"/>
      <c r="AM174" s="11"/>
      <c r="AN174" s="11"/>
      <c r="AO174" s="11"/>
    </row>
    <row r="175" spans="1:41" x14ac:dyDescent="0.25">
      <c r="A175" s="11"/>
      <c r="B175" s="11"/>
      <c r="C175" s="11"/>
      <c r="D175" s="11"/>
      <c r="E175" s="11"/>
      <c r="F175" s="11"/>
      <c r="G175" s="11"/>
      <c r="H175" s="11"/>
      <c r="I175" s="267"/>
      <c r="J175" s="59"/>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row>
    <row r="176" spans="1:41" x14ac:dyDescent="0.25">
      <c r="A176" s="11"/>
      <c r="B176" s="11"/>
      <c r="C176" s="11"/>
      <c r="D176" s="11"/>
      <c r="E176" s="11"/>
      <c r="F176" s="11"/>
      <c r="G176" s="11"/>
      <c r="H176" s="11"/>
      <c r="I176" s="59"/>
      <c r="J176" s="59"/>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row>
    <row r="177" spans="1:41" x14ac:dyDescent="0.25">
      <c r="A177" s="11"/>
      <c r="B177" s="11"/>
      <c r="C177" s="11"/>
      <c r="D177" s="11"/>
      <c r="E177" s="11"/>
      <c r="F177" s="11"/>
      <c r="G177" s="11"/>
      <c r="H177" s="11"/>
      <c r="I177" s="59"/>
      <c r="J177" s="59"/>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row>
    <row r="178" spans="1:41" x14ac:dyDescent="0.25">
      <c r="A178" s="11"/>
      <c r="B178" s="11"/>
      <c r="C178" s="11"/>
      <c r="D178" s="11"/>
      <c r="E178" s="11"/>
      <c r="F178" s="11"/>
      <c r="G178" s="11"/>
      <c r="H178" s="11"/>
      <c r="I178" s="59"/>
      <c r="J178" s="59"/>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row>
    <row r="179" spans="1:41" x14ac:dyDescent="0.25">
      <c r="A179" s="11"/>
      <c r="B179" s="11"/>
      <c r="C179" s="11"/>
      <c r="D179" s="11"/>
      <c r="E179" s="11"/>
      <c r="F179" s="11"/>
      <c r="G179" s="11"/>
      <c r="H179" s="11"/>
      <c r="I179" s="59"/>
      <c r="J179" s="59"/>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row>
    <row r="180" spans="1:41" x14ac:dyDescent="0.25">
      <c r="A180" s="11"/>
      <c r="B180" s="11"/>
      <c r="C180" s="11"/>
      <c r="D180" s="11"/>
      <c r="E180" s="11"/>
      <c r="F180" s="11"/>
      <c r="G180" s="11"/>
      <c r="H180" s="11"/>
      <c r="I180" s="59"/>
      <c r="J180" s="59"/>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row>
    <row r="181" spans="1:41" x14ac:dyDescent="0.25">
      <c r="A181" s="11"/>
      <c r="B181" s="11"/>
      <c r="C181" s="11"/>
      <c r="D181" s="11"/>
      <c r="E181" s="11"/>
      <c r="F181" s="11"/>
      <c r="G181" s="11"/>
      <c r="H181" s="11"/>
      <c r="I181" s="59"/>
      <c r="J181" s="59"/>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row>
    <row r="182" spans="1:41" x14ac:dyDescent="0.25">
      <c r="A182" s="11"/>
      <c r="B182" s="11"/>
      <c r="C182" s="11"/>
      <c r="D182" s="11"/>
      <c r="E182" s="11"/>
      <c r="F182" s="11"/>
      <c r="G182" s="11"/>
      <c r="H182" s="11"/>
      <c r="I182" s="59"/>
      <c r="J182" s="59"/>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row>
    <row r="183" spans="1:41" x14ac:dyDescent="0.25">
      <c r="A183" s="11"/>
      <c r="B183" s="11"/>
      <c r="C183" s="11"/>
      <c r="D183" s="11"/>
      <c r="E183" s="11"/>
      <c r="F183" s="11"/>
      <c r="G183" s="11"/>
      <c r="H183" s="11"/>
      <c r="I183" s="59"/>
      <c r="J183" s="59"/>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row>
    <row r="184" spans="1:41" x14ac:dyDescent="0.25">
      <c r="A184" s="11"/>
      <c r="B184" s="11"/>
      <c r="C184" s="11"/>
      <c r="D184" s="11"/>
      <c r="E184" s="11"/>
      <c r="F184" s="11"/>
      <c r="G184" s="11"/>
      <c r="H184" s="11"/>
      <c r="I184" s="59"/>
      <c r="J184" s="59"/>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row>
    <row r="185" spans="1:41" x14ac:dyDescent="0.25">
      <c r="A185" s="11"/>
      <c r="B185" s="11"/>
      <c r="C185" s="11"/>
      <c r="D185" s="11"/>
      <c r="E185" s="11"/>
      <c r="F185" s="11"/>
      <c r="G185" s="11"/>
      <c r="H185" s="11"/>
      <c r="I185" s="59"/>
      <c r="J185" s="59"/>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row>
    <row r="186" spans="1:41" x14ac:dyDescent="0.25">
      <c r="A186" s="11"/>
      <c r="B186" s="11"/>
      <c r="C186" s="11"/>
      <c r="D186" s="11"/>
      <c r="E186" s="11"/>
      <c r="F186" s="11"/>
      <c r="G186" s="11"/>
      <c r="H186" s="11"/>
      <c r="I186" s="59"/>
      <c r="J186" s="59"/>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row>
    <row r="187" spans="1:41" x14ac:dyDescent="0.25">
      <c r="A187" s="11"/>
      <c r="B187" s="11"/>
      <c r="C187" s="11"/>
      <c r="D187" s="11"/>
      <c r="E187" s="11"/>
      <c r="F187" s="11"/>
      <c r="G187" s="11"/>
      <c r="H187" s="11"/>
      <c r="I187" s="59"/>
      <c r="J187" s="59"/>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row>
    <row r="188" spans="1:41" x14ac:dyDescent="0.25">
      <c r="A188" s="11"/>
      <c r="B188" s="11"/>
      <c r="C188" s="11"/>
      <c r="D188" s="11"/>
      <c r="E188" s="11"/>
      <c r="F188" s="11"/>
      <c r="G188" s="11"/>
      <c r="H188" s="11"/>
      <c r="I188" s="59"/>
      <c r="J188" s="59"/>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row>
    <row r="189" spans="1:41" x14ac:dyDescent="0.25">
      <c r="A189" s="11"/>
      <c r="B189" s="11"/>
      <c r="C189" s="11"/>
      <c r="D189" s="11"/>
      <c r="E189" s="11"/>
      <c r="F189" s="11"/>
      <c r="G189" s="11"/>
      <c r="H189" s="11"/>
      <c r="I189" s="59"/>
      <c r="J189" s="59"/>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row>
    <row r="190" spans="1:41" x14ac:dyDescent="0.25">
      <c r="A190" s="11"/>
      <c r="B190" s="11"/>
      <c r="C190" s="11"/>
      <c r="D190" s="11"/>
      <c r="E190" s="11"/>
      <c r="F190" s="11"/>
      <c r="G190" s="267"/>
      <c r="H190" s="11"/>
      <c r="I190" s="59"/>
      <c r="J190" s="59"/>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row>
    <row r="191" spans="1:41" x14ac:dyDescent="0.25">
      <c r="A191" s="11"/>
      <c r="B191" s="11"/>
      <c r="C191" s="11"/>
      <c r="D191" s="11"/>
      <c r="E191" s="11"/>
      <c r="F191" s="11"/>
      <c r="G191" s="11"/>
      <c r="H191" s="11"/>
      <c r="I191" s="59"/>
      <c r="J191" s="59"/>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row>
    <row r="192" spans="1:41" x14ac:dyDescent="0.25">
      <c r="A192" s="11"/>
      <c r="B192" s="11"/>
      <c r="C192" s="11"/>
      <c r="D192" s="11"/>
      <c r="E192" s="11"/>
      <c r="F192" s="11"/>
      <c r="G192" s="11"/>
      <c r="H192" s="11"/>
      <c r="I192" s="59"/>
      <c r="J192" s="59"/>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row>
    <row r="193" spans="1:41" x14ac:dyDescent="0.25">
      <c r="A193" s="11"/>
      <c r="B193" s="11"/>
      <c r="C193" s="11"/>
      <c r="D193" s="11"/>
      <c r="E193" s="11"/>
      <c r="F193" s="11"/>
      <c r="G193" s="11"/>
      <c r="H193" s="11"/>
      <c r="I193" s="59"/>
      <c r="J193" s="59"/>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row>
    <row r="194" spans="1:41" x14ac:dyDescent="0.25">
      <c r="A194" s="11"/>
      <c r="B194" s="11"/>
      <c r="C194" s="11"/>
      <c r="D194" s="11"/>
      <c r="E194" s="11"/>
      <c r="F194" s="11"/>
      <c r="G194" s="267"/>
      <c r="H194" s="11"/>
      <c r="I194" s="59"/>
      <c r="J194" s="59"/>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row>
  </sheetData>
  <sheetProtection algorithmName="SHA-512" hashValue="3qfUaqhXfXFM4eGhwmhTk9CIYv/9JSGqiYn5MbM/rLqjB3d+hM1pUGxe2hzSIfG7D/BvE0yBR5QMwnxK4+Phzg==" saltValue="Um8Ra2S3JDhKgo4NXNiB8w==" spinCount="100000" sheet="1" scenarios="1"/>
  <mergeCells count="2">
    <mergeCell ref="AD31:AE31"/>
    <mergeCell ref="AG31:AH31"/>
  </mergeCells>
  <dataValidations disablePrompts="1" count="2">
    <dataValidation type="list" allowBlank="1" sqref="B51 B29" xr:uid="{00000000-0002-0000-2400-000000000000}">
      <formula1>"SELF,ALL,BAS,DEP,BASMEMBERS,MEMBERS,NOEXPAND,GDEP"</formula1>
    </dataValidation>
    <dataValidation type="list" allowBlank="1" sqref="B50 B28" xr:uid="{00000000-0002-0000-24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40967"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40967" r:id="rId7" name="FPMExcelClientSheetOptionstb1"/>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1">
    <pageSetUpPr fitToPage="1"/>
  </sheetPr>
  <dimension ref="A1:AO161"/>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3" width="9.7109375" style="1" hidden="1" customWidth="1" outlineLevel="1"/>
    <col min="14" max="14" width="40.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472</v>
      </c>
      <c r="C6" s="11" t="str">
        <f>IF(_epmOfflineCondition_,"Miscellaneous Income",_xll.EVDES(B6,$B$1))</f>
        <v>Miscellaneous Income</v>
      </c>
      <c r="D6" s="11"/>
      <c r="E6" s="58" t="str">
        <f>IF(_epmOfflineCondition_,"D1139",_xll.EVPRO($B$1,$B$6,$F$6))</f>
        <v>D1139</v>
      </c>
      <c r="F6" s="11" t="s">
        <v>278</v>
      </c>
      <c r="G6" s="11"/>
      <c r="H6" s="11"/>
      <c r="I6" s="59"/>
      <c r="J6" s="59"/>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11"/>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11"/>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11"/>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11"/>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11"/>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11"/>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IF(_epmOfflineCondition_,"'MISC_INC'!$B$2:$B$10",_xll.EVRNG($B$2:$B$10))</f>
        <v>'MISC_INC'!$B$2:$B$10</v>
      </c>
      <c r="C17" s="11"/>
      <c r="D17" s="11"/>
      <c r="E17" s="11"/>
      <c r="F17" s="11"/>
      <c r="G17" s="11"/>
      <c r="H17" s="11"/>
      <c r="I17" s="59"/>
      <c r="J17" s="59"/>
      <c r="K17" s="11"/>
      <c r="L17" s="11"/>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IF(_epmOfflineCondition_,"'MISC_INC'!$O$16:$AN$18",_xll.EVRNG($O$16:$AN$18))</f>
        <v>'MISC_INC'!$O$16:$AN$18</v>
      </c>
      <c r="C18" s="11"/>
      <c r="D18" s="11"/>
      <c r="E18" s="11"/>
      <c r="F18" s="11"/>
      <c r="G18" s="11"/>
      <c r="H18" s="11"/>
      <c r="I18" s="59"/>
      <c r="J18" s="59"/>
      <c r="K18" s="11"/>
      <c r="L18" s="11"/>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IF(_epmOfflineCondition_,"'MISC_INC'!$H$34:$H$50",_xll.EVRNG(H34:H50))</f>
        <v>'MISC_INC'!$H$34:$H$50</v>
      </c>
      <c r="C19" s="11"/>
      <c r="D19" s="11"/>
      <c r="E19" s="11"/>
      <c r="F19" s="11"/>
      <c r="G19" s="67" t="str">
        <f>$B$6</f>
        <v>D_ROI_CON</v>
      </c>
      <c r="H19" s="67">
        <v>400000</v>
      </c>
      <c r="I19" s="68"/>
      <c r="J19" s="68"/>
      <c r="K19" s="67"/>
      <c r="L19" s="67"/>
      <c r="M19" s="67"/>
      <c r="N19" s="67" t="str">
        <f>IF(_epmOfflineCondition_,"Total Revenue",_xll.EVDES(H19))</f>
        <v>Total Revenue</v>
      </c>
      <c r="O19" s="69">
        <f>IF(_epmOfflineCondition_,82578.52,_xll.EVGTS($B$1,1,$B$3,$B$5,$B$7,$B$9,O$16,O$17,O$18,$G$19,$H$19))</f>
        <v>82578.52</v>
      </c>
      <c r="P19" s="69">
        <f>IF(_epmOfflineCondition_,77923.6,_xll.EVGTS($B$1,1,$B$3,$B$5,$B$7,$B$9,P$16,P$17,P$18,$G$19,$H$19))</f>
        <v>77923.600000000006</v>
      </c>
      <c r="Q19" s="69">
        <f>IF(_epmOfflineCondition_,83350.16,_xll.EVGTS($B$1,1,$B$3,$B$5,$B$7,$B$9,Q$16,Q$17,Q$18,$G$19,$H$19))</f>
        <v>83350.16</v>
      </c>
      <c r="R19" s="69">
        <f>IF(_epmOfflineCondition_,81892.78,_xll.EVGTS($B$1,1,$B$3,$B$5,$B$7,$B$9,R$16,R$17,R$18,$G$19,$H$19))</f>
        <v>81892.78</v>
      </c>
      <c r="S19" s="69">
        <f>IF(_epmOfflineCondition_,78127.75,_xll.EVGTS($B$1,1,$B$3,$B$5,$B$7,$B$9,S$16,S$17,S$18,$G$19,$H$19))</f>
        <v>78127.75</v>
      </c>
      <c r="T19" s="69">
        <f>IF(_epmOfflineCondition_,67095.55,_xll.EVGTS($B$1,1,$B$3,$B$5,$B$7,$B$9,T$16,T$17,T$18,$G$19,$H$19))</f>
        <v>67095.55</v>
      </c>
      <c r="U19" s="69">
        <f>IF(_epmOfflineCondition_,89746.49,_xll.EVGTS($B$1,1,$B$3,$B$5,$B$7,$B$9,U$16,U$17,U$18,$G$19,$H$19))</f>
        <v>89746.49</v>
      </c>
      <c r="V19" s="69">
        <f>IF(_epmOfflineCondition_,81964.9,_xll.EVGTS($B$1,1,$B$3,$B$5,$B$7,$B$9,V$16,V$17,V$18,$G$19,$H$19))</f>
        <v>81964.899999999994</v>
      </c>
      <c r="W19" s="69">
        <f>IF(_epmOfflineCondition_,70160.66,_xll.EVGTS($B$1,1,$B$3,$B$5,$B$7,$B$9,W$16,W$17,W$18,$G$19,$H$19))</f>
        <v>70160.66</v>
      </c>
      <c r="X19" s="69">
        <f>IF(_epmOfflineCondition_,69117.21,_xll.EVGTS($B$1,1,$B$3,$B$5,$B$7,$B$9,X$16,X$17,X$18,$G$19,$H$19))</f>
        <v>69117.210000000006</v>
      </c>
      <c r="Y19" s="69">
        <f>IF(_epmOfflineCondition_,81824.65,_xll.EVGTS($B$1,1,$B$3,$B$5,$B$7,$B$9,Y$16,Y$17,Y$18,$G$19,$H$19))</f>
        <v>81824.649999999994</v>
      </c>
      <c r="Z19" s="69">
        <f>IF(_epmOfflineCondition_,90027.72,_xll.EVGTS($B$1,1,$B$3,$B$5,$B$7,$B$9,Z$16,Z$17,Z$18,$G$19,$H$19))</f>
        <v>90027.72</v>
      </c>
      <c r="AA19" s="69">
        <f>SUM(O19:Z19)</f>
        <v>953809.99</v>
      </c>
      <c r="AB19" s="67"/>
      <c r="AC19" s="67"/>
      <c r="AD19" s="69">
        <f>IF(_epmOfflineCondition_,1059085.2228,_xll.EVGTS($B$1,1,$B$3,$B$5,$B$7,$B$9,AD$16,AD$17,AD$18,$G$19,$H$19))</f>
        <v>1059085.2228000001</v>
      </c>
      <c r="AE19" s="67"/>
      <c r="AF19" s="67"/>
      <c r="AG19" s="69">
        <f>IF(_epmOfflineCondition_,913742.85,_xll.EVGTS($B$1,1,$B$3,$B$5,$B$7,$B$9,AG$16,AG$17,AG$18,$G$19,$H$19))</f>
        <v>913742.85</v>
      </c>
      <c r="AH19" s="67"/>
      <c r="AI19" s="67"/>
      <c r="AJ19" s="11"/>
      <c r="AK19" s="11"/>
      <c r="AL19" s="11"/>
      <c r="AM19" s="11"/>
      <c r="AN19" s="11"/>
      <c r="AO19" s="11"/>
    </row>
    <row r="20" spans="1:41" hidden="1" outlineLevel="1" x14ac:dyDescent="0.25">
      <c r="A20" s="65" t="s">
        <v>5</v>
      </c>
      <c r="B20" s="66"/>
      <c r="C20" s="11"/>
      <c r="D20" s="11"/>
      <c r="E20" s="11"/>
      <c r="F20" s="11"/>
      <c r="G20" s="67" t="s">
        <v>749</v>
      </c>
      <c r="H20" s="67">
        <v>900200</v>
      </c>
      <c r="I20" s="68"/>
      <c r="J20" s="68"/>
      <c r="K20" s="67"/>
      <c r="L20" s="68"/>
      <c r="M20" s="68"/>
      <c r="N20" s="67" t="str">
        <f>IF(_epmOfflineCondition_,"Total Rooms Occupied",_xll.EVDES(H20))</f>
        <v>Total Rooms Occupied</v>
      </c>
      <c r="O20" s="69">
        <f>IF(_epmOfflineCondition_,3762,_xll.EVGTS($B$1,1,$B$3,$B$5,$B$7,$B$9,O$16,O$17,O$18,$G$20,$H$20))</f>
        <v>3762</v>
      </c>
      <c r="P20" s="69">
        <f>IF(_epmOfflineCondition_,3568,_xll.EVGTS($B$1,1,$B$3,$B$5,$B$7,$B$9,P$16,P$17,P$18,$G$20,$H$20))</f>
        <v>3568</v>
      </c>
      <c r="Q20" s="69">
        <f>IF(_epmOfflineCondition_,3855,_xll.EVGTS($B$1,1,$B$3,$B$5,$B$7,$B$9,Q$16,Q$17,Q$18,$G$20,$H$20))</f>
        <v>3855</v>
      </c>
      <c r="R20" s="69">
        <f>IF(_epmOfflineCondition_,3602,_xll.EVGTS($B$1,1,$B$3,$B$5,$B$7,$B$9,R$16,R$17,R$18,$G$20,$H$20))</f>
        <v>3602</v>
      </c>
      <c r="S20" s="69">
        <f>IF(_epmOfflineCondition_,3580,_xll.EVGTS($B$1,1,$B$3,$B$5,$B$7,$B$9,S$16,S$17,S$18,$G$20,$H$20))</f>
        <v>3580</v>
      </c>
      <c r="T20" s="69">
        <f>IF(_epmOfflineCondition_,3259,_xll.EVGTS($B$1,1,$B$3,$B$5,$B$7,$B$9,T$16,T$17,T$18,$G$20,$H$20))</f>
        <v>3259</v>
      </c>
      <c r="U20" s="69">
        <f>IF(_epmOfflineCondition_,3548,_xll.EVGTS($B$1,1,$B$3,$B$5,$B$7,$B$9,U$16,U$17,U$18,$G$20,$H$20))</f>
        <v>3548</v>
      </c>
      <c r="V20" s="69">
        <f>IF(_epmOfflineCondition_,3348,_xll.EVGTS($B$1,1,$B$3,$B$5,$B$7,$B$9,V$16,V$17,V$18,$G$20,$H$20))</f>
        <v>3348</v>
      </c>
      <c r="W20" s="69">
        <f>IF(_epmOfflineCondition_,2744,_xll.EVGTS($B$1,1,$B$3,$B$5,$B$7,$B$9,W$16,W$17,W$18,$G$20,$H$20))</f>
        <v>2744</v>
      </c>
      <c r="X20" s="69">
        <f>IF(_epmOfflineCondition_,3076,_xll.EVGTS($B$1,1,$B$3,$B$5,$B$7,$B$9,X$16,X$17,X$18,$G$20,$H$20))</f>
        <v>3076</v>
      </c>
      <c r="Y20" s="69">
        <f>IF(_epmOfflineCondition_,3431,_xll.EVGTS($B$1,1,$B$3,$B$5,$B$7,$B$9,Y$16,Y$17,Y$18,$G$20,$H$20))</f>
        <v>3431</v>
      </c>
      <c r="Z20" s="69">
        <f>IF(_epmOfflineCondition_,3541,_xll.EVGTS($B$1,1,$B$3,$B$5,$B$7,$B$9,Z$16,Z$17,Z$18,$G$20,$H$20))</f>
        <v>3541</v>
      </c>
      <c r="AA20" s="69">
        <f>SUM(O20:Z20)</f>
        <v>41314</v>
      </c>
      <c r="AB20" s="67"/>
      <c r="AC20" s="67"/>
      <c r="AD20" s="69">
        <f>IF(_epmOfflineCondition_,39032,_xll.EVGTS($B$1,1,$B$3,$B$5,$B$7,$B$9,AD$16,AD$17,AD$18,$G$20,$H$20))</f>
        <v>39032</v>
      </c>
      <c r="AE20" s="67"/>
      <c r="AF20" s="67"/>
      <c r="AG20" s="69">
        <f>IF(_epmOfflineCondition_,40219,_xll.EVGTS($B$1,1,$B$3,$B$5,$B$7,$B$9,AG$16,AG$17,AG$18,$G$20,$H$20))</f>
        <v>40219</v>
      </c>
      <c r="AH20" s="67"/>
      <c r="AI20" s="67"/>
      <c r="AJ20" s="11"/>
      <c r="AK20" s="11"/>
      <c r="AL20" s="11"/>
      <c r="AM20" s="11"/>
      <c r="AN20" s="11"/>
      <c r="AO20" s="11"/>
    </row>
    <row r="21" spans="1:41" hidden="1" outlineLevel="1" x14ac:dyDescent="0.25">
      <c r="A21" s="65" t="s">
        <v>6</v>
      </c>
      <c r="B21" s="66"/>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IF(_epmOfflineCondition_,"'MISC_INC'!$A$36:$F$41",_xll.EVRNG(A36:F41))</f>
        <v>'MISC_INC'!$A$36:$F$41</v>
      </c>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IF(_epmOfflineCondition_,"'MISC_INC'!$A$45:$B$66",_xll.EVRNG($A$45:$B$66))</f>
        <v>'MISC_INC'!$A$45:$B$66</v>
      </c>
      <c r="C23" s="11"/>
      <c r="D23" s="11"/>
      <c r="E23" s="11"/>
      <c r="F23" s="11"/>
      <c r="G23" s="11"/>
      <c r="H23" s="11"/>
      <c r="I23" s="59"/>
      <c r="J23" s="59"/>
      <c r="K23" s="6"/>
      <c r="L23" s="6"/>
      <c r="M23" s="6"/>
      <c r="N23" s="11"/>
      <c r="O23" s="11"/>
      <c r="P23" s="11"/>
      <c r="Q23" s="11"/>
      <c r="R23" s="11"/>
      <c r="S23" s="11"/>
      <c r="T23" s="11"/>
      <c r="U23" s="11"/>
      <c r="V23" s="11"/>
      <c r="W23" s="11"/>
      <c r="X23" s="11"/>
      <c r="Y23" s="11"/>
      <c r="Z23" s="11"/>
      <c r="AA23" s="11"/>
      <c r="AB23" s="11"/>
      <c r="AC23" s="11"/>
      <c r="AD23" s="384"/>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11"/>
      <c r="M26" s="11"/>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11"/>
      <c r="M27" s="11"/>
      <c r="N27" s="71" t="str">
        <f>IF(_epmOfflineCondition_,"Miscellaneous Income",IF(_xll.EVDES(B6,$B$1)="#NODATA","",_xll.EVDES(B6,$B$1)))</f>
        <v>Miscellaneous Income</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11"/>
      <c r="M28" s="11"/>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tr">
        <f>"DEP(455000) AND "&amp;$E$6&amp;"=Y,400000"</f>
        <v>DEP(455000) AND D1139=Y,400000</v>
      </c>
      <c r="C29" s="11"/>
      <c r="D29" s="11"/>
      <c r="E29" s="11"/>
      <c r="F29" s="11"/>
      <c r="G29" s="11"/>
      <c r="H29" s="11"/>
      <c r="I29" s="59"/>
      <c r="J29" s="59"/>
      <c r="K29" s="11"/>
      <c r="L29" s="11"/>
      <c r="M29" s="11"/>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11"/>
      <c r="M30" s="11"/>
      <c r="N30" s="11"/>
      <c r="O30" s="73"/>
      <c r="P30" s="74"/>
      <c r="Q30" s="74"/>
      <c r="R30" s="74"/>
      <c r="S30" s="74"/>
      <c r="T30" s="74"/>
      <c r="U30" s="74"/>
      <c r="V30" s="74"/>
      <c r="W30" s="74"/>
      <c r="X30" s="74"/>
      <c r="Y30" s="74"/>
      <c r="Z30" s="74"/>
      <c r="AA30" s="74"/>
      <c r="AB30" s="75"/>
      <c r="AC30" s="11"/>
      <c r="AD30" s="74"/>
      <c r="AE30" s="74"/>
      <c r="AF30" s="74"/>
      <c r="AG30" s="74"/>
      <c r="AH30" s="74"/>
      <c r="AI30" s="74"/>
      <c r="AJ30" s="73" t="s">
        <v>748</v>
      </c>
      <c r="AK30" s="74"/>
      <c r="AL30" s="75"/>
      <c r="AM30" s="74" t="s">
        <v>750</v>
      </c>
      <c r="AN30" s="74"/>
      <c r="AO30" s="11"/>
    </row>
    <row r="31" spans="1:41" x14ac:dyDescent="0.25">
      <c r="A31" s="65" t="s">
        <v>15</v>
      </c>
      <c r="B31" s="66"/>
      <c r="C31" s="11"/>
      <c r="D31" s="11"/>
      <c r="E31" s="11"/>
      <c r="F31" s="11"/>
      <c r="G31" s="76"/>
      <c r="H31" s="11"/>
      <c r="I31" s="59"/>
      <c r="J31" s="59"/>
      <c r="K31" s="59"/>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363"/>
      <c r="H32" s="84"/>
      <c r="I32" s="85"/>
      <c r="J32" s="85"/>
      <c r="K32" s="178" t="s">
        <v>117</v>
      </c>
      <c r="L32" s="178"/>
      <c r="M32" s="178"/>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69</v>
      </c>
      <c r="I33" s="59" t="str">
        <f>IF(_epmOfflineCondition_,"B1",_xll.EVPRO($B$1,$H33,"STYLE"))</f>
        <v>B1</v>
      </c>
      <c r="J33" s="59" t="str">
        <f>IF(_epmOfflineCondition_,"Y",_xll.EVPRO($B$1,$H33,"CALC"))</f>
        <v>Y</v>
      </c>
      <c r="K33" s="11"/>
      <c r="L33" s="11"/>
      <c r="M33" s="11"/>
      <c r="N33" s="105" t="str">
        <f>IF(_epmOfflineCondition_,"Revenues",IF(_xll.EVDES(H33,$B$1)="#NODATA","",_xll.EVDES(H33,$B$1)))</f>
        <v>Revenues</v>
      </c>
      <c r="O33" s="129"/>
      <c r="P33" s="130"/>
      <c r="Q33" s="130"/>
      <c r="R33" s="130"/>
      <c r="S33" s="130"/>
      <c r="T33" s="130"/>
      <c r="U33" s="130"/>
      <c r="V33" s="130"/>
      <c r="W33" s="130"/>
      <c r="X33" s="130"/>
      <c r="Y33" s="130"/>
      <c r="Z33" s="130"/>
      <c r="AA33" s="130"/>
      <c r="AB33" s="131"/>
      <c r="AC33" s="11"/>
      <c r="AD33" s="129"/>
      <c r="AE33" s="130"/>
      <c r="AF33" s="131"/>
      <c r="AG33" s="129"/>
      <c r="AH33" s="130"/>
      <c r="AI33" s="131"/>
      <c r="AJ33" s="11"/>
      <c r="AK33" s="11"/>
      <c r="AL33" s="11"/>
      <c r="AM33" s="11"/>
      <c r="AN33" s="11"/>
      <c r="AO33" s="11"/>
    </row>
    <row r="34" spans="1:41" x14ac:dyDescent="0.25">
      <c r="A34" s="11"/>
      <c r="B34" s="11"/>
      <c r="C34" s="11"/>
      <c r="D34" s="11"/>
      <c r="E34" s="11"/>
      <c r="F34" s="11"/>
      <c r="G34" s="11"/>
      <c r="H34" s="88" t="s">
        <v>640</v>
      </c>
      <c r="I34" s="122" t="str">
        <f>IF(_epmOfflineCondition_,"T5",_xll.EVPRO($B$1,$H34,"STYLE"))</f>
        <v>T5</v>
      </c>
      <c r="J34" s="122" t="str">
        <f>IF(_epmOfflineCondition_,"Y",_xll.EVPRO($B$1,$H34,"CALC"))</f>
        <v>Y</v>
      </c>
      <c r="K34" s="179" t="str">
        <f t="shared" ref="K34:K50" si="0">IF(AND(I34&gt;="T5"),"&gt;","")</f>
        <v>&gt;</v>
      </c>
      <c r="L34" s="90" t="str">
        <f>IF(_epmOfflineCondition_,"455100",_xll.EVPRO($B$1,H34,"JDEID"))</f>
        <v>455100</v>
      </c>
      <c r="M34" s="90" t="str">
        <f>IF(_epmOfflineCondition_,"",IF(AND(I34="N",J34="N"),_xll.EVPRO($B$1,H34,"PSFTID"),""))</f>
        <v/>
      </c>
      <c r="N34" s="90" t="str">
        <f>IF(_epmOfflineCondition_,"Space Rent &amp; Concessions",IF(_xll.EVDES(H34,$B$1)="#NODATA","",_xll.EVDES(H34,$B$1)))</f>
        <v>Space Rent &amp; Concessions</v>
      </c>
      <c r="O34" s="467"/>
      <c r="P34" s="216"/>
      <c r="Q34" s="216"/>
      <c r="R34" s="216"/>
      <c r="S34" s="216"/>
      <c r="T34" s="216"/>
      <c r="U34" s="216"/>
      <c r="V34" s="216"/>
      <c r="W34" s="216"/>
      <c r="X34" s="216"/>
      <c r="Y34" s="216"/>
      <c r="Z34" s="216"/>
      <c r="AA34" s="216">
        <f t="shared" ref="AA34:AA50" si="1">IF($I34="B1","",SUM(O34:Z34))</f>
        <v>0</v>
      </c>
      <c r="AB34" s="468" t="str">
        <f t="shared" ref="AB34:AB50" si="2">IF(AA34=0,"",IFERROR(AA34/AA$19,""))</f>
        <v/>
      </c>
      <c r="AC34" s="459"/>
      <c r="AD34" s="216">
        <v>9385</v>
      </c>
      <c r="AE34" s="468">
        <f t="shared" ref="AE34:AE50" si="3">IF(AD34=0,"",IFERROR(AD34/AD$19,""))</f>
        <v>8.8614209677933386E-3</v>
      </c>
      <c r="AF34" s="469">
        <f t="shared" ref="AF34:AF50" si="4">IF(AND($AA34="",AD34=""),"",$AA34-AD34)</f>
        <v>-9385</v>
      </c>
      <c r="AG34" s="216">
        <v>6384.98</v>
      </c>
      <c r="AH34" s="468">
        <f t="shared" ref="AH34:AH50" si="5">IF(AG34=0,"",IFERROR(AG34/AG$19,""))</f>
        <v>6.9877208888693351E-3</v>
      </c>
      <c r="AI34" s="470">
        <f t="shared" ref="AI34:AI50" si="6">IF(AND($AA34="",AG34=""),"",$AA34-AG34)</f>
        <v>-6384.98</v>
      </c>
      <c r="AJ34" s="462">
        <f t="shared" ref="AJ34:AJ50" si="7">IFERROR(AA34/AA$20,0)</f>
        <v>0</v>
      </c>
      <c r="AK34" s="463">
        <f t="shared" ref="AK34:AK50" si="8">IFERROR(AD34/AD$20,0)</f>
        <v>0.24044373847099815</v>
      </c>
      <c r="AL34" s="464">
        <f t="shared" ref="AL34:AL50" si="9">IFERROR(AG34/AG$20,0)</f>
        <v>0.15875531465227877</v>
      </c>
      <c r="AM34" s="465">
        <f t="shared" ref="AM34:AM50" si="10">+IFERROR(ROUND(($AB34-AE34)*100,2)&amp;" pts.",0)</f>
        <v>0</v>
      </c>
      <c r="AN34" s="466">
        <f t="shared" ref="AN34:AN50" si="11">+IFERROR(ROUND(($AB34-AH34)*100,2)&amp;" pts.",0)</f>
        <v>0</v>
      </c>
      <c r="AO34" s="11"/>
    </row>
    <row r="35" spans="1:41" x14ac:dyDescent="0.25">
      <c r="A35" s="97" t="s">
        <v>92</v>
      </c>
      <c r="B35" s="98" t="s">
        <v>93</v>
      </c>
      <c r="C35" s="98" t="s">
        <v>94</v>
      </c>
      <c r="D35" s="98" t="s">
        <v>95</v>
      </c>
      <c r="E35" s="98" t="s">
        <v>96</v>
      </c>
      <c r="F35" s="99" t="s">
        <v>97</v>
      </c>
      <c r="G35" s="11"/>
      <c r="H35" s="88" t="s">
        <v>641</v>
      </c>
      <c r="I35" s="122" t="str">
        <f>IF(_epmOfflineCondition_,"T5",_xll.EVPRO($B$1,$H35,"STYLE"))</f>
        <v>T5</v>
      </c>
      <c r="J35" s="122" t="str">
        <f>IF(_epmOfflineCondition_,"Y",_xll.EVPRO($B$1,$H35,"CALC"))</f>
        <v>Y</v>
      </c>
      <c r="K35" s="179" t="str">
        <f t="shared" si="0"/>
        <v>&gt;</v>
      </c>
      <c r="L35" s="90" t="str">
        <f>IF(_epmOfflineCondition_,"455200",_xll.EVPRO($B$1,H35,"JDEID"))</f>
        <v>455200</v>
      </c>
      <c r="M35" s="90" t="str">
        <f>IF(_epmOfflineCondition_,"",IF(AND(I35="N",J35="N"),_xll.EVPRO($B$1,H35,"PSFTID"),""))</f>
        <v/>
      </c>
      <c r="N35" s="90" t="str">
        <f>IF(_epmOfflineCondition_,"Commissions",IF(_xll.EVDES(H35,$B$1)="#NODATA","",_xll.EVDES(H35,$B$1)))</f>
        <v>Commissions</v>
      </c>
      <c r="O35" s="467">
        <v>5102.91</v>
      </c>
      <c r="P35" s="216">
        <v>2059.38</v>
      </c>
      <c r="Q35" s="216">
        <v>2166.1999999999998</v>
      </c>
      <c r="R35" s="216">
        <v>2725.92</v>
      </c>
      <c r="S35" s="216">
        <v>678.41</v>
      </c>
      <c r="T35" s="216">
        <v>1784.22</v>
      </c>
      <c r="U35" s="216">
        <v>4922.6000000000004</v>
      </c>
      <c r="V35" s="216">
        <v>4275</v>
      </c>
      <c r="W35" s="216">
        <v>949.47</v>
      </c>
      <c r="X35" s="216">
        <v>1124.3699999999999</v>
      </c>
      <c r="Y35" s="216">
        <v>2124.0500000000002</v>
      </c>
      <c r="Z35" s="216">
        <v>6435.18</v>
      </c>
      <c r="AA35" s="216">
        <f t="shared" si="1"/>
        <v>34347.71</v>
      </c>
      <c r="AB35" s="468">
        <f t="shared" si="2"/>
        <v>3.6011061280664503E-2</v>
      </c>
      <c r="AC35" s="459"/>
      <c r="AD35" s="216">
        <v>78555.604000000007</v>
      </c>
      <c r="AE35" s="468">
        <f t="shared" si="3"/>
        <v>7.417307154217051E-2</v>
      </c>
      <c r="AF35" s="469">
        <f t="shared" si="4"/>
        <v>-44207.894000000008</v>
      </c>
      <c r="AG35" s="216">
        <v>53494.21</v>
      </c>
      <c r="AH35" s="468">
        <f t="shared" si="5"/>
        <v>5.8544053176448931E-2</v>
      </c>
      <c r="AI35" s="470">
        <f t="shared" si="6"/>
        <v>-19146.5</v>
      </c>
      <c r="AJ35" s="462">
        <f t="shared" si="7"/>
        <v>0.83138185602943315</v>
      </c>
      <c r="AK35" s="463">
        <f t="shared" si="8"/>
        <v>2.0125948964951834</v>
      </c>
      <c r="AL35" s="464">
        <f t="shared" si="9"/>
        <v>1.3300730997787116</v>
      </c>
      <c r="AM35" s="465" t="str">
        <f t="shared" si="10"/>
        <v>-3.82 pts.</v>
      </c>
      <c r="AN35" s="466" t="str">
        <f t="shared" si="11"/>
        <v>-2.25 pts.</v>
      </c>
      <c r="AO35" s="11"/>
    </row>
    <row r="36" spans="1:41" x14ac:dyDescent="0.25">
      <c r="A36" s="11"/>
      <c r="B36" s="11"/>
      <c r="C36" s="11"/>
      <c r="D36" s="11"/>
      <c r="E36" s="11"/>
      <c r="F36" s="11"/>
      <c r="G36" s="11"/>
      <c r="H36" s="88" t="s">
        <v>642</v>
      </c>
      <c r="I36" s="122" t="str">
        <f>IF(_epmOfflineCondition_,"N",_xll.EVPRO($B$1,$H36,"STYLE"))</f>
        <v>N</v>
      </c>
      <c r="J36" s="122" t="str">
        <f>IF(_epmOfflineCondition_,"N",_xll.EVPRO($B$1,$H36,"CALC"))</f>
        <v>N</v>
      </c>
      <c r="K36" s="179" t="str">
        <f t="shared" si="0"/>
        <v/>
      </c>
      <c r="L36" s="90" t="str">
        <f>IF(_epmOfflineCondition_,"455250",_xll.EVPRO($B$1,H36,"JDEID"))</f>
        <v>455250</v>
      </c>
      <c r="M36" s="90" t="str">
        <f>IF(_epmOfflineCondition_,"206088",IF(AND(I36="N",J36="N"),_xll.EVPRO($B$1,H36,"PSFTID"),""))</f>
        <v>206088</v>
      </c>
      <c r="N36" s="90" t="str">
        <f>IF(_epmOfflineCondition_,"Cash Discounts Earned",IF(_xll.EVDES(H36,$B$1)="#NODATA","",_xll.EVDES(H36,$B$1)))</f>
        <v>Cash Discounts Earned</v>
      </c>
      <c r="O36" s="467"/>
      <c r="P36" s="216"/>
      <c r="Q36" s="216"/>
      <c r="R36" s="216"/>
      <c r="S36" s="216"/>
      <c r="T36" s="216"/>
      <c r="U36" s="216">
        <v>3491.17</v>
      </c>
      <c r="V36" s="216"/>
      <c r="W36" s="216"/>
      <c r="X36" s="216"/>
      <c r="Y36" s="216"/>
      <c r="Z36" s="216"/>
      <c r="AA36" s="216">
        <f t="shared" si="1"/>
        <v>3491.17</v>
      </c>
      <c r="AB36" s="468">
        <f t="shared" si="2"/>
        <v>3.6602363537836294E-3</v>
      </c>
      <c r="AC36" s="459"/>
      <c r="AD36" s="216">
        <v>1538</v>
      </c>
      <c r="AE36" s="468">
        <f t="shared" si="3"/>
        <v>1.4521966380890948E-3</v>
      </c>
      <c r="AF36" s="469">
        <f t="shared" si="4"/>
        <v>1953.17</v>
      </c>
      <c r="AG36" s="216">
        <v>1538.36</v>
      </c>
      <c r="AH36" s="468">
        <f t="shared" si="5"/>
        <v>1.6835808893060011E-3</v>
      </c>
      <c r="AI36" s="470">
        <f t="shared" si="6"/>
        <v>1952.8100000000002</v>
      </c>
      <c r="AJ36" s="462">
        <f t="shared" si="7"/>
        <v>8.4503316067192719E-2</v>
      </c>
      <c r="AK36" s="463">
        <f t="shared" si="8"/>
        <v>3.9403566304570606E-2</v>
      </c>
      <c r="AL36" s="464">
        <f t="shared" si="9"/>
        <v>3.8249583530172306E-2</v>
      </c>
      <c r="AM36" s="465" t="str">
        <f t="shared" si="10"/>
        <v>0.22 pts.</v>
      </c>
      <c r="AN36" s="466" t="str">
        <f t="shared" si="11"/>
        <v>0.2 pts.</v>
      </c>
      <c r="AO36" s="11"/>
    </row>
    <row r="37" spans="1:41" x14ac:dyDescent="0.25">
      <c r="A37" s="11" t="s">
        <v>209</v>
      </c>
      <c r="B37" s="11" t="s">
        <v>21</v>
      </c>
      <c r="C37" s="395"/>
      <c r="D37" s="11" t="s">
        <v>590</v>
      </c>
      <c r="E37" s="11"/>
      <c r="F37" s="11" t="s">
        <v>99</v>
      </c>
      <c r="G37" s="11"/>
      <c r="H37" s="88" t="s">
        <v>643</v>
      </c>
      <c r="I37" s="122" t="str">
        <f>IF(_epmOfflineCondition_,"T5",_xll.EVPRO($B$1,$H37,"STYLE"))</f>
        <v>T5</v>
      </c>
      <c r="J37" s="122" t="str">
        <f>IF(_epmOfflineCondition_,"Y",_xll.EVPRO($B$1,$H37,"CALC"))</f>
        <v>Y</v>
      </c>
      <c r="K37" s="179" t="str">
        <f t="shared" si="0"/>
        <v>&gt;</v>
      </c>
      <c r="L37" s="90" t="str">
        <f>IF(_epmOfflineCondition_,"455300",_xll.EVPRO($B$1,H37,"JDEID"))</f>
        <v>455300</v>
      </c>
      <c r="M37" s="90" t="str">
        <f>IF(_epmOfflineCondition_,"",IF(AND(I37="N",J37="N"),_xll.EVPRO($B$1,H37,"PSFTID"),""))</f>
        <v/>
      </c>
      <c r="N37" s="90" t="str">
        <f>IF(_epmOfflineCondition_,"Attrition Penalties",IF(_xll.EVDES(H37,$B$1)="#NODATA","",_xll.EVDES(H37,$B$1)))</f>
        <v>Attrition Penalties</v>
      </c>
      <c r="O37" s="467"/>
      <c r="P37" s="216"/>
      <c r="Q37" s="216"/>
      <c r="R37" s="216"/>
      <c r="S37" s="216"/>
      <c r="T37" s="216"/>
      <c r="U37" s="216"/>
      <c r="V37" s="216"/>
      <c r="W37" s="216"/>
      <c r="X37" s="216"/>
      <c r="Y37" s="216"/>
      <c r="Z37" s="216"/>
      <c r="AA37" s="216">
        <f t="shared" si="1"/>
        <v>0</v>
      </c>
      <c r="AB37" s="468" t="str">
        <f t="shared" si="2"/>
        <v/>
      </c>
      <c r="AC37" s="459"/>
      <c r="AD37" s="216">
        <v>22849.209999999599</v>
      </c>
      <c r="AE37" s="468">
        <f t="shared" si="3"/>
        <v>2.1574477207406465E-2</v>
      </c>
      <c r="AF37" s="469">
        <f t="shared" si="4"/>
        <v>-22849.209999999599</v>
      </c>
      <c r="AG37" s="216"/>
      <c r="AH37" s="468" t="str">
        <f t="shared" si="5"/>
        <v/>
      </c>
      <c r="AI37" s="470">
        <f t="shared" si="6"/>
        <v>0</v>
      </c>
      <c r="AJ37" s="462">
        <f t="shared" si="7"/>
        <v>0</v>
      </c>
      <c r="AK37" s="463">
        <f t="shared" si="8"/>
        <v>0.58539685386348639</v>
      </c>
      <c r="AL37" s="464">
        <f t="shared" si="9"/>
        <v>0</v>
      </c>
      <c r="AM37" s="465">
        <f t="shared" si="10"/>
        <v>0</v>
      </c>
      <c r="AN37" s="466">
        <f t="shared" si="11"/>
        <v>0</v>
      </c>
      <c r="AO37" s="11"/>
    </row>
    <row r="38" spans="1:41" x14ac:dyDescent="0.25">
      <c r="A38" s="11" t="s">
        <v>105</v>
      </c>
      <c r="B38" s="11"/>
      <c r="C38" s="104" t="s">
        <v>101</v>
      </c>
      <c r="D38" s="11" t="s">
        <v>106</v>
      </c>
      <c r="E38" s="11"/>
      <c r="F38" s="11" t="s">
        <v>98</v>
      </c>
      <c r="G38" s="11"/>
      <c r="H38" s="88" t="s">
        <v>644</v>
      </c>
      <c r="I38" s="122" t="str">
        <f>IF(_epmOfflineCondition_,"T5",_xll.EVPRO($B$1,$H38,"STYLE"))</f>
        <v>T5</v>
      </c>
      <c r="J38" s="122" t="str">
        <f>IF(_epmOfflineCondition_,"Y",_xll.EVPRO($B$1,$H38,"CALC"))</f>
        <v>Y</v>
      </c>
      <c r="K38" s="179" t="str">
        <f t="shared" si="0"/>
        <v>&gt;</v>
      </c>
      <c r="L38" s="90" t="str">
        <f>IF(_epmOfflineCondition_,"455400",_xll.EVPRO($B$1,H38,"JDEID"))</f>
        <v>455400</v>
      </c>
      <c r="M38" s="90" t="str">
        <f>IF(_epmOfflineCondition_,"",IF(AND(I38="N",J38="N"),_xll.EVPRO($B$1,H38,"PSFTID"),""))</f>
        <v/>
      </c>
      <c r="N38" s="90" t="str">
        <f>IF(_epmOfflineCondition_,"Cancellation Penalties",IF(_xll.EVDES(H38,$B$1)="#NODATA","",_xll.EVDES(H38,$B$1)))</f>
        <v>Cancellation Penalties</v>
      </c>
      <c r="O38" s="467">
        <v>611.98</v>
      </c>
      <c r="P38" s="216">
        <v>1071</v>
      </c>
      <c r="Q38" s="216">
        <v>9927.3700000000008</v>
      </c>
      <c r="R38" s="216">
        <v>3908.41</v>
      </c>
      <c r="S38" s="216">
        <v>2035.79</v>
      </c>
      <c r="T38" s="216"/>
      <c r="U38" s="216">
        <v>3110.36</v>
      </c>
      <c r="V38" s="216"/>
      <c r="W38" s="216">
        <v>5675.09</v>
      </c>
      <c r="X38" s="216">
        <v>2495.08</v>
      </c>
      <c r="Y38" s="216">
        <v>7102.51</v>
      </c>
      <c r="Z38" s="216">
        <v>6440.95</v>
      </c>
      <c r="AA38" s="216">
        <f t="shared" si="1"/>
        <v>42378.54</v>
      </c>
      <c r="AB38" s="468">
        <f t="shared" si="2"/>
        <v>4.4430799052545045E-2</v>
      </c>
      <c r="AC38" s="459"/>
      <c r="AD38" s="216">
        <v>29634.9999999996</v>
      </c>
      <c r="AE38" s="468">
        <f t="shared" si="3"/>
        <v>2.7981695298940013E-2</v>
      </c>
      <c r="AF38" s="469">
        <f t="shared" si="4"/>
        <v>12743.540000000401</v>
      </c>
      <c r="AG38" s="216">
        <v>1409.58</v>
      </c>
      <c r="AH38" s="468">
        <f t="shared" si="5"/>
        <v>1.5426440819755799E-3</v>
      </c>
      <c r="AI38" s="470">
        <f t="shared" si="6"/>
        <v>40968.959999999999</v>
      </c>
      <c r="AJ38" s="462">
        <f t="shared" si="7"/>
        <v>1.025767052330929</v>
      </c>
      <c r="AK38" s="463">
        <f t="shared" si="8"/>
        <v>0.75924882147980122</v>
      </c>
      <c r="AL38" s="464">
        <f t="shared" si="9"/>
        <v>3.504761431164375E-2</v>
      </c>
      <c r="AM38" s="465" t="str">
        <f t="shared" si="10"/>
        <v>1.64 pts.</v>
      </c>
      <c r="AN38" s="466" t="str">
        <f t="shared" si="11"/>
        <v>4.29 pts.</v>
      </c>
      <c r="AO38" s="11"/>
    </row>
    <row r="39" spans="1:41" x14ac:dyDescent="0.25">
      <c r="A39" s="11" t="s">
        <v>104</v>
      </c>
      <c r="B39" s="11"/>
      <c r="C39" s="104" t="s">
        <v>101</v>
      </c>
      <c r="D39" s="11" t="s">
        <v>106</v>
      </c>
      <c r="E39" s="11"/>
      <c r="F39" s="11" t="s">
        <v>98</v>
      </c>
      <c r="G39" s="11"/>
      <c r="H39" s="88" t="s">
        <v>645</v>
      </c>
      <c r="I39" s="122" t="str">
        <f>IF(_epmOfflineCondition_,"N",_xll.EVPRO($B$1,$H39,"STYLE"))</f>
        <v>N</v>
      </c>
      <c r="J39" s="122" t="str">
        <f>IF(_epmOfflineCondition_,"N",_xll.EVPRO($B$1,$H39,"CALC"))</f>
        <v>N</v>
      </c>
      <c r="K39" s="179" t="str">
        <f t="shared" si="0"/>
        <v/>
      </c>
      <c r="L39" s="90" t="str">
        <f>IF(_epmOfflineCondition_,"455500",_xll.EVPRO($B$1,H39,"JDEID"))</f>
        <v>455500</v>
      </c>
      <c r="M39" s="90" t="str">
        <f>IF(_epmOfflineCondition_,"206065",IF(AND(I39="N",J39="N"),_xll.EVPRO($B$1,H39,"PSFTID"),""))</f>
        <v>206065</v>
      </c>
      <c r="N39" s="90" t="str">
        <f>IF(_epmOfflineCondition_,"Guest Foreign Currency Trans. (Gain/Loss)",IF(_xll.EVDES(H39,$B$1)="#NODATA","",_xll.EVDES(H39,$B$1)))</f>
        <v>Guest Foreign Currency Trans. (Gain/Loss)</v>
      </c>
      <c r="O39" s="467"/>
      <c r="P39" s="216"/>
      <c r="Q39" s="216"/>
      <c r="R39" s="216"/>
      <c r="S39" s="216"/>
      <c r="T39" s="216"/>
      <c r="U39" s="216"/>
      <c r="V39" s="216"/>
      <c r="W39" s="216"/>
      <c r="X39" s="216"/>
      <c r="Y39" s="216"/>
      <c r="Z39" s="216"/>
      <c r="AA39" s="216">
        <f t="shared" si="1"/>
        <v>0</v>
      </c>
      <c r="AB39" s="468" t="str">
        <f t="shared" si="2"/>
        <v/>
      </c>
      <c r="AC39" s="459"/>
      <c r="AD39" s="216"/>
      <c r="AE39" s="468" t="str">
        <f t="shared" si="3"/>
        <v/>
      </c>
      <c r="AF39" s="469">
        <f t="shared" si="4"/>
        <v>0</v>
      </c>
      <c r="AG39" s="216"/>
      <c r="AH39" s="468" t="str">
        <f t="shared" si="5"/>
        <v/>
      </c>
      <c r="AI39" s="470">
        <f t="shared" si="6"/>
        <v>0</v>
      </c>
      <c r="AJ39" s="462">
        <f t="shared" si="7"/>
        <v>0</v>
      </c>
      <c r="AK39" s="463">
        <f t="shared" si="8"/>
        <v>0</v>
      </c>
      <c r="AL39" s="464">
        <f t="shared" si="9"/>
        <v>0</v>
      </c>
      <c r="AM39" s="465">
        <f t="shared" si="10"/>
        <v>0</v>
      </c>
      <c r="AN39" s="466">
        <f t="shared" si="11"/>
        <v>0</v>
      </c>
      <c r="AO39" s="11"/>
    </row>
    <row r="40" spans="1:41" x14ac:dyDescent="0.25">
      <c r="A40" s="11" t="s">
        <v>108</v>
      </c>
      <c r="B40" s="11"/>
      <c r="C40" s="106" t="s">
        <v>101</v>
      </c>
      <c r="D40" s="11" t="s">
        <v>106</v>
      </c>
      <c r="E40" s="11"/>
      <c r="F40" s="11" t="s">
        <v>98</v>
      </c>
      <c r="G40" s="11"/>
      <c r="H40" s="88" t="s">
        <v>646</v>
      </c>
      <c r="I40" s="122" t="str">
        <f>IF(_epmOfflineCondition_,"N",_xll.EVPRO($B$1,$H40,"STYLE"))</f>
        <v>N</v>
      </c>
      <c r="J40" s="122" t="str">
        <f>IF(_epmOfflineCondition_,"N",_xll.EVPRO($B$1,$H40,"CALC"))</f>
        <v>N</v>
      </c>
      <c r="K40" s="179" t="str">
        <f t="shared" si="0"/>
        <v/>
      </c>
      <c r="L40" s="90" t="str">
        <f>IF(_epmOfflineCondition_,"455510",_xll.EVPRO($B$1,H40,"JDEID"))</f>
        <v>455510</v>
      </c>
      <c r="M40" s="90" t="str">
        <f>IF(_epmOfflineCondition_,"207065",IF(AND(I40="N",J40="N"),_xll.EVPRO($B$1,H40,"PSFTID"),""))</f>
        <v>207065</v>
      </c>
      <c r="N40" s="90" t="str">
        <f>IF(_epmOfflineCondition_,"Guest Laundry &amp; Dry Cleaning",IF(_xll.EVDES(H40,$B$1)="#NODATA","",_xll.EVDES(H40,$B$1)))</f>
        <v>Guest Laundry &amp; Dry Cleaning</v>
      </c>
      <c r="O40" s="467"/>
      <c r="P40" s="216"/>
      <c r="Q40" s="216"/>
      <c r="R40" s="216"/>
      <c r="S40" s="216"/>
      <c r="T40" s="216"/>
      <c r="U40" s="216"/>
      <c r="V40" s="216">
        <v>300</v>
      </c>
      <c r="W40" s="216">
        <v>-300</v>
      </c>
      <c r="X40" s="216"/>
      <c r="Y40" s="216"/>
      <c r="Z40" s="216"/>
      <c r="AA40" s="216">
        <f t="shared" si="1"/>
        <v>0</v>
      </c>
      <c r="AB40" s="468" t="str">
        <f t="shared" si="2"/>
        <v/>
      </c>
      <c r="AC40" s="459"/>
      <c r="AD40" s="216"/>
      <c r="AE40" s="468" t="str">
        <f t="shared" si="3"/>
        <v/>
      </c>
      <c r="AF40" s="469">
        <f t="shared" si="4"/>
        <v>0</v>
      </c>
      <c r="AG40" s="216"/>
      <c r="AH40" s="468" t="str">
        <f t="shared" si="5"/>
        <v/>
      </c>
      <c r="AI40" s="470">
        <f t="shared" si="6"/>
        <v>0</v>
      </c>
      <c r="AJ40" s="462">
        <f t="shared" si="7"/>
        <v>0</v>
      </c>
      <c r="AK40" s="463">
        <f t="shared" si="8"/>
        <v>0</v>
      </c>
      <c r="AL40" s="464">
        <f t="shared" si="9"/>
        <v>0</v>
      </c>
      <c r="AM40" s="465">
        <f t="shared" si="10"/>
        <v>0</v>
      </c>
      <c r="AN40" s="466">
        <f t="shared" si="11"/>
        <v>0</v>
      </c>
      <c r="AO40" s="11"/>
    </row>
    <row r="41" spans="1:41" x14ac:dyDescent="0.25">
      <c r="A41" s="11" t="s">
        <v>108</v>
      </c>
      <c r="B41" s="11"/>
      <c r="C41" s="196" t="s">
        <v>101</v>
      </c>
      <c r="D41" s="11" t="s">
        <v>107</v>
      </c>
      <c r="E41" s="11"/>
      <c r="F41" s="11" t="s">
        <v>99</v>
      </c>
      <c r="G41" s="11"/>
      <c r="H41" s="88" t="s">
        <v>647</v>
      </c>
      <c r="I41" s="122" t="str">
        <f>IF(_epmOfflineCondition_,"N",_xll.EVPRO($B$1,$H41,"STYLE"))</f>
        <v>N</v>
      </c>
      <c r="J41" s="122" t="str">
        <f>IF(_epmOfflineCondition_,"N",_xll.EVPRO($B$1,$H41,"CALC"))</f>
        <v>N</v>
      </c>
      <c r="K41" s="179" t="str">
        <f t="shared" si="0"/>
        <v/>
      </c>
      <c r="L41" s="90" t="str">
        <f>IF(_epmOfflineCondition_,"455550",_xll.EVPRO($B$1,H41,"JDEID"))</f>
        <v>455550</v>
      </c>
      <c r="M41" s="90" t="str">
        <f>IF(_epmOfflineCondition_,"207070",IF(AND(I41="N",J41="N"),_xll.EVPRO($B$1,H41,"PSFTID"),""))</f>
        <v>207070</v>
      </c>
      <c r="N41" s="90" t="str">
        <f>IF(_epmOfflineCondition_,"Interest Income (Unrestricted Accounts)",IF(_xll.EVDES(H41,$B$1)="#NODATA","",_xll.EVDES(H41,$B$1)))</f>
        <v>Interest Income (Unrestricted Accounts)</v>
      </c>
      <c r="O41" s="467"/>
      <c r="P41" s="216"/>
      <c r="Q41" s="216"/>
      <c r="R41" s="216"/>
      <c r="S41" s="216"/>
      <c r="T41" s="216"/>
      <c r="U41" s="216"/>
      <c r="V41" s="216"/>
      <c r="W41" s="216"/>
      <c r="X41" s="216"/>
      <c r="Y41" s="216"/>
      <c r="Z41" s="216"/>
      <c r="AA41" s="216">
        <f t="shared" si="1"/>
        <v>0</v>
      </c>
      <c r="AB41" s="468" t="str">
        <f t="shared" si="2"/>
        <v/>
      </c>
      <c r="AC41" s="459"/>
      <c r="AD41" s="216"/>
      <c r="AE41" s="468" t="str">
        <f t="shared" si="3"/>
        <v/>
      </c>
      <c r="AF41" s="469">
        <f t="shared" si="4"/>
        <v>0</v>
      </c>
      <c r="AG41" s="216"/>
      <c r="AH41" s="468" t="str">
        <f t="shared" si="5"/>
        <v/>
      </c>
      <c r="AI41" s="470">
        <f t="shared" si="6"/>
        <v>0</v>
      </c>
      <c r="AJ41" s="462">
        <f t="shared" si="7"/>
        <v>0</v>
      </c>
      <c r="AK41" s="463">
        <f t="shared" si="8"/>
        <v>0</v>
      </c>
      <c r="AL41" s="464">
        <f t="shared" si="9"/>
        <v>0</v>
      </c>
      <c r="AM41" s="465">
        <f t="shared" si="10"/>
        <v>0</v>
      </c>
      <c r="AN41" s="466">
        <f t="shared" si="11"/>
        <v>0</v>
      </c>
      <c r="AO41" s="11"/>
    </row>
    <row r="42" spans="1:41" x14ac:dyDescent="0.25">
      <c r="A42" s="11"/>
      <c r="B42" s="11"/>
      <c r="C42" s="11"/>
      <c r="D42" s="11"/>
      <c r="E42" s="11"/>
      <c r="F42" s="11"/>
      <c r="G42" s="11"/>
      <c r="H42" s="88" t="s">
        <v>648</v>
      </c>
      <c r="I42" s="122" t="str">
        <f>IF(_epmOfflineCondition_,"N",_xll.EVPRO($B$1,$H42,"STYLE"))</f>
        <v>N</v>
      </c>
      <c r="J42" s="122" t="str">
        <f>IF(_epmOfflineCondition_,"N",_xll.EVPRO($B$1,$H42,"CALC"))</f>
        <v>N</v>
      </c>
      <c r="K42" s="179" t="str">
        <f t="shared" si="0"/>
        <v/>
      </c>
      <c r="L42" s="90" t="str">
        <f>IF(_epmOfflineCondition_,"455560",_xll.EVPRO($B$1,H42,"JDEID"))</f>
        <v>455560</v>
      </c>
      <c r="M42" s="90" t="str">
        <f>IF(_epmOfflineCondition_,"207075",IF(AND(I42="N",J42="N"),_xll.EVPRO($B$1,H42,"PSFTID"),""))</f>
        <v>207075</v>
      </c>
      <c r="N42" s="90" t="str">
        <f>IF(_epmOfflineCondition_,"Net Rev: Renting Mixed Ownership Units",IF(_xll.EVDES(H42,$B$1)="#NODATA","",_xll.EVDES(H42,$B$1)))</f>
        <v>Net Rev: Renting Mixed Ownership Units</v>
      </c>
      <c r="O42" s="467"/>
      <c r="P42" s="216"/>
      <c r="Q42" s="216"/>
      <c r="R42" s="216"/>
      <c r="S42" s="216"/>
      <c r="T42" s="216"/>
      <c r="U42" s="216"/>
      <c r="V42" s="216"/>
      <c r="W42" s="216"/>
      <c r="X42" s="216"/>
      <c r="Y42" s="216"/>
      <c r="Z42" s="216"/>
      <c r="AA42" s="216">
        <f t="shared" si="1"/>
        <v>0</v>
      </c>
      <c r="AB42" s="468" t="str">
        <f t="shared" si="2"/>
        <v/>
      </c>
      <c r="AC42" s="459"/>
      <c r="AD42" s="216"/>
      <c r="AE42" s="468" t="str">
        <f t="shared" si="3"/>
        <v/>
      </c>
      <c r="AF42" s="469">
        <f t="shared" si="4"/>
        <v>0</v>
      </c>
      <c r="AG42" s="216"/>
      <c r="AH42" s="468" t="str">
        <f t="shared" si="5"/>
        <v/>
      </c>
      <c r="AI42" s="470">
        <f t="shared" si="6"/>
        <v>0</v>
      </c>
      <c r="AJ42" s="462">
        <f t="shared" si="7"/>
        <v>0</v>
      </c>
      <c r="AK42" s="463">
        <f t="shared" si="8"/>
        <v>0</v>
      </c>
      <c r="AL42" s="464">
        <f t="shared" si="9"/>
        <v>0</v>
      </c>
      <c r="AM42" s="465">
        <f t="shared" si="10"/>
        <v>0</v>
      </c>
      <c r="AN42" s="466">
        <f t="shared" si="11"/>
        <v>0</v>
      </c>
      <c r="AO42" s="11"/>
    </row>
    <row r="43" spans="1:41" x14ac:dyDescent="0.25">
      <c r="A43" s="11"/>
      <c r="B43" s="11"/>
      <c r="C43" s="11"/>
      <c r="D43" s="11"/>
      <c r="E43" s="11"/>
      <c r="F43" s="11"/>
      <c r="G43" s="11"/>
      <c r="H43" s="88" t="s">
        <v>649</v>
      </c>
      <c r="I43" s="122" t="str">
        <f>IF(_epmOfflineCondition_,"N",_xll.EVPRO($B$1,$H43,"STYLE"))</f>
        <v>N</v>
      </c>
      <c r="J43" s="122" t="str">
        <f>IF(_epmOfflineCondition_,"N",_xll.EVPRO($B$1,$H43,"CALC"))</f>
        <v>N</v>
      </c>
      <c r="K43" s="179" t="str">
        <f t="shared" si="0"/>
        <v/>
      </c>
      <c r="L43" s="90" t="str">
        <f>IF(_epmOfflineCondition_,"455565",_xll.EVPRO($B$1,H43,"JDEID"))</f>
        <v>455565</v>
      </c>
      <c r="M43" s="90" t="str">
        <f>IF(_epmOfflineCondition_,"207080",IF(AND(I43="N",J43="N"),_xll.EVPRO($B$1,H43,"PSFTID"),""))</f>
        <v>207080</v>
      </c>
      <c r="N43" s="90" t="str">
        <f>IF(_epmOfflineCondition_,"Other Breakage",IF(_xll.EVDES(H43,$B$1)="#NODATA","",_xll.EVDES(H43,$B$1)))</f>
        <v>Other Breakage</v>
      </c>
      <c r="O43" s="467"/>
      <c r="P43" s="216"/>
      <c r="Q43" s="216"/>
      <c r="R43" s="216"/>
      <c r="S43" s="216"/>
      <c r="T43" s="216"/>
      <c r="U43" s="216"/>
      <c r="V43" s="216"/>
      <c r="W43" s="216"/>
      <c r="X43" s="216"/>
      <c r="Y43" s="216"/>
      <c r="Z43" s="216"/>
      <c r="AA43" s="216">
        <f t="shared" si="1"/>
        <v>0</v>
      </c>
      <c r="AB43" s="468" t="str">
        <f t="shared" si="2"/>
        <v/>
      </c>
      <c r="AC43" s="459"/>
      <c r="AD43" s="216"/>
      <c r="AE43" s="468" t="str">
        <f t="shared" si="3"/>
        <v/>
      </c>
      <c r="AF43" s="469">
        <f t="shared" si="4"/>
        <v>0</v>
      </c>
      <c r="AG43" s="216"/>
      <c r="AH43" s="468" t="str">
        <f t="shared" si="5"/>
        <v/>
      </c>
      <c r="AI43" s="470">
        <f t="shared" si="6"/>
        <v>0</v>
      </c>
      <c r="AJ43" s="462">
        <f t="shared" si="7"/>
        <v>0</v>
      </c>
      <c r="AK43" s="463">
        <f t="shared" si="8"/>
        <v>0</v>
      </c>
      <c r="AL43" s="464">
        <f t="shared" si="9"/>
        <v>0</v>
      </c>
      <c r="AM43" s="465">
        <f t="shared" si="10"/>
        <v>0</v>
      </c>
      <c r="AN43" s="466">
        <f t="shared" si="11"/>
        <v>0</v>
      </c>
      <c r="AO43" s="11"/>
    </row>
    <row r="44" spans="1:41" x14ac:dyDescent="0.25">
      <c r="A44" s="62" t="s">
        <v>23</v>
      </c>
      <c r="B44" s="63" t="s">
        <v>24</v>
      </c>
      <c r="C44" s="11"/>
      <c r="D44" s="11"/>
      <c r="E44" s="11"/>
      <c r="F44" s="11"/>
      <c r="G44" s="11"/>
      <c r="H44" s="88" t="s">
        <v>650</v>
      </c>
      <c r="I44" s="122" t="str">
        <f>IF(_epmOfflineCondition_,"N",_xll.EVPRO($B$1,$H44,"STYLE"))</f>
        <v>N</v>
      </c>
      <c r="J44" s="122" t="str">
        <f>IF(_epmOfflineCondition_,"N",_xll.EVPRO($B$1,$H44,"CALC"))</f>
        <v>N</v>
      </c>
      <c r="K44" s="179" t="str">
        <f t="shared" si="0"/>
        <v/>
      </c>
      <c r="L44" s="90" t="str">
        <f>IF(_epmOfflineCondition_,"455570",_xll.EVPRO($B$1,H44,"JDEID"))</f>
        <v>455570</v>
      </c>
      <c r="M44" s="90" t="str">
        <f>IF(_epmOfflineCondition_,"NA",IF(AND(I44="N",J44="N"),_xll.EVPRO($B$1,H44,"PSFTID"),""))</f>
        <v>NA</v>
      </c>
      <c r="N44" s="90" t="str">
        <f>IF(_epmOfflineCondition_,"Interest Income - FF&amp;E Reserves",IF(_xll.EVDES(H44,$B$1)="#NODATA","",_xll.EVDES(H44,$B$1)))</f>
        <v>Interest Income - FF&amp;E Reserves</v>
      </c>
      <c r="O44" s="467"/>
      <c r="P44" s="216"/>
      <c r="Q44" s="216"/>
      <c r="R44" s="216"/>
      <c r="S44" s="216"/>
      <c r="T44" s="216"/>
      <c r="U44" s="216"/>
      <c r="V44" s="216"/>
      <c r="W44" s="216"/>
      <c r="X44" s="216"/>
      <c r="Y44" s="216"/>
      <c r="Z44" s="216"/>
      <c r="AA44" s="216">
        <f t="shared" si="1"/>
        <v>0</v>
      </c>
      <c r="AB44" s="468" t="str">
        <f t="shared" si="2"/>
        <v/>
      </c>
      <c r="AC44" s="459"/>
      <c r="AD44" s="216"/>
      <c r="AE44" s="468" t="str">
        <f t="shared" si="3"/>
        <v/>
      </c>
      <c r="AF44" s="469">
        <f t="shared" si="4"/>
        <v>0</v>
      </c>
      <c r="AG44" s="216"/>
      <c r="AH44" s="468" t="str">
        <f t="shared" si="5"/>
        <v/>
      </c>
      <c r="AI44" s="470">
        <f t="shared" si="6"/>
        <v>0</v>
      </c>
      <c r="AJ44" s="462">
        <f t="shared" si="7"/>
        <v>0</v>
      </c>
      <c r="AK44" s="463">
        <f t="shared" si="8"/>
        <v>0</v>
      </c>
      <c r="AL44" s="464">
        <f t="shared" si="9"/>
        <v>0</v>
      </c>
      <c r="AM44" s="465">
        <f t="shared" si="10"/>
        <v>0</v>
      </c>
      <c r="AN44" s="466">
        <f t="shared" si="11"/>
        <v>0</v>
      </c>
      <c r="AO44" s="11"/>
    </row>
    <row r="45" spans="1:41" ht="14.25" customHeight="1" x14ac:dyDescent="0.25">
      <c r="A45" s="65" t="s">
        <v>25</v>
      </c>
      <c r="B45" s="66"/>
      <c r="C45" s="11"/>
      <c r="D45" s="11"/>
      <c r="E45" s="11"/>
      <c r="F45" s="11"/>
      <c r="G45" s="11"/>
      <c r="H45" s="88" t="s">
        <v>651</v>
      </c>
      <c r="I45" s="122" t="str">
        <f>IF(_epmOfflineCondition_,"T5",_xll.EVPRO($B$1,$H45,"STYLE"))</f>
        <v>T5</v>
      </c>
      <c r="J45" s="122" t="str">
        <f>IF(_epmOfflineCondition_,"Y",_xll.EVPRO($B$1,$H45,"CALC"))</f>
        <v>Y</v>
      </c>
      <c r="K45" s="179" t="str">
        <f t="shared" si="0"/>
        <v>&gt;</v>
      </c>
      <c r="L45" s="90" t="str">
        <f>IF(_epmOfflineCondition_,"455575",_xll.EVPRO($B$1,H45,"JDEID"))</f>
        <v>455575</v>
      </c>
      <c r="M45" s="90" t="str">
        <f>IF(_epmOfflineCondition_,"",IF(AND(I45="N",J45="N"),_xll.EVPRO($B$1,H45,"PSFTID"),""))</f>
        <v/>
      </c>
      <c r="N45" s="90" t="str">
        <f>IF(_epmOfflineCondition_,"Package Breakage",IF(_xll.EVDES(H45,$B$1)="#NODATA","",_xll.EVDES(H45,$B$1)))</f>
        <v>Package Breakage</v>
      </c>
      <c r="O45" s="467">
        <v>831.99</v>
      </c>
      <c r="P45" s="216">
        <v>72.98</v>
      </c>
      <c r="Q45" s="216">
        <v>57.1</v>
      </c>
      <c r="R45" s="216">
        <v>63.59</v>
      </c>
      <c r="S45" s="216">
        <v>206.35</v>
      </c>
      <c r="T45" s="216"/>
      <c r="U45" s="216"/>
      <c r="V45" s="216">
        <v>112.61</v>
      </c>
      <c r="W45" s="216"/>
      <c r="X45" s="216">
        <v>41.27</v>
      </c>
      <c r="Y45" s="216"/>
      <c r="Z45" s="216"/>
      <c r="AA45" s="216">
        <f t="shared" si="1"/>
        <v>1385.8899999999999</v>
      </c>
      <c r="AB45" s="468">
        <f t="shared" si="2"/>
        <v>1.4530042823309073E-3</v>
      </c>
      <c r="AC45" s="459"/>
      <c r="AD45" s="216">
        <v>3153</v>
      </c>
      <c r="AE45" s="468">
        <f t="shared" si="3"/>
        <v>2.9770975291904525E-3</v>
      </c>
      <c r="AF45" s="469">
        <f t="shared" si="4"/>
        <v>-1767.1100000000001</v>
      </c>
      <c r="AG45" s="216">
        <v>2755.08</v>
      </c>
      <c r="AH45" s="468">
        <f t="shared" si="5"/>
        <v>3.0151590242265642E-3</v>
      </c>
      <c r="AI45" s="470">
        <f t="shared" si="6"/>
        <v>-1369.19</v>
      </c>
      <c r="AJ45" s="462">
        <f t="shared" si="7"/>
        <v>3.3545287311807136E-2</v>
      </c>
      <c r="AK45" s="463">
        <f t="shared" si="8"/>
        <v>8.0779872924779672E-2</v>
      </c>
      <c r="AL45" s="464">
        <f t="shared" si="9"/>
        <v>6.8501951813819337E-2</v>
      </c>
      <c r="AM45" s="465" t="str">
        <f t="shared" si="10"/>
        <v>-0.15 pts.</v>
      </c>
      <c r="AN45" s="466" t="str">
        <f t="shared" si="11"/>
        <v>-0.16 pts.</v>
      </c>
      <c r="AO45" s="11"/>
    </row>
    <row r="46" spans="1:41" x14ac:dyDescent="0.25">
      <c r="A46" s="65" t="s">
        <v>26</v>
      </c>
      <c r="B46" s="66"/>
      <c r="C46" s="11"/>
      <c r="D46" s="11"/>
      <c r="E46" s="11"/>
      <c r="F46" s="11"/>
      <c r="G46" s="11"/>
      <c r="H46" s="88" t="s">
        <v>652</v>
      </c>
      <c r="I46" s="122" t="str">
        <f>IF(_epmOfflineCondition_,"N",_xll.EVPRO($B$1,$H46,"STYLE"))</f>
        <v>N</v>
      </c>
      <c r="J46" s="122" t="str">
        <f>IF(_epmOfflineCondition_,"N",_xll.EVPRO($B$1,$H46,"CALC"))</f>
        <v>N</v>
      </c>
      <c r="K46" s="179" t="str">
        <f t="shared" si="0"/>
        <v/>
      </c>
      <c r="L46" s="90" t="str">
        <f>IF(_epmOfflineCondition_,"455580",_xll.EVPRO($B$1,H46,"JDEID"))</f>
        <v>455580</v>
      </c>
      <c r="M46" s="90" t="str">
        <f>IF(_epmOfflineCondition_,"207095",IF(AND(I46="N",J46="N"),_xll.EVPRO($B$1,H46,"PSFTID"),""))</f>
        <v>207095</v>
      </c>
      <c r="N46" s="90" t="str">
        <f>IF(_epmOfflineCondition_,"Resort Fees",IF(_xll.EVDES(H46,$B$1)="#NODATA","",_xll.EVDES(H46,$B$1)))</f>
        <v>Resort Fees</v>
      </c>
      <c r="O46" s="467">
        <v>76031.64</v>
      </c>
      <c r="P46" s="216">
        <v>74720.240000000005</v>
      </c>
      <c r="Q46" s="216">
        <v>71199.490000000005</v>
      </c>
      <c r="R46" s="216">
        <v>75194.86</v>
      </c>
      <c r="S46" s="216">
        <v>75207.199999999997</v>
      </c>
      <c r="T46" s="216">
        <v>65311.33</v>
      </c>
      <c r="U46" s="216">
        <v>78222.36</v>
      </c>
      <c r="V46" s="216">
        <v>77277.289999999994</v>
      </c>
      <c r="W46" s="216">
        <v>63836.1</v>
      </c>
      <c r="X46" s="216">
        <v>65456.49</v>
      </c>
      <c r="Y46" s="216">
        <v>72598.09</v>
      </c>
      <c r="Z46" s="216">
        <v>77151.59</v>
      </c>
      <c r="AA46" s="216">
        <f t="shared" si="1"/>
        <v>872206.67999999993</v>
      </c>
      <c r="AB46" s="468">
        <f t="shared" si="2"/>
        <v>0.91444489903067583</v>
      </c>
      <c r="AC46" s="459"/>
      <c r="AD46" s="216">
        <v>913969.40879999998</v>
      </c>
      <c r="AE46" s="468">
        <f t="shared" si="3"/>
        <v>0.86298004081640922</v>
      </c>
      <c r="AF46" s="469">
        <f t="shared" si="4"/>
        <v>-41762.728800000041</v>
      </c>
      <c r="AG46" s="216">
        <v>848160.64</v>
      </c>
      <c r="AH46" s="468">
        <f t="shared" si="5"/>
        <v>0.9282268419391736</v>
      </c>
      <c r="AI46" s="470">
        <f t="shared" si="6"/>
        <v>24046.039999999921</v>
      </c>
      <c r="AJ46" s="462">
        <f t="shared" si="7"/>
        <v>21.111649319843149</v>
      </c>
      <c r="AK46" s="463">
        <f t="shared" si="8"/>
        <v>23.415900000000001</v>
      </c>
      <c r="AL46" s="464">
        <f t="shared" si="9"/>
        <v>21.088556155051094</v>
      </c>
      <c r="AM46" s="465" t="str">
        <f t="shared" si="10"/>
        <v>5.15 pts.</v>
      </c>
      <c r="AN46" s="466" t="str">
        <f t="shared" si="11"/>
        <v>-1.38 pts.</v>
      </c>
      <c r="AO46" s="11"/>
    </row>
    <row r="47" spans="1:41" x14ac:dyDescent="0.25">
      <c r="A47" s="65" t="s">
        <v>27</v>
      </c>
      <c r="B47" s="66"/>
      <c r="C47" s="11"/>
      <c r="D47" s="11"/>
      <c r="E47" s="11"/>
      <c r="F47" s="11"/>
      <c r="G47" s="11"/>
      <c r="H47" s="88" t="s">
        <v>653</v>
      </c>
      <c r="I47" s="122" t="str">
        <f>IF(_epmOfflineCondition_,"N",_xll.EVPRO($B$1,$H47,"STYLE"))</f>
        <v>N</v>
      </c>
      <c r="J47" s="122" t="str">
        <f>IF(_epmOfflineCondition_,"N",_xll.EVPRO($B$1,$H47,"CALC"))</f>
        <v>N</v>
      </c>
      <c r="K47" s="179" t="str">
        <f t="shared" si="0"/>
        <v/>
      </c>
      <c r="L47" s="90" t="str">
        <f>IF(_epmOfflineCondition_,"455600",_xll.EVPRO($B$1,H47,"JDEID"))</f>
        <v>455600</v>
      </c>
      <c r="M47" s="90" t="str">
        <f>IF(_epmOfflineCondition_,"290040",IF(AND(I47="N",J47="N"),_xll.EVPRO($B$1,H47,"PSFTID"),""))</f>
        <v>290040</v>
      </c>
      <c r="N47" s="90" t="str">
        <f>IF(_epmOfflineCondition_,"Proceeds from Business Interruption",IF(_xll.EVDES(H47,$B$1)="#NODATA","",_xll.EVDES(H47,$B$1)))</f>
        <v>Proceeds from Business Interruption</v>
      </c>
      <c r="O47" s="467"/>
      <c r="P47" s="216"/>
      <c r="Q47" s="216"/>
      <c r="R47" s="216"/>
      <c r="S47" s="216"/>
      <c r="T47" s="216"/>
      <c r="U47" s="216"/>
      <c r="V47" s="216"/>
      <c r="W47" s="216"/>
      <c r="X47" s="216"/>
      <c r="Y47" s="216"/>
      <c r="Z47" s="216"/>
      <c r="AA47" s="216">
        <f t="shared" si="1"/>
        <v>0</v>
      </c>
      <c r="AB47" s="468" t="str">
        <f t="shared" si="2"/>
        <v/>
      </c>
      <c r="AC47" s="459"/>
      <c r="AD47" s="216"/>
      <c r="AE47" s="468" t="str">
        <f t="shared" si="3"/>
        <v/>
      </c>
      <c r="AF47" s="469">
        <f t="shared" si="4"/>
        <v>0</v>
      </c>
      <c r="AG47" s="216"/>
      <c r="AH47" s="468" t="str">
        <f t="shared" si="5"/>
        <v/>
      </c>
      <c r="AI47" s="470">
        <f t="shared" si="6"/>
        <v>0</v>
      </c>
      <c r="AJ47" s="462">
        <f t="shared" si="7"/>
        <v>0</v>
      </c>
      <c r="AK47" s="463">
        <f t="shared" si="8"/>
        <v>0</v>
      </c>
      <c r="AL47" s="464">
        <f t="shared" si="9"/>
        <v>0</v>
      </c>
      <c r="AM47" s="465">
        <f t="shared" si="10"/>
        <v>0</v>
      </c>
      <c r="AN47" s="466">
        <f t="shared" si="11"/>
        <v>0</v>
      </c>
      <c r="AO47" s="11"/>
    </row>
    <row r="48" spans="1:41" x14ac:dyDescent="0.25">
      <c r="A48" s="65" t="s">
        <v>28</v>
      </c>
      <c r="B48" s="66"/>
      <c r="C48" s="11"/>
      <c r="D48" s="11"/>
      <c r="E48" s="11"/>
      <c r="F48" s="11"/>
      <c r="G48" s="11"/>
      <c r="H48" s="88" t="s">
        <v>654</v>
      </c>
      <c r="I48" s="122" t="str">
        <f>IF(_epmOfflineCondition_,"N",_xll.EVPRO($B$1,$H48,"STYLE"))</f>
        <v>N</v>
      </c>
      <c r="J48" s="122" t="str">
        <f>IF(_epmOfflineCondition_,"N",_xll.EVPRO($B$1,$H48,"CALC"))</f>
        <v>N</v>
      </c>
      <c r="K48" s="179" t="str">
        <f t="shared" si="0"/>
        <v/>
      </c>
      <c r="L48" s="90" t="str">
        <f>IF(_epmOfflineCondition_,"455610",_xll.EVPRO($B$1,H48,"JDEID"))</f>
        <v>455610</v>
      </c>
      <c r="M48" s="90" t="str">
        <f>IF(_epmOfflineCondition_,"NA",IF(AND(I48="N",J48="N"),_xll.EVPRO($B$1,H48,"PSFTID"),""))</f>
        <v>NA</v>
      </c>
      <c r="N48" s="90" t="str">
        <f>IF(_epmOfflineCondition_,"Shared Facilities &amp; Services Revenue",IF(_xll.EVDES(H48,$B$1)="#NODATA","",_xll.EVDES(H48,$B$1)))</f>
        <v>Shared Facilities &amp; Services Revenue</v>
      </c>
      <c r="O48" s="467"/>
      <c r="P48" s="216"/>
      <c r="Q48" s="216"/>
      <c r="R48" s="216"/>
      <c r="S48" s="216"/>
      <c r="T48" s="216"/>
      <c r="U48" s="216"/>
      <c r="V48" s="216"/>
      <c r="W48" s="216"/>
      <c r="X48" s="216"/>
      <c r="Y48" s="216"/>
      <c r="Z48" s="216"/>
      <c r="AA48" s="216">
        <f t="shared" si="1"/>
        <v>0</v>
      </c>
      <c r="AB48" s="468" t="str">
        <f t="shared" si="2"/>
        <v/>
      </c>
      <c r="AC48" s="459"/>
      <c r="AD48" s="216"/>
      <c r="AE48" s="468" t="str">
        <f t="shared" si="3"/>
        <v/>
      </c>
      <c r="AF48" s="469">
        <f t="shared" si="4"/>
        <v>0</v>
      </c>
      <c r="AG48" s="216"/>
      <c r="AH48" s="468" t="str">
        <f t="shared" si="5"/>
        <v/>
      </c>
      <c r="AI48" s="470">
        <f t="shared" si="6"/>
        <v>0</v>
      </c>
      <c r="AJ48" s="462">
        <f t="shared" si="7"/>
        <v>0</v>
      </c>
      <c r="AK48" s="463">
        <f t="shared" si="8"/>
        <v>0</v>
      </c>
      <c r="AL48" s="464">
        <f t="shared" si="9"/>
        <v>0</v>
      </c>
      <c r="AM48" s="465">
        <f t="shared" si="10"/>
        <v>0</v>
      </c>
      <c r="AN48" s="466">
        <f t="shared" si="11"/>
        <v>0</v>
      </c>
      <c r="AO48" s="11"/>
    </row>
    <row r="49" spans="1:41" x14ac:dyDescent="0.25">
      <c r="A49" s="65" t="s">
        <v>29</v>
      </c>
      <c r="B49" s="66"/>
      <c r="C49" s="11"/>
      <c r="D49" s="11"/>
      <c r="E49" s="11"/>
      <c r="F49" s="11"/>
      <c r="G49" s="11"/>
      <c r="H49" s="88" t="s">
        <v>655</v>
      </c>
      <c r="I49" s="122" t="str">
        <f>IF(_epmOfflineCondition_,"N",_xll.EVPRO($B$1,$H49,"STYLE"))</f>
        <v>N</v>
      </c>
      <c r="J49" s="122" t="str">
        <f>IF(_epmOfflineCondition_,"N",_xll.EVPRO($B$1,$H49,"CALC"))</f>
        <v>N</v>
      </c>
      <c r="K49" s="179" t="str">
        <f t="shared" si="0"/>
        <v/>
      </c>
      <c r="L49" s="90" t="str">
        <f>IF(_epmOfflineCondition_,"455650",_xll.EVPRO($B$1,H49,"JDEID"))</f>
        <v>455650</v>
      </c>
      <c r="M49" s="90" t="str">
        <f>IF(_epmOfflineCondition_,"290098",IF(AND(I49="N",J49="N"),_xll.EVPRO($B$1,H49,"PSFTID"),""))</f>
        <v>290098</v>
      </c>
      <c r="N49" s="90" t="str">
        <f>IF(_epmOfflineCondition_,"Other",IF(_xll.EVDES(H49,$B$1)="#NODATA","",_xll.EVDES(H49,$B$1)))</f>
        <v>Other</v>
      </c>
      <c r="O49" s="467"/>
      <c r="P49" s="216"/>
      <c r="Q49" s="216"/>
      <c r="R49" s="216"/>
      <c r="S49" s="216"/>
      <c r="T49" s="216"/>
      <c r="U49" s="216"/>
      <c r="V49" s="216"/>
      <c r="W49" s="216"/>
      <c r="X49" s="216"/>
      <c r="Y49" s="216"/>
      <c r="Z49" s="216"/>
      <c r="AA49" s="216">
        <f t="shared" si="1"/>
        <v>0</v>
      </c>
      <c r="AB49" s="468" t="str">
        <f t="shared" si="2"/>
        <v/>
      </c>
      <c r="AC49" s="459"/>
      <c r="AD49" s="216"/>
      <c r="AE49" s="468" t="str">
        <f t="shared" si="3"/>
        <v/>
      </c>
      <c r="AF49" s="469">
        <f t="shared" si="4"/>
        <v>0</v>
      </c>
      <c r="AG49" s="216">
        <v>0</v>
      </c>
      <c r="AH49" s="468" t="str">
        <f t="shared" si="5"/>
        <v/>
      </c>
      <c r="AI49" s="470">
        <f t="shared" si="6"/>
        <v>0</v>
      </c>
      <c r="AJ49" s="471">
        <f t="shared" si="7"/>
        <v>0</v>
      </c>
      <c r="AK49" s="472">
        <f t="shared" si="8"/>
        <v>0</v>
      </c>
      <c r="AL49" s="473">
        <f t="shared" si="9"/>
        <v>0</v>
      </c>
      <c r="AM49" s="474">
        <f t="shared" si="10"/>
        <v>0</v>
      </c>
      <c r="AN49" s="475">
        <f t="shared" si="11"/>
        <v>0</v>
      </c>
      <c r="AO49" s="11"/>
    </row>
    <row r="50" spans="1:41" x14ac:dyDescent="0.25">
      <c r="A50" s="65" t="s">
        <v>30</v>
      </c>
      <c r="B50" s="66" t="s">
        <v>78</v>
      </c>
      <c r="C50" s="11"/>
      <c r="D50" s="11"/>
      <c r="E50" s="11"/>
      <c r="F50" s="11"/>
      <c r="G50" s="11"/>
      <c r="H50" s="88" t="s">
        <v>280</v>
      </c>
      <c r="I50" s="188" t="str">
        <f>IF(_epmOfflineCondition_,"T3",_xll.EVPRO($B$1,$H50,"STYLE"))</f>
        <v>T3</v>
      </c>
      <c r="J50" s="188" t="str">
        <f>IF(_epmOfflineCondition_,"Y",_xll.EVPRO($B$1,$H50,"CALC"))</f>
        <v>Y</v>
      </c>
      <c r="K50" s="189" t="str">
        <f t="shared" si="0"/>
        <v/>
      </c>
      <c r="L50" s="190" t="str">
        <f>IF(_epmOfflineCondition_,"400000",_xll.EVPRO($B$1,H50,"JDEID"))</f>
        <v>400000</v>
      </c>
      <c r="M50" s="190" t="str">
        <f>IF(_epmOfflineCondition_,"",IF(AND(I50="N",J50="N"),_xll.EVPRO($B$1,H50,"PSFTID"),""))</f>
        <v/>
      </c>
      <c r="N50" s="190" t="str">
        <f>IF(_epmOfflineCondition_,"Total Revenue",IF(_xll.EVDES(H50,$B$1)="#NODATA","",_xll.EVDES(H50,$B$1)))</f>
        <v>Total Revenue</v>
      </c>
      <c r="O50" s="476">
        <v>82578.52</v>
      </c>
      <c r="P50" s="223">
        <v>77923.600000000006</v>
      </c>
      <c r="Q50" s="223">
        <v>83350.16</v>
      </c>
      <c r="R50" s="223">
        <v>81892.78</v>
      </c>
      <c r="S50" s="223">
        <v>78127.75</v>
      </c>
      <c r="T50" s="223">
        <v>67095.55</v>
      </c>
      <c r="U50" s="223">
        <v>89746.49</v>
      </c>
      <c r="V50" s="223">
        <v>81964.899999999994</v>
      </c>
      <c r="W50" s="223">
        <v>70160.66</v>
      </c>
      <c r="X50" s="223">
        <v>69117.210000000006</v>
      </c>
      <c r="Y50" s="223">
        <v>81824.649999999994</v>
      </c>
      <c r="Z50" s="223">
        <v>90027.72</v>
      </c>
      <c r="AA50" s="223">
        <f t="shared" si="1"/>
        <v>953809.99</v>
      </c>
      <c r="AB50" s="224">
        <f t="shared" si="2"/>
        <v>1</v>
      </c>
      <c r="AC50" s="225"/>
      <c r="AD50" s="223">
        <v>1059085.2228000001</v>
      </c>
      <c r="AE50" s="224">
        <f t="shared" si="3"/>
        <v>1</v>
      </c>
      <c r="AF50" s="226">
        <f t="shared" si="4"/>
        <v>-105275.23280000011</v>
      </c>
      <c r="AG50" s="223">
        <v>913742.85</v>
      </c>
      <c r="AH50" s="224">
        <f t="shared" si="5"/>
        <v>1</v>
      </c>
      <c r="AI50" s="477">
        <f t="shared" si="6"/>
        <v>40067.140000000014</v>
      </c>
      <c r="AJ50" s="227">
        <f t="shared" si="7"/>
        <v>23.086846831582513</v>
      </c>
      <c r="AK50" s="228">
        <f t="shared" si="8"/>
        <v>27.133767749538844</v>
      </c>
      <c r="AL50" s="230">
        <f t="shared" si="9"/>
        <v>22.719183719137721</v>
      </c>
      <c r="AM50" s="427" t="str">
        <f t="shared" si="10"/>
        <v>0 pts.</v>
      </c>
      <c r="AN50" s="478" t="str">
        <f t="shared" si="11"/>
        <v>0 pts.</v>
      </c>
      <c r="AO50" s="11"/>
    </row>
    <row r="51" spans="1:41" x14ac:dyDescent="0.25">
      <c r="A51" s="65" t="s">
        <v>31</v>
      </c>
      <c r="B51" s="66" t="s">
        <v>78</v>
      </c>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ht="15.75" thickBot="1" x14ac:dyDescent="0.3">
      <c r="A52" s="65" t="s">
        <v>32</v>
      </c>
      <c r="B52" s="66"/>
      <c r="C52" s="11"/>
      <c r="D52" s="11"/>
      <c r="E52" s="11"/>
      <c r="F52" s="11"/>
      <c r="G52" s="11"/>
      <c r="H52" s="88" t="s">
        <v>81</v>
      </c>
      <c r="I52" s="136" t="str">
        <f>IF(_epmOfflineCondition_,"T3",_xll.EVPRO($B$1,$H52,"STYLE"))</f>
        <v>T3</v>
      </c>
      <c r="J52" s="136" t="str">
        <f>IF(_epmOfflineCondition_,"Y",_xll.EVPRO($B$1,$H52,"CALC"))</f>
        <v>Y</v>
      </c>
      <c r="K52" s="106"/>
      <c r="L52" s="106"/>
      <c r="M52" s="106"/>
      <c r="N52" s="106" t="str">
        <f>IF(_epmOfflineCondition_,"Department Profit (Loss)",IF(_xll.EVDES(H52,$B$1)="#NODATA","",_xll.EVDES(H52,$B$1)))</f>
        <v>Department Profit (Loss)</v>
      </c>
      <c r="O52" s="126">
        <f>IF(_epmOfflineCondition_,82578.52,_xll.EVGTS($B$1,1,$B$3,$B$5,$B$7,$B$9,O$16,O$17,O$18,$B$6,$H52))</f>
        <v>82578.52</v>
      </c>
      <c r="P52" s="126">
        <f>IF(_epmOfflineCondition_,77923.6,_xll.EVGTS($B$1,1,$B$3,$B$5,$B$7,$B$9,P$16,P$17,P$18,$B$6,$H52))</f>
        <v>77923.600000000006</v>
      </c>
      <c r="Q52" s="126">
        <f>IF(_epmOfflineCondition_,83350.16,_xll.EVGTS($B$1,1,$B$3,$B$5,$B$7,$B$9,Q$16,Q$17,Q$18,$B$6,$H52))</f>
        <v>83350.16</v>
      </c>
      <c r="R52" s="126">
        <f>IF(_epmOfflineCondition_,81892.78,_xll.EVGTS($B$1,1,$B$3,$B$5,$B$7,$B$9,R$16,R$17,R$18,$B$6,$H52))</f>
        <v>81892.78</v>
      </c>
      <c r="S52" s="126">
        <f>IF(_epmOfflineCondition_,78127.75,_xll.EVGTS($B$1,1,$B$3,$B$5,$B$7,$B$9,S$16,S$17,S$18,$B$6,$H52))</f>
        <v>78127.75</v>
      </c>
      <c r="T52" s="126">
        <f>IF(_epmOfflineCondition_,67095.55,_xll.EVGTS($B$1,1,$B$3,$B$5,$B$7,$B$9,T$16,T$17,T$18,$B$6,$H52))</f>
        <v>67095.55</v>
      </c>
      <c r="U52" s="126">
        <f>IF(_epmOfflineCondition_,89746.49,_xll.EVGTS($B$1,1,$B$3,$B$5,$B$7,$B$9,U$16,U$17,U$18,$B$6,$H52))</f>
        <v>89746.49</v>
      </c>
      <c r="V52" s="126">
        <f>IF(_epmOfflineCondition_,81964.9,_xll.EVGTS($B$1,1,$B$3,$B$5,$B$7,$B$9,V$16,V$17,V$18,$B$6,$H52))</f>
        <v>81964.899999999994</v>
      </c>
      <c r="W52" s="126">
        <f>IF(_epmOfflineCondition_,70160.66,_xll.EVGTS($B$1,1,$B$3,$B$5,$B$7,$B$9,W$16,W$17,W$18,$B$6,$H52))</f>
        <v>70160.66</v>
      </c>
      <c r="X52" s="126">
        <f>IF(_epmOfflineCondition_,69117.21,_xll.EVGTS($B$1,1,$B$3,$B$5,$B$7,$B$9,X$16,X$17,X$18,$B$6,$H52))</f>
        <v>69117.210000000006</v>
      </c>
      <c r="Y52" s="126">
        <f>IF(_epmOfflineCondition_,81824.65,_xll.EVGTS($B$1,1,$B$3,$B$5,$B$7,$B$9,Y$16,Y$17,Y$18,$B$6,$H52))</f>
        <v>81824.649999999994</v>
      </c>
      <c r="Z52" s="126">
        <f>IF(_epmOfflineCondition_,90027.72,_xll.EVGTS($B$1,1,$B$3,$B$5,$B$7,$B$9,Z$16,Z$17,Z$18,$B$6,$H52))</f>
        <v>90027.72</v>
      </c>
      <c r="AA52" s="126">
        <f>IF($I52="B1","",SUM(O52:Z52))</f>
        <v>953809.99</v>
      </c>
      <c r="AB52" s="127">
        <f>IF(AA52=0,"",IFERROR(AA52/AA$19,""))</f>
        <v>1</v>
      </c>
      <c r="AC52" s="11"/>
      <c r="AD52" s="126">
        <f>IF(_epmOfflineCondition_,1059085.2228,_xll.EVGTS($B$1,1,$B$3,$B$5,$B$7,$B$9,AD$16,AD$17,AD$18,$B$6,$H52))</f>
        <v>1059085.2228000001</v>
      </c>
      <c r="AE52" s="127">
        <f>IF(AD52=0,"",IFERROR(AD52/AD$19,""))</f>
        <v>1</v>
      </c>
      <c r="AF52" s="128">
        <f>IF(AND($AA52="",AD52=""),"",$AA52-AD52)</f>
        <v>-105275.23280000011</v>
      </c>
      <c r="AG52" s="126">
        <f>IF(_epmOfflineCondition_,913742.85,_xll.EVGTS($B$1,1,$B$3,$B$5,$B$7,$B$9,AG$16,AG$17,AG$18,$B$6,$H52))</f>
        <v>913742.85</v>
      </c>
      <c r="AH52" s="127">
        <f>IF(AG52=0,"",IFERROR(AG52/AG$19,""))</f>
        <v>1</v>
      </c>
      <c r="AI52" s="128">
        <f>IF(AND($AA52="",AG52=""),"",$AA52-AG52)</f>
        <v>40067.140000000014</v>
      </c>
      <c r="AJ52" s="419">
        <f>IFERROR(AA52/AA$20,0)</f>
        <v>23.086846831582513</v>
      </c>
      <c r="AK52" s="420">
        <f>IFERROR(AD52/AD$20,0)</f>
        <v>27.133767749538844</v>
      </c>
      <c r="AL52" s="421">
        <f>IFERROR(AG52/AG$20,0)</f>
        <v>22.719183719137721</v>
      </c>
      <c r="AM52" s="422" t="str">
        <f>+IFERROR(ROUND(($AB52-AE52)*100,2)&amp;" pts.",0)</f>
        <v>0 pts.</v>
      </c>
      <c r="AN52" s="545" t="str">
        <f>+IFERROR(ROUND(($AB52-AH52)*100,2)&amp;" pts.",0)</f>
        <v>0 pts.</v>
      </c>
      <c r="AO52" s="11"/>
    </row>
    <row r="53" spans="1:41" ht="15.75" thickTop="1" x14ac:dyDescent="0.25">
      <c r="A53" s="65" t="s">
        <v>33</v>
      </c>
      <c r="B53" s="66"/>
      <c r="C53" s="11"/>
      <c r="D53" s="11"/>
      <c r="E53" s="11"/>
      <c r="F53" s="11"/>
      <c r="G53" s="11"/>
      <c r="H53" s="11"/>
      <c r="I53" s="59"/>
      <c r="J53" s="59"/>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25">
      <c r="A54" s="65" t="s">
        <v>34</v>
      </c>
      <c r="B54" s="66"/>
      <c r="C54" s="11"/>
      <c r="D54" s="11"/>
      <c r="E54" s="11"/>
      <c r="F54" s="11"/>
      <c r="G54" s="11"/>
      <c r="H54" s="11"/>
      <c r="I54" s="59"/>
      <c r="J54" s="59"/>
      <c r="K54" s="11"/>
      <c r="L54" s="11"/>
      <c r="M54" s="11"/>
      <c r="N54" s="104" t="str">
        <f>N52&amp;" - Check"</f>
        <v>Department Profit (Loss) - Check</v>
      </c>
      <c r="O54" s="209">
        <f t="shared" ref="O54:AA54" si="12">SUMIF($H$34:$H$50,"400000",O$34:O$50)-O52</f>
        <v>0</v>
      </c>
      <c r="P54" s="209">
        <f t="shared" si="12"/>
        <v>0</v>
      </c>
      <c r="Q54" s="209">
        <f t="shared" si="12"/>
        <v>0</v>
      </c>
      <c r="R54" s="209">
        <f t="shared" si="12"/>
        <v>0</v>
      </c>
      <c r="S54" s="209">
        <f t="shared" si="12"/>
        <v>0</v>
      </c>
      <c r="T54" s="209">
        <f t="shared" si="12"/>
        <v>0</v>
      </c>
      <c r="U54" s="209">
        <f t="shared" si="12"/>
        <v>0</v>
      </c>
      <c r="V54" s="209">
        <f t="shared" si="12"/>
        <v>0</v>
      </c>
      <c r="W54" s="209">
        <f t="shared" si="12"/>
        <v>0</v>
      </c>
      <c r="X54" s="209">
        <f t="shared" si="12"/>
        <v>0</v>
      </c>
      <c r="Y54" s="209">
        <f t="shared" si="12"/>
        <v>0</v>
      </c>
      <c r="Z54" s="209">
        <f t="shared" si="12"/>
        <v>0</v>
      </c>
      <c r="AA54" s="209">
        <f t="shared" si="12"/>
        <v>0</v>
      </c>
      <c r="AB54" s="100"/>
      <c r="AC54" s="11"/>
      <c r="AD54" s="209">
        <f>SUMIF($H$34:$H$50,"400000",AD$34:AD$50)-AD52</f>
        <v>0</v>
      </c>
      <c r="AE54" s="209"/>
      <c r="AF54" s="91"/>
      <c r="AG54" s="209">
        <f>SUMIF($H$34:$H$50,"400000",AG$34:AG$50)-AG52</f>
        <v>0</v>
      </c>
      <c r="AH54" s="100"/>
      <c r="AI54" s="91"/>
      <c r="AJ54" s="11"/>
      <c r="AK54" s="11"/>
      <c r="AL54" s="11"/>
      <c r="AM54" s="11"/>
      <c r="AN54" s="11"/>
      <c r="AO54" s="11"/>
    </row>
    <row r="55" spans="1:41" x14ac:dyDescent="0.25">
      <c r="A55" s="65" t="s">
        <v>35</v>
      </c>
      <c r="B55" s="66"/>
      <c r="C55" s="11"/>
      <c r="D55" s="11"/>
      <c r="E55" s="11"/>
      <c r="F55" s="11"/>
      <c r="G55" s="11"/>
      <c r="H55" s="11"/>
      <c r="I55" s="59"/>
      <c r="J55" s="59"/>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25">
      <c r="A56" s="65" t="s">
        <v>36</v>
      </c>
      <c r="B56" s="66"/>
      <c r="C56" s="11"/>
      <c r="D56" s="11"/>
      <c r="E56" s="11"/>
      <c r="F56" s="11"/>
      <c r="G56" s="11"/>
      <c r="H56" s="11"/>
      <c r="I56" s="59"/>
      <c r="J56" s="59"/>
      <c r="K56" s="11"/>
      <c r="L56" s="11"/>
      <c r="M56" s="11"/>
      <c r="N56" s="11"/>
      <c r="O56" s="137"/>
      <c r="P56" s="137"/>
      <c r="Q56" s="137"/>
      <c r="R56" s="137"/>
      <c r="S56" s="137"/>
      <c r="T56" s="137"/>
      <c r="U56" s="137"/>
      <c r="V56" s="137"/>
      <c r="W56" s="137"/>
      <c r="X56" s="137"/>
      <c r="Y56" s="137"/>
      <c r="Z56" s="137"/>
      <c r="AA56" s="137"/>
      <c r="AB56" s="11"/>
      <c r="AC56" s="11"/>
      <c r="AD56" s="137"/>
      <c r="AE56" s="11"/>
      <c r="AF56" s="11"/>
      <c r="AG56" s="137"/>
      <c r="AH56" s="11"/>
      <c r="AI56" s="11"/>
      <c r="AJ56" s="11"/>
      <c r="AK56" s="11"/>
      <c r="AL56" s="11"/>
      <c r="AM56" s="11"/>
      <c r="AN56" s="11"/>
      <c r="AO56" s="11"/>
    </row>
    <row r="57" spans="1:41" x14ac:dyDescent="0.25">
      <c r="A57" s="65" t="s">
        <v>37</v>
      </c>
      <c r="B57" s="66"/>
      <c r="C57" s="11"/>
      <c r="D57" s="11"/>
      <c r="E57" s="11"/>
      <c r="F57" s="11"/>
      <c r="G57" s="11"/>
      <c r="H57" s="11"/>
      <c r="I57" s="59"/>
      <c r="J57" s="59"/>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25">
      <c r="A58" s="65" t="s">
        <v>38</v>
      </c>
      <c r="B58" s="66"/>
      <c r="C58" s="11"/>
      <c r="D58" s="11"/>
      <c r="E58" s="11"/>
      <c r="F58" s="11"/>
      <c r="G58" s="11"/>
      <c r="H58" s="11"/>
      <c r="I58" s="59"/>
      <c r="J58" s="59"/>
      <c r="K58" s="11"/>
      <c r="L58" s="11"/>
      <c r="M58" s="11"/>
      <c r="N58" s="11"/>
      <c r="O58" s="137"/>
      <c r="P58" s="137"/>
      <c r="Q58" s="137"/>
      <c r="R58" s="137"/>
      <c r="S58" s="137"/>
      <c r="T58" s="137"/>
      <c r="U58" s="137"/>
      <c r="V58" s="137"/>
      <c r="W58" s="137"/>
      <c r="X58" s="137"/>
      <c r="Y58" s="137"/>
      <c r="Z58" s="137"/>
      <c r="AA58" s="137"/>
      <c r="AB58" s="11"/>
      <c r="AC58" s="11"/>
      <c r="AD58" s="137"/>
      <c r="AE58" s="11"/>
      <c r="AF58" s="11"/>
      <c r="AG58" s="137"/>
      <c r="AH58" s="11"/>
      <c r="AI58" s="11"/>
      <c r="AJ58" s="11"/>
      <c r="AK58" s="11"/>
      <c r="AL58" s="11"/>
      <c r="AM58" s="11"/>
      <c r="AN58" s="11"/>
      <c r="AO58" s="11"/>
    </row>
    <row r="59" spans="1:41" x14ac:dyDescent="0.25">
      <c r="A59" s="65" t="s">
        <v>39</v>
      </c>
      <c r="B59" s="66"/>
      <c r="C59" s="11"/>
      <c r="D59" s="11"/>
      <c r="E59" s="11"/>
      <c r="F59" s="11"/>
      <c r="G59" s="11"/>
      <c r="H59" s="11"/>
      <c r="I59" s="59"/>
      <c r="J59" s="59"/>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25">
      <c r="A60" s="65" t="s">
        <v>40</v>
      </c>
      <c r="B60" s="66"/>
      <c r="C60" s="11"/>
      <c r="D60" s="11"/>
      <c r="E60" s="11"/>
      <c r="F60" s="11"/>
      <c r="G60" s="11"/>
      <c r="H60" s="11"/>
      <c r="I60" s="59"/>
      <c r="J60" s="59"/>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25">
      <c r="A61" s="65" t="s">
        <v>41</v>
      </c>
      <c r="B61" s="66"/>
      <c r="C61" s="11"/>
      <c r="D61" s="11"/>
      <c r="E61" s="11"/>
      <c r="F61" s="11"/>
      <c r="G61" s="11"/>
      <c r="H61" s="11"/>
      <c r="I61" s="59"/>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25">
      <c r="A62" s="65" t="s">
        <v>42</v>
      </c>
      <c r="B62" s="66"/>
      <c r="C62" s="11"/>
      <c r="D62" s="11"/>
      <c r="E62" s="11"/>
      <c r="F62" s="11"/>
      <c r="G62" s="11"/>
      <c r="H62" s="59"/>
      <c r="I62" s="59"/>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25">
      <c r="A63" s="65" t="s">
        <v>43</v>
      </c>
      <c r="B63" s="66"/>
      <c r="C63" s="11"/>
      <c r="D63" s="11"/>
      <c r="E63" s="11"/>
      <c r="F63" s="11"/>
      <c r="G63" s="11"/>
      <c r="H63" s="59"/>
      <c r="I63" s="59"/>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25">
      <c r="A64" s="65" t="s">
        <v>44</v>
      </c>
      <c r="B64" s="66"/>
      <c r="C64" s="11"/>
      <c r="D64" s="11"/>
      <c r="E64" s="11"/>
      <c r="F64" s="11"/>
      <c r="G64" s="11"/>
      <c r="H64" s="59"/>
      <c r="I64" s="59"/>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25">
      <c r="A65" s="65" t="s">
        <v>45</v>
      </c>
      <c r="B65" s="66"/>
      <c r="C65" s="11"/>
      <c r="D65" s="11"/>
      <c r="E65" s="11"/>
      <c r="F65" s="11"/>
      <c r="G65" s="11"/>
      <c r="H65" s="59"/>
      <c r="I65" s="59"/>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25">
      <c r="A66" s="65" t="s">
        <v>46</v>
      </c>
      <c r="B66" s="66"/>
      <c r="C66" s="11"/>
      <c r="D66" s="11"/>
      <c r="E66" s="11"/>
      <c r="F66" s="11"/>
      <c r="G66" s="11"/>
      <c r="H66" s="59"/>
      <c r="I66" s="59"/>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25">
      <c r="A67" s="11"/>
      <c r="B67" s="11"/>
      <c r="C67" s="208"/>
      <c r="D67" s="11"/>
      <c r="E67" s="11"/>
      <c r="F67" s="11"/>
      <c r="G67" s="11"/>
      <c r="H67" s="59"/>
      <c r="I67" s="59"/>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25">
      <c r="A68" s="11"/>
      <c r="B68" s="11"/>
      <c r="C68" s="208"/>
      <c r="D68" s="11"/>
      <c r="E68" s="11"/>
      <c r="F68" s="11"/>
      <c r="G68" s="11"/>
      <c r="H68" s="59"/>
      <c r="I68" s="59"/>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11"/>
      <c r="B69" s="11"/>
      <c r="C69" s="11"/>
      <c r="D69" s="11"/>
      <c r="E69" s="11"/>
      <c r="F69" s="11"/>
      <c r="G69" s="11"/>
      <c r="H69" s="59"/>
      <c r="I69" s="5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25">
      <c r="A70" s="11"/>
      <c r="B70" s="11"/>
      <c r="C70" s="11"/>
      <c r="D70" s="11"/>
      <c r="E70" s="11"/>
      <c r="F70" s="11"/>
      <c r="G70" s="11"/>
      <c r="H70" s="59"/>
      <c r="I70" s="59"/>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25">
      <c r="A71" s="11"/>
      <c r="B71" s="11"/>
      <c r="C71" s="11"/>
      <c r="D71" s="11"/>
      <c r="E71" s="11"/>
      <c r="F71" s="11"/>
      <c r="G71" s="11"/>
      <c r="H71" s="59"/>
      <c r="I71" s="59"/>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11"/>
      <c r="B72" s="11"/>
      <c r="C72" s="11"/>
      <c r="D72" s="11"/>
      <c r="E72" s="11"/>
      <c r="F72" s="11"/>
      <c r="G72" s="11"/>
      <c r="H72" s="59"/>
      <c r="I72" s="59"/>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11"/>
      <c r="B73" s="11"/>
      <c r="C73" s="11"/>
      <c r="D73" s="11"/>
      <c r="E73" s="11"/>
      <c r="F73" s="11"/>
      <c r="G73" s="11"/>
      <c r="H73" s="59"/>
      <c r="I73" s="59"/>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25">
      <c r="A74" s="11"/>
      <c r="B74" s="11"/>
      <c r="C74" s="11"/>
      <c r="D74" s="11"/>
      <c r="E74" s="11"/>
      <c r="F74" s="11"/>
      <c r="G74" s="11"/>
      <c r="H74" s="59"/>
      <c r="I74" s="59"/>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25">
      <c r="A75" s="11"/>
      <c r="B75" s="11"/>
      <c r="C75" s="11"/>
      <c r="D75" s="11"/>
      <c r="E75" s="11"/>
      <c r="F75" s="11"/>
      <c r="G75" s="11"/>
      <c r="H75" s="59"/>
      <c r="I75" s="59"/>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11"/>
      <c r="B76" s="11"/>
      <c r="C76" s="11"/>
      <c r="D76" s="11"/>
      <c r="E76" s="11"/>
      <c r="F76" s="11"/>
      <c r="G76" s="11"/>
      <c r="H76" s="59"/>
      <c r="I76" s="59"/>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25">
      <c r="A77" s="11"/>
      <c r="B77" s="11"/>
      <c r="C77" s="11"/>
      <c r="D77" s="11"/>
      <c r="E77" s="11"/>
      <c r="F77" s="11"/>
      <c r="G77" s="11"/>
      <c r="H77" s="59"/>
      <c r="I77" s="59"/>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11"/>
      <c r="B78" s="11"/>
      <c r="C78" s="11"/>
      <c r="D78" s="11"/>
      <c r="E78" s="11"/>
      <c r="F78" s="11"/>
      <c r="G78" s="11"/>
      <c r="H78" s="59"/>
      <c r="I78" s="59"/>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11"/>
      <c r="B79" s="11"/>
      <c r="C79" s="11"/>
      <c r="D79" s="11"/>
      <c r="E79" s="11"/>
      <c r="F79" s="11"/>
      <c r="G79" s="11"/>
      <c r="H79" s="59"/>
      <c r="I79" s="59"/>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11"/>
      <c r="B80" s="11"/>
      <c r="C80" s="11"/>
      <c r="D80" s="11"/>
      <c r="E80" s="11"/>
      <c r="F80" s="11"/>
      <c r="G80" s="11"/>
      <c r="H80" s="59"/>
      <c r="I80" s="59"/>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11"/>
      <c r="B81" s="11"/>
      <c r="C81" s="11"/>
      <c r="D81" s="11"/>
      <c r="E81" s="11"/>
      <c r="F81" s="11"/>
      <c r="G81" s="11"/>
      <c r="H81" s="59"/>
      <c r="I81" s="59"/>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11"/>
      <c r="B82" s="11"/>
      <c r="C82" s="11"/>
      <c r="D82" s="11"/>
      <c r="E82" s="11"/>
      <c r="F82" s="11"/>
      <c r="G82" s="11"/>
      <c r="H82" s="59"/>
      <c r="I82" s="59"/>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11"/>
      <c r="B83" s="11"/>
      <c r="C83" s="11"/>
      <c r="D83" s="11"/>
      <c r="E83" s="11"/>
      <c r="F83" s="11"/>
      <c r="G83" s="11"/>
      <c r="H83" s="59"/>
      <c r="I83" s="59"/>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11"/>
      <c r="B84" s="11"/>
      <c r="C84" s="11"/>
      <c r="D84" s="11"/>
      <c r="E84" s="11"/>
      <c r="F84" s="11"/>
      <c r="G84" s="11"/>
      <c r="H84" s="59"/>
      <c r="I84" s="59"/>
      <c r="J84" s="59"/>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11"/>
      <c r="B85" s="11"/>
      <c r="C85" s="11"/>
      <c r="D85" s="11"/>
      <c r="E85" s="11"/>
      <c r="F85" s="11"/>
      <c r="G85" s="11"/>
      <c r="H85" s="11"/>
      <c r="I85" s="59"/>
      <c r="J85" s="59"/>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11"/>
      <c r="B86" s="11"/>
      <c r="C86" s="11"/>
      <c r="D86" s="11"/>
      <c r="E86" s="11"/>
      <c r="F86" s="11"/>
      <c r="G86" s="11"/>
      <c r="H86" s="11"/>
      <c r="I86" s="59"/>
      <c r="J86" s="59"/>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11"/>
      <c r="B87" s="11"/>
      <c r="C87" s="11"/>
      <c r="D87" s="11"/>
      <c r="E87" s="11"/>
      <c r="F87" s="11"/>
      <c r="G87" s="11"/>
      <c r="H87" s="11"/>
      <c r="I87" s="59"/>
      <c r="J87" s="59"/>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11"/>
      <c r="B88" s="11"/>
      <c r="C88" s="11"/>
      <c r="D88" s="11"/>
      <c r="E88" s="11"/>
      <c r="F88" s="11"/>
      <c r="G88" s="11"/>
      <c r="H88" s="11"/>
      <c r="I88" s="59"/>
      <c r="J88" s="59"/>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11"/>
      <c r="B89" s="11"/>
      <c r="C89" s="11"/>
      <c r="D89" s="11"/>
      <c r="E89" s="11"/>
      <c r="F89" s="11"/>
      <c r="G89" s="11"/>
      <c r="H89" s="11"/>
      <c r="I89" s="59"/>
      <c r="J89" s="59"/>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11"/>
      <c r="B90" s="11"/>
      <c r="C90" s="11"/>
      <c r="D90" s="11"/>
      <c r="E90" s="11"/>
      <c r="F90" s="11"/>
      <c r="G90" s="11"/>
      <c r="H90" s="11"/>
      <c r="I90" s="59"/>
      <c r="J90" s="59"/>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11"/>
      <c r="H91" s="11"/>
      <c r="I91" s="59"/>
      <c r="J91" s="59"/>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11"/>
      <c r="B92" s="11"/>
      <c r="C92" s="11"/>
      <c r="D92" s="11"/>
      <c r="E92" s="11"/>
      <c r="F92" s="11"/>
      <c r="G92" s="11"/>
      <c r="H92" s="11"/>
      <c r="I92" s="59"/>
      <c r="J92" s="59"/>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11"/>
      <c r="B93" s="11"/>
      <c r="C93" s="11"/>
      <c r="D93" s="11"/>
      <c r="E93" s="11"/>
      <c r="F93" s="11"/>
      <c r="G93" s="11"/>
      <c r="H93" s="11"/>
      <c r="I93" s="59"/>
      <c r="J93" s="59"/>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11"/>
      <c r="B94" s="11"/>
      <c r="C94" s="11"/>
      <c r="D94" s="11"/>
      <c r="E94" s="11"/>
      <c r="F94" s="11"/>
      <c r="G94" s="11"/>
      <c r="H94" s="11"/>
      <c r="I94" s="59"/>
      <c r="J94" s="59"/>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11"/>
      <c r="B95" s="11"/>
      <c r="C95" s="11"/>
      <c r="D95" s="11"/>
      <c r="E95" s="11"/>
      <c r="F95" s="11"/>
      <c r="G95" s="11"/>
      <c r="H95" s="11"/>
      <c r="I95" s="59"/>
      <c r="J95" s="59"/>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11"/>
      <c r="B96" s="11"/>
      <c r="C96" s="11"/>
      <c r="D96" s="11"/>
      <c r="E96" s="11"/>
      <c r="F96" s="11"/>
      <c r="G96" s="11"/>
      <c r="H96" s="11"/>
      <c r="I96" s="59"/>
      <c r="J96" s="59"/>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11"/>
      <c r="B97" s="11"/>
      <c r="C97" s="11"/>
      <c r="D97" s="11"/>
      <c r="E97" s="11"/>
      <c r="F97" s="11"/>
      <c r="G97" s="11"/>
      <c r="H97" s="11"/>
      <c r="I97" s="59"/>
      <c r="J97" s="59"/>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11"/>
      <c r="B98" s="11"/>
      <c r="C98" s="11"/>
      <c r="D98" s="11"/>
      <c r="E98" s="11"/>
      <c r="F98" s="11"/>
      <c r="G98" s="11"/>
      <c r="H98" s="11"/>
      <c r="I98" s="59"/>
      <c r="J98" s="59"/>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11"/>
      <c r="B99" s="11"/>
      <c r="C99" s="11"/>
      <c r="D99" s="11"/>
      <c r="E99" s="11"/>
      <c r="F99" s="11"/>
      <c r="G99" s="11"/>
      <c r="H99" s="11"/>
      <c r="I99" s="59"/>
      <c r="J99" s="59"/>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267"/>
      <c r="F100" s="11"/>
      <c r="G100" s="11"/>
      <c r="H100" s="11"/>
      <c r="I100" s="59"/>
      <c r="J100" s="59"/>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11"/>
      <c r="B101" s="11"/>
      <c r="C101" s="11"/>
      <c r="D101" s="11"/>
      <c r="E101" s="11"/>
      <c r="F101" s="11"/>
      <c r="G101" s="11"/>
      <c r="H101" s="11"/>
      <c r="I101" s="59"/>
      <c r="J101" s="59"/>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11"/>
      <c r="I102" s="59"/>
      <c r="J102" s="59"/>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c r="B103" s="11"/>
      <c r="C103" s="11"/>
      <c r="D103" s="11"/>
      <c r="E103" s="11"/>
      <c r="F103" s="11"/>
      <c r="G103" s="11"/>
      <c r="H103" s="11"/>
      <c r="I103" s="59"/>
      <c r="J103" s="59"/>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c r="B104" s="11"/>
      <c r="C104" s="11"/>
      <c r="D104" s="11"/>
      <c r="E104" s="267"/>
      <c r="F104" s="11"/>
      <c r="G104" s="11"/>
      <c r="H104" s="11"/>
      <c r="I104" s="59"/>
      <c r="J104" s="59"/>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c r="B105" s="11"/>
      <c r="C105" s="11"/>
      <c r="D105" s="11"/>
      <c r="E105" s="11"/>
      <c r="F105" s="11"/>
      <c r="G105" s="11"/>
      <c r="H105" s="11"/>
      <c r="I105" s="59"/>
      <c r="J105" s="59"/>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c r="B106" s="11"/>
      <c r="C106" s="11"/>
      <c r="D106" s="11"/>
      <c r="E106" s="11"/>
      <c r="F106" s="11"/>
      <c r="G106" s="11"/>
      <c r="H106" s="11"/>
      <c r="I106" s="59"/>
      <c r="J106" s="59"/>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c r="B107" s="11"/>
      <c r="C107" s="11"/>
      <c r="D107" s="11"/>
      <c r="E107" s="11"/>
      <c r="F107" s="11"/>
      <c r="G107" s="11"/>
      <c r="H107" s="11"/>
      <c r="I107" s="59"/>
      <c r="J107" s="59"/>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c r="B108" s="11"/>
      <c r="C108" s="11"/>
      <c r="D108" s="11"/>
      <c r="E108" s="11"/>
      <c r="F108" s="11"/>
      <c r="G108" s="11"/>
      <c r="H108" s="11"/>
      <c r="I108" s="59"/>
      <c r="J108" s="59"/>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11"/>
      <c r="B109" s="11"/>
      <c r="C109" s="11"/>
      <c r="D109" s="11"/>
      <c r="E109" s="11"/>
      <c r="F109" s="11"/>
      <c r="G109" s="11"/>
      <c r="H109" s="11"/>
      <c r="I109" s="59"/>
      <c r="J109" s="59"/>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11"/>
      <c r="B110" s="11"/>
      <c r="C110" s="11"/>
      <c r="D110" s="11"/>
      <c r="E110" s="11"/>
      <c r="F110" s="11"/>
      <c r="G110" s="11"/>
      <c r="H110" s="11"/>
      <c r="I110" s="59"/>
      <c r="J110" s="59"/>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11"/>
      <c r="B111" s="11"/>
      <c r="C111" s="11"/>
      <c r="D111" s="11"/>
      <c r="E111" s="11"/>
      <c r="F111" s="11"/>
      <c r="G111" s="11"/>
      <c r="H111" s="11"/>
      <c r="I111" s="59"/>
      <c r="J111" s="59"/>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11"/>
      <c r="B112" s="11"/>
      <c r="C112" s="11"/>
      <c r="D112" s="11"/>
      <c r="E112" s="11"/>
      <c r="F112" s="11"/>
      <c r="G112" s="11"/>
      <c r="H112" s="11"/>
      <c r="I112" s="59"/>
      <c r="J112" s="59"/>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11"/>
      <c r="B113" s="11"/>
      <c r="C113" s="11"/>
      <c r="D113" s="11"/>
      <c r="E113" s="11"/>
      <c r="F113" s="11"/>
      <c r="G113" s="11"/>
      <c r="H113" s="11"/>
      <c r="I113" s="59"/>
      <c r="J113" s="59"/>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11"/>
      <c r="B114" s="11"/>
      <c r="C114" s="11"/>
      <c r="D114" s="11"/>
      <c r="E114" s="11"/>
      <c r="F114" s="11"/>
      <c r="G114" s="11"/>
      <c r="H114" s="11"/>
      <c r="I114" s="59"/>
      <c r="J114" s="59"/>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11"/>
      <c r="B115" s="11"/>
      <c r="C115" s="11"/>
      <c r="D115" s="11"/>
      <c r="E115" s="11"/>
      <c r="F115" s="11"/>
      <c r="G115" s="11"/>
      <c r="H115" s="11"/>
      <c r="I115" s="59"/>
      <c r="J115" s="59"/>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11"/>
      <c r="B116" s="11"/>
      <c r="C116" s="11"/>
      <c r="D116" s="11"/>
      <c r="E116" s="11"/>
      <c r="F116" s="11"/>
      <c r="G116" s="11"/>
      <c r="H116" s="11"/>
      <c r="I116" s="59"/>
      <c r="J116" s="59"/>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11"/>
      <c r="B117" s="11"/>
      <c r="C117" s="11"/>
      <c r="D117" s="11"/>
      <c r="E117" s="11"/>
      <c r="F117" s="11"/>
      <c r="G117" s="11"/>
      <c r="H117" s="11"/>
      <c r="I117" s="59"/>
      <c r="J117" s="59"/>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11"/>
      <c r="B118" s="11"/>
      <c r="C118" s="11"/>
      <c r="D118" s="11"/>
      <c r="E118" s="11"/>
      <c r="F118" s="11"/>
      <c r="G118" s="11"/>
      <c r="H118" s="11"/>
      <c r="I118" s="59"/>
      <c r="J118" s="59"/>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11"/>
      <c r="B119" s="11"/>
      <c r="C119" s="11"/>
      <c r="D119" s="11"/>
      <c r="E119" s="11"/>
      <c r="F119" s="11"/>
      <c r="G119" s="11"/>
      <c r="H119" s="11"/>
      <c r="I119" s="59"/>
      <c r="J119" s="59"/>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11"/>
      <c r="B120" s="11"/>
      <c r="C120" s="11"/>
      <c r="D120" s="11"/>
      <c r="E120" s="11"/>
      <c r="F120" s="11"/>
      <c r="G120" s="11"/>
      <c r="H120" s="11"/>
      <c r="I120" s="59"/>
      <c r="J120" s="59"/>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11"/>
      <c r="B121" s="11"/>
      <c r="C121" s="11"/>
      <c r="D121" s="11"/>
      <c r="E121" s="11"/>
      <c r="F121" s="11"/>
      <c r="G121" s="11"/>
      <c r="H121" s="11"/>
      <c r="I121" s="59"/>
      <c r="J121" s="59"/>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11"/>
      <c r="B122" s="11"/>
      <c r="C122" s="11"/>
      <c r="D122" s="11"/>
      <c r="E122" s="11"/>
      <c r="F122" s="11"/>
      <c r="G122" s="11"/>
      <c r="H122" s="11"/>
      <c r="I122" s="59"/>
      <c r="J122" s="59"/>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11"/>
      <c r="B123" s="11"/>
      <c r="C123" s="11"/>
      <c r="D123" s="11"/>
      <c r="E123" s="11"/>
      <c r="F123" s="11"/>
      <c r="G123" s="11"/>
      <c r="H123" s="11"/>
      <c r="I123" s="59"/>
      <c r="J123" s="59"/>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11"/>
      <c r="B124" s="11"/>
      <c r="C124" s="11"/>
      <c r="D124" s="11"/>
      <c r="E124" s="11"/>
      <c r="F124" s="11"/>
      <c r="G124" s="11"/>
      <c r="H124" s="11"/>
      <c r="I124" s="59"/>
      <c r="J124" s="11"/>
      <c r="K124" s="267"/>
      <c r="L124" s="267"/>
      <c r="M124" s="267"/>
      <c r="N124" s="11"/>
      <c r="O124" s="267"/>
      <c r="P124" s="267"/>
      <c r="Q124" s="267"/>
      <c r="R124" s="267"/>
      <c r="S124" s="267"/>
      <c r="T124" s="267"/>
      <c r="U124" s="267"/>
      <c r="V124" s="267"/>
      <c r="W124" s="267"/>
      <c r="X124" s="267"/>
      <c r="Y124" s="267"/>
      <c r="Z124" s="267"/>
      <c r="AA124" s="267"/>
      <c r="AB124" s="11"/>
      <c r="AC124" s="11"/>
      <c r="AD124" s="267"/>
      <c r="AE124" s="11"/>
      <c r="AF124" s="267"/>
      <c r="AG124" s="11"/>
      <c r="AH124" s="267"/>
      <c r="AI124" s="11"/>
      <c r="AJ124" s="11"/>
      <c r="AK124" s="11"/>
      <c r="AL124" s="11"/>
      <c r="AM124" s="11"/>
      <c r="AN124" s="11"/>
      <c r="AO124" s="11"/>
    </row>
    <row r="125" spans="1:41" x14ac:dyDescent="0.25">
      <c r="A125" s="11"/>
      <c r="B125" s="11"/>
      <c r="C125" s="11"/>
      <c r="D125" s="11"/>
      <c r="E125" s="11"/>
      <c r="F125" s="11"/>
      <c r="G125" s="11"/>
      <c r="H125" s="11"/>
      <c r="I125" s="267"/>
      <c r="J125" s="59"/>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11"/>
      <c r="B126" s="11"/>
      <c r="C126" s="11"/>
      <c r="D126" s="11"/>
      <c r="E126" s="11"/>
      <c r="F126" s="11"/>
      <c r="G126" s="11"/>
      <c r="H126" s="11"/>
      <c r="I126" s="59"/>
      <c r="J126" s="59"/>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row r="127" spans="1:41" x14ac:dyDescent="0.25">
      <c r="A127" s="11"/>
      <c r="B127" s="11"/>
      <c r="C127" s="11"/>
      <c r="D127" s="11"/>
      <c r="E127" s="11"/>
      <c r="F127" s="11"/>
      <c r="G127" s="11"/>
      <c r="H127" s="11"/>
      <c r="I127" s="59"/>
      <c r="J127" s="59"/>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row>
    <row r="128" spans="1:41" x14ac:dyDescent="0.25">
      <c r="A128" s="11"/>
      <c r="B128" s="11"/>
      <c r="C128" s="11"/>
      <c r="D128" s="11"/>
      <c r="E128" s="11"/>
      <c r="F128" s="11"/>
      <c r="G128" s="11"/>
      <c r="H128" s="11"/>
      <c r="I128" s="59"/>
      <c r="J128" s="11"/>
      <c r="K128" s="267"/>
      <c r="L128" s="267"/>
      <c r="M128" s="267"/>
      <c r="N128" s="11"/>
      <c r="O128" s="267"/>
      <c r="P128" s="267"/>
      <c r="Q128" s="267"/>
      <c r="R128" s="267"/>
      <c r="S128" s="267"/>
      <c r="T128" s="267"/>
      <c r="U128" s="267"/>
      <c r="V128" s="267"/>
      <c r="W128" s="267"/>
      <c r="X128" s="267"/>
      <c r="Y128" s="267"/>
      <c r="Z128" s="267"/>
      <c r="AA128" s="267"/>
      <c r="AB128" s="11"/>
      <c r="AC128" s="11"/>
      <c r="AD128" s="267"/>
      <c r="AE128" s="11"/>
      <c r="AF128" s="267"/>
      <c r="AG128" s="11"/>
      <c r="AH128" s="267"/>
      <c r="AI128" s="11"/>
      <c r="AJ128" s="11"/>
      <c r="AK128" s="11"/>
      <c r="AL128" s="11"/>
      <c r="AM128" s="11"/>
      <c r="AN128" s="11"/>
      <c r="AO128" s="11"/>
    </row>
    <row r="129" spans="1:41" x14ac:dyDescent="0.25">
      <c r="A129" s="11"/>
      <c r="B129" s="11"/>
      <c r="C129" s="11"/>
      <c r="D129" s="11"/>
      <c r="E129" s="11"/>
      <c r="F129" s="11"/>
      <c r="G129" s="11"/>
      <c r="H129" s="11"/>
      <c r="I129" s="267"/>
      <c r="J129" s="59"/>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row>
    <row r="130" spans="1:41" x14ac:dyDescent="0.25">
      <c r="A130" s="11"/>
      <c r="B130" s="11"/>
      <c r="C130" s="11"/>
      <c r="D130" s="11"/>
      <c r="E130" s="11"/>
      <c r="F130" s="11"/>
      <c r="G130" s="11"/>
      <c r="H130" s="11"/>
      <c r="I130" s="59"/>
      <c r="J130" s="59"/>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row>
    <row r="131" spans="1:41" x14ac:dyDescent="0.25">
      <c r="A131" s="11"/>
      <c r="B131" s="11"/>
      <c r="C131" s="11"/>
      <c r="D131" s="11"/>
      <c r="E131" s="11"/>
      <c r="F131" s="11"/>
      <c r="G131" s="11"/>
      <c r="H131" s="11"/>
      <c r="I131" s="59"/>
      <c r="J131" s="59"/>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row>
    <row r="132" spans="1:41" x14ac:dyDescent="0.25">
      <c r="A132" s="11"/>
      <c r="B132" s="11"/>
      <c r="C132" s="11"/>
      <c r="D132" s="11"/>
      <c r="E132" s="11"/>
      <c r="F132" s="11"/>
      <c r="G132" s="11"/>
      <c r="H132" s="11"/>
      <c r="I132" s="59"/>
      <c r="J132" s="59"/>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row>
    <row r="133" spans="1:41" x14ac:dyDescent="0.25">
      <c r="A133" s="11"/>
      <c r="B133" s="11"/>
      <c r="C133" s="11"/>
      <c r="D133" s="11"/>
      <c r="E133" s="11"/>
      <c r="F133" s="11"/>
      <c r="G133" s="11"/>
      <c r="H133" s="11"/>
      <c r="I133" s="59"/>
      <c r="J133" s="59"/>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row>
    <row r="134" spans="1:41" x14ac:dyDescent="0.25">
      <c r="A134" s="11"/>
      <c r="B134" s="11"/>
      <c r="C134" s="11"/>
      <c r="D134" s="11"/>
      <c r="E134" s="11"/>
      <c r="F134" s="11"/>
      <c r="G134" s="11"/>
      <c r="H134" s="11"/>
      <c r="I134" s="59"/>
      <c r="J134" s="59"/>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row>
    <row r="135" spans="1:41" x14ac:dyDescent="0.25">
      <c r="A135" s="11"/>
      <c r="B135" s="11"/>
      <c r="C135" s="11"/>
      <c r="D135" s="11"/>
      <c r="E135" s="11"/>
      <c r="F135" s="11"/>
      <c r="G135" s="11"/>
      <c r="H135" s="11"/>
      <c r="I135" s="59"/>
      <c r="J135" s="59"/>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row>
    <row r="136" spans="1:41" x14ac:dyDescent="0.25">
      <c r="A136" s="11"/>
      <c r="B136" s="11"/>
      <c r="C136" s="11"/>
      <c r="D136" s="11"/>
      <c r="E136" s="11"/>
      <c r="F136" s="11"/>
      <c r="G136" s="11"/>
      <c r="H136" s="11"/>
      <c r="I136" s="59"/>
      <c r="J136" s="59"/>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row>
    <row r="137" spans="1:41" x14ac:dyDescent="0.25">
      <c r="A137" s="11"/>
      <c r="B137" s="11"/>
      <c r="C137" s="11"/>
      <c r="D137" s="11"/>
      <c r="E137" s="11"/>
      <c r="F137" s="11"/>
      <c r="G137" s="11"/>
      <c r="H137" s="11"/>
      <c r="I137" s="59"/>
      <c r="J137" s="59"/>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row>
    <row r="138" spans="1:41" x14ac:dyDescent="0.25">
      <c r="A138" s="11"/>
      <c r="B138" s="11"/>
      <c r="C138" s="11"/>
      <c r="D138" s="11"/>
      <c r="E138" s="11"/>
      <c r="F138" s="11"/>
      <c r="G138" s="11"/>
      <c r="H138" s="11"/>
      <c r="I138" s="59"/>
      <c r="J138" s="59"/>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row>
    <row r="139" spans="1:41" x14ac:dyDescent="0.25">
      <c r="A139" s="11"/>
      <c r="B139" s="11"/>
      <c r="C139" s="11"/>
      <c r="D139" s="11"/>
      <c r="E139" s="11"/>
      <c r="F139" s="11"/>
      <c r="G139" s="11"/>
      <c r="H139" s="11"/>
      <c r="I139" s="59"/>
      <c r="J139" s="59"/>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row>
    <row r="140" spans="1:41" x14ac:dyDescent="0.25">
      <c r="A140" s="11"/>
      <c r="B140" s="11"/>
      <c r="C140" s="11"/>
      <c r="D140" s="11"/>
      <c r="E140" s="11"/>
      <c r="F140" s="11"/>
      <c r="G140" s="11"/>
      <c r="H140" s="11"/>
      <c r="I140" s="59"/>
      <c r="J140" s="59"/>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row>
    <row r="141" spans="1:41" x14ac:dyDescent="0.25">
      <c r="A141" s="11"/>
      <c r="B141" s="11"/>
      <c r="C141" s="11"/>
      <c r="D141" s="11"/>
      <c r="E141" s="11"/>
      <c r="F141" s="11"/>
      <c r="G141" s="11"/>
      <c r="H141" s="11"/>
      <c r="I141" s="59"/>
      <c r="J141" s="59"/>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row>
    <row r="142" spans="1:41" x14ac:dyDescent="0.25">
      <c r="A142" s="11"/>
      <c r="B142" s="11"/>
      <c r="C142" s="11"/>
      <c r="D142" s="11"/>
      <c r="E142" s="11"/>
      <c r="F142" s="11"/>
      <c r="G142" s="11"/>
      <c r="H142" s="11"/>
      <c r="I142" s="59"/>
      <c r="J142" s="59"/>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row>
    <row r="143" spans="1:41" x14ac:dyDescent="0.25">
      <c r="A143" s="11"/>
      <c r="B143" s="11"/>
      <c r="C143" s="11"/>
      <c r="D143" s="11"/>
      <c r="E143" s="11"/>
      <c r="F143" s="11"/>
      <c r="G143" s="11"/>
      <c r="H143" s="11"/>
      <c r="I143" s="59"/>
      <c r="J143" s="59"/>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row>
    <row r="144" spans="1:41" x14ac:dyDescent="0.25">
      <c r="A144" s="11"/>
      <c r="B144" s="11"/>
      <c r="C144" s="11"/>
      <c r="D144" s="11"/>
      <c r="E144" s="11"/>
      <c r="F144" s="11"/>
      <c r="G144" s="11"/>
      <c r="H144" s="11"/>
      <c r="I144" s="59"/>
      <c r="J144" s="59"/>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row>
    <row r="145" spans="1:41" x14ac:dyDescent="0.25">
      <c r="A145" s="11"/>
      <c r="B145" s="11"/>
      <c r="C145" s="11"/>
      <c r="D145" s="11"/>
      <c r="E145" s="11"/>
      <c r="F145" s="11"/>
      <c r="G145" s="11"/>
      <c r="H145" s="11"/>
      <c r="I145" s="59"/>
      <c r="J145" s="59"/>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row>
    <row r="146" spans="1:41" x14ac:dyDescent="0.25">
      <c r="A146" s="11"/>
      <c r="B146" s="11"/>
      <c r="C146" s="11"/>
      <c r="D146" s="11"/>
      <c r="E146" s="11"/>
      <c r="F146" s="11"/>
      <c r="G146" s="11"/>
      <c r="H146" s="11"/>
      <c r="I146" s="59"/>
      <c r="J146" s="59"/>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row>
    <row r="147" spans="1:41" x14ac:dyDescent="0.25">
      <c r="A147" s="11"/>
      <c r="B147" s="11"/>
      <c r="C147" s="11"/>
      <c r="D147" s="11"/>
      <c r="E147" s="11"/>
      <c r="F147" s="11"/>
      <c r="G147" s="11"/>
      <c r="H147" s="11"/>
      <c r="I147" s="59"/>
      <c r="J147" s="59"/>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row>
    <row r="148" spans="1:41" x14ac:dyDescent="0.25">
      <c r="A148" s="11"/>
      <c r="B148" s="11"/>
      <c r="C148" s="11"/>
      <c r="D148" s="11"/>
      <c r="E148" s="11"/>
      <c r="F148" s="11"/>
      <c r="G148" s="11"/>
      <c r="H148" s="11"/>
      <c r="I148" s="59"/>
      <c r="J148" s="59"/>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row>
    <row r="149" spans="1:41" x14ac:dyDescent="0.25">
      <c r="A149" s="11"/>
      <c r="B149" s="11"/>
      <c r="C149" s="11"/>
      <c r="D149" s="11"/>
      <c r="E149" s="11"/>
      <c r="F149" s="11"/>
      <c r="G149" s="11"/>
      <c r="H149" s="11"/>
      <c r="I149" s="59"/>
      <c r="J149" s="59"/>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row>
    <row r="150" spans="1:41" x14ac:dyDescent="0.25">
      <c r="A150" s="11"/>
      <c r="B150" s="11"/>
      <c r="C150" s="11"/>
      <c r="D150" s="11"/>
      <c r="E150" s="11"/>
      <c r="F150" s="11"/>
      <c r="G150" s="11"/>
      <c r="H150" s="11"/>
      <c r="I150" s="59"/>
      <c r="J150" s="59"/>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row>
    <row r="151" spans="1:41" x14ac:dyDescent="0.25">
      <c r="A151" s="11"/>
      <c r="B151" s="11"/>
      <c r="C151" s="11"/>
      <c r="D151" s="11"/>
      <c r="E151" s="11"/>
      <c r="F151" s="11"/>
      <c r="G151" s="11"/>
      <c r="H151" s="11"/>
      <c r="I151" s="59"/>
      <c r="J151" s="59"/>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row>
    <row r="152" spans="1:41" x14ac:dyDescent="0.25">
      <c r="A152" s="11"/>
      <c r="B152" s="11"/>
      <c r="C152" s="11"/>
      <c r="D152" s="11"/>
      <c r="E152" s="11"/>
      <c r="F152" s="11"/>
      <c r="G152" s="11"/>
      <c r="H152" s="11"/>
      <c r="I152" s="59"/>
      <c r="J152" s="59"/>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row>
    <row r="153" spans="1:41" x14ac:dyDescent="0.25">
      <c r="A153" s="11"/>
      <c r="B153" s="11"/>
      <c r="C153" s="11"/>
      <c r="D153" s="11"/>
      <c r="E153" s="11"/>
      <c r="F153" s="11"/>
      <c r="G153" s="11"/>
      <c r="H153" s="11"/>
      <c r="I153" s="59"/>
      <c r="J153" s="59"/>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row>
    <row r="154" spans="1:41" x14ac:dyDescent="0.25">
      <c r="A154" s="11"/>
      <c r="B154" s="11"/>
      <c r="C154" s="11"/>
      <c r="D154" s="11"/>
      <c r="E154" s="11"/>
      <c r="F154" s="11"/>
      <c r="G154" s="11"/>
      <c r="H154" s="11"/>
      <c r="I154" s="59"/>
      <c r="J154" s="59"/>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row>
    <row r="155" spans="1:41" x14ac:dyDescent="0.25">
      <c r="A155" s="11"/>
      <c r="B155" s="11"/>
      <c r="C155" s="11"/>
      <c r="D155" s="11"/>
      <c r="E155" s="11"/>
      <c r="F155" s="11"/>
      <c r="G155" s="11"/>
      <c r="H155" s="11"/>
      <c r="I155" s="59"/>
      <c r="J155" s="59"/>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row>
    <row r="156" spans="1:41" x14ac:dyDescent="0.25">
      <c r="A156" s="11"/>
      <c r="B156" s="11"/>
      <c r="C156" s="11"/>
      <c r="D156" s="11"/>
      <c r="E156" s="11"/>
      <c r="F156" s="11"/>
      <c r="G156" s="11"/>
      <c r="H156" s="11"/>
      <c r="I156" s="59"/>
      <c r="J156" s="59"/>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row>
    <row r="157" spans="1:41" x14ac:dyDescent="0.25">
      <c r="A157" s="11"/>
      <c r="B157" s="11"/>
      <c r="C157" s="11"/>
      <c r="D157" s="11"/>
      <c r="E157" s="11"/>
      <c r="F157" s="11"/>
      <c r="G157" s="267"/>
      <c r="H157" s="11"/>
      <c r="I157" s="59"/>
      <c r="J157" s="5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row>
    <row r="158" spans="1:41" x14ac:dyDescent="0.25">
      <c r="A158" s="11"/>
      <c r="B158" s="11"/>
      <c r="C158" s="11"/>
      <c r="D158" s="11"/>
      <c r="E158" s="11"/>
      <c r="F158" s="11"/>
      <c r="G158" s="11"/>
      <c r="H158" s="11"/>
      <c r="I158" s="59"/>
      <c r="J158" s="5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row>
    <row r="159" spans="1:41" x14ac:dyDescent="0.25">
      <c r="A159" s="11"/>
      <c r="B159" s="11"/>
      <c r="C159" s="11"/>
      <c r="D159" s="11"/>
      <c r="E159" s="11"/>
      <c r="F159" s="11"/>
      <c r="G159" s="11"/>
      <c r="H159" s="11"/>
      <c r="I159" s="59"/>
      <c r="J159" s="59"/>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row>
    <row r="160" spans="1:41" x14ac:dyDescent="0.25">
      <c r="A160" s="11"/>
      <c r="B160" s="11"/>
      <c r="C160" s="11"/>
      <c r="D160" s="11"/>
      <c r="E160" s="11"/>
      <c r="F160" s="11"/>
      <c r="G160" s="11"/>
      <c r="H160" s="11"/>
      <c r="I160" s="59"/>
      <c r="J160" s="59"/>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row>
    <row r="161" spans="1:41" x14ac:dyDescent="0.25">
      <c r="A161" s="11"/>
      <c r="B161" s="11"/>
      <c r="C161" s="11"/>
      <c r="D161" s="11"/>
      <c r="E161" s="11"/>
      <c r="F161" s="11"/>
      <c r="G161" s="267"/>
      <c r="H161" s="11"/>
      <c r="I161" s="59"/>
      <c r="J161" s="59"/>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row>
  </sheetData>
  <sheetProtection algorithmName="SHA-512" hashValue="dlQChRO13gl7oSGYnHKofZJ6K7w8USVSMuLlY3/m/nCywZDoZyW1Cmb/i8E13EnxNqxW37Lj+EmgPdPwhiOpLA==" saltValue="R9PU7B9BNwaT8IfqIXGjNA==" spinCount="100000" sheet="1" scenarios="1"/>
  <mergeCells count="2">
    <mergeCell ref="AD31:AE31"/>
    <mergeCell ref="AG31:AH31"/>
  </mergeCells>
  <dataValidations disablePrompts="1" count="2">
    <dataValidation type="list" allowBlank="1" sqref="B28" xr:uid="{00000000-0002-0000-2500-000000000000}">
      <formula1>"ACCOUNT,BUSINESSUNIT,CATEGORY,DATASRC,DEPARTMENT,INTCO,MEASURES,RPTCURRENCY,TIME"</formula1>
    </dataValidation>
    <dataValidation type="list" allowBlank="1" sqref="B29" xr:uid="{00000000-0002-0000-25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1206"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51206" r:id="rId7" name="FPMExcelClientSheetOptionstb1"/>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2">
    <tabColor theme="2" tint="-0.499984740745262"/>
    <pageSetUpPr fitToPage="1"/>
  </sheetPr>
  <dimension ref="A1:AO103"/>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497</v>
      </c>
      <c r="C6" s="11" t="str">
        <f>IF(_epmOfflineCondition_,"Administrative &amp; General",_xll.EVDES(B6,$B$1))</f>
        <v>Administrative &amp; General</v>
      </c>
      <c r="D6" s="11"/>
      <c r="E6" s="58" t="str">
        <f>IF(_epmOfflineCondition_,"D_AG",_xll.EVPRO($B$1,$B$6,$F$6))</f>
        <v>D_AG</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IF(_epmOfflineCondition_,"Evdre:Ok",_xll.EVDRE($B$1,A17:B24,A27:C33))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IF(_epmOfflineCondition_,"'AG'!$B$2:$B$10",_xll.EVRNG($B$2:$B$10))</f>
        <v>'AG'!$B$2:$B$10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IF(_epmOfflineCondition_,"'AG'!$O$16:$AN$18",_xll.EVRNG($O$16:$AN$18))</f>
        <v>'AG'!$O$16:$AN$18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IF(_epmOfflineCondition_,"'AG'!$G$35:$H$36,'AG'!$G$38:$H$47,'AG'!$G$50:$H$66",_xll.EVRNG(G35:H36,G38:H47,G50:H66))</f>
        <v>'AG'!$G$35:$H$36,'AG'!$G$38:$H$47,'AG'!$G$50:$H$66</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IF(_epmOfflineCondition_,48180,_xll.EVGTS($B$1,1,$B$3,$B$5,$B$7,$B$9,AG$16,AG$17,AG$18,$G$20,$H$20))</f>
        <v>48180</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IF(_epmOfflineCondition_,"'AG'!$A$36:$F$42",_xll.EVRNG(A36:F42))</f>
        <v>'AG'!$A$36:$F$42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IF(_epmOfflineCondition_,"'AG'!$A$59:$B$80",_xll.EVRNG($A$59:$B$80))</f>
        <v>'AG'!$A$59:$B$80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63" t="s">
        <v>357</v>
      </c>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66" t="s">
        <v>21</v>
      </c>
      <c r="D27" s="11"/>
      <c r="E27" s="11"/>
      <c r="F27" s="11"/>
      <c r="G27" s="11"/>
      <c r="H27" s="11"/>
      <c r="I27" s="59"/>
      <c r="J27" s="59"/>
      <c r="K27" s="11"/>
      <c r="L27" s="59"/>
      <c r="M27" s="59"/>
      <c r="N27" s="71" t="str">
        <f>IF(_epmOfflineCondition_,"Administrative &amp; General Department",IF(_xll.EVDES(B6,$B$1)="#NODATA","",_xll.EVDES(B6,$B$1)&amp;" Department"))</f>
        <v>Administrative &amp; General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52</v>
      </c>
      <c r="C28" s="66" t="s">
        <v>22</v>
      </c>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738</v>
      </c>
      <c r="C29" s="66" t="s">
        <v>735</v>
      </c>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05"/>
      <c r="C30" s="66"/>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25">
      <c r="A31" s="65" t="s">
        <v>15</v>
      </c>
      <c r="B31" s="66"/>
      <c r="C31" s="66"/>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2" t="s">
        <v>78</v>
      </c>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66"/>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2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25">
      <c r="A35" s="97" t="s">
        <v>92</v>
      </c>
      <c r="B35" s="98" t="s">
        <v>93</v>
      </c>
      <c r="C35" s="98" t="s">
        <v>94</v>
      </c>
      <c r="D35" s="98" t="s">
        <v>95</v>
      </c>
      <c r="E35" s="98" t="s">
        <v>96</v>
      </c>
      <c r="F35" s="99" t="s">
        <v>97</v>
      </c>
      <c r="G35" s="88" t="s">
        <v>497</v>
      </c>
      <c r="H35" s="88" t="s">
        <v>854</v>
      </c>
      <c r="I35" s="122" t="str">
        <f>IF(_epmOfflineCondition_,"T3",_xll.EVPRO($B$1,$H35,"STYLE"))</f>
        <v>T3</v>
      </c>
      <c r="J35" s="122" t="str">
        <f>IF(_epmOfflineCondition_,"Y",_xll.EVPRO($B$1,$H35,"CALC"))</f>
        <v>Y</v>
      </c>
      <c r="K35" s="179" t="str">
        <f t="shared" ref="K35:K47" si="0">IF(AND(I35&gt;="T3"),"&gt;","")</f>
        <v>&gt;</v>
      </c>
      <c r="L35" s="90" t="str">
        <f>IF(_epmOfflineCondition_,"",_xll.EVPRO($B$1,H35,"JDEID"))</f>
        <v/>
      </c>
      <c r="M35" s="90" t="str">
        <f>IF(_epmOfflineCondition_,"",IF(AND(I35="N",J35="N"),_xll.EVPRO($B$1,H35,"PSFTID"),""))</f>
        <v/>
      </c>
      <c r="N35" s="90" t="str">
        <f>IF(_epmOfflineCondition_,"Management",IF(_xll.EVDES(H35,$B$1)="#NODATA","",_xll.EVDES(H35,$B$1)))</f>
        <v>Management</v>
      </c>
      <c r="O35" s="231">
        <v>24966.7</v>
      </c>
      <c r="P35" s="231">
        <v>27630.83</v>
      </c>
      <c r="Q35" s="231">
        <v>27401.9</v>
      </c>
      <c r="R35" s="231">
        <v>20649.48</v>
      </c>
      <c r="S35" s="231">
        <v>27409.360000000001</v>
      </c>
      <c r="T35" s="231">
        <v>30517.43</v>
      </c>
      <c r="U35" s="231">
        <v>26340.080000000002</v>
      </c>
      <c r="V35" s="231">
        <v>25141.91</v>
      </c>
      <c r="W35" s="231">
        <v>29934.97</v>
      </c>
      <c r="X35" s="231">
        <v>31735.18</v>
      </c>
      <c r="Y35" s="231">
        <v>30746.959999999999</v>
      </c>
      <c r="Z35" s="231">
        <v>27313.52</v>
      </c>
      <c r="AA35" s="210">
        <f t="shared" ref="AA35:AA47" si="1">IF($I35="B1","",SUM(O35:Z35))</f>
        <v>329788.32</v>
      </c>
      <c r="AB35" s="233">
        <f>IF(AA35=0,"",IFERROR(AA35/AA$19,""))</f>
        <v>2.2384725291013964E-2</v>
      </c>
      <c r="AC35" s="140"/>
      <c r="AD35" s="138">
        <v>326368.97642609797</v>
      </c>
      <c r="AE35" s="142">
        <f>IF(AD35=0,"",IFERROR(AD35/AD$19,""))</f>
        <v>2.2315245627971169E-2</v>
      </c>
      <c r="AF35" s="141">
        <f>IF(AND($AA35="",AD35=""),"",$AA35-AD35)</f>
        <v>3419.3435739020351</v>
      </c>
      <c r="AG35" s="138">
        <v>269986.81</v>
      </c>
      <c r="AH35" s="142">
        <f>IF(AG35=0,"",IFERROR(AG35/AG$19,""))</f>
        <v>2.2675534898033662E-2</v>
      </c>
      <c r="AI35" s="141">
        <f>IF(AND($AA35="",AG35=""),"",$AA35-AG35)</f>
        <v>59801.510000000009</v>
      </c>
      <c r="AJ35" s="462">
        <f t="shared" ref="AJ35:AJ47" si="2">IFERROR(AA35/AA$20,0)</f>
        <v>6.8449215442092157</v>
      </c>
      <c r="AK35" s="463">
        <f t="shared" ref="AK35:AK47" si="3">IFERROR(AD35/AD$20,0)</f>
        <v>6.7739513579513897</v>
      </c>
      <c r="AL35" s="464">
        <f t="shared" ref="AL35:AL47" si="4">IFERROR(AG35/AG$20,0)</f>
        <v>5.6037112909921127</v>
      </c>
      <c r="AM35" s="465" t="str">
        <f t="shared" ref="AM35:AM47" si="5">+IFERROR(ROUND(($AB35-AE35)*100,2)&amp;" pts.",0)</f>
        <v>0.01 pts.</v>
      </c>
      <c r="AN35" s="466" t="str">
        <f t="shared" ref="AN35:AN47" si="6">+IFERROR(ROUND(($AB35-AH35)*100,2)&amp;" pts.",0)</f>
        <v>-0.03 pts.</v>
      </c>
      <c r="AO35" s="11"/>
    </row>
    <row r="36" spans="1:41" hidden="1" x14ac:dyDescent="0.25">
      <c r="A36" s="11"/>
      <c r="B36" s="11"/>
      <c r="C36" s="11"/>
      <c r="D36" s="11"/>
      <c r="E36" s="11"/>
      <c r="F36" s="11"/>
      <c r="G36" s="88"/>
      <c r="H36" s="185"/>
      <c r="I36" s="122" t="str">
        <f>IF(_epmOfflineCondition_,"",_xll.EVPRO($B$1,$H36,"STYLE"))</f>
        <v/>
      </c>
      <c r="J36" s="122" t="str">
        <f>IF(_epmOfflineCondition_,"",_xll.EVPRO($B$1,$H36,"CALC"))</f>
        <v/>
      </c>
      <c r="K36" s="179" t="str">
        <f t="shared" si="0"/>
        <v/>
      </c>
      <c r="L36" s="90" t="str">
        <f>IF(_epmOfflineCondition_,"",_xll.EVPRO($B$1,H36,"JDEID"))</f>
        <v/>
      </c>
      <c r="M36" s="90" t="str">
        <f>IF(_epmOfflineCondition_,"",IF(AND(I36="N",J36="N"),_xll.EVPRO($B$1,H36,"PSFTID"),""))</f>
        <v/>
      </c>
      <c r="N36" s="90" t="str">
        <f>IF(_epmOfflineCondition_,"",IF(_xll.EVDES(H36,$B$1)="#NODATA","",_xll.EVDES(H36,$B$1)))</f>
        <v/>
      </c>
      <c r="O36" s="231"/>
      <c r="P36" s="231"/>
      <c r="Q36" s="231"/>
      <c r="R36" s="231"/>
      <c r="S36" s="231"/>
      <c r="T36" s="231"/>
      <c r="U36" s="231"/>
      <c r="V36" s="231"/>
      <c r="W36" s="231"/>
      <c r="X36" s="231"/>
      <c r="Y36" s="231"/>
      <c r="Z36" s="231"/>
      <c r="AA36" s="210">
        <f t="shared" si="1"/>
        <v>0</v>
      </c>
      <c r="AB36" s="233" t="str">
        <f>IF(AA36=0,"",IFERROR(AA36/AA$19,""))</f>
        <v/>
      </c>
      <c r="AC36" s="140"/>
      <c r="AD36" s="138"/>
      <c r="AE36" s="142" t="str">
        <f>IF(AD36=0,"",IFERROR(AD36/AD$19,""))</f>
        <v/>
      </c>
      <c r="AF36" s="141">
        <f>IF(AND($AA36="",AD36=""),"",$AA36-AD36)</f>
        <v>0</v>
      </c>
      <c r="AG36" s="138"/>
      <c r="AH36" s="142" t="str">
        <f>IF(AG36=0,"",IFERROR(AG36/AG$19,""))</f>
        <v/>
      </c>
      <c r="AI36" s="141">
        <f>IF(AND($AA36="",AG36=""),"",$AA36-AG36)</f>
        <v>0</v>
      </c>
      <c r="AJ36" s="462">
        <f t="shared" si="2"/>
        <v>0</v>
      </c>
      <c r="AK36" s="463">
        <f t="shared" si="3"/>
        <v>0</v>
      </c>
      <c r="AL36" s="464">
        <f t="shared" si="4"/>
        <v>0</v>
      </c>
      <c r="AM36" s="465">
        <f t="shared" si="5"/>
        <v>0</v>
      </c>
      <c r="AN36" s="466">
        <f t="shared" si="6"/>
        <v>0</v>
      </c>
      <c r="AO36" s="11"/>
    </row>
    <row r="37" spans="1:41" x14ac:dyDescent="0.25">
      <c r="A37" s="11" t="s">
        <v>108</v>
      </c>
      <c r="B37" s="11"/>
      <c r="C37" s="104" t="s">
        <v>101</v>
      </c>
      <c r="D37" s="11" t="s">
        <v>106</v>
      </c>
      <c r="E37" s="11"/>
      <c r="F37" s="11" t="s">
        <v>98</v>
      </c>
      <c r="G37" s="88" t="s">
        <v>497</v>
      </c>
      <c r="H37" s="185" t="s">
        <v>75</v>
      </c>
      <c r="I37" s="122" t="str">
        <f>IF(_epmOfflineCondition_,"B1",_xll.EVPRO($B$1,$H37,"STYLE"))</f>
        <v>B1</v>
      </c>
      <c r="J37" s="122" t="str">
        <f>IF(_epmOfflineCondition_,"Y",_xll.EVPRO($B$1,$H37,"CALC"))</f>
        <v>Y</v>
      </c>
      <c r="K37" s="179" t="str">
        <f t="shared" si="0"/>
        <v/>
      </c>
      <c r="L37" s="90" t="str">
        <f>IF(_epmOfflineCondition_,"",_xll.EVPRO($B$1,H37,"JDEID"))</f>
        <v/>
      </c>
      <c r="M37" s="90" t="str">
        <f>IF(_epmOfflineCondition_,"",IF(AND(I37="N",J37="N"),_xll.EVPRO($B$1,H37,"PSFTID"),""))</f>
        <v/>
      </c>
      <c r="N37" s="53" t="str">
        <f>IF(_epmOfflineCondition_,"Non-Management",IF(_xll.EVDES(H37,$B$1)="#NODATA","",_xll.EVDES(H37,$B$1)))</f>
        <v>Non-Management</v>
      </c>
      <c r="O37" s="197"/>
      <c r="P37" s="197"/>
      <c r="Q37" s="197"/>
      <c r="R37" s="197"/>
      <c r="S37" s="197"/>
      <c r="T37" s="197"/>
      <c r="U37" s="197"/>
      <c r="V37" s="197"/>
      <c r="W37" s="197"/>
      <c r="X37" s="197"/>
      <c r="Y37" s="197"/>
      <c r="Z37" s="197"/>
      <c r="AA37" s="197" t="str">
        <f t="shared" si="1"/>
        <v/>
      </c>
      <c r="AB37" s="198"/>
      <c r="AC37" s="11"/>
      <c r="AD37" s="91"/>
      <c r="AE37" s="100"/>
      <c r="AF37" s="92"/>
      <c r="AG37" s="91"/>
      <c r="AH37" s="100"/>
      <c r="AI37" s="92"/>
      <c r="AJ37" s="397">
        <f t="shared" si="2"/>
        <v>0</v>
      </c>
      <c r="AK37" s="398">
        <f t="shared" si="3"/>
        <v>0</v>
      </c>
      <c r="AL37" s="399">
        <f t="shared" si="4"/>
        <v>0</v>
      </c>
      <c r="AM37" s="400" t="str">
        <f t="shared" si="5"/>
        <v>0 pts.</v>
      </c>
      <c r="AN37" s="401" t="str">
        <f t="shared" si="6"/>
        <v>0 pts.</v>
      </c>
      <c r="AO37" s="11"/>
    </row>
    <row r="38" spans="1:41" x14ac:dyDescent="0.25">
      <c r="A38" s="11" t="s">
        <v>100</v>
      </c>
      <c r="B38" s="11"/>
      <c r="C38" s="53" t="s">
        <v>101</v>
      </c>
      <c r="D38" s="11" t="s">
        <v>106</v>
      </c>
      <c r="E38" s="11"/>
      <c r="F38" s="11" t="s">
        <v>98</v>
      </c>
      <c r="G38" s="88" t="s">
        <v>497</v>
      </c>
      <c r="H38" s="185" t="s">
        <v>845</v>
      </c>
      <c r="I38" s="122" t="str">
        <f>IF(_epmOfflineCondition_,"T3",_xll.EVPRO($B$1,$H38,"STYLE"))</f>
        <v>T3</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IF(_epmOfflineCondition_,"Accounting",IF(_xll.EVDES(H38,$B$1)="#NODATA","",_xll.EVDES(H38,$B$1)))</f>
        <v>Accounting</v>
      </c>
      <c r="O38" s="239">
        <v>7044.69</v>
      </c>
      <c r="P38" s="239">
        <v>6744.88</v>
      </c>
      <c r="Q38" s="239">
        <v>7923.25</v>
      </c>
      <c r="R38" s="239">
        <v>7963.93</v>
      </c>
      <c r="S38" s="239">
        <v>7661.44</v>
      </c>
      <c r="T38" s="239">
        <v>8581.73</v>
      </c>
      <c r="U38" s="239">
        <v>7723.01</v>
      </c>
      <c r="V38" s="239">
        <v>8259.77</v>
      </c>
      <c r="W38" s="239">
        <v>8795.68</v>
      </c>
      <c r="X38" s="239">
        <v>9949.56</v>
      </c>
      <c r="Y38" s="239">
        <v>9371.74</v>
      </c>
      <c r="Z38" s="239">
        <v>8543.94</v>
      </c>
      <c r="AA38" s="239">
        <f t="shared" si="1"/>
        <v>98563.62000000001</v>
      </c>
      <c r="AB38" s="240">
        <f t="shared" ref="AB38:AB47" si="7">IF(AA38=0,"",IFERROR(AA38/AA$19,""))</f>
        <v>6.6901082409100776E-3</v>
      </c>
      <c r="AC38" s="140"/>
      <c r="AD38" s="215">
        <v>100937.5</v>
      </c>
      <c r="AE38" s="217">
        <f t="shared" ref="AE38:AE47" si="8">IF(AD38=0,"",IFERROR(AD38/AD$19,""))</f>
        <v>6.9015294598118058E-3</v>
      </c>
      <c r="AF38" s="218">
        <f t="shared" ref="AF38:AF47" si="9">IF(AND($AA38="",AD38=""),"",$AA38-AD38)</f>
        <v>-2373.8799999999901</v>
      </c>
      <c r="AG38" s="215">
        <v>75726.2</v>
      </c>
      <c r="AH38" s="217">
        <f t="shared" ref="AH38:AH47" si="10">IF(AG38=0,"",IFERROR(AG38/AG$19,""))</f>
        <v>6.3600591850967707E-3</v>
      </c>
      <c r="AI38" s="218">
        <f t="shared" ref="AI38:AI47" si="11">IF(AND($AA38="",AG38=""),"",$AA38-AG38)</f>
        <v>22837.420000000013</v>
      </c>
      <c r="AJ38" s="471">
        <f t="shared" si="2"/>
        <v>2.0457372353673726</v>
      </c>
      <c r="AK38" s="472">
        <f t="shared" si="3"/>
        <v>2.0950083022000832</v>
      </c>
      <c r="AL38" s="473">
        <f t="shared" si="4"/>
        <v>1.5717351598173515</v>
      </c>
      <c r="AM38" s="474" t="str">
        <f t="shared" si="5"/>
        <v>-0.02 pts.</v>
      </c>
      <c r="AN38" s="475" t="str">
        <f t="shared" si="6"/>
        <v>0.03 pts.</v>
      </c>
      <c r="AO38" s="11"/>
    </row>
    <row r="39" spans="1:41" x14ac:dyDescent="0.25">
      <c r="A39" s="11" t="s">
        <v>109</v>
      </c>
      <c r="B39" s="11"/>
      <c r="C39" s="106" t="s">
        <v>101</v>
      </c>
      <c r="D39" s="11" t="s">
        <v>106</v>
      </c>
      <c r="E39" s="11"/>
      <c r="F39" s="11" t="s">
        <v>98</v>
      </c>
      <c r="G39" s="88" t="s">
        <v>497</v>
      </c>
      <c r="H39" s="185" t="s">
        <v>846</v>
      </c>
      <c r="I39" s="122" t="str">
        <f>IF(_epmOfflineCondition_,"T3",_xll.EVPRO($B$1,$H39,"STYLE"))</f>
        <v>T3</v>
      </c>
      <c r="J39" s="122" t="str">
        <f>IF(_epmOfflineCondition_,"Y",_xll.EVPRO($B$1,$H39,"CALC"))</f>
        <v>Y</v>
      </c>
      <c r="K39" s="179" t="str">
        <f t="shared" si="0"/>
        <v>&gt;</v>
      </c>
      <c r="L39" s="90" t="str">
        <f>IF(_epmOfflineCondition_,"",_xll.EVPRO($B$1,H39,"JDEID"))</f>
        <v/>
      </c>
      <c r="M39" s="90" t="str">
        <f>IF(_epmOfflineCondition_,"",IF(AND(I39="N",J39="N"),_xll.EVPRO($B$1,H39,"PSFTID"),""))</f>
        <v/>
      </c>
      <c r="N39" s="90" t="str">
        <f>IF(_epmOfflineCondition_,"Human Resources",IF(_xll.EVDES(H39,$B$1)="#NODATA","",_xll.EVDES(H39,$B$1)))</f>
        <v>Human Resources</v>
      </c>
      <c r="O39" s="239">
        <v>747.18</v>
      </c>
      <c r="P39" s="239">
        <v>715.06</v>
      </c>
      <c r="Q39" s="239">
        <v>845.99</v>
      </c>
      <c r="R39" s="239">
        <v>853.06</v>
      </c>
      <c r="S39" s="239"/>
      <c r="T39" s="239"/>
      <c r="U39" s="239"/>
      <c r="V39" s="239"/>
      <c r="W39" s="239"/>
      <c r="X39" s="239"/>
      <c r="Y39" s="239"/>
      <c r="Z39" s="239"/>
      <c r="AA39" s="239">
        <f t="shared" si="1"/>
        <v>3161.2899999999995</v>
      </c>
      <c r="AB39" s="240">
        <f t="shared" si="7"/>
        <v>2.1457584736545406E-4</v>
      </c>
      <c r="AC39" s="140"/>
      <c r="AD39" s="215">
        <v>8559.8575721149991</v>
      </c>
      <c r="AE39" s="217">
        <f t="shared" si="8"/>
        <v>5.8527414692997968E-4</v>
      </c>
      <c r="AF39" s="218">
        <f t="shared" si="9"/>
        <v>-5398.5675721150001</v>
      </c>
      <c r="AG39" s="215">
        <v>6810.88</v>
      </c>
      <c r="AH39" s="217">
        <f t="shared" si="10"/>
        <v>5.7202923034025072E-4</v>
      </c>
      <c r="AI39" s="218">
        <f t="shared" si="11"/>
        <v>-3649.5900000000006</v>
      </c>
      <c r="AJ39" s="471">
        <f t="shared" si="2"/>
        <v>6.5614155251141545E-2</v>
      </c>
      <c r="AK39" s="472">
        <f t="shared" si="3"/>
        <v>0.17766412561467412</v>
      </c>
      <c r="AL39" s="473">
        <f t="shared" si="4"/>
        <v>0.14136322125363221</v>
      </c>
      <c r="AM39" s="474" t="str">
        <f t="shared" si="5"/>
        <v>-0.04 pts.</v>
      </c>
      <c r="AN39" s="475" t="str">
        <f t="shared" si="6"/>
        <v>-0.04 pts.</v>
      </c>
      <c r="AO39" s="11"/>
    </row>
    <row r="40" spans="1:41" x14ac:dyDescent="0.25">
      <c r="A40" s="11" t="s">
        <v>109</v>
      </c>
      <c r="B40" s="11"/>
      <c r="C40" s="196" t="s">
        <v>101</v>
      </c>
      <c r="D40" s="11" t="s">
        <v>107</v>
      </c>
      <c r="E40" s="11"/>
      <c r="F40" s="11" t="s">
        <v>99</v>
      </c>
      <c r="G40" s="88" t="s">
        <v>497</v>
      </c>
      <c r="H40" s="185" t="s">
        <v>847</v>
      </c>
      <c r="I40" s="188" t="str">
        <f>IF(_epmOfflineCondition_,"T2",_xll.EVPRO($B$1,$H40,"STYLE"))</f>
        <v>T2</v>
      </c>
      <c r="J40" s="188" t="str">
        <f>IF(_epmOfflineCondition_,"Y",_xll.EVPRO($B$1,$H40,"CALC"))</f>
        <v>Y</v>
      </c>
      <c r="K40" s="189" t="str">
        <f t="shared" si="0"/>
        <v/>
      </c>
      <c r="L40" s="190" t="str">
        <f>IF(_epmOfflineCondition_,"",_xll.EVPRO($B$1,H40,"JDEID"))</f>
        <v/>
      </c>
      <c r="M40" s="190" t="str">
        <f>IF(_epmOfflineCondition_,"",IF(AND(I40="N",J40="N"),_xll.EVPRO($B$1,H40,"PSFTID"),""))</f>
        <v/>
      </c>
      <c r="N40" s="190" t="str">
        <f>IF(_epmOfflineCondition_,"Total Salaries and Wages",IF(_xll.EVDES(H40,$B$1)="#NODATA","",_xll.EVDES(H40,$B$1)))</f>
        <v>Total Salaries and Wages</v>
      </c>
      <c r="O40" s="223">
        <v>32758.57</v>
      </c>
      <c r="P40" s="223">
        <v>35090.769999999997</v>
      </c>
      <c r="Q40" s="223">
        <v>36171.14</v>
      </c>
      <c r="R40" s="223">
        <v>29466.47</v>
      </c>
      <c r="S40" s="223">
        <v>35070.800000000003</v>
      </c>
      <c r="T40" s="223">
        <v>39099.160000000003</v>
      </c>
      <c r="U40" s="223">
        <v>34063.089999999997</v>
      </c>
      <c r="V40" s="223">
        <v>33401.68</v>
      </c>
      <c r="W40" s="223">
        <v>38730.65</v>
      </c>
      <c r="X40" s="223">
        <v>41684.74</v>
      </c>
      <c r="Y40" s="223">
        <v>40118.699999999997</v>
      </c>
      <c r="Z40" s="223">
        <v>35857.46</v>
      </c>
      <c r="AA40" s="223">
        <f t="shared" si="1"/>
        <v>431513.23000000004</v>
      </c>
      <c r="AB40" s="224">
        <f t="shared" si="7"/>
        <v>2.9289409379289495E-2</v>
      </c>
      <c r="AC40" s="225"/>
      <c r="AD40" s="223">
        <v>435866.333998213</v>
      </c>
      <c r="AE40" s="224">
        <f t="shared" si="8"/>
        <v>2.9802049234712955E-2</v>
      </c>
      <c r="AF40" s="226">
        <f t="shared" si="9"/>
        <v>-4353.1039982129587</v>
      </c>
      <c r="AG40" s="223">
        <v>352523.89</v>
      </c>
      <c r="AH40" s="224">
        <f t="shared" si="10"/>
        <v>2.9607623313470683E-2</v>
      </c>
      <c r="AI40" s="226">
        <f t="shared" si="11"/>
        <v>78989.340000000026</v>
      </c>
      <c r="AJ40" s="227">
        <f t="shared" si="2"/>
        <v>8.9562729348277301</v>
      </c>
      <c r="AK40" s="228">
        <f t="shared" si="3"/>
        <v>9.0466237857661476</v>
      </c>
      <c r="AL40" s="230">
        <f t="shared" si="4"/>
        <v>7.3168096720630968</v>
      </c>
      <c r="AM40" s="427" t="str">
        <f t="shared" si="5"/>
        <v>-0.05 pts.</v>
      </c>
      <c r="AN40" s="478" t="str">
        <f t="shared" si="6"/>
        <v>-0.03 pts.</v>
      </c>
      <c r="AO40" s="11"/>
    </row>
    <row r="41" spans="1:41" x14ac:dyDescent="0.25">
      <c r="A41" s="11" t="s">
        <v>110</v>
      </c>
      <c r="B41" s="11"/>
      <c r="C41" s="106" t="s">
        <v>101</v>
      </c>
      <c r="D41" s="11" t="s">
        <v>106</v>
      </c>
      <c r="E41" s="11"/>
      <c r="F41" s="11" t="s">
        <v>98</v>
      </c>
      <c r="G41" s="88" t="s">
        <v>497</v>
      </c>
      <c r="H41" s="185" t="s">
        <v>848</v>
      </c>
      <c r="I41" s="122" t="str">
        <f>IF(_epmOfflineCondition_,"T3",_xll.EVPRO($B$1,$H41,"STYLE"))</f>
        <v>T3</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IF(_epmOfflineCondition_,"Bonuses &amp; Incentives",IF(_xll.EVDES(H41,$B$1)="#NODATA","",_xll.EVDES(H41,$B$1)))</f>
        <v>Bonuses &amp; Incentives</v>
      </c>
      <c r="O41" s="239">
        <v>7069.12</v>
      </c>
      <c r="P41" s="239">
        <v>8447.81</v>
      </c>
      <c r="Q41" s="239">
        <v>1577.17</v>
      </c>
      <c r="R41" s="239">
        <v>5164.26</v>
      </c>
      <c r="S41" s="239">
        <v>8281.5300000000007</v>
      </c>
      <c r="T41" s="239">
        <v>9967.2999999999993</v>
      </c>
      <c r="U41" s="239">
        <v>6823.78</v>
      </c>
      <c r="V41" s="239">
        <v>5957.09</v>
      </c>
      <c r="W41" s="239">
        <v>8744.7900000000009</v>
      </c>
      <c r="X41" s="239">
        <v>9795.2199999999993</v>
      </c>
      <c r="Y41" s="239">
        <v>8084.26</v>
      </c>
      <c r="Z41" s="239">
        <v>37876.370000000003</v>
      </c>
      <c r="AA41" s="239">
        <f t="shared" si="1"/>
        <v>117788.69999999998</v>
      </c>
      <c r="AB41" s="240">
        <f t="shared" si="7"/>
        <v>7.9950305453075354E-3</v>
      </c>
      <c r="AC41" s="140"/>
      <c r="AD41" s="239">
        <v>93677.755893448193</v>
      </c>
      <c r="AE41" s="240">
        <f t="shared" si="8"/>
        <v>6.4051496423796084E-3</v>
      </c>
      <c r="AF41" s="241">
        <f t="shared" si="9"/>
        <v>24110.944106551789</v>
      </c>
      <c r="AG41" s="239">
        <v>79445.070000000007</v>
      </c>
      <c r="AH41" s="240">
        <f t="shared" si="10"/>
        <v>6.672398022932036E-3</v>
      </c>
      <c r="AI41" s="241">
        <f t="shared" si="11"/>
        <v>38343.629999999976</v>
      </c>
      <c r="AJ41" s="532">
        <f t="shared" si="2"/>
        <v>2.4447633872976335</v>
      </c>
      <c r="AK41" s="533">
        <f t="shared" si="3"/>
        <v>1.9443286818897507</v>
      </c>
      <c r="AL41" s="534">
        <f t="shared" si="4"/>
        <v>1.6489221668742218</v>
      </c>
      <c r="AM41" s="535" t="str">
        <f t="shared" si="5"/>
        <v>0.16 pts.</v>
      </c>
      <c r="AN41" s="536" t="str">
        <f t="shared" si="6"/>
        <v>0.13 pts.</v>
      </c>
      <c r="AO41" s="11"/>
    </row>
    <row r="42" spans="1:41" x14ac:dyDescent="0.25">
      <c r="A42" s="11" t="s">
        <v>110</v>
      </c>
      <c r="B42" s="11"/>
      <c r="C42" s="109" t="s">
        <v>101</v>
      </c>
      <c r="D42" s="11" t="s">
        <v>107</v>
      </c>
      <c r="E42" s="11"/>
      <c r="F42" s="11" t="s">
        <v>99</v>
      </c>
      <c r="G42" s="88" t="s">
        <v>497</v>
      </c>
      <c r="H42" s="185" t="s">
        <v>849</v>
      </c>
      <c r="I42" s="188" t="str">
        <f>IF(_epmOfflineCondition_,"T2",_xll.EVPRO($B$1,$H42,"STYLE"))</f>
        <v>T2</v>
      </c>
      <c r="J42" s="188" t="str">
        <f>IF(_epmOfflineCondition_,"Y",_xll.EVPRO($B$1,$H42,"CALC"))</f>
        <v>Y</v>
      </c>
      <c r="K42" s="189" t="str">
        <f t="shared" si="0"/>
        <v/>
      </c>
      <c r="L42" s="190" t="str">
        <f>IF(_epmOfflineCondition_,"",_xll.EVPRO($B$1,H42,"JDEID"))</f>
        <v/>
      </c>
      <c r="M42" s="190" t="str">
        <f>IF(_epmOfflineCondition_,"",IF(AND(I42="N",J42="N"),_xll.EVPRO($B$1,H42,"PSFTID"),""))</f>
        <v/>
      </c>
      <c r="N42" s="190" t="str">
        <f>IF(_epmOfflineCondition_,"Total Labor Expense",IF(_xll.EVDES(H42,$B$1)="#NODATA","",_xll.EVDES(H42,$B$1)))</f>
        <v>Total Labor Expense</v>
      </c>
      <c r="O42" s="223">
        <v>39827.69</v>
      </c>
      <c r="P42" s="223">
        <v>43538.58</v>
      </c>
      <c r="Q42" s="223">
        <v>37748.31</v>
      </c>
      <c r="R42" s="223">
        <v>34630.730000000003</v>
      </c>
      <c r="S42" s="223">
        <v>43352.33</v>
      </c>
      <c r="T42" s="223">
        <v>49066.46</v>
      </c>
      <c r="U42" s="223">
        <v>40886.870000000003</v>
      </c>
      <c r="V42" s="223">
        <v>39358.769999999997</v>
      </c>
      <c r="W42" s="223">
        <v>47475.44</v>
      </c>
      <c r="X42" s="223">
        <v>51479.96</v>
      </c>
      <c r="Y42" s="223">
        <v>48202.96</v>
      </c>
      <c r="Z42" s="223">
        <v>73733.83</v>
      </c>
      <c r="AA42" s="223">
        <f t="shared" si="1"/>
        <v>549301.93000000005</v>
      </c>
      <c r="AB42" s="224">
        <f t="shared" si="7"/>
        <v>3.7284439924597033E-2</v>
      </c>
      <c r="AC42" s="225"/>
      <c r="AD42" s="223">
        <v>529544.08989166096</v>
      </c>
      <c r="AE42" s="224">
        <f t="shared" si="8"/>
        <v>3.6207198877092547E-2</v>
      </c>
      <c r="AF42" s="226">
        <f t="shared" si="9"/>
        <v>19757.840108339093</v>
      </c>
      <c r="AG42" s="223">
        <v>431968.96</v>
      </c>
      <c r="AH42" s="224">
        <f t="shared" si="10"/>
        <v>3.6280021336402721E-2</v>
      </c>
      <c r="AI42" s="226">
        <f t="shared" si="11"/>
        <v>117332.97000000003</v>
      </c>
      <c r="AJ42" s="227">
        <f t="shared" si="2"/>
        <v>11.401036322125364</v>
      </c>
      <c r="AK42" s="228">
        <f t="shared" si="3"/>
        <v>10.990952467655895</v>
      </c>
      <c r="AL42" s="230">
        <f t="shared" si="4"/>
        <v>8.9657318389373195</v>
      </c>
      <c r="AM42" s="427" t="str">
        <f t="shared" si="5"/>
        <v>0.11 pts.</v>
      </c>
      <c r="AN42" s="478" t="str">
        <f t="shared" si="6"/>
        <v>0.1 pts.</v>
      </c>
      <c r="AO42" s="11"/>
    </row>
    <row r="43" spans="1:41" x14ac:dyDescent="0.25">
      <c r="A43" s="11"/>
      <c r="B43" s="11"/>
      <c r="C43" s="208"/>
      <c r="D43" s="11"/>
      <c r="E43" s="11"/>
      <c r="F43" s="11"/>
      <c r="G43" s="88" t="s">
        <v>497</v>
      </c>
      <c r="H43" s="185" t="s">
        <v>850</v>
      </c>
      <c r="I43" s="122" t="str">
        <f>IF(_epmOfflineCondition_,"T3",_xll.EVPRO($B$1,$H43,"STYLE"))</f>
        <v>T3</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IF(_epmOfflineCondition_,"Payroll Taxes",IF(_xll.EVDES(H43,$B$1)="#NODATA","",_xll.EVDES(H43,$B$1)))</f>
        <v>Payroll Taxes</v>
      </c>
      <c r="O43" s="239">
        <v>3310.11</v>
      </c>
      <c r="P43" s="239">
        <v>3028.26</v>
      </c>
      <c r="Q43" s="239">
        <v>2786.14</v>
      </c>
      <c r="R43" s="239">
        <v>2511.4699999999998</v>
      </c>
      <c r="S43" s="239">
        <v>4054.81</v>
      </c>
      <c r="T43" s="239">
        <v>3225.07</v>
      </c>
      <c r="U43" s="239">
        <v>3164.56</v>
      </c>
      <c r="V43" s="239">
        <v>2454.5100000000002</v>
      </c>
      <c r="W43" s="239">
        <v>2971.51</v>
      </c>
      <c r="X43" s="239">
        <v>3561.78</v>
      </c>
      <c r="Y43" s="239">
        <v>3654.41</v>
      </c>
      <c r="Z43" s="239">
        <v>5253.86</v>
      </c>
      <c r="AA43" s="239">
        <f t="shared" si="1"/>
        <v>39976.490000000005</v>
      </c>
      <c r="AB43" s="240">
        <f t="shared" si="7"/>
        <v>2.7134458453500318E-3</v>
      </c>
      <c r="AC43" s="140"/>
      <c r="AD43" s="239">
        <v>41427.775992848001</v>
      </c>
      <c r="AE43" s="240">
        <f t="shared" si="8"/>
        <v>2.8325945904061896E-3</v>
      </c>
      <c r="AF43" s="241">
        <f t="shared" si="9"/>
        <v>-1451.2859928479957</v>
      </c>
      <c r="AG43" s="239">
        <v>34361.78</v>
      </c>
      <c r="AH43" s="240">
        <f t="shared" si="10"/>
        <v>2.8859622495949156E-3</v>
      </c>
      <c r="AI43" s="241">
        <f t="shared" si="11"/>
        <v>5614.7100000000064</v>
      </c>
      <c r="AJ43" s="532">
        <f t="shared" si="2"/>
        <v>0.82973204649232057</v>
      </c>
      <c r="AK43" s="533">
        <f t="shared" si="3"/>
        <v>0.85985421321809885</v>
      </c>
      <c r="AL43" s="534">
        <f t="shared" si="4"/>
        <v>0.71319593192195929</v>
      </c>
      <c r="AM43" s="535" t="str">
        <f t="shared" si="5"/>
        <v>-0.01 pts.</v>
      </c>
      <c r="AN43" s="536" t="str">
        <f t="shared" si="6"/>
        <v>-0.02 pts.</v>
      </c>
      <c r="AO43" s="11"/>
    </row>
    <row r="44" spans="1:41" x14ac:dyDescent="0.25">
      <c r="A44" s="11"/>
      <c r="B44" s="11"/>
      <c r="C44" s="11"/>
      <c r="D44" s="11"/>
      <c r="E44" s="11"/>
      <c r="F44" s="11"/>
      <c r="G44" s="88" t="s">
        <v>497</v>
      </c>
      <c r="H44" s="185" t="s">
        <v>851</v>
      </c>
      <c r="I44" s="122" t="str">
        <f>IF(_epmOfflineCondition_,"T3",_xll.EVPRO($B$1,$H44,"STYLE"))</f>
        <v>T3</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IF(_epmOfflineCondition_,"Supplemental Pay",IF(_xll.EVDES(H44,$B$1)="#NODATA","",_xll.EVDES(H44,$B$1)))</f>
        <v>Supplemental Pay</v>
      </c>
      <c r="O44" s="239">
        <v>4233.5600000000004</v>
      </c>
      <c r="P44" s="239">
        <v>1658.49</v>
      </c>
      <c r="Q44" s="239">
        <v>1705.02</v>
      </c>
      <c r="R44" s="239">
        <v>2169.9299999999998</v>
      </c>
      <c r="S44" s="239">
        <v>2870.69</v>
      </c>
      <c r="T44" s="239">
        <v>1968.47</v>
      </c>
      <c r="U44" s="239">
        <v>3772.54</v>
      </c>
      <c r="V44" s="239">
        <v>3202.5</v>
      </c>
      <c r="W44" s="239">
        <v>3611.68</v>
      </c>
      <c r="X44" s="239">
        <v>2246.11</v>
      </c>
      <c r="Y44" s="239">
        <v>4064.29</v>
      </c>
      <c r="Z44" s="239">
        <v>3939.7</v>
      </c>
      <c r="AA44" s="239">
        <f t="shared" si="1"/>
        <v>35442.980000000003</v>
      </c>
      <c r="AB44" s="240">
        <f t="shared" si="7"/>
        <v>2.4057291379964642E-3</v>
      </c>
      <c r="AC44" s="140"/>
      <c r="AD44" s="215">
        <v>38784.910919470101</v>
      </c>
      <c r="AE44" s="217">
        <f t="shared" si="8"/>
        <v>2.6518905788918833E-3</v>
      </c>
      <c r="AF44" s="218">
        <f t="shared" si="9"/>
        <v>-3341.9309194700982</v>
      </c>
      <c r="AG44" s="215">
        <v>38166</v>
      </c>
      <c r="AH44" s="217">
        <f t="shared" si="10"/>
        <v>3.205469426148458E-3</v>
      </c>
      <c r="AI44" s="218">
        <f t="shared" si="11"/>
        <v>-2723.0199999999968</v>
      </c>
      <c r="AJ44" s="471">
        <f t="shared" si="2"/>
        <v>0.7356367787463679</v>
      </c>
      <c r="AK44" s="472">
        <f t="shared" si="3"/>
        <v>0.80500022663906401</v>
      </c>
      <c r="AL44" s="473">
        <f t="shared" si="4"/>
        <v>0.7921544209215442</v>
      </c>
      <c r="AM44" s="474" t="str">
        <f t="shared" si="5"/>
        <v>-0.02 pts.</v>
      </c>
      <c r="AN44" s="475" t="str">
        <f t="shared" si="6"/>
        <v>-0.08 pts.</v>
      </c>
      <c r="AO44" s="11"/>
    </row>
    <row r="45" spans="1:41" x14ac:dyDescent="0.25">
      <c r="A45" s="61" t="str">
        <f>IF(_epmOfflineCondition_,"Evdre:Ok",_xll.EVDRE($B$1,A48:B55))</f>
        <v>Evdre:Ok</v>
      </c>
      <c r="B45" s="11" t="s">
        <v>736</v>
      </c>
      <c r="C45" s="11"/>
      <c r="D45" s="11"/>
      <c r="E45" s="11"/>
      <c r="F45" s="11"/>
      <c r="G45" s="88" t="s">
        <v>497</v>
      </c>
      <c r="H45" s="185" t="s">
        <v>852</v>
      </c>
      <c r="I45" s="122" t="str">
        <f>IF(_epmOfflineCondition_,"T3",_xll.EVPRO($B$1,$H45,"STYLE"))</f>
        <v>T3</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IF(_epmOfflineCondition_,"Employee Benefits",IF(_xll.EVDES(H45,$B$1)="#NODATA","",_xll.EVDES(H45,$B$1)))</f>
        <v>Employee Benefits</v>
      </c>
      <c r="O45" s="239">
        <v>1949.06</v>
      </c>
      <c r="P45" s="239">
        <v>3429.79</v>
      </c>
      <c r="Q45" s="239">
        <v>3133.9</v>
      </c>
      <c r="R45" s="239">
        <v>2997.26</v>
      </c>
      <c r="S45" s="239">
        <v>3531.39</v>
      </c>
      <c r="T45" s="239">
        <v>3907.13</v>
      </c>
      <c r="U45" s="239">
        <v>3746.29</v>
      </c>
      <c r="V45" s="239">
        <v>3901.88</v>
      </c>
      <c r="W45" s="239">
        <v>1036.72</v>
      </c>
      <c r="X45" s="239">
        <v>5740.44</v>
      </c>
      <c r="Y45" s="239">
        <v>4025.59</v>
      </c>
      <c r="Z45" s="239">
        <v>4816.8100000000004</v>
      </c>
      <c r="AA45" s="239">
        <f t="shared" si="1"/>
        <v>42216.259999999995</v>
      </c>
      <c r="AB45" s="240">
        <f t="shared" si="7"/>
        <v>2.8654725640799559E-3</v>
      </c>
      <c r="AC45" s="140"/>
      <c r="AD45" s="215">
        <v>42405.378482968903</v>
      </c>
      <c r="AE45" s="217">
        <f t="shared" si="8"/>
        <v>2.8994374623373823E-3</v>
      </c>
      <c r="AF45" s="218">
        <f t="shared" si="9"/>
        <v>-189.11848296890821</v>
      </c>
      <c r="AG45" s="215">
        <v>33487.919999999998</v>
      </c>
      <c r="AH45" s="217">
        <f t="shared" si="10"/>
        <v>2.8125688755778824E-3</v>
      </c>
      <c r="AI45" s="218">
        <f t="shared" si="11"/>
        <v>8728.3399999999965</v>
      </c>
      <c r="AJ45" s="471">
        <f t="shared" si="2"/>
        <v>0.87621959319219578</v>
      </c>
      <c r="AK45" s="472">
        <f t="shared" si="3"/>
        <v>0.88014484190470943</v>
      </c>
      <c r="AL45" s="473">
        <f t="shared" si="4"/>
        <v>0.6950585305105853</v>
      </c>
      <c r="AM45" s="474" t="str">
        <f t="shared" si="5"/>
        <v>0 pts.</v>
      </c>
      <c r="AN45" s="475" t="str">
        <f t="shared" si="6"/>
        <v>0.01 pts.</v>
      </c>
      <c r="AO45" s="11"/>
    </row>
    <row r="46" spans="1:41" x14ac:dyDescent="0.25">
      <c r="A46" s="11"/>
      <c r="B46" s="11"/>
      <c r="C46" s="11"/>
      <c r="D46" s="11"/>
      <c r="E46" s="11"/>
      <c r="F46" s="11"/>
      <c r="G46" s="88" t="s">
        <v>497</v>
      </c>
      <c r="H46" s="185" t="s">
        <v>853</v>
      </c>
      <c r="I46" s="188" t="str">
        <f>IF(_epmOfflineCondition_,"T2",_xll.EVPRO($B$1,$H46,"STYLE"))</f>
        <v>T2</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Payroll Related",IF(_xll.EVDES(H46,$B$1)="#NODATA","",_xll.EVDES(H46,$B$1)))</f>
        <v>Total Payroll Related</v>
      </c>
      <c r="O46" s="242">
        <v>9492.73</v>
      </c>
      <c r="P46" s="242">
        <v>8116.54</v>
      </c>
      <c r="Q46" s="242">
        <v>7625.06</v>
      </c>
      <c r="R46" s="242">
        <v>7678.66</v>
      </c>
      <c r="S46" s="242">
        <v>10456.89</v>
      </c>
      <c r="T46" s="242">
        <v>9100.67</v>
      </c>
      <c r="U46" s="242">
        <v>10683.39</v>
      </c>
      <c r="V46" s="242">
        <v>9558.89</v>
      </c>
      <c r="W46" s="242">
        <v>7619.91</v>
      </c>
      <c r="X46" s="242">
        <v>11548.33</v>
      </c>
      <c r="Y46" s="242">
        <v>11744.29</v>
      </c>
      <c r="Z46" s="242">
        <v>14010.37</v>
      </c>
      <c r="AA46" s="242">
        <f t="shared" si="1"/>
        <v>117635.73000000001</v>
      </c>
      <c r="AB46" s="243">
        <f t="shared" si="7"/>
        <v>7.9846475474264524E-3</v>
      </c>
      <c r="AC46" s="244"/>
      <c r="AD46" s="242">
        <v>122618.06539528701</v>
      </c>
      <c r="AE46" s="243">
        <f t="shared" si="8"/>
        <v>8.383922631635456E-3</v>
      </c>
      <c r="AF46" s="245">
        <f t="shared" si="9"/>
        <v>-4982.3353952869948</v>
      </c>
      <c r="AG46" s="242">
        <v>106015.7</v>
      </c>
      <c r="AH46" s="243">
        <f t="shared" si="10"/>
        <v>8.9040005513212565E-3</v>
      </c>
      <c r="AI46" s="245">
        <f t="shared" si="11"/>
        <v>11620.030000000013</v>
      </c>
      <c r="AJ46" s="246">
        <f t="shared" si="2"/>
        <v>2.4415884184308845</v>
      </c>
      <c r="AK46" s="247">
        <f t="shared" si="3"/>
        <v>2.5449992817618723</v>
      </c>
      <c r="AL46" s="249">
        <f t="shared" si="4"/>
        <v>2.2004088833540889</v>
      </c>
      <c r="AM46" s="431" t="str">
        <f t="shared" si="5"/>
        <v>-0.04 pts.</v>
      </c>
      <c r="AN46" s="487" t="str">
        <f t="shared" si="6"/>
        <v>-0.09 pts.</v>
      </c>
      <c r="AO46" s="11"/>
    </row>
    <row r="47" spans="1:41" x14ac:dyDescent="0.25">
      <c r="A47" s="62" t="s">
        <v>0</v>
      </c>
      <c r="B47" s="63" t="s">
        <v>1</v>
      </c>
      <c r="C47" s="11"/>
      <c r="D47" s="11"/>
      <c r="E47" s="11"/>
      <c r="F47" s="11"/>
      <c r="G47" s="88" t="s">
        <v>497</v>
      </c>
      <c r="H47" s="185" t="s">
        <v>76</v>
      </c>
      <c r="I47" s="188" t="str">
        <f>IF(_epmOfflineCondition_,"T1",_xll.EVPRO($B$1,$H47,"STYLE"))</f>
        <v>T1</v>
      </c>
      <c r="J47" s="188" t="str">
        <f>IF(_epmOfflineCondition_,"Y",_xll.EVPRO($B$1,$H47,"CALC"))</f>
        <v>Y</v>
      </c>
      <c r="K47" s="189" t="str">
        <f t="shared" si="0"/>
        <v/>
      </c>
      <c r="L47" s="190" t="str">
        <f>IF(_epmOfflineCondition_,"600000",_xll.EVPRO($B$1,H47,"JDEID"))</f>
        <v>600000</v>
      </c>
      <c r="M47" s="190" t="str">
        <f>IF(_epmOfflineCondition_,"",IF(AND(I47="N",J47="N"),_xll.EVPRO($B$1,H47,"PSFTID"),""))</f>
        <v/>
      </c>
      <c r="N47" s="190" t="str">
        <f>IF(_epmOfflineCondition_,"Total Labor &amp; Related Exp",IF(_xll.EVDES(H47,$B$1)="#NODATA","",_xll.EVDES(H47,$B$1)))</f>
        <v>Total Labor &amp; Related Exp</v>
      </c>
      <c r="O47" s="242">
        <v>49320.42</v>
      </c>
      <c r="P47" s="242">
        <v>51655.12</v>
      </c>
      <c r="Q47" s="242">
        <v>45373.37</v>
      </c>
      <c r="R47" s="242">
        <v>42309.39</v>
      </c>
      <c r="S47" s="242">
        <v>53809.22</v>
      </c>
      <c r="T47" s="242">
        <v>58167.13</v>
      </c>
      <c r="U47" s="242">
        <v>51570.26</v>
      </c>
      <c r="V47" s="242">
        <v>48917.66</v>
      </c>
      <c r="W47" s="242">
        <v>55095.35</v>
      </c>
      <c r="X47" s="242">
        <v>63028.29</v>
      </c>
      <c r="Y47" s="242">
        <v>59947.25</v>
      </c>
      <c r="Z47" s="242">
        <v>87744.2</v>
      </c>
      <c r="AA47" s="242">
        <f t="shared" si="1"/>
        <v>666937.65999999992</v>
      </c>
      <c r="AB47" s="243">
        <f t="shared" si="7"/>
        <v>4.5269087472023475E-2</v>
      </c>
      <c r="AC47" s="244"/>
      <c r="AD47" s="242">
        <v>652162.15528694796</v>
      </c>
      <c r="AE47" s="243">
        <f t="shared" si="8"/>
        <v>4.4591121508728002E-2</v>
      </c>
      <c r="AF47" s="245">
        <f t="shared" si="9"/>
        <v>14775.504713051952</v>
      </c>
      <c r="AG47" s="242">
        <v>537984.66</v>
      </c>
      <c r="AH47" s="243">
        <f t="shared" si="10"/>
        <v>4.5184021887723975E-2</v>
      </c>
      <c r="AI47" s="245">
        <f t="shared" si="11"/>
        <v>128952.99999999988</v>
      </c>
      <c r="AJ47" s="246">
        <f t="shared" si="2"/>
        <v>13.842624740556246</v>
      </c>
      <c r="AK47" s="247">
        <f t="shared" si="3"/>
        <v>13.535951749417766</v>
      </c>
      <c r="AL47" s="249">
        <f t="shared" si="4"/>
        <v>11.166140722291408</v>
      </c>
      <c r="AM47" s="431" t="str">
        <f t="shared" si="5"/>
        <v>0.07 pts.</v>
      </c>
      <c r="AN47" s="487" t="str">
        <f t="shared" si="6"/>
        <v>0.01 pts.</v>
      </c>
      <c r="AO47" s="11"/>
    </row>
    <row r="48" spans="1:41" x14ac:dyDescent="0.25">
      <c r="A48" s="65" t="s">
        <v>2</v>
      </c>
      <c r="B48" s="66" t="str">
        <f>IF(_epmOfflineCondition_,"'AG'!$B$2:$B$10",_xll.EVRNG($B$2:$B$10))</f>
        <v>'AG'!$B$2:$B$10</v>
      </c>
      <c r="C48" s="11"/>
      <c r="D48" s="11"/>
      <c r="E48" s="11"/>
      <c r="F48" s="11"/>
      <c r="G48" s="106"/>
      <c r="H48" s="106"/>
      <c r="I48" s="106"/>
      <c r="J48" s="106"/>
      <c r="K48" s="106"/>
      <c r="L48" s="106"/>
      <c r="M48" s="106"/>
      <c r="N48" s="106"/>
      <c r="O48" s="129"/>
      <c r="P48" s="130"/>
      <c r="Q48" s="130"/>
      <c r="R48" s="130"/>
      <c r="S48" s="130"/>
      <c r="T48" s="130"/>
      <c r="U48" s="130"/>
      <c r="V48" s="130"/>
      <c r="W48" s="130"/>
      <c r="X48" s="130"/>
      <c r="Y48" s="130"/>
      <c r="Z48" s="130"/>
      <c r="AA48" s="130"/>
      <c r="AB48" s="131"/>
      <c r="AC48" s="11"/>
      <c r="AD48" s="129"/>
      <c r="AE48" s="130"/>
      <c r="AF48" s="131"/>
      <c r="AG48" s="129"/>
      <c r="AH48" s="130"/>
      <c r="AI48" s="131"/>
      <c r="AJ48" s="11"/>
      <c r="AK48" s="11"/>
      <c r="AL48" s="11"/>
      <c r="AM48" s="11"/>
      <c r="AN48" s="11"/>
      <c r="AO48" s="11"/>
    </row>
    <row r="49" spans="1:41" x14ac:dyDescent="0.25">
      <c r="A49" s="65" t="s">
        <v>3</v>
      </c>
      <c r="B49" s="66" t="str">
        <f>IF(_epmOfflineCondition_,"'AG'!$O$16:$AN$18",_xll.EVRNG($O$16:$AN$18))</f>
        <v>'AG'!$O$16:$AN$18</v>
      </c>
      <c r="C49" s="11"/>
      <c r="D49" s="11"/>
      <c r="E49" s="11"/>
      <c r="F49" s="11"/>
      <c r="G49" s="76"/>
      <c r="H49" s="11" t="s">
        <v>82</v>
      </c>
      <c r="I49" s="59" t="str">
        <f>IF(_epmOfflineCondition_,"B1",_xll.EVPRO($B$1,$H49,"STYLE"))</f>
        <v>B1</v>
      </c>
      <c r="J49" s="59" t="str">
        <f>IF(_epmOfflineCondition_,"Y",_xll.EVPRO($B$1,$H49,"CALC"))</f>
        <v>Y</v>
      </c>
      <c r="K49" s="11"/>
      <c r="L49" s="11"/>
      <c r="M49" s="11"/>
      <c r="N49" s="105" t="str">
        <f>IF(_epmOfflineCondition_,"Other Expenses",IF(_xll.EVDES(H49,$B$1)="#NODATA","",_xll.EVDES(H49,$B$1)))</f>
        <v>Other Expenses</v>
      </c>
      <c r="O49" s="119"/>
      <c r="P49" s="120"/>
      <c r="Q49" s="120"/>
      <c r="R49" s="120"/>
      <c r="S49" s="120"/>
      <c r="T49" s="120"/>
      <c r="U49" s="120"/>
      <c r="V49" s="120"/>
      <c r="W49" s="120"/>
      <c r="X49" s="120"/>
      <c r="Y49" s="120"/>
      <c r="Z49" s="120"/>
      <c r="AA49" s="120"/>
      <c r="AB49" s="121"/>
      <c r="AC49" s="11"/>
      <c r="AD49" s="119"/>
      <c r="AE49" s="120"/>
      <c r="AF49" s="121"/>
      <c r="AG49" s="119"/>
      <c r="AH49" s="120"/>
      <c r="AI49" s="121"/>
      <c r="AJ49" s="11"/>
      <c r="AK49" s="11"/>
      <c r="AL49" s="11"/>
      <c r="AM49" s="11"/>
      <c r="AN49" s="11"/>
      <c r="AO49" s="11"/>
    </row>
    <row r="50" spans="1:41" x14ac:dyDescent="0.25">
      <c r="A50" s="65" t="s">
        <v>4</v>
      </c>
      <c r="B50" s="66" t="str">
        <f>IF(_epmOfflineCondition_,"'AG'!$G$67:$H$71",_xll.EVRNG(G67:H71))</f>
        <v>'AG'!$G$67:$H$71</v>
      </c>
      <c r="C50" s="11"/>
      <c r="D50" s="11"/>
      <c r="E50" s="11"/>
      <c r="F50" s="11"/>
      <c r="G50" s="88" t="s">
        <v>827</v>
      </c>
      <c r="H50" s="88" t="s">
        <v>828</v>
      </c>
      <c r="I50" s="122" t="str">
        <f>IF(_epmOfflineCondition_,"N",_xll.EVPRO($B$1,$H50,"STYLE"))</f>
        <v>N</v>
      </c>
      <c r="J50" s="122" t="str">
        <f>IF(_epmOfflineCondition_,"N",_xll.EVPRO($B$1,$H50,"CALC"))</f>
        <v>N</v>
      </c>
      <c r="K50" s="179" t="str">
        <f t="shared" ref="K50:K66" si="12">IF(AND(I50&gt;="T3"),"&gt;","")</f>
        <v/>
      </c>
      <c r="L50" s="90" t="str">
        <f>IF(_epmOfflineCondition_,"701100",_xll.EVPRO($B$1,H50,"JDEID"))</f>
        <v>701100</v>
      </c>
      <c r="M50" s="90" t="str">
        <f>IF(_epmOfflineCondition_,"690015",IF(AND(I50="N",J50="N"),_xll.EVPRO($B$1,H50,"PSFTID"),""))</f>
        <v>690015</v>
      </c>
      <c r="N50" s="90" t="str">
        <f>IF(_epmOfflineCondition_,"Dues and Subscriptions",IF(_xll.EVDES(H50,$B$1)="#NODATA","",_xll.EVDES(H50,$B$1)))</f>
        <v>Dues and Subscriptions</v>
      </c>
      <c r="O50" s="138"/>
      <c r="P50" s="138">
        <v>8.06</v>
      </c>
      <c r="Q50" s="138"/>
      <c r="R50" s="138"/>
      <c r="S50" s="138">
        <v>58.98</v>
      </c>
      <c r="T50" s="138"/>
      <c r="U50" s="138">
        <v>25</v>
      </c>
      <c r="V50" s="138">
        <v>40</v>
      </c>
      <c r="W50" s="138"/>
      <c r="X50" s="138">
        <v>115.01</v>
      </c>
      <c r="Y50" s="138"/>
      <c r="Z50" s="138"/>
      <c r="AA50" s="138">
        <f t="shared" ref="AA50:AA68" si="13">IF($I50="B1","",SUM(O50:Z50))</f>
        <v>247.05</v>
      </c>
      <c r="AB50" s="142">
        <f t="shared" ref="AB50:AB68" si="14">IF(AA50=0,"",IFERROR(AA50/AA$19,""))</f>
        <v>1.6768775750290366E-5</v>
      </c>
      <c r="AC50" s="140"/>
      <c r="AD50" s="138">
        <v>845</v>
      </c>
      <c r="AE50" s="142">
        <f t="shared" ref="AE50:AE68" si="15">IF(AD50=0,"",IFERROR(AD50/AD$19,""))</f>
        <v>5.7776271391118024E-5</v>
      </c>
      <c r="AF50" s="141">
        <f t="shared" ref="AF50:AF68" si="16">IF(AND($AA50="",AD50=""),"",$AA50-AD50)</f>
        <v>-597.95000000000005</v>
      </c>
      <c r="AG50" s="138">
        <v>420.5</v>
      </c>
      <c r="AH50" s="142">
        <f t="shared" ref="AH50:AH68" si="17">IF(AG50=0,"",IFERROR(AG50/AG$19,""))</f>
        <v>3.5316771306802558E-5</v>
      </c>
      <c r="AI50" s="141">
        <f t="shared" ref="AI50:AI68" si="18">IF(AND($AA50="",AG50=""),"",$AA50-AG50)</f>
        <v>-173.45</v>
      </c>
      <c r="AJ50" s="462">
        <f t="shared" ref="AJ50:AJ68" si="19">IFERROR(AA50/AA$20,0)</f>
        <v>5.1276463262764638E-3</v>
      </c>
      <c r="AK50" s="463">
        <f t="shared" ref="AK50:AK68" si="20">IFERROR(AD50/AD$20,0)</f>
        <v>1.7538397675383975E-2</v>
      </c>
      <c r="AL50" s="464">
        <f t="shared" ref="AL50:AL68" si="21">IFERROR(AG50/AG$20,0)</f>
        <v>8.7276878372768776E-3</v>
      </c>
      <c r="AM50" s="465" t="str">
        <f t="shared" ref="AM50:AM68" si="22">+IFERROR(ROUND(($AB50-AE50)*100,2)&amp;" pts.",0)</f>
        <v>0 pts.</v>
      </c>
      <c r="AN50" s="466" t="str">
        <f t="shared" ref="AN50:AN68" si="23">+IFERROR(ROUND(($AB50-AH50)*100,2)&amp;" pts.",0)</f>
        <v>0 pts.</v>
      </c>
      <c r="AO50" s="11"/>
    </row>
    <row r="51" spans="1:41" x14ac:dyDescent="0.25">
      <c r="A51" s="65" t="s">
        <v>5</v>
      </c>
      <c r="B51" s="66"/>
      <c r="C51" s="11"/>
      <c r="D51" s="11"/>
      <c r="E51" s="11"/>
      <c r="F51" s="11"/>
      <c r="G51" s="88" t="s">
        <v>827</v>
      </c>
      <c r="H51" s="88" t="s">
        <v>829</v>
      </c>
      <c r="I51" s="122" t="str">
        <f>IF(_epmOfflineCondition_,"N",_xll.EVPRO($B$1,$H51,"STYLE"))</f>
        <v>N</v>
      </c>
      <c r="J51" s="122" t="str">
        <f>IF(_epmOfflineCondition_,"N",_xll.EVPRO($B$1,$H51,"CALC"))</f>
        <v>N</v>
      </c>
      <c r="K51" s="179" t="str">
        <f t="shared" si="12"/>
        <v/>
      </c>
      <c r="L51" s="90" t="str">
        <f>IF(_epmOfflineCondition_,"701200",_xll.EVPRO($B$1,H51,"JDEID"))</f>
        <v>701200</v>
      </c>
      <c r="M51" s="90" t="str">
        <f>IF(_epmOfflineCondition_,"690010",IF(AND(I51="N",J51="N"),_xll.EVPRO($B$1,H51,"PSFTID"),""))</f>
        <v>690010</v>
      </c>
      <c r="N51" s="90" t="str">
        <f>IF(_epmOfflineCondition_,"Postage and Overnight Delivery",IF(_xll.EVDES(H51,$B$1)="#NODATA","",_xll.EVDES(H51,$B$1)))</f>
        <v>Postage and Overnight Delivery</v>
      </c>
      <c r="O51" s="138">
        <v>98.93</v>
      </c>
      <c r="P51" s="138">
        <v>150.76</v>
      </c>
      <c r="Q51" s="138">
        <v>113.55</v>
      </c>
      <c r="R51" s="138">
        <v>118.04</v>
      </c>
      <c r="S51" s="138">
        <v>43.59</v>
      </c>
      <c r="T51" s="138">
        <v>153.94999999999999</v>
      </c>
      <c r="U51" s="138">
        <v>66.16</v>
      </c>
      <c r="V51" s="138">
        <v>135.74</v>
      </c>
      <c r="W51" s="138"/>
      <c r="X51" s="138">
        <v>82.97</v>
      </c>
      <c r="Y51" s="138">
        <v>51.54</v>
      </c>
      <c r="Z51" s="138">
        <v>66.84</v>
      </c>
      <c r="AA51" s="138">
        <f t="shared" si="13"/>
        <v>1082.07</v>
      </c>
      <c r="AB51" s="142">
        <f t="shared" si="14"/>
        <v>7.3446626901909319E-5</v>
      </c>
      <c r="AC51" s="140"/>
      <c r="AD51" s="138">
        <v>1800</v>
      </c>
      <c r="AE51" s="142">
        <f t="shared" si="15"/>
        <v>1.2307371420593188E-4</v>
      </c>
      <c r="AF51" s="141">
        <f t="shared" si="16"/>
        <v>-717.93000000000006</v>
      </c>
      <c r="AG51" s="138">
        <v>2645.59</v>
      </c>
      <c r="AH51" s="142">
        <f t="shared" si="17"/>
        <v>2.2219666349955719E-4</v>
      </c>
      <c r="AI51" s="141">
        <f t="shared" si="18"/>
        <v>-1563.5200000000002</v>
      </c>
      <c r="AJ51" s="462">
        <f t="shared" si="19"/>
        <v>2.2458904109589041E-2</v>
      </c>
      <c r="AK51" s="463">
        <f t="shared" si="20"/>
        <v>3.7359900373599E-2</v>
      </c>
      <c r="AL51" s="464">
        <f t="shared" si="21"/>
        <v>5.491054379410544E-2</v>
      </c>
      <c r="AM51" s="465" t="str">
        <f t="shared" si="22"/>
        <v>0 pts.</v>
      </c>
      <c r="AN51" s="466" t="str">
        <f t="shared" si="23"/>
        <v>-0.01 pts.</v>
      </c>
      <c r="AO51" s="11"/>
    </row>
    <row r="52" spans="1:41" x14ac:dyDescent="0.25">
      <c r="A52" s="65" t="s">
        <v>6</v>
      </c>
      <c r="B52" s="66"/>
      <c r="C52" s="11"/>
      <c r="D52" s="11"/>
      <c r="E52" s="11"/>
      <c r="F52" s="11"/>
      <c r="G52" s="88" t="s">
        <v>827</v>
      </c>
      <c r="H52" s="88" t="s">
        <v>830</v>
      </c>
      <c r="I52" s="122" t="str">
        <f>IF(_epmOfflineCondition_,"N",_xll.EVPRO($B$1,$H52,"STYLE"))</f>
        <v>N</v>
      </c>
      <c r="J52" s="122" t="str">
        <f>IF(_epmOfflineCondition_,"N",_xll.EVPRO($B$1,$H52,"CALC"))</f>
        <v>N</v>
      </c>
      <c r="K52" s="179" t="str">
        <f t="shared" si="12"/>
        <v/>
      </c>
      <c r="L52" s="90" t="str">
        <f>IF(_epmOfflineCondition_,"701400",_xll.EVPRO($B$1,H52,"JDEID"))</f>
        <v>701400</v>
      </c>
      <c r="M52" s="90" t="str">
        <f>IF(_epmOfflineCondition_,"590399",IF(AND(I52="N",J52="N"),_xll.EVPRO($B$1,H52,"PSFTID"),""))</f>
        <v>590399</v>
      </c>
      <c r="N52" s="90" t="str">
        <f>IF(_epmOfflineCondition_,"Professional Fees",IF(_xll.EVDES(H52,$B$1)="#NODATA","",_xll.EVDES(H52,$B$1)))</f>
        <v>Professional Fees</v>
      </c>
      <c r="O52" s="138">
        <v>2138.89</v>
      </c>
      <c r="P52" s="138">
        <v>-0.2</v>
      </c>
      <c r="Q52" s="138">
        <v>70</v>
      </c>
      <c r="R52" s="138">
        <v>86.24</v>
      </c>
      <c r="S52" s="138"/>
      <c r="T52" s="138"/>
      <c r="U52" s="138">
        <v>16.010000000000002</v>
      </c>
      <c r="V52" s="138"/>
      <c r="W52" s="138">
        <v>138.75</v>
      </c>
      <c r="X52" s="138"/>
      <c r="Y52" s="138"/>
      <c r="Z52" s="138">
        <v>70</v>
      </c>
      <c r="AA52" s="138">
        <f t="shared" si="13"/>
        <v>2519.69</v>
      </c>
      <c r="AB52" s="142">
        <f t="shared" si="14"/>
        <v>1.7102657992410091E-4</v>
      </c>
      <c r="AC52" s="140"/>
      <c r="AD52" s="138">
        <v>2000</v>
      </c>
      <c r="AE52" s="142">
        <f t="shared" si="15"/>
        <v>1.3674857133992433E-4</v>
      </c>
      <c r="AF52" s="141">
        <f t="shared" si="16"/>
        <v>519.69000000000005</v>
      </c>
      <c r="AG52" s="138">
        <v>4017.5</v>
      </c>
      <c r="AH52" s="142">
        <f t="shared" si="17"/>
        <v>3.374200445305096E-4</v>
      </c>
      <c r="AI52" s="141">
        <f t="shared" si="18"/>
        <v>-1497.81</v>
      </c>
      <c r="AJ52" s="462">
        <f t="shared" si="19"/>
        <v>5.2297426317974266E-2</v>
      </c>
      <c r="AK52" s="463">
        <f t="shared" si="20"/>
        <v>4.1511000415110001E-2</v>
      </c>
      <c r="AL52" s="464">
        <f t="shared" si="21"/>
        <v>8.3385222083852226E-2</v>
      </c>
      <c r="AM52" s="465" t="str">
        <f t="shared" si="22"/>
        <v>0 pts.</v>
      </c>
      <c r="AN52" s="466" t="str">
        <f t="shared" si="23"/>
        <v>-0.02 pts.</v>
      </c>
      <c r="AO52" s="11"/>
    </row>
    <row r="53" spans="1:41" x14ac:dyDescent="0.25">
      <c r="A53" s="65" t="s">
        <v>7</v>
      </c>
      <c r="B53" s="66"/>
      <c r="C53" s="11"/>
      <c r="D53" s="11"/>
      <c r="E53" s="11"/>
      <c r="F53" s="11"/>
      <c r="G53" s="88" t="s">
        <v>827</v>
      </c>
      <c r="H53" s="88" t="s">
        <v>831</v>
      </c>
      <c r="I53" s="122" t="str">
        <f>IF(_epmOfflineCondition_,"T4",_xll.EVPRO($B$1,$H53,"STYLE"))</f>
        <v>T4</v>
      </c>
      <c r="J53" s="122" t="str">
        <f>IF(_epmOfflineCondition_,"Y",_xll.EVPRO($B$1,$H53,"CALC"))</f>
        <v>Y</v>
      </c>
      <c r="K53" s="179" t="str">
        <f t="shared" si="12"/>
        <v>&gt;</v>
      </c>
      <c r="L53" s="90" t="str">
        <f>IF(_epmOfflineCondition_,"701500",_xll.EVPRO($B$1,H53,"JDEID"))</f>
        <v>701500</v>
      </c>
      <c r="M53" s="90" t="str">
        <f>IF(_epmOfflineCondition_,"",IF(AND(I53="N",J53="N"),_xll.EVPRO($B$1,H53,"PSFTID"),""))</f>
        <v/>
      </c>
      <c r="N53" s="90" t="str">
        <f>IF(_epmOfflineCondition_,"Operating Supplies",IF(_xll.EVDES(H53,$B$1)="#NODATA","",_xll.EVDES(H53,$B$1)))</f>
        <v>Operating Supplies</v>
      </c>
      <c r="O53" s="138">
        <v>-133.22</v>
      </c>
      <c r="P53" s="138">
        <v>536.4</v>
      </c>
      <c r="Q53" s="138">
        <v>374.47</v>
      </c>
      <c r="R53" s="138">
        <v>798.13</v>
      </c>
      <c r="S53" s="138">
        <v>43.8</v>
      </c>
      <c r="T53" s="138">
        <v>76.45</v>
      </c>
      <c r="U53" s="138">
        <v>35.299999999999997</v>
      </c>
      <c r="V53" s="138">
        <v>133.29</v>
      </c>
      <c r="W53" s="138">
        <v>190.44</v>
      </c>
      <c r="X53" s="138">
        <v>269.17</v>
      </c>
      <c r="Y53" s="138">
        <v>447.76</v>
      </c>
      <c r="Z53" s="138">
        <v>623.08000000000004</v>
      </c>
      <c r="AA53" s="138">
        <f t="shared" si="13"/>
        <v>3395.0699999999997</v>
      </c>
      <c r="AB53" s="142">
        <f t="shared" si="14"/>
        <v>2.3044390806127631E-4</v>
      </c>
      <c r="AC53" s="140"/>
      <c r="AD53" s="138">
        <v>3233.43</v>
      </c>
      <c r="AE53" s="142">
        <f t="shared" si="15"/>
        <v>2.2108346651382574E-4</v>
      </c>
      <c r="AF53" s="141">
        <f t="shared" si="16"/>
        <v>161.63999999999987</v>
      </c>
      <c r="AG53" s="138">
        <v>3655.54</v>
      </c>
      <c r="AH53" s="142">
        <f t="shared" si="17"/>
        <v>3.0701990531003338E-4</v>
      </c>
      <c r="AI53" s="141">
        <f t="shared" si="18"/>
        <v>-260.47000000000025</v>
      </c>
      <c r="AJ53" s="462">
        <f t="shared" si="19"/>
        <v>7.046637608966376E-2</v>
      </c>
      <c r="AK53" s="463">
        <f t="shared" si="20"/>
        <v>6.7111457036114569E-2</v>
      </c>
      <c r="AL53" s="464">
        <f t="shared" si="21"/>
        <v>7.5872561228725613E-2</v>
      </c>
      <c r="AM53" s="465" t="str">
        <f t="shared" si="22"/>
        <v>0 pts.</v>
      </c>
      <c r="AN53" s="466" t="str">
        <f t="shared" si="23"/>
        <v>-0.01 pts.</v>
      </c>
      <c r="AO53" s="11"/>
    </row>
    <row r="54" spans="1:41" x14ac:dyDescent="0.25">
      <c r="A54" s="65" t="s">
        <v>47</v>
      </c>
      <c r="B54" s="66" t="str">
        <f>IF(_epmOfflineCondition_,"'AG'!$A$59:$B$80",_xll.EVRNG($A$59:$B$80))</f>
        <v>'AG'!$A$59:$B$80</v>
      </c>
      <c r="C54" s="11"/>
      <c r="D54" s="11"/>
      <c r="E54" s="11"/>
      <c r="F54" s="11"/>
      <c r="G54" s="88" t="s">
        <v>827</v>
      </c>
      <c r="H54" s="88" t="s">
        <v>832</v>
      </c>
      <c r="I54" s="122" t="str">
        <f>IF(_epmOfflineCondition_,"T4",_xll.EVPRO($B$1,$H54,"STYLE"))</f>
        <v>T4</v>
      </c>
      <c r="J54" s="122" t="str">
        <f>IF(_epmOfflineCondition_,"Y",_xll.EVPRO($B$1,$H54,"CALC"))</f>
        <v>Y</v>
      </c>
      <c r="K54" s="179" t="str">
        <f t="shared" si="12"/>
        <v>&gt;</v>
      </c>
      <c r="L54" s="90" t="str">
        <f>IF(_epmOfflineCondition_,"",_xll.EVPRO($B$1,H54,"JDEID"))</f>
        <v/>
      </c>
      <c r="M54" s="90" t="str">
        <f>IF(_epmOfflineCondition_,"",IF(AND(I54="N",J54="N"),_xll.EVPRO($B$1,H54,"PSFTID"),""))</f>
        <v/>
      </c>
      <c r="N54" s="90" t="str">
        <f>IF(_epmOfflineCondition_,"Contract Services",IF(_xll.EVDES(H54,$B$1)="#NODATA","",_xll.EVDES(H54,$B$1)))</f>
        <v>Contract Services</v>
      </c>
      <c r="O54" s="138">
        <v>93.75</v>
      </c>
      <c r="P54" s="138">
        <v>93.75</v>
      </c>
      <c r="Q54" s="138">
        <v>93.75</v>
      </c>
      <c r="R54" s="138">
        <v>93.75</v>
      </c>
      <c r="S54" s="138">
        <v>93.75</v>
      </c>
      <c r="T54" s="138">
        <v>93.75</v>
      </c>
      <c r="U54" s="138">
        <v>93.75</v>
      </c>
      <c r="V54" s="138">
        <v>93.75</v>
      </c>
      <c r="W54" s="138">
        <v>93.75</v>
      </c>
      <c r="X54" s="138">
        <v>93.75</v>
      </c>
      <c r="Y54" s="138">
        <v>93.75</v>
      </c>
      <c r="Z54" s="138">
        <v>93.75</v>
      </c>
      <c r="AA54" s="138">
        <f t="shared" si="13"/>
        <v>1125</v>
      </c>
      <c r="AB54" s="142">
        <f t="shared" si="14"/>
        <v>7.6360545310976164E-5</v>
      </c>
      <c r="AC54" s="140"/>
      <c r="AD54" s="138">
        <v>1494.9999999996</v>
      </c>
      <c r="AE54" s="142">
        <f t="shared" si="15"/>
        <v>1.0221955707656609E-4</v>
      </c>
      <c r="AF54" s="141">
        <f t="shared" si="16"/>
        <v>-369.99999999960005</v>
      </c>
      <c r="AG54" s="138">
        <v>1402.96</v>
      </c>
      <c r="AH54" s="142">
        <f t="shared" si="17"/>
        <v>1.178311949407651E-4</v>
      </c>
      <c r="AI54" s="141">
        <f t="shared" si="18"/>
        <v>-277.96000000000004</v>
      </c>
      <c r="AJ54" s="462">
        <f t="shared" si="19"/>
        <v>2.3349937733499377E-2</v>
      </c>
      <c r="AK54" s="463">
        <f t="shared" si="20"/>
        <v>3.1029472810286427E-2</v>
      </c>
      <c r="AL54" s="464">
        <f t="shared" si="21"/>
        <v>2.9119136571191365E-2</v>
      </c>
      <c r="AM54" s="465" t="str">
        <f t="shared" si="22"/>
        <v>0 pts.</v>
      </c>
      <c r="AN54" s="466" t="str">
        <f t="shared" si="23"/>
        <v>0 pts.</v>
      </c>
      <c r="AO54" s="11"/>
    </row>
    <row r="55" spans="1:41" x14ac:dyDescent="0.25">
      <c r="A55" s="65" t="s">
        <v>8</v>
      </c>
      <c r="B55" s="66"/>
      <c r="C55" s="11"/>
      <c r="D55" s="11"/>
      <c r="E55" s="11"/>
      <c r="F55" s="11"/>
      <c r="G55" s="88" t="s">
        <v>827</v>
      </c>
      <c r="H55" s="88" t="s">
        <v>833</v>
      </c>
      <c r="I55" s="122" t="str">
        <f>IF(_epmOfflineCondition_,"T4",_xll.EVPRO($B$1,$H55,"STYLE"))</f>
        <v>T4</v>
      </c>
      <c r="J55" s="122" t="str">
        <f>IF(_epmOfflineCondition_,"Y",_xll.EVPRO($B$1,$H55,"CALC"))</f>
        <v>Y</v>
      </c>
      <c r="K55" s="179" t="str">
        <f t="shared" si="12"/>
        <v>&gt;</v>
      </c>
      <c r="L55" s="90" t="str">
        <f>IF(_epmOfflineCondition_,"",_xll.EVPRO($B$1,H55,"JDEID"))</f>
        <v/>
      </c>
      <c r="M55" s="90" t="str">
        <f>IF(_epmOfflineCondition_,"",IF(AND(I55="N",J55="N"),_xll.EVPRO($B$1,H55,"PSFTID"),""))</f>
        <v/>
      </c>
      <c r="N55" s="90" t="str">
        <f>IF(_epmOfflineCondition_,"Travel - Other",IF(_xll.EVDES(H55,$B$1)="#NODATA","",_xll.EVDES(H55,$B$1)))</f>
        <v>Travel - Other</v>
      </c>
      <c r="O55" s="138">
        <v>26.57</v>
      </c>
      <c r="P55" s="138">
        <v>101.71</v>
      </c>
      <c r="Q55" s="138">
        <v>77.39</v>
      </c>
      <c r="R55" s="138">
        <v>78.95</v>
      </c>
      <c r="S55" s="138">
        <v>719.58</v>
      </c>
      <c r="T55" s="138"/>
      <c r="U55" s="138">
        <v>148.08000000000001</v>
      </c>
      <c r="V55" s="138">
        <v>428.43</v>
      </c>
      <c r="W55" s="138"/>
      <c r="X55" s="138"/>
      <c r="Y55" s="138">
        <v>35.909999999999997</v>
      </c>
      <c r="Z55" s="138">
        <v>47.83</v>
      </c>
      <c r="AA55" s="138">
        <f t="shared" si="13"/>
        <v>1664.45</v>
      </c>
      <c r="AB55" s="142">
        <f t="shared" si="14"/>
        <v>1.1297627523809269E-4</v>
      </c>
      <c r="AC55" s="140"/>
      <c r="AD55" s="138">
        <v>4512</v>
      </c>
      <c r="AE55" s="142">
        <f t="shared" si="15"/>
        <v>3.0850477694286928E-4</v>
      </c>
      <c r="AF55" s="141">
        <f t="shared" si="16"/>
        <v>-2847.55</v>
      </c>
      <c r="AG55" s="138">
        <v>140.49</v>
      </c>
      <c r="AH55" s="142">
        <f t="shared" si="17"/>
        <v>1.1799413081789992E-5</v>
      </c>
      <c r="AI55" s="141">
        <f t="shared" si="18"/>
        <v>1523.96</v>
      </c>
      <c r="AJ55" s="462">
        <f t="shared" si="19"/>
        <v>3.4546492320464924E-2</v>
      </c>
      <c r="AK55" s="463">
        <f t="shared" si="20"/>
        <v>9.3648816936488175E-2</v>
      </c>
      <c r="AL55" s="464">
        <f t="shared" si="21"/>
        <v>2.9159402241594025E-3</v>
      </c>
      <c r="AM55" s="465" t="str">
        <f t="shared" si="22"/>
        <v>-0.02 pts.</v>
      </c>
      <c r="AN55" s="466" t="str">
        <f t="shared" si="23"/>
        <v>0.01 pts.</v>
      </c>
      <c r="AO55" s="11"/>
    </row>
    <row r="56" spans="1:41" x14ac:dyDescent="0.25">
      <c r="A56" s="11"/>
      <c r="B56" s="11"/>
      <c r="C56" s="11"/>
      <c r="D56" s="11"/>
      <c r="E56" s="11"/>
      <c r="F56" s="11"/>
      <c r="G56" s="88" t="s">
        <v>827</v>
      </c>
      <c r="H56" s="88" t="s">
        <v>834</v>
      </c>
      <c r="I56" s="122" t="str">
        <f>IF(_epmOfflineCondition_,"T4",_xll.EVPRO($B$1,$H56,"STYLE"))</f>
        <v>T4</v>
      </c>
      <c r="J56" s="122" t="str">
        <f>IF(_epmOfflineCondition_,"Y",_xll.EVPRO($B$1,$H56,"CALC"))</f>
        <v>Y</v>
      </c>
      <c r="K56" s="179" t="str">
        <f t="shared" si="12"/>
        <v>&gt;</v>
      </c>
      <c r="L56" s="90" t="str">
        <f>IF(_epmOfflineCondition_,"702900",_xll.EVPRO($B$1,H56,"JDEID"))</f>
        <v>702900</v>
      </c>
      <c r="M56" s="90" t="str">
        <f>IF(_epmOfflineCondition_,"",IF(AND(I56="N",J56="N"),_xll.EVPRO($B$1,H56,"PSFTID"),""))</f>
        <v/>
      </c>
      <c r="N56" s="90" t="str">
        <f>IF(_epmOfflineCondition_,"Travel - Meals &amp; Entertainment",IF(_xll.EVDES(H56,$B$1)="#NODATA","",_xll.EVDES(H56,$B$1)))</f>
        <v>Travel - Meals &amp; Entertainment</v>
      </c>
      <c r="O56" s="138">
        <v>1.99</v>
      </c>
      <c r="P56" s="138"/>
      <c r="Q56" s="138">
        <v>11.03</v>
      </c>
      <c r="R56" s="138">
        <v>325.68</v>
      </c>
      <c r="S56" s="138">
        <v>36.25</v>
      </c>
      <c r="T56" s="138"/>
      <c r="U56" s="138">
        <v>715.14</v>
      </c>
      <c r="V56" s="138">
        <v>4.28</v>
      </c>
      <c r="W56" s="138">
        <v>34.85</v>
      </c>
      <c r="X56" s="138">
        <v>65.489999999999995</v>
      </c>
      <c r="Y56" s="138">
        <v>60.68</v>
      </c>
      <c r="Z56" s="138"/>
      <c r="AA56" s="138">
        <f t="shared" si="13"/>
        <v>1255.3899999999999</v>
      </c>
      <c r="AB56" s="142">
        <f t="shared" si="14"/>
        <v>8.5210902202618988E-5</v>
      </c>
      <c r="AC56" s="140"/>
      <c r="AD56" s="138">
        <v>2500</v>
      </c>
      <c r="AE56" s="142">
        <f t="shared" si="15"/>
        <v>1.709357141749054E-4</v>
      </c>
      <c r="AF56" s="141">
        <f t="shared" si="16"/>
        <v>-1244.6100000000001</v>
      </c>
      <c r="AG56" s="138">
        <v>2103.64</v>
      </c>
      <c r="AH56" s="142">
        <f t="shared" si="17"/>
        <v>1.7667960235872088E-4</v>
      </c>
      <c r="AI56" s="141">
        <f t="shared" si="18"/>
        <v>-848.25</v>
      </c>
      <c r="AJ56" s="462">
        <f t="shared" si="19"/>
        <v>2.605624740556247E-2</v>
      </c>
      <c r="AK56" s="463">
        <f t="shared" si="20"/>
        <v>5.1888750518887507E-2</v>
      </c>
      <c r="AL56" s="464">
        <f t="shared" si="21"/>
        <v>4.3662100456621E-2</v>
      </c>
      <c r="AM56" s="465" t="str">
        <f t="shared" si="22"/>
        <v>-0.01 pts.</v>
      </c>
      <c r="AN56" s="466" t="str">
        <f t="shared" si="23"/>
        <v>-0.01 pts.</v>
      </c>
      <c r="AO56" s="11"/>
    </row>
    <row r="57" spans="1:41" x14ac:dyDescent="0.25">
      <c r="A57" s="11"/>
      <c r="B57" s="11"/>
      <c r="C57" s="11"/>
      <c r="D57" s="11"/>
      <c r="E57" s="11"/>
      <c r="F57" s="11"/>
      <c r="G57" s="88" t="s">
        <v>827</v>
      </c>
      <c r="H57" s="88" t="s">
        <v>835</v>
      </c>
      <c r="I57" s="122" t="str">
        <f>IF(_epmOfflineCondition_,"N",_xll.EVPRO($B$1,$H57,"STYLE"))</f>
        <v>N</v>
      </c>
      <c r="J57" s="122" t="str">
        <f>IF(_epmOfflineCondition_,"N",_xll.EVPRO($B$1,$H57,"CALC"))</f>
        <v>N</v>
      </c>
      <c r="K57" s="179" t="str">
        <f t="shared" si="12"/>
        <v/>
      </c>
      <c r="L57" s="90" t="str">
        <f>IF(_epmOfflineCondition_,"704600",_xll.EVPRO($B$1,H57,"JDEID"))</f>
        <v>704600</v>
      </c>
      <c r="M57" s="90" t="str">
        <f>IF(_epmOfflineCondition_,"590130",IF(AND(I57="N",J57="N"),_xll.EVPRO($B$1,H57,"PSFTID"),""))</f>
        <v>590130</v>
      </c>
      <c r="N57" s="90" t="str">
        <f>IF(_epmOfflineCondition_,"Credit Card Commissions",IF(_xll.EVDES(H57,$B$1)="#NODATA","",_xll.EVDES(H57,$B$1)))</f>
        <v>Credit Card Commissions</v>
      </c>
      <c r="O57" s="138">
        <v>36697.57</v>
      </c>
      <c r="P57" s="138">
        <v>46668.3</v>
      </c>
      <c r="Q57" s="138">
        <v>43933.46</v>
      </c>
      <c r="R57" s="138">
        <v>43511.35</v>
      </c>
      <c r="S57" s="138">
        <v>37688.910000000003</v>
      </c>
      <c r="T57" s="138">
        <v>24427.34</v>
      </c>
      <c r="U57" s="138">
        <v>29324.98</v>
      </c>
      <c r="V57" s="138">
        <v>24127.51</v>
      </c>
      <c r="W57" s="138">
        <v>19328.89</v>
      </c>
      <c r="X57" s="138">
        <v>26014.12</v>
      </c>
      <c r="Y57" s="138">
        <v>34606.68</v>
      </c>
      <c r="Z57" s="138">
        <v>40894.559999999998</v>
      </c>
      <c r="AA57" s="138">
        <f t="shared" si="13"/>
        <v>407223.67</v>
      </c>
      <c r="AB57" s="142">
        <f t="shared" si="14"/>
        <v>2.7640730226432892E-2</v>
      </c>
      <c r="AC57" s="140"/>
      <c r="AD57" s="138">
        <v>368559.60911443603</v>
      </c>
      <c r="AE57" s="142">
        <f t="shared" si="15"/>
        <v>2.5200000000000038E-2</v>
      </c>
      <c r="AF57" s="141">
        <f t="shared" si="16"/>
        <v>38664.060885563958</v>
      </c>
      <c r="AG57" s="138">
        <v>299782.90999999997</v>
      </c>
      <c r="AH57" s="142">
        <f t="shared" si="17"/>
        <v>2.5178036799423955E-2</v>
      </c>
      <c r="AI57" s="141">
        <f t="shared" si="18"/>
        <v>107440.76000000001</v>
      </c>
      <c r="AJ57" s="462">
        <f t="shared" si="19"/>
        <v>8.4521309672063101</v>
      </c>
      <c r="AK57" s="463">
        <f t="shared" si="20"/>
        <v>7.6496390434710673</v>
      </c>
      <c r="AL57" s="464">
        <f t="shared" si="21"/>
        <v>6.2221442507264424</v>
      </c>
      <c r="AM57" s="465" t="str">
        <f t="shared" si="22"/>
        <v>0.24 pts.</v>
      </c>
      <c r="AN57" s="466" t="str">
        <f t="shared" si="23"/>
        <v>0.25 pts.</v>
      </c>
      <c r="AO57" s="11"/>
    </row>
    <row r="58" spans="1:41" x14ac:dyDescent="0.25">
      <c r="A58" s="62" t="s">
        <v>23</v>
      </c>
      <c r="B58" s="63" t="s">
        <v>24</v>
      </c>
      <c r="C58" s="11"/>
      <c r="D58" s="11"/>
      <c r="E58" s="11"/>
      <c r="F58" s="11"/>
      <c r="G58" s="88" t="s">
        <v>827</v>
      </c>
      <c r="H58" s="88" t="s">
        <v>836</v>
      </c>
      <c r="I58" s="122" t="str">
        <f>IF(_epmOfflineCondition_,"N",_xll.EVPRO($B$1,$H58,"STYLE"))</f>
        <v>N</v>
      </c>
      <c r="J58" s="122" t="str">
        <f>IF(_epmOfflineCondition_,"N",_xll.EVPRO($B$1,$H58,"CALC"))</f>
        <v>N</v>
      </c>
      <c r="K58" s="179" t="str">
        <f t="shared" si="12"/>
        <v/>
      </c>
      <c r="L58" s="90" t="str">
        <f>IF(_epmOfflineCondition_,"704800",_xll.EVPRO($B$1,H58,"JDEID"))</f>
        <v>704800</v>
      </c>
      <c r="M58" s="90" t="str">
        <f>IF(_epmOfflineCondition_,"690052",IF(AND(I58="N",J58="N"),_xll.EVPRO($B$1,H58,"PSFTID"),""))</f>
        <v>690052</v>
      </c>
      <c r="N58" s="90" t="str">
        <f>IF(_epmOfflineCondition_,"Provision for Doubtful Accounts",IF(_xll.EVDES(H58,$B$1)="#NODATA","",_xll.EVDES(H58,$B$1)))</f>
        <v>Provision for Doubtful Accounts</v>
      </c>
      <c r="O58" s="138">
        <v>2351</v>
      </c>
      <c r="P58" s="138">
        <v>2356.7600000000002</v>
      </c>
      <c r="Q58" s="138">
        <v>1380.62</v>
      </c>
      <c r="R58" s="138">
        <v>2428.31</v>
      </c>
      <c r="S58" s="138">
        <v>2334.14</v>
      </c>
      <c r="T58" s="138">
        <v>1709.88</v>
      </c>
      <c r="U58" s="138">
        <v>1218.71</v>
      </c>
      <c r="V58" s="138">
        <v>1439.17</v>
      </c>
      <c r="W58" s="138">
        <v>1188.29</v>
      </c>
      <c r="X58" s="138">
        <v>1805.11</v>
      </c>
      <c r="Y58" s="138">
        <v>1150</v>
      </c>
      <c r="Z58" s="138">
        <v>1417.13</v>
      </c>
      <c r="AA58" s="138">
        <f t="shared" si="13"/>
        <v>20779.12</v>
      </c>
      <c r="AB58" s="142">
        <f t="shared" si="14"/>
        <v>1.4104043860286321E-3</v>
      </c>
      <c r="AC58" s="140"/>
      <c r="AD58" s="138">
        <v>14166.4100000004</v>
      </c>
      <c r="AE58" s="142">
        <f t="shared" si="15"/>
        <v>9.6861816425783604E-4</v>
      </c>
      <c r="AF58" s="141">
        <f t="shared" si="16"/>
        <v>6612.7099999995989</v>
      </c>
      <c r="AG58" s="138">
        <v>32258.73</v>
      </c>
      <c r="AH58" s="142">
        <f t="shared" si="17"/>
        <v>2.7093321998998597E-3</v>
      </c>
      <c r="AI58" s="141">
        <f t="shared" si="18"/>
        <v>-11479.61</v>
      </c>
      <c r="AJ58" s="462">
        <f t="shared" si="19"/>
        <v>0.43128102947281027</v>
      </c>
      <c r="AK58" s="463">
        <f t="shared" si="20"/>
        <v>0.29403092569531758</v>
      </c>
      <c r="AL58" s="464">
        <f t="shared" si="21"/>
        <v>0.66954607721046078</v>
      </c>
      <c r="AM58" s="465" t="str">
        <f t="shared" si="22"/>
        <v>0.04 pts.</v>
      </c>
      <c r="AN58" s="466" t="str">
        <f t="shared" si="23"/>
        <v>-0.13 pts.</v>
      </c>
      <c r="AO58" s="11"/>
    </row>
    <row r="59" spans="1:41" x14ac:dyDescent="0.25">
      <c r="A59" s="65" t="s">
        <v>25</v>
      </c>
      <c r="B59" s="66"/>
      <c r="C59" s="11"/>
      <c r="D59" s="11"/>
      <c r="E59" s="11"/>
      <c r="F59" s="11"/>
      <c r="G59" s="88" t="s">
        <v>827</v>
      </c>
      <c r="H59" s="88" t="s">
        <v>837</v>
      </c>
      <c r="I59" s="122" t="str">
        <f>IF(_epmOfflineCondition_,"N",_xll.EVPRO($B$1,$H59,"STYLE"))</f>
        <v>N</v>
      </c>
      <c r="J59" s="122" t="str">
        <f>IF(_epmOfflineCondition_,"N",_xll.EVPRO($B$1,$H59,"CALC"))</f>
        <v>N</v>
      </c>
      <c r="K59" s="179" t="str">
        <f t="shared" si="12"/>
        <v/>
      </c>
      <c r="L59" s="90" t="str">
        <f>IF(_epmOfflineCondition_,"705000",_xll.EVPRO($B$1,H59,"JDEID"))</f>
        <v>705000</v>
      </c>
      <c r="M59" s="90" t="str">
        <f>IF(_epmOfflineCondition_,"690200",IF(AND(I59="N",J59="N"),_xll.EVPRO($B$1,H59,"PSFTID"),""))</f>
        <v>690200</v>
      </c>
      <c r="N59" s="90" t="str">
        <f>IF(_epmOfflineCondition_,"Bank Charges",IF(_xll.EVDES(H59,$B$1)="#NODATA","",_xll.EVDES(H59,$B$1)))</f>
        <v>Bank Charges</v>
      </c>
      <c r="O59" s="138">
        <v>1838.39</v>
      </c>
      <c r="P59" s="138">
        <v>1962.64</v>
      </c>
      <c r="Q59" s="138">
        <v>1971.06</v>
      </c>
      <c r="R59" s="138">
        <v>2322.4299999999998</v>
      </c>
      <c r="S59" s="138">
        <v>2220.2199999999998</v>
      </c>
      <c r="T59" s="138">
        <v>2072.13</v>
      </c>
      <c r="U59" s="138">
        <v>1895.68</v>
      </c>
      <c r="V59" s="138">
        <v>1524.4</v>
      </c>
      <c r="W59" s="138">
        <v>1960.6</v>
      </c>
      <c r="X59" s="138">
        <v>1536.09</v>
      </c>
      <c r="Y59" s="138">
        <v>1430.18</v>
      </c>
      <c r="Z59" s="138">
        <v>1919.16</v>
      </c>
      <c r="AA59" s="138">
        <f t="shared" si="13"/>
        <v>22652.98</v>
      </c>
      <c r="AB59" s="142">
        <f t="shared" si="14"/>
        <v>1.5375945828610105E-3</v>
      </c>
      <c r="AC59" s="140"/>
      <c r="AD59" s="138">
        <v>25788</v>
      </c>
      <c r="AE59" s="142">
        <f t="shared" si="15"/>
        <v>1.7632360788569842E-3</v>
      </c>
      <c r="AF59" s="141">
        <f t="shared" si="16"/>
        <v>-3135.0200000000004</v>
      </c>
      <c r="AG59" s="138">
        <v>24136.19</v>
      </c>
      <c r="AH59" s="142">
        <f t="shared" si="17"/>
        <v>2.0271398393520447E-3</v>
      </c>
      <c r="AI59" s="141">
        <f t="shared" si="18"/>
        <v>-1483.2099999999991</v>
      </c>
      <c r="AJ59" s="462">
        <f t="shared" si="19"/>
        <v>0.47017393109173933</v>
      </c>
      <c r="AK59" s="463">
        <f t="shared" si="20"/>
        <v>0.53524283935242845</v>
      </c>
      <c r="AL59" s="464">
        <f t="shared" si="21"/>
        <v>0.50095869655458691</v>
      </c>
      <c r="AM59" s="465" t="str">
        <f t="shared" si="22"/>
        <v>-0.02 pts.</v>
      </c>
      <c r="AN59" s="466" t="str">
        <f t="shared" si="23"/>
        <v>-0.05 pts.</v>
      </c>
      <c r="AO59" s="11"/>
    </row>
    <row r="60" spans="1:41" x14ac:dyDescent="0.25">
      <c r="A60" s="65" t="s">
        <v>26</v>
      </c>
      <c r="B60" s="66"/>
      <c r="C60" s="11"/>
      <c r="D60" s="11"/>
      <c r="E60" s="11"/>
      <c r="F60" s="11"/>
      <c r="G60" s="88" t="s">
        <v>827</v>
      </c>
      <c r="H60" s="88" t="s">
        <v>838</v>
      </c>
      <c r="I60" s="122" t="str">
        <f>IF(_epmOfflineCondition_,"N",_xll.EVPRO($B$1,$H60,"STYLE"))</f>
        <v>N</v>
      </c>
      <c r="J60" s="122" t="str">
        <f>IF(_epmOfflineCondition_,"N",_xll.EVPRO($B$1,$H60,"CALC"))</f>
        <v>N</v>
      </c>
      <c r="K60" s="179" t="str">
        <f t="shared" si="12"/>
        <v/>
      </c>
      <c r="L60" s="90" t="str">
        <f>IF(_epmOfflineCondition_,"705100",_xll.EVPRO($B$1,H60,"JDEID"))</f>
        <v>705100</v>
      </c>
      <c r="M60" s="90" t="str">
        <f>IF(_epmOfflineCondition_,"590055",IF(AND(I60="N",J60="N"),_xll.EVPRO($B$1,H60,"PSFTID"),""))</f>
        <v>590055</v>
      </c>
      <c r="N60" s="90" t="str">
        <f>IF(_epmOfflineCondition_,"Payroll Processing",IF(_xll.EVDES(H60,$B$1)="#NODATA","",_xll.EVDES(H60,$B$1)))</f>
        <v>Payroll Processing</v>
      </c>
      <c r="O60" s="138">
        <v>200</v>
      </c>
      <c r="P60" s="138">
        <v>45.56</v>
      </c>
      <c r="Q60" s="138">
        <v>217.4</v>
      </c>
      <c r="R60" s="138">
        <v>193.47</v>
      </c>
      <c r="S60" s="138">
        <v>193.47</v>
      </c>
      <c r="T60" s="138">
        <v>212.6</v>
      </c>
      <c r="U60" s="138">
        <v>193.47</v>
      </c>
      <c r="V60" s="138">
        <v>413.26</v>
      </c>
      <c r="W60" s="138">
        <v>149.28</v>
      </c>
      <c r="X60" s="138">
        <v>201.72</v>
      </c>
      <c r="Y60" s="138">
        <v>201.92</v>
      </c>
      <c r="Z60" s="138">
        <v>201.92</v>
      </c>
      <c r="AA60" s="138">
        <f t="shared" si="13"/>
        <v>2424.0700000000002</v>
      </c>
      <c r="AB60" s="142">
        <f t="shared" si="14"/>
        <v>1.6453627295286933E-4</v>
      </c>
      <c r="AC60" s="140"/>
      <c r="AD60" s="138">
        <v>4644</v>
      </c>
      <c r="AE60" s="142">
        <f t="shared" si="15"/>
        <v>3.175301826513043E-4</v>
      </c>
      <c r="AF60" s="141">
        <f t="shared" si="16"/>
        <v>-2219.9299999999998</v>
      </c>
      <c r="AG60" s="138">
        <v>5053.76</v>
      </c>
      <c r="AH60" s="142">
        <f t="shared" si="17"/>
        <v>4.2445299919017008E-4</v>
      </c>
      <c r="AI60" s="141">
        <f t="shared" si="18"/>
        <v>-2629.69</v>
      </c>
      <c r="AJ60" s="462">
        <f t="shared" si="19"/>
        <v>5.0312785388127855E-2</v>
      </c>
      <c r="AK60" s="463">
        <f t="shared" si="20"/>
        <v>9.6388542963885424E-2</v>
      </c>
      <c r="AL60" s="464">
        <f t="shared" si="21"/>
        <v>0.10489331672893318</v>
      </c>
      <c r="AM60" s="465" t="str">
        <f t="shared" si="22"/>
        <v>-0.02 pts.</v>
      </c>
      <c r="AN60" s="466" t="str">
        <f t="shared" si="23"/>
        <v>-0.03 pts.</v>
      </c>
      <c r="AO60" s="11"/>
    </row>
    <row r="61" spans="1:41" x14ac:dyDescent="0.25">
      <c r="A61" s="65" t="s">
        <v>27</v>
      </c>
      <c r="B61" s="66"/>
      <c r="C61" s="11"/>
      <c r="D61" s="11"/>
      <c r="E61" s="11"/>
      <c r="F61" s="11"/>
      <c r="G61" s="88" t="s">
        <v>827</v>
      </c>
      <c r="H61" s="88" t="s">
        <v>839</v>
      </c>
      <c r="I61" s="122" t="str">
        <f>IF(_epmOfflineCondition_,"N",_xll.EVPRO($B$1,$H61,"STYLE"))</f>
        <v>N</v>
      </c>
      <c r="J61" s="122" t="str">
        <f>IF(_epmOfflineCondition_,"N",_xll.EVPRO($B$1,$H61,"CALC"))</f>
        <v>N</v>
      </c>
      <c r="K61" s="179" t="str">
        <f t="shared" si="12"/>
        <v/>
      </c>
      <c r="L61" s="90" t="str">
        <f>IF(_epmOfflineCondition_,"705200",_xll.EVPRO($B$1,H61,"JDEID"))</f>
        <v>705200</v>
      </c>
      <c r="M61" s="90" t="str">
        <f>IF(_epmOfflineCondition_,"590305",IF(AND(I61="N",J61="N"),_xll.EVPRO($B$1,H61,"PSFTID"),""))</f>
        <v>590305</v>
      </c>
      <c r="N61" s="90" t="str">
        <f>IF(_epmOfflineCondition_,"Legal Services",IF(_xll.EVDES(H61,$B$1)="#NODATA","",_xll.EVDES(H61,$B$1)))</f>
        <v>Legal Services</v>
      </c>
      <c r="O61" s="138"/>
      <c r="P61" s="138"/>
      <c r="Q61" s="138"/>
      <c r="R61" s="138"/>
      <c r="S61" s="138"/>
      <c r="T61" s="138"/>
      <c r="U61" s="138"/>
      <c r="V61" s="138"/>
      <c r="W61" s="138"/>
      <c r="X61" s="138"/>
      <c r="Y61" s="138"/>
      <c r="Z61" s="138"/>
      <c r="AA61" s="138">
        <f t="shared" si="13"/>
        <v>0</v>
      </c>
      <c r="AB61" s="142" t="str">
        <f t="shared" si="14"/>
        <v/>
      </c>
      <c r="AC61" s="140"/>
      <c r="AD61" s="138">
        <v>975</v>
      </c>
      <c r="AE61" s="142">
        <f t="shared" si="15"/>
        <v>6.666492852821311E-5</v>
      </c>
      <c r="AF61" s="141">
        <f t="shared" si="16"/>
        <v>-975</v>
      </c>
      <c r="AG61" s="138"/>
      <c r="AH61" s="142" t="str">
        <f t="shared" si="17"/>
        <v/>
      </c>
      <c r="AI61" s="141">
        <f t="shared" si="18"/>
        <v>0</v>
      </c>
      <c r="AJ61" s="462">
        <f t="shared" si="19"/>
        <v>0</v>
      </c>
      <c r="AK61" s="463">
        <f t="shared" si="20"/>
        <v>2.0236612702366128E-2</v>
      </c>
      <c r="AL61" s="464">
        <f t="shared" si="21"/>
        <v>0</v>
      </c>
      <c r="AM61" s="465">
        <f t="shared" si="22"/>
        <v>0</v>
      </c>
      <c r="AN61" s="466">
        <f t="shared" si="23"/>
        <v>0</v>
      </c>
      <c r="AO61" s="11"/>
    </row>
    <row r="62" spans="1:41" x14ac:dyDescent="0.25">
      <c r="A62" s="65" t="s">
        <v>28</v>
      </c>
      <c r="B62" s="66"/>
      <c r="C62" s="11"/>
      <c r="D62" s="11"/>
      <c r="E62" s="11"/>
      <c r="F62" s="11"/>
      <c r="G62" s="88" t="s">
        <v>827</v>
      </c>
      <c r="H62" s="88" t="s">
        <v>840</v>
      </c>
      <c r="I62" s="122" t="str">
        <f>IF(_epmOfflineCondition_,"N",_xll.EVPRO($B$1,$H62,"STYLE"))</f>
        <v>N</v>
      </c>
      <c r="J62" s="122" t="str">
        <f>IF(_epmOfflineCondition_,"N",_xll.EVPRO($B$1,$H62,"CALC"))</f>
        <v>N</v>
      </c>
      <c r="K62" s="179" t="str">
        <f t="shared" si="12"/>
        <v/>
      </c>
      <c r="L62" s="90" t="str">
        <f>IF(_epmOfflineCondition_,"705500",_xll.EVPRO($B$1,H62,"JDEID"))</f>
        <v>705500</v>
      </c>
      <c r="M62" s="90" t="str">
        <f>IF(_epmOfflineCondition_,"690105",IF(AND(I62="N",J62="N"),_xll.EVPRO($B$1,H62,"PSFTID"),""))</f>
        <v>690105</v>
      </c>
      <c r="N62" s="90" t="str">
        <f>IF(_epmOfflineCondition_,"Licenses &amp; Permits",IF(_xll.EVDES(H62,$B$1)="#NODATA","",_xll.EVDES(H62,$B$1)))</f>
        <v>Licenses &amp; Permits</v>
      </c>
      <c r="O62" s="138"/>
      <c r="P62" s="138">
        <v>4761</v>
      </c>
      <c r="Q62" s="138">
        <v>850</v>
      </c>
      <c r="R62" s="138">
        <v>-103.46</v>
      </c>
      <c r="S62" s="138"/>
      <c r="T62" s="138">
        <v>3504</v>
      </c>
      <c r="U62" s="138">
        <v>-884</v>
      </c>
      <c r="V62" s="138">
        <v>4562.0600000000004</v>
      </c>
      <c r="W62" s="138">
        <v>5658.46</v>
      </c>
      <c r="X62" s="138"/>
      <c r="Y62" s="138">
        <v>1325</v>
      </c>
      <c r="Z62" s="138">
        <v>686.25</v>
      </c>
      <c r="AA62" s="138">
        <f t="shared" si="13"/>
        <v>20359.310000000001</v>
      </c>
      <c r="AB62" s="142">
        <f t="shared" si="14"/>
        <v>1.381909345560187E-3</v>
      </c>
      <c r="AC62" s="140"/>
      <c r="AD62" s="138">
        <v>6678.5</v>
      </c>
      <c r="AE62" s="142">
        <f t="shared" si="15"/>
        <v>4.5663766684684231E-4</v>
      </c>
      <c r="AF62" s="141">
        <f t="shared" si="16"/>
        <v>13680.810000000001</v>
      </c>
      <c r="AG62" s="138">
        <v>12161.71</v>
      </c>
      <c r="AH62" s="142">
        <f t="shared" si="17"/>
        <v>1.0214324156234333E-3</v>
      </c>
      <c r="AI62" s="141">
        <f t="shared" si="18"/>
        <v>8197.6000000000022</v>
      </c>
      <c r="AJ62" s="462">
        <f t="shared" si="19"/>
        <v>0.42256766293067666</v>
      </c>
      <c r="AK62" s="463">
        <f t="shared" si="20"/>
        <v>0.13861560813615609</v>
      </c>
      <c r="AL62" s="464">
        <f t="shared" si="21"/>
        <v>0.25242237442922372</v>
      </c>
      <c r="AM62" s="465" t="str">
        <f t="shared" si="22"/>
        <v>0.09 pts.</v>
      </c>
      <c r="AN62" s="466" t="str">
        <f t="shared" si="23"/>
        <v>0.04 pts.</v>
      </c>
      <c r="AO62" s="11"/>
    </row>
    <row r="63" spans="1:41" x14ac:dyDescent="0.25">
      <c r="A63" s="65" t="s">
        <v>29</v>
      </c>
      <c r="B63" s="66"/>
      <c r="C63" s="11"/>
      <c r="D63" s="11"/>
      <c r="E63" s="11"/>
      <c r="F63" s="11"/>
      <c r="G63" s="88" t="s">
        <v>827</v>
      </c>
      <c r="H63" s="88" t="s">
        <v>841</v>
      </c>
      <c r="I63" s="122" t="str">
        <f>IF(_epmOfflineCondition_,"N",_xll.EVPRO($B$1,$H63,"STYLE"))</f>
        <v>N</v>
      </c>
      <c r="J63" s="122" t="str">
        <f>IF(_epmOfflineCondition_,"N",_xll.EVPRO($B$1,$H63,"CALC"))</f>
        <v>N</v>
      </c>
      <c r="K63" s="179" t="str">
        <f t="shared" si="12"/>
        <v/>
      </c>
      <c r="L63" s="90" t="str">
        <f>IF(_epmOfflineCondition_,"705800",_xll.EVPRO($B$1,H63,"JDEID"))</f>
        <v>705800</v>
      </c>
      <c r="M63" s="90" t="str">
        <f>IF(_epmOfflineCondition_,"690025",IF(AND(I63="N",J63="N"),_xll.EVPRO($B$1,H63,"PSFTID"),""))</f>
        <v>690025</v>
      </c>
      <c r="N63" s="90" t="str">
        <f>IF(_epmOfflineCondition_,"Donations",IF(_xll.EVDES(H63,$B$1)="#NODATA","",_xll.EVDES(H63,$B$1)))</f>
        <v>Donations</v>
      </c>
      <c r="O63" s="138"/>
      <c r="P63" s="138"/>
      <c r="Q63" s="138"/>
      <c r="R63" s="138"/>
      <c r="S63" s="138"/>
      <c r="T63" s="138"/>
      <c r="U63" s="138">
        <v>600</v>
      </c>
      <c r="V63" s="138"/>
      <c r="W63" s="138"/>
      <c r="X63" s="138">
        <v>550</v>
      </c>
      <c r="Y63" s="138">
        <v>250</v>
      </c>
      <c r="Z63" s="138">
        <v>470</v>
      </c>
      <c r="AA63" s="138">
        <f t="shared" si="13"/>
        <v>1870</v>
      </c>
      <c r="AB63" s="142">
        <f t="shared" si="14"/>
        <v>1.2692819531691149E-4</v>
      </c>
      <c r="AC63" s="140"/>
      <c r="AD63" s="138">
        <v>3397.92</v>
      </c>
      <c r="AE63" s="142">
        <f t="shared" si="15"/>
        <v>2.3233035276367783E-4</v>
      </c>
      <c r="AF63" s="141">
        <f t="shared" si="16"/>
        <v>-1527.92</v>
      </c>
      <c r="AG63" s="138">
        <v>2175</v>
      </c>
      <c r="AH63" s="142">
        <f t="shared" si="17"/>
        <v>1.8267295503518566E-4</v>
      </c>
      <c r="AI63" s="141">
        <f t="shared" si="18"/>
        <v>-305</v>
      </c>
      <c r="AJ63" s="462">
        <f t="shared" si="19"/>
        <v>3.8812785388127852E-2</v>
      </c>
      <c r="AK63" s="463">
        <f t="shared" si="20"/>
        <v>7.0525529265255293E-2</v>
      </c>
      <c r="AL63" s="464">
        <f t="shared" si="21"/>
        <v>4.514321295143213E-2</v>
      </c>
      <c r="AM63" s="465" t="str">
        <f t="shared" si="22"/>
        <v>-0.01 pts.</v>
      </c>
      <c r="AN63" s="466" t="str">
        <f t="shared" si="23"/>
        <v>-0.01 pts.</v>
      </c>
      <c r="AO63" s="11"/>
    </row>
    <row r="64" spans="1:41" x14ac:dyDescent="0.25">
      <c r="A64" s="65" t="s">
        <v>30</v>
      </c>
      <c r="B64" s="66" t="s">
        <v>78</v>
      </c>
      <c r="C64" s="11"/>
      <c r="D64" s="11"/>
      <c r="E64" s="11"/>
      <c r="F64" s="11"/>
      <c r="G64" s="88" t="s">
        <v>827</v>
      </c>
      <c r="H64" s="88" t="s">
        <v>842</v>
      </c>
      <c r="I64" s="122" t="str">
        <f>IF(_epmOfflineCondition_,"N",_xll.EVPRO($B$1,$H64,"STYLE"))</f>
        <v>N</v>
      </c>
      <c r="J64" s="122" t="str">
        <f>IF(_epmOfflineCondition_,"N",_xll.EVPRO($B$1,$H64,"CALC"))</f>
        <v>N</v>
      </c>
      <c r="K64" s="179" t="str">
        <f t="shared" si="12"/>
        <v/>
      </c>
      <c r="L64" s="90" t="str">
        <f>IF(_epmOfflineCondition_,"706000",_xll.EVPRO($B$1,H64,"JDEID"))</f>
        <v>706000</v>
      </c>
      <c r="M64" s="90" t="str">
        <f>IF(_epmOfflineCondition_,"590320",IF(AND(I64="N",J64="N"),_xll.EVPRO($B$1,H64,"PSFTID"),""))</f>
        <v>590320</v>
      </c>
      <c r="N64" s="90" t="str">
        <f>IF(_epmOfflineCondition_,"Security",IF(_xll.EVDES(H64,$B$1)="#NODATA","",_xll.EVDES(H64,$B$1)))</f>
        <v>Security</v>
      </c>
      <c r="O64" s="138">
        <v>657.32</v>
      </c>
      <c r="P64" s="138">
        <v>617.6</v>
      </c>
      <c r="Q64" s="138">
        <v>339.02</v>
      </c>
      <c r="R64" s="138">
        <v>299.55</v>
      </c>
      <c r="S64" s="138">
        <v>389.82</v>
      </c>
      <c r="T64" s="138">
        <v>457.29</v>
      </c>
      <c r="U64" s="138">
        <v>347.55</v>
      </c>
      <c r="V64" s="138">
        <v>387.35</v>
      </c>
      <c r="W64" s="138">
        <v>335.49</v>
      </c>
      <c r="X64" s="138">
        <v>368.27</v>
      </c>
      <c r="Y64" s="138">
        <v>436.18</v>
      </c>
      <c r="Z64" s="138">
        <v>373.72</v>
      </c>
      <c r="AA64" s="138">
        <f t="shared" si="13"/>
        <v>5009.1600000000008</v>
      </c>
      <c r="AB64" s="142">
        <f t="shared" si="14"/>
        <v>3.4000194591104837E-4</v>
      </c>
      <c r="AC64" s="140"/>
      <c r="AD64" s="138">
        <v>8940</v>
      </c>
      <c r="AE64" s="142">
        <f t="shared" si="15"/>
        <v>6.1126611388946173E-4</v>
      </c>
      <c r="AF64" s="141">
        <f t="shared" si="16"/>
        <v>-3930.8399999999992</v>
      </c>
      <c r="AG64" s="138">
        <v>39071.040000000001</v>
      </c>
      <c r="AH64" s="142">
        <f t="shared" si="17"/>
        <v>3.2814815324588233E-3</v>
      </c>
      <c r="AI64" s="141">
        <f t="shared" si="18"/>
        <v>-34061.879999999997</v>
      </c>
      <c r="AJ64" s="462">
        <f t="shared" si="19"/>
        <v>0.10396762141967623</v>
      </c>
      <c r="AK64" s="463">
        <f t="shared" si="20"/>
        <v>0.18555417185554171</v>
      </c>
      <c r="AL64" s="464">
        <f t="shared" si="21"/>
        <v>0.81093897882938981</v>
      </c>
      <c r="AM64" s="465" t="str">
        <f t="shared" si="22"/>
        <v>-0.03 pts.</v>
      </c>
      <c r="AN64" s="466" t="str">
        <f t="shared" si="23"/>
        <v>-0.29 pts.</v>
      </c>
      <c r="AO64" s="11"/>
    </row>
    <row r="65" spans="1:41" x14ac:dyDescent="0.25">
      <c r="A65" s="65" t="s">
        <v>31</v>
      </c>
      <c r="B65" s="66" t="s">
        <v>78</v>
      </c>
      <c r="C65" s="11"/>
      <c r="D65" s="11"/>
      <c r="E65" s="11"/>
      <c r="F65" s="11"/>
      <c r="G65" s="88" t="s">
        <v>827</v>
      </c>
      <c r="H65" s="88" t="s">
        <v>843</v>
      </c>
      <c r="I65" s="122" t="str">
        <f>IF(_epmOfflineCondition_,"T4",_xll.EVPRO($B$1,$H65,"STYLE"))</f>
        <v>T4</v>
      </c>
      <c r="J65" s="122" t="str">
        <f>IF(_epmOfflineCondition_,"Y",_xll.EVPRO($B$1,$H65,"CALC"))</f>
        <v>Y</v>
      </c>
      <c r="K65" s="179" t="str">
        <f t="shared" si="12"/>
        <v>&gt;</v>
      </c>
      <c r="L65" s="90" t="str">
        <f>IF(_epmOfflineCondition_,"706100",_xll.EVPRO($B$1,H65,"JDEID"))</f>
        <v>706100</v>
      </c>
      <c r="M65" s="90" t="str">
        <f>IF(_epmOfflineCondition_,"",IF(AND(I65="N",J65="N"),_xll.EVPRO($B$1,H65,"PSFTID"),""))</f>
        <v/>
      </c>
      <c r="N65" s="90" t="str">
        <f>IF(_epmOfflineCondition_,"Miscellaneous",IF(_xll.EVDES(H65,$B$1)="#NODATA","",_xll.EVDES(H65,$B$1)))</f>
        <v>Miscellaneous</v>
      </c>
      <c r="O65" s="138"/>
      <c r="P65" s="138"/>
      <c r="Q65" s="138"/>
      <c r="R65" s="138"/>
      <c r="S65" s="138"/>
      <c r="T65" s="138">
        <v>0.01</v>
      </c>
      <c r="U65" s="138">
        <v>349.04</v>
      </c>
      <c r="V65" s="138">
        <v>-349.04</v>
      </c>
      <c r="W65" s="138"/>
      <c r="X65" s="138"/>
      <c r="Y65" s="138"/>
      <c r="Z65" s="138"/>
      <c r="AA65" s="138">
        <f t="shared" si="13"/>
        <v>9.9999999999909051E-3</v>
      </c>
      <c r="AB65" s="142">
        <f t="shared" si="14"/>
        <v>6.7876040276361525E-10</v>
      </c>
      <c r="AC65" s="140"/>
      <c r="AD65" s="138"/>
      <c r="AE65" s="142" t="str">
        <f t="shared" si="15"/>
        <v/>
      </c>
      <c r="AF65" s="141">
        <f t="shared" si="16"/>
        <v>9.9999999999909051E-3</v>
      </c>
      <c r="AG65" s="138"/>
      <c r="AH65" s="142" t="str">
        <f t="shared" si="17"/>
        <v/>
      </c>
      <c r="AI65" s="141">
        <f t="shared" si="18"/>
        <v>9.9999999999909051E-3</v>
      </c>
      <c r="AJ65" s="462">
        <f t="shared" si="19"/>
        <v>2.0755500207536125E-7</v>
      </c>
      <c r="AK65" s="463">
        <f t="shared" si="20"/>
        <v>0</v>
      </c>
      <c r="AL65" s="464">
        <f t="shared" si="21"/>
        <v>0</v>
      </c>
      <c r="AM65" s="465">
        <f t="shared" si="22"/>
        <v>0</v>
      </c>
      <c r="AN65" s="466">
        <f t="shared" si="23"/>
        <v>0</v>
      </c>
      <c r="AO65" s="11"/>
    </row>
    <row r="66" spans="1:41" x14ac:dyDescent="0.25">
      <c r="A66" s="65" t="s">
        <v>32</v>
      </c>
      <c r="B66" s="66"/>
      <c r="C66" s="11"/>
      <c r="D66" s="11"/>
      <c r="E66" s="11"/>
      <c r="F66" s="11"/>
      <c r="G66" s="88" t="s">
        <v>827</v>
      </c>
      <c r="H66" s="88" t="s">
        <v>844</v>
      </c>
      <c r="I66" s="122" t="str">
        <f>IF(_epmOfflineCondition_,"T4",_xll.EVPRO($B$1,$H66,"STYLE"))</f>
        <v>T4</v>
      </c>
      <c r="J66" s="122" t="str">
        <f>IF(_epmOfflineCondition_,"Y",_xll.EVPRO($B$1,$H66,"CALC"))</f>
        <v>Y</v>
      </c>
      <c r="K66" s="179" t="str">
        <f t="shared" si="12"/>
        <v>&gt;</v>
      </c>
      <c r="L66" s="90" t="str">
        <f>IF(_epmOfflineCondition_,"706500",_xll.EVPRO($B$1,H66,"JDEID"))</f>
        <v>706500</v>
      </c>
      <c r="M66" s="90" t="str">
        <f>IF(_epmOfflineCondition_,"",IF(AND(I66="N",J66="N"),_xll.EVPRO($B$1,H66,"PSFTID"),""))</f>
        <v/>
      </c>
      <c r="N66" s="90" t="str">
        <f>IF(_epmOfflineCondition_,"Corporate Office Reimbursement",IF(_xll.EVDES(H66,$B$1)="#NODATA","",_xll.EVDES(H66,$B$1)))</f>
        <v>Corporate Office Reimbursement</v>
      </c>
      <c r="O66" s="138">
        <v>10409.82</v>
      </c>
      <c r="P66" s="138">
        <v>9578.7000000000007</v>
      </c>
      <c r="Q66" s="138">
        <v>10701.7</v>
      </c>
      <c r="R66" s="138">
        <v>10575.49</v>
      </c>
      <c r="S66" s="138">
        <v>8500</v>
      </c>
      <c r="T66" s="138">
        <v>5200</v>
      </c>
      <c r="U66" s="138">
        <v>6881.92</v>
      </c>
      <c r="V66" s="138">
        <v>5468</v>
      </c>
      <c r="W66" s="138">
        <v>4281.84</v>
      </c>
      <c r="X66" s="138">
        <v>5375.51</v>
      </c>
      <c r="Y66" s="138">
        <v>7613.15</v>
      </c>
      <c r="Z66" s="138">
        <v>10029.43</v>
      </c>
      <c r="AA66" s="138">
        <f t="shared" si="13"/>
        <v>94615.56</v>
      </c>
      <c r="AB66" s="142">
        <f t="shared" si="14"/>
        <v>6.4221295613363415E-3</v>
      </c>
      <c r="AC66" s="140"/>
      <c r="AD66" s="138">
        <v>94000.899650700201</v>
      </c>
      <c r="AE66" s="142">
        <f t="shared" si="15"/>
        <v>6.4272443659504214E-3</v>
      </c>
      <c r="AF66" s="141">
        <f t="shared" si="16"/>
        <v>614.66034929979651</v>
      </c>
      <c r="AG66" s="138">
        <v>74021.77</v>
      </c>
      <c r="AH66" s="142">
        <f t="shared" si="17"/>
        <v>6.216908258774646E-3</v>
      </c>
      <c r="AI66" s="141">
        <f t="shared" si="18"/>
        <v>20593.789999999994</v>
      </c>
      <c r="AJ66" s="462">
        <f t="shared" si="19"/>
        <v>1.9637932752179328</v>
      </c>
      <c r="AK66" s="463">
        <f t="shared" si="20"/>
        <v>1.951035692210465</v>
      </c>
      <c r="AL66" s="464">
        <f t="shared" si="21"/>
        <v>1.5363588625985887</v>
      </c>
      <c r="AM66" s="465" t="str">
        <f t="shared" si="22"/>
        <v>0 pts.</v>
      </c>
      <c r="AN66" s="466" t="str">
        <f t="shared" si="23"/>
        <v>0.02 pts.</v>
      </c>
      <c r="AO66" s="11"/>
    </row>
    <row r="67" spans="1:41" x14ac:dyDescent="0.25">
      <c r="A67" s="65" t="s">
        <v>33</v>
      </c>
      <c r="B67" s="66"/>
      <c r="C67" s="11"/>
      <c r="D67" s="11"/>
      <c r="E67" s="11"/>
      <c r="F67" s="11"/>
      <c r="G67" s="88" t="s">
        <v>498</v>
      </c>
      <c r="H67" s="88" t="s">
        <v>79</v>
      </c>
      <c r="I67" s="136" t="str">
        <f>IF(_epmOfflineCondition_,"T3",_xll.EVPRO($B$1,$H67,"STYLE"))</f>
        <v>T3</v>
      </c>
      <c r="J67" s="136" t="str">
        <f>IF(_epmOfflineCondition_,"Y",_xll.EVPRO($B$1,$H67,"CALC"))</f>
        <v>Y</v>
      </c>
      <c r="K67" s="179"/>
      <c r="L67" s="90"/>
      <c r="M67" s="90"/>
      <c r="N67" s="90" t="str">
        <f>IF(_epmOfflineCondition_,"Human Resources (Consolidated)",IF(_xll.EVDES(G67,$B$1)="#NODATA","",_xll.EVDES(G67,$B$1)))</f>
        <v>Human Resources (Consolidated)</v>
      </c>
      <c r="O67" s="138">
        <v>3358.62</v>
      </c>
      <c r="P67" s="138">
        <v>1916.96</v>
      </c>
      <c r="Q67" s="138">
        <v>4075.3</v>
      </c>
      <c r="R67" s="138">
        <v>5031.1000000000004</v>
      </c>
      <c r="S67" s="138">
        <v>2301.6999999999998</v>
      </c>
      <c r="T67" s="138">
        <v>8201.75</v>
      </c>
      <c r="U67" s="138">
        <v>10229.67</v>
      </c>
      <c r="V67" s="138">
        <v>29559.57</v>
      </c>
      <c r="W67" s="138">
        <v>6879.98</v>
      </c>
      <c r="X67" s="138">
        <v>4807.83</v>
      </c>
      <c r="Y67" s="138">
        <v>7993.89</v>
      </c>
      <c r="Z67" s="138">
        <v>8647.18</v>
      </c>
      <c r="AA67" s="138">
        <f t="shared" si="13"/>
        <v>93003.549999999988</v>
      </c>
      <c r="AB67" s="142">
        <f t="shared" si="14"/>
        <v>6.3127127056503436E-3</v>
      </c>
      <c r="AC67" s="140"/>
      <c r="AD67" s="138">
        <v>52497.5</v>
      </c>
      <c r="AE67" s="142">
        <f t="shared" si="15"/>
        <v>3.5894790619588387E-3</v>
      </c>
      <c r="AF67" s="141">
        <f t="shared" si="16"/>
        <v>40506.049999999988</v>
      </c>
      <c r="AG67" s="138">
        <v>46408.94</v>
      </c>
      <c r="AH67" s="142">
        <f t="shared" si="17"/>
        <v>3.8977738895864963E-3</v>
      </c>
      <c r="AI67" s="141">
        <f t="shared" si="18"/>
        <v>46594.609999999986</v>
      </c>
      <c r="AJ67" s="471">
        <f t="shared" si="19"/>
        <v>1.9303352013283517</v>
      </c>
      <c r="AK67" s="472">
        <f t="shared" si="20"/>
        <v>1.0896118721461188</v>
      </c>
      <c r="AL67" s="473">
        <f t="shared" si="21"/>
        <v>0.96324076380240764</v>
      </c>
      <c r="AM67" s="474" t="str">
        <f t="shared" si="22"/>
        <v>0.27 pts.</v>
      </c>
      <c r="AN67" s="475" t="str">
        <f t="shared" si="23"/>
        <v>0.24 pts.</v>
      </c>
      <c r="AO67" s="11"/>
    </row>
    <row r="68" spans="1:41" x14ac:dyDescent="0.25">
      <c r="A68" s="65" t="s">
        <v>34</v>
      </c>
      <c r="B68" s="66"/>
      <c r="C68" s="11"/>
      <c r="D68" s="11"/>
      <c r="E68" s="11"/>
      <c r="F68" s="11"/>
      <c r="G68" s="88" t="s">
        <v>497</v>
      </c>
      <c r="H68" s="88" t="s">
        <v>79</v>
      </c>
      <c r="I68" s="136" t="str">
        <f>IF(_epmOfflineCondition_,"T3",_xll.EVPRO($B$1,$H68,"STYLE"))</f>
        <v>T3</v>
      </c>
      <c r="J68" s="136" t="str">
        <f>IF(_epmOfflineCondition_,"Y",_xll.EVPRO($B$1,$H68,"CALC"))</f>
        <v>Y</v>
      </c>
      <c r="K68" s="104"/>
      <c r="L68" s="59"/>
      <c r="M68" s="59"/>
      <c r="N68" s="106" t="str">
        <f>IF(_epmOfflineCondition_,"Total Operations Expense",IF(_xll.EVDES(H68,$B$1)="#NODATA","",_xll.EVDES(H68,$B$1)))</f>
        <v>Total Operations Expense</v>
      </c>
      <c r="O68" s="150">
        <v>57739.63</v>
      </c>
      <c r="P68" s="150">
        <v>68798</v>
      </c>
      <c r="Q68" s="150">
        <v>64208.75</v>
      </c>
      <c r="R68" s="150">
        <v>65759.03</v>
      </c>
      <c r="S68" s="150">
        <v>54624.21</v>
      </c>
      <c r="T68" s="150">
        <v>46109.15</v>
      </c>
      <c r="U68" s="150">
        <v>51256.46</v>
      </c>
      <c r="V68" s="150">
        <v>67967.77</v>
      </c>
      <c r="W68" s="150">
        <v>40240.620000000003</v>
      </c>
      <c r="X68" s="150">
        <v>41285.040000000001</v>
      </c>
      <c r="Y68" s="150">
        <v>55696.639999999999</v>
      </c>
      <c r="Z68" s="150">
        <v>65540.850000000006</v>
      </c>
      <c r="AA68" s="150">
        <f t="shared" si="13"/>
        <v>679226.15</v>
      </c>
      <c r="AB68" s="151">
        <f t="shared" si="14"/>
        <v>4.6103181514199905E-2</v>
      </c>
      <c r="AC68" s="140"/>
      <c r="AD68" s="150">
        <v>596033.26876513602</v>
      </c>
      <c r="AE68" s="151">
        <f t="shared" si="15"/>
        <v>4.0753348987348746E-2</v>
      </c>
      <c r="AF68" s="152">
        <f t="shared" si="16"/>
        <v>83192.881234864006</v>
      </c>
      <c r="AG68" s="150">
        <v>549456.27</v>
      </c>
      <c r="AH68" s="151">
        <f t="shared" si="17"/>
        <v>4.6147494484372796E-2</v>
      </c>
      <c r="AI68" s="152">
        <f t="shared" si="18"/>
        <v>129769.88</v>
      </c>
      <c r="AJ68" s="446">
        <f t="shared" si="19"/>
        <v>14.097678497301786</v>
      </c>
      <c r="AK68" s="447">
        <f t="shared" si="20"/>
        <v>12.370968633564466</v>
      </c>
      <c r="AL68" s="448">
        <f t="shared" si="21"/>
        <v>11.404239726027397</v>
      </c>
      <c r="AM68" s="449" t="str">
        <f t="shared" si="22"/>
        <v>0.53 pts.</v>
      </c>
      <c r="AN68" s="546" t="str">
        <f t="shared" si="23"/>
        <v>0 pts.</v>
      </c>
      <c r="AO68" s="11"/>
    </row>
    <row r="69" spans="1:41" x14ac:dyDescent="0.25">
      <c r="A69" s="65" t="s">
        <v>35</v>
      </c>
      <c r="B69" s="66"/>
      <c r="C69" s="11"/>
      <c r="D69" s="11"/>
      <c r="E69" s="11"/>
      <c r="F69" s="11"/>
      <c r="G69" s="11"/>
      <c r="H69" s="11"/>
      <c r="I69" s="59"/>
      <c r="J69" s="59"/>
      <c r="K69" s="11"/>
      <c r="L69" s="59"/>
      <c r="M69" s="59"/>
      <c r="N69" s="11"/>
      <c r="O69" s="140"/>
      <c r="P69" s="140"/>
      <c r="Q69" s="140"/>
      <c r="R69" s="140"/>
      <c r="S69" s="140"/>
      <c r="T69" s="140"/>
      <c r="U69" s="140"/>
      <c r="V69" s="140"/>
      <c r="W69" s="140"/>
      <c r="X69" s="140"/>
      <c r="Y69" s="140"/>
      <c r="Z69" s="140"/>
      <c r="AA69" s="140"/>
      <c r="AB69" s="140"/>
      <c r="AC69" s="140"/>
      <c r="AD69" s="140"/>
      <c r="AE69" s="140"/>
      <c r="AF69" s="140"/>
      <c r="AG69" s="140"/>
      <c r="AH69" s="140"/>
      <c r="AI69" s="140"/>
      <c r="AJ69" s="140"/>
      <c r="AK69" s="140"/>
      <c r="AL69" s="140"/>
      <c r="AM69" s="140"/>
      <c r="AN69" s="140"/>
      <c r="AO69" s="11"/>
    </row>
    <row r="70" spans="1:41" x14ac:dyDescent="0.25">
      <c r="A70" s="65" t="s">
        <v>36</v>
      </c>
      <c r="B70" s="66"/>
      <c r="C70" s="11"/>
      <c r="D70" s="11"/>
      <c r="E70" s="11"/>
      <c r="F70" s="11"/>
      <c r="G70" s="88" t="s">
        <v>497</v>
      </c>
      <c r="H70" s="88" t="s">
        <v>80</v>
      </c>
      <c r="I70" s="136" t="str">
        <f>IF(_epmOfflineCondition_,"T3",_xll.EVPRO($B$1,$H70,"STYLE"))</f>
        <v>T3</v>
      </c>
      <c r="J70" s="136" t="str">
        <f>IF(_epmOfflineCondition_,"Y",_xll.EVPRO($B$1,$H70,"CALC"))</f>
        <v>Y</v>
      </c>
      <c r="K70" s="106"/>
      <c r="L70" s="59"/>
      <c r="M70" s="59"/>
      <c r="N70" s="106" t="str">
        <f>IF(_epmOfflineCondition_,"Total Expenses",IF(_xll.EVDES(H70,$B$1)="#NODATA","",_xll.EVDES(H70,$B$1)))</f>
        <v>Total Expenses</v>
      </c>
      <c r="O70" s="242">
        <v>107060.05</v>
      </c>
      <c r="P70" s="242">
        <v>120453.12</v>
      </c>
      <c r="Q70" s="242">
        <v>109582.12</v>
      </c>
      <c r="R70" s="242">
        <v>108068.42</v>
      </c>
      <c r="S70" s="242">
        <v>108433.43</v>
      </c>
      <c r="T70" s="242">
        <v>104276.28</v>
      </c>
      <c r="U70" s="242">
        <v>102826.72</v>
      </c>
      <c r="V70" s="242">
        <v>116885.43</v>
      </c>
      <c r="W70" s="242">
        <v>95335.97</v>
      </c>
      <c r="X70" s="242">
        <v>104313.33</v>
      </c>
      <c r="Y70" s="242">
        <v>115643.89</v>
      </c>
      <c r="Z70" s="242">
        <v>153285.04999999999</v>
      </c>
      <c r="AA70" s="242">
        <f>IF($I70="B1","",SUM(O70:Z70))</f>
        <v>1346163.8099999998</v>
      </c>
      <c r="AB70" s="243">
        <f>IF(AA70=0,"",IFERROR(AA70/AA$19,""))</f>
        <v>9.1372268986223373E-2</v>
      </c>
      <c r="AC70" s="140"/>
      <c r="AD70" s="242">
        <v>1248195.4240520799</v>
      </c>
      <c r="AE70" s="243">
        <f>IF(AD70=0,"",IFERROR(AD70/AD$19,""))</f>
        <v>8.5344470496076463E-2</v>
      </c>
      <c r="AF70" s="254">
        <f>IF(AND($AA70="",AD70=""),"",$AA70-AD70)</f>
        <v>97968.385947919916</v>
      </c>
      <c r="AG70" s="255">
        <v>1087440.93</v>
      </c>
      <c r="AH70" s="256">
        <f>IF(AG70=0,"",IFERROR(AG70/AG$19,""))</f>
        <v>9.1331516372096772E-2</v>
      </c>
      <c r="AI70" s="254">
        <f>IF(AND($AA70="",AG70=""),"",$AA70-AG70)</f>
        <v>258722.87999999989</v>
      </c>
      <c r="AJ70" s="435">
        <f>IFERROR(AA70/AA$20,0)</f>
        <v>27.940303237858028</v>
      </c>
      <c r="AK70" s="436">
        <f>IFERROR(AD70/AD$20,0)</f>
        <v>25.906920382982147</v>
      </c>
      <c r="AL70" s="437">
        <f>IFERROR(AG70/AG$20,0)</f>
        <v>22.570380448318804</v>
      </c>
      <c r="AM70" s="438" t="str">
        <f>+IFERROR(ROUND(($AB70-AE70)*100,2)&amp;" pts.",0)</f>
        <v>0.6 pts.</v>
      </c>
      <c r="AN70" s="547" t="str">
        <f>+IFERROR(ROUND(($AB70-AH70)*100,2)&amp;" pts.",0)</f>
        <v>0 pts.</v>
      </c>
      <c r="AO70" s="11"/>
    </row>
    <row r="71" spans="1:41" ht="15.75" thickBot="1" x14ac:dyDescent="0.3">
      <c r="A71" s="65" t="s">
        <v>37</v>
      </c>
      <c r="B71" s="66"/>
      <c r="C71" s="11"/>
      <c r="D71" s="11"/>
      <c r="E71" s="11"/>
      <c r="F71" s="11"/>
      <c r="G71" s="88" t="s">
        <v>497</v>
      </c>
      <c r="H71" s="88" t="s">
        <v>81</v>
      </c>
      <c r="I71" s="136" t="str">
        <f>IF(_epmOfflineCondition_,"T3",_xll.EVPRO($B$1,$H71,"STYLE"))</f>
        <v>T3</v>
      </c>
      <c r="J71" s="136" t="str">
        <f>IF(_epmOfflineCondition_,"Y",_xll.EVPRO($B$1,$H71,"CALC"))</f>
        <v>Y</v>
      </c>
      <c r="K71" s="106"/>
      <c r="L71" s="59"/>
      <c r="M71" s="59"/>
      <c r="N71" s="106" t="str">
        <f>IF(_epmOfflineCondition_,"Department Profit (Loss)",IF(_xll.EVDES(H71,$B$1)="#NODATA","",_xll.EVDES(H71,$B$1)))</f>
        <v>Department Profit (Loss)</v>
      </c>
      <c r="O71" s="165">
        <v>-107060.05</v>
      </c>
      <c r="P71" s="165">
        <v>-120453.12</v>
      </c>
      <c r="Q71" s="165">
        <v>-109582.12</v>
      </c>
      <c r="R71" s="165">
        <v>-108068.42</v>
      </c>
      <c r="S71" s="165">
        <v>-108433.43</v>
      </c>
      <c r="T71" s="165">
        <v>-104276.28</v>
      </c>
      <c r="U71" s="165">
        <v>-102826.72</v>
      </c>
      <c r="V71" s="165">
        <v>-116885.43</v>
      </c>
      <c r="W71" s="165">
        <v>-95335.97</v>
      </c>
      <c r="X71" s="165">
        <v>-104313.33</v>
      </c>
      <c r="Y71" s="165">
        <v>-115643.89</v>
      </c>
      <c r="Z71" s="165">
        <v>-153285.04999999999</v>
      </c>
      <c r="AA71" s="165">
        <f>IF($I71="B1","",SUM(O71:Z71))</f>
        <v>-1346163.8099999998</v>
      </c>
      <c r="AB71" s="166">
        <f>IF(AA71=0,"",IFERROR(AA71/AA$19,""))</f>
        <v>-9.1372268986223373E-2</v>
      </c>
      <c r="AC71" s="140"/>
      <c r="AD71" s="165">
        <v>-1248195.4240520799</v>
      </c>
      <c r="AE71" s="166">
        <f>IF(AD71=0,"",IFERROR(AD71/AD$19,""))</f>
        <v>-8.5344470496076463E-2</v>
      </c>
      <c r="AF71" s="167">
        <f>IF(AND($AA71="",AD71=""),"",$AA71-AD71)</f>
        <v>-97968.385947919916</v>
      </c>
      <c r="AG71" s="165">
        <v>-1087440.93</v>
      </c>
      <c r="AH71" s="166">
        <f>IF(AG71=0,"",IFERROR(AG71/AG$19,""))</f>
        <v>-9.1331516372096772E-2</v>
      </c>
      <c r="AI71" s="167">
        <f>IF(AND($AA71="",AG71=""),"",$AA71-AG71)</f>
        <v>-258722.87999999989</v>
      </c>
      <c r="AJ71" s="452">
        <f>IFERROR(AA71/AA$20,0)</f>
        <v>-27.940303237858028</v>
      </c>
      <c r="AK71" s="453">
        <f>IFERROR(AD71/AD$20,0)</f>
        <v>-25.906920382982147</v>
      </c>
      <c r="AL71" s="454">
        <f>IFERROR(AG71/AG$20,0)</f>
        <v>-22.570380448318804</v>
      </c>
      <c r="AM71" s="455" t="str">
        <f>+IFERROR(ROUND(($AB71-AE71)*100,2)&amp;" pts.",0)</f>
        <v>-0.6 pts.</v>
      </c>
      <c r="AN71" s="548" t="str">
        <f>+IFERROR(ROUND(($AB71-AH71)*100,2)&amp;" pts.",0)</f>
        <v>0 pts.</v>
      </c>
      <c r="AO71" s="11"/>
    </row>
    <row r="72" spans="1:41" ht="15.75" thickTop="1" x14ac:dyDescent="0.25">
      <c r="A72" s="65" t="s">
        <v>38</v>
      </c>
      <c r="B72" s="66"/>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65" t="s">
        <v>39</v>
      </c>
      <c r="B73" s="66"/>
      <c r="C73" s="11"/>
      <c r="D73" s="11"/>
      <c r="E73" s="11"/>
      <c r="F73" s="11"/>
      <c r="G73" s="11"/>
      <c r="H73" s="11"/>
      <c r="I73" s="59"/>
      <c r="J73" s="59"/>
      <c r="K73" s="11"/>
      <c r="L73" s="59"/>
      <c r="M73" s="59"/>
      <c r="N73" s="104" t="str">
        <f>N70&amp;" - Check"</f>
        <v>Total Expenses - Check</v>
      </c>
      <c r="O73" s="209">
        <f t="shared" ref="O73:AA73" si="24">SUMIF($H$33:$H$71,"600000",O$33:O$71)+SUMIFS(O$33:O$71,$G$33:$G$71,"D_AG_CON",$H$33:$H$71,"700000")-SUMIF($H$33:$H$71,"TOTDEPTEXP",O$33:O$71)</f>
        <v>0</v>
      </c>
      <c r="P73" s="209">
        <f t="shared" si="24"/>
        <v>0</v>
      </c>
      <c r="Q73" s="209">
        <f t="shared" si="24"/>
        <v>0</v>
      </c>
      <c r="R73" s="209">
        <f t="shared" si="24"/>
        <v>0</v>
      </c>
      <c r="S73" s="209">
        <f t="shared" si="24"/>
        <v>0</v>
      </c>
      <c r="T73" s="209">
        <f t="shared" si="24"/>
        <v>0</v>
      </c>
      <c r="U73" s="209">
        <f t="shared" si="24"/>
        <v>0</v>
      </c>
      <c r="V73" s="209">
        <f t="shared" si="24"/>
        <v>0</v>
      </c>
      <c r="W73" s="209">
        <f t="shared" si="24"/>
        <v>0</v>
      </c>
      <c r="X73" s="209">
        <f t="shared" si="24"/>
        <v>0</v>
      </c>
      <c r="Y73" s="209">
        <f t="shared" si="24"/>
        <v>0</v>
      </c>
      <c r="Z73" s="209">
        <f t="shared" si="24"/>
        <v>0</v>
      </c>
      <c r="AA73" s="209">
        <f t="shared" si="24"/>
        <v>0</v>
      </c>
      <c r="AB73" s="100"/>
      <c r="AC73" s="11"/>
      <c r="AD73" s="209">
        <f>SUMIF($H$33:$H$71,"600000",AD$33:AD$71)+SUMIFS(AD$33:AD$71,$G$33:$G$71,"D_AG_CON",$H$33:$H$71,"700000")-SUMIF($H$33:$H$71,"TOTDEPTEXP",AD$33:AD$71)</f>
        <v>3.9581209421157837E-9</v>
      </c>
      <c r="AE73" s="100"/>
      <c r="AF73" s="91"/>
      <c r="AG73" s="209">
        <f>SUMIF($H$33:$H$71,"600000",AG$33:AG$71)+SUMIFS(AG$33:AG$71,$G$33:$G$71,"D_AG_CON",$H$33:$H$71,"700000")-SUMIF($H$33:$H$71,"TOTDEPTEXP",AG$33:AG$71)</f>
        <v>0</v>
      </c>
      <c r="AH73" s="100"/>
      <c r="AI73" s="91"/>
      <c r="AJ73" s="11"/>
      <c r="AK73" s="11"/>
      <c r="AL73" s="11"/>
      <c r="AM73" s="11"/>
      <c r="AN73" s="11"/>
      <c r="AO73" s="11"/>
    </row>
    <row r="74" spans="1:41" x14ac:dyDescent="0.25">
      <c r="A74" s="65" t="s">
        <v>40</v>
      </c>
      <c r="B74" s="66"/>
      <c r="C74" s="11"/>
      <c r="D74" s="11"/>
      <c r="E74" s="11"/>
      <c r="F74" s="11"/>
      <c r="G74" s="11"/>
      <c r="H74" s="11"/>
      <c r="I74" s="59"/>
      <c r="J74" s="59"/>
      <c r="K74" s="11"/>
      <c r="L74" s="59"/>
      <c r="M74" s="59"/>
      <c r="N74" s="104" t="str">
        <f>N71&amp;" - Check"</f>
        <v>Department Profit (Loss) - Check</v>
      </c>
      <c r="O74" s="209">
        <f t="shared" ref="O74:AA74" si="25">SUMIF($H$33:$H$71,"TOTDEPTEXP",O$33:O$71)+SUMIF($H$33:$H$71,"TOTDEPTPL",O$33:O$71)</f>
        <v>0</v>
      </c>
      <c r="P74" s="209">
        <f t="shared" si="25"/>
        <v>0</v>
      </c>
      <c r="Q74" s="209">
        <f t="shared" si="25"/>
        <v>0</v>
      </c>
      <c r="R74" s="209">
        <f t="shared" si="25"/>
        <v>0</v>
      </c>
      <c r="S74" s="209">
        <f t="shared" si="25"/>
        <v>0</v>
      </c>
      <c r="T74" s="209">
        <f t="shared" si="25"/>
        <v>0</v>
      </c>
      <c r="U74" s="209">
        <f t="shared" si="25"/>
        <v>0</v>
      </c>
      <c r="V74" s="209">
        <f t="shared" si="25"/>
        <v>0</v>
      </c>
      <c r="W74" s="209">
        <f t="shared" si="25"/>
        <v>0</v>
      </c>
      <c r="X74" s="209">
        <f t="shared" si="25"/>
        <v>0</v>
      </c>
      <c r="Y74" s="209">
        <f t="shared" si="25"/>
        <v>0</v>
      </c>
      <c r="Z74" s="209">
        <f t="shared" si="25"/>
        <v>0</v>
      </c>
      <c r="AA74" s="209">
        <f t="shared" si="25"/>
        <v>0</v>
      </c>
      <c r="AB74" s="100"/>
      <c r="AC74" s="11"/>
      <c r="AD74" s="209">
        <f>SUMIF($H$33:$H$71,"TOTDEPTEXP",AD$33:AD$71)+SUMIF($H$33:$H$71,"TOTDEPTPL",AD$33:AD$71)</f>
        <v>0</v>
      </c>
      <c r="AE74" s="100"/>
      <c r="AF74" s="91"/>
      <c r="AG74" s="209">
        <f>SUMIF($H$33:$H$71,"TOTDEPTEXP",AG$33:AG$71)+SUMIF($H$33:$H$71,"TOTDEPTPL",AG$33:AG$71)</f>
        <v>0</v>
      </c>
      <c r="AH74" s="100"/>
      <c r="AI74" s="91"/>
      <c r="AJ74" s="11"/>
      <c r="AK74" s="11"/>
      <c r="AL74" s="11"/>
      <c r="AM74" s="11"/>
      <c r="AN74" s="11"/>
      <c r="AO74" s="11"/>
    </row>
    <row r="75" spans="1:41" x14ac:dyDescent="0.25">
      <c r="A75" s="65" t="s">
        <v>41</v>
      </c>
      <c r="B75" s="66"/>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65" t="s">
        <v>42</v>
      </c>
      <c r="B76" s="66"/>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25">
      <c r="A77" s="65" t="s">
        <v>43</v>
      </c>
      <c r="B77" s="66"/>
      <c r="C77" s="11"/>
      <c r="D77" s="11"/>
      <c r="E77" s="11"/>
      <c r="F77" s="11"/>
      <c r="G77" s="11"/>
      <c r="H77" s="11"/>
      <c r="I77" s="59"/>
      <c r="J77" s="59"/>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65" t="s">
        <v>44</v>
      </c>
      <c r="B78" s="66"/>
      <c r="C78" s="11"/>
      <c r="D78" s="11"/>
      <c r="E78" s="11"/>
      <c r="F78" s="11"/>
      <c r="G78" s="11"/>
      <c r="H78" s="11"/>
      <c r="I78" s="59"/>
      <c r="J78" s="59"/>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65" t="s">
        <v>45</v>
      </c>
      <c r="B79" s="66"/>
      <c r="C79" s="11"/>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65" t="s">
        <v>46</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11"/>
      <c r="B81" s="11"/>
      <c r="C81" s="11"/>
      <c r="D81" s="11"/>
      <c r="E81" s="11"/>
      <c r="F81" s="11"/>
      <c r="G81" s="11"/>
      <c r="H81" s="59"/>
      <c r="I81" s="59"/>
      <c r="J81" s="11"/>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11"/>
      <c r="B82" s="11"/>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11"/>
      <c r="B83" s="11"/>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11"/>
      <c r="B84" s="11"/>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11"/>
      <c r="B101" s="11"/>
      <c r="C101" s="11"/>
      <c r="D101" s="11"/>
      <c r="E101" s="11"/>
      <c r="F101" s="11"/>
      <c r="G101" s="11"/>
      <c r="H101" s="59"/>
      <c r="I101" s="59"/>
      <c r="J101" s="11"/>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59"/>
      <c r="I102" s="59"/>
      <c r="J102" s="11"/>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c r="B103" s="11"/>
      <c r="C103" s="11"/>
      <c r="D103" s="11"/>
      <c r="E103" s="11"/>
      <c r="F103" s="11"/>
      <c r="G103" s="11"/>
      <c r="H103" s="59"/>
      <c r="I103" s="59"/>
      <c r="J103" s="11"/>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sheetData>
  <sheetProtection algorithmName="SHA-512" hashValue="Vh1PWbWtexfeBz/THvEI6sKAE1HzBIWOqoT8YdBC/5tmmtEcY/QTvEJ+BjB1fB3Fjm6gbGeKfTuNsKiBbwZyLw==" saltValue="oXhl0IXNJ3J+7OI3qLJnQw==" spinCount="100000" sheet="1" scenarios="1"/>
  <mergeCells count="2">
    <mergeCell ref="AD31:AE31"/>
    <mergeCell ref="AG31:AH31"/>
  </mergeCells>
  <dataValidations disablePrompts="1" count="2">
    <dataValidation type="list" allowBlank="1" sqref="B28:C28" xr:uid="{00000000-0002-0000-2600-000000000000}">
      <formula1>"ACCOUNT,BUSINESSUNIT,CATEGORY,DATASRC,DEPARTMENT,INTCO,MEASURES,RPTCURRENCY,TIME"</formula1>
    </dataValidation>
    <dataValidation type="list" allowBlank="1" sqref="B29:C29" xr:uid="{00000000-0002-0000-26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3256"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53256" r:id="rId7" name="FPMExcelClientSheetOptionstb1"/>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3">
    <tabColor theme="2" tint="-0.499984740745262"/>
    <pageSetUpPr fitToPage="1"/>
  </sheetPr>
  <dimension ref="A1:AO76"/>
  <sheetViews>
    <sheetView topLeftCell="K25" zoomScale="85" zoomScaleNormal="85" workbookViewId="0">
      <pane xSplit="4" ySplit="8" topLeftCell="O33" activePane="bottomRight" state="frozen"/>
      <selection activeCell="K25" sqref="K25"/>
      <selection pane="topRight" activeCell="O25" sqref="O25"/>
      <selection pane="bottomLeft" activeCell="K33" sqref="K33"/>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498</v>
      </c>
      <c r="C6" s="11" t="str">
        <f>IF(_epmOfflineCondition_,"Human Resources (Consolidated)",_xll.EVDES(B6,$B$1))</f>
        <v>Human Resources (Consolidated)</v>
      </c>
      <c r="D6" s="11"/>
      <c r="E6" s="58" t="str">
        <f>IF(_epmOfflineCondition_,"D1154",_xll.EVPRO($B$1,$B$6,$F$6))</f>
        <v>D1154</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IF(_epmOfflineCondition_,"'HR_Detail'!$B$2:$B$10",_xll.EVRNG($B$2:$B$10))</f>
        <v>'HR_Detail'!$B$2:$B$10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IF(_epmOfflineCondition_,"'HR_Detail'!$O$16:$AN$18",_xll.EVRNG($O$16:$AN$18))</f>
        <v>'HR_Detail'!$O$16:$AN$18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IF(_epmOfflineCondition_,"'HR_Detail'!$H$34:$H$43",_xll.EVRNG(H34:H43))</f>
        <v>'HR_Detail'!$H$34:$H$43</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IF(_epmOfflineCondition_,48180,_xll.EVGTS($B$1,1,$B$3,$B$5,$B$7,$B$9,AG$16,AG$17,AG$18,$G$20,$H$20))</f>
        <v>48180</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IF(_epmOfflineCondition_,"'HR_Detail'!$A$37:$B$58",_xll.EVRNG($A$37:$B$58))</f>
        <v>'HR_Detail'!$A$37:$B$58</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IF(_epmOfflineCondition_,"Human Resources (Consolidated) Department",IF(_xll.EVDES(B6,$B$1)="#NODATA","",_xll.EVDES(B6,$B$1)&amp;" Department"))</f>
        <v>Human Resources (Consolidated)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111</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05"/>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82</v>
      </c>
      <c r="I33" s="59" t="str">
        <f>IF(_epmOfflineCondition_,"B1",_xll.EVPRO($B$1,$H33,"STYLE"))</f>
        <v>B1</v>
      </c>
      <c r="J33" s="59" t="str">
        <f>IF(_epmOfflineCondition_,"Y",_xll.EVPRO($B$1,$H33,"CALC"))</f>
        <v>Y</v>
      </c>
      <c r="K33" s="11"/>
      <c r="L33" s="11"/>
      <c r="M33" s="11"/>
      <c r="N33" s="105" t="str">
        <f>IF(_epmOfflineCondition_,"Other Expenses",IF(_xll.EVDES(H33,$B$1)="#NODATA","",_xll.EVDES(H33,$B$1)))</f>
        <v>Other Expenses</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25">
      <c r="A34" s="11"/>
      <c r="B34" s="11"/>
      <c r="C34" s="11"/>
      <c r="D34" s="11"/>
      <c r="E34" s="11"/>
      <c r="F34" s="11"/>
      <c r="G34" s="11"/>
      <c r="H34" s="88" t="s">
        <v>828</v>
      </c>
      <c r="I34" s="122" t="str">
        <f>IF(_epmOfflineCondition_,"N",_xll.EVPRO($B$1,$H34,"STYLE"))</f>
        <v>N</v>
      </c>
      <c r="J34" s="122" t="str">
        <f>IF(_epmOfflineCondition_,"N",_xll.EVPRO($B$1,$H34,"CALC"))</f>
        <v>N</v>
      </c>
      <c r="K34" s="179" t="str">
        <f t="shared" ref="K34:K43" si="0">IF(AND(I34&gt;="T3"),"&gt;","")</f>
        <v/>
      </c>
      <c r="L34" s="90" t="str">
        <f>IF(_epmOfflineCondition_,"701100",_xll.EVPRO($B$1,H34,"JDEID"))</f>
        <v>701100</v>
      </c>
      <c r="M34" s="90" t="str">
        <f>IF(_epmOfflineCondition_,"690015",IF(AND(I34="N",J34="N"),_xll.EVPRO($B$1,H34,"PSFTID"),""))</f>
        <v>690015</v>
      </c>
      <c r="N34" s="90" t="str">
        <f>IF(_epmOfflineCondition_,"Dues and Subscriptions",IF(_xll.EVDES(H34,$B$1)="#NODATA","",_xll.EVDES(H34,$B$1)))</f>
        <v>Dues and Subscriptions</v>
      </c>
      <c r="O34" s="138"/>
      <c r="P34" s="138">
        <v>182.04</v>
      </c>
      <c r="Q34" s="138"/>
      <c r="R34" s="138">
        <v>172.86</v>
      </c>
      <c r="S34" s="138">
        <v>1.72</v>
      </c>
      <c r="T34" s="138">
        <v>125.73</v>
      </c>
      <c r="U34" s="138">
        <v>293.66000000000003</v>
      </c>
      <c r="V34" s="138"/>
      <c r="W34" s="138">
        <v>14.67</v>
      </c>
      <c r="X34" s="138">
        <v>23.93</v>
      </c>
      <c r="Y34" s="138"/>
      <c r="Z34" s="138"/>
      <c r="AA34" s="231">
        <f t="shared" ref="AA34:AA44" si="1">IF($I34="B1","",SUM(O34:Z34))</f>
        <v>814.6099999999999</v>
      </c>
      <c r="AB34" s="142">
        <f t="shared" ref="AB34:AB44" si="2">IF(AA34=0,"",IFERROR(AA34/AA$19,""))</f>
        <v>5.5292501169577144E-5</v>
      </c>
      <c r="AC34" s="140"/>
      <c r="AD34" s="138">
        <v>1474</v>
      </c>
      <c r="AE34" s="142">
        <f t="shared" ref="AE34:AE44" si="3">IF(AD34=0,"",IFERROR(AD34/AD$19,""))</f>
        <v>1.0078369707752423E-4</v>
      </c>
      <c r="AF34" s="141">
        <f t="shared" ref="AF34:AF44" si="4">IF(AND($AA34="",AD34=""),"",$AA34-AD34)</f>
        <v>-659.3900000000001</v>
      </c>
      <c r="AG34" s="138">
        <v>1473.92</v>
      </c>
      <c r="AH34" s="142">
        <f t="shared" ref="AH34:AH44" si="5">IF(AG34=0,"",IFERROR(AG34/AG$19,""))</f>
        <v>1.2379095259101649E-4</v>
      </c>
      <c r="AI34" s="141">
        <f t="shared" ref="AI34:AI44" si="6">IF(AND($AA34="",AG34=""),"",$AA34-AG34)</f>
        <v>-659.31000000000017</v>
      </c>
      <c r="AJ34" s="462">
        <f t="shared" ref="AJ34:AJ44" si="7">IFERROR(AA34/AA$20,0)</f>
        <v>1.6907638024076379E-2</v>
      </c>
      <c r="AK34" s="463">
        <f t="shared" ref="AK34:AK44" si="8">IFERROR(AD34/AD$20,0)</f>
        <v>3.0593607305936073E-2</v>
      </c>
      <c r="AL34" s="464">
        <f t="shared" ref="AL34:AL44" si="9">IFERROR(AG34/AG$20,0)</f>
        <v>3.059194686591947E-2</v>
      </c>
      <c r="AM34" s="465" t="str">
        <f t="shared" ref="AM34:AM44" si="10">+IFERROR(ROUND(($AB34-AE34)*100,2)&amp;" pts.",0)</f>
        <v>0 pts.</v>
      </c>
      <c r="AN34" s="466" t="str">
        <f t="shared" ref="AN34:AN44" si="11">+IFERROR(ROUND(($AB34-AH34)*100,2)&amp;" pts.",0)</f>
        <v>-0.01 pts.</v>
      </c>
      <c r="AO34" s="11"/>
    </row>
    <row r="35" spans="1:41" x14ac:dyDescent="0.25">
      <c r="A35" s="11"/>
      <c r="B35" s="11"/>
      <c r="C35" s="208"/>
      <c r="D35" s="11"/>
      <c r="E35" s="11"/>
      <c r="F35" s="11"/>
      <c r="G35" s="11"/>
      <c r="H35" s="88" t="s">
        <v>831</v>
      </c>
      <c r="I35" s="122" t="str">
        <f>IF(_epmOfflineCondition_,"T4",_xll.EVPRO($B$1,$H35,"STYLE"))</f>
        <v>T4</v>
      </c>
      <c r="J35" s="122" t="str">
        <f>IF(_epmOfflineCondition_,"Y",_xll.EVPRO($B$1,$H35,"CALC"))</f>
        <v>Y</v>
      </c>
      <c r="K35" s="179" t="str">
        <f t="shared" si="0"/>
        <v>&gt;</v>
      </c>
      <c r="L35" s="90" t="str">
        <f>IF(_epmOfflineCondition_,"701500",_xll.EVPRO($B$1,H35,"JDEID"))</f>
        <v>701500</v>
      </c>
      <c r="M35" s="90" t="str">
        <f>IF(_epmOfflineCondition_,"",IF(AND(I35="N",J35="N"),_xll.EVPRO($B$1,H35,"PSFTID"),""))</f>
        <v/>
      </c>
      <c r="N35" s="90" t="str">
        <f>IF(_epmOfflineCondition_,"Operating Supplies",IF(_xll.EVDES(H35,$B$1)="#NODATA","",_xll.EVDES(H35,$B$1)))</f>
        <v>Operating Supplies</v>
      </c>
      <c r="O35" s="138">
        <v>-5.64</v>
      </c>
      <c r="P35" s="138"/>
      <c r="Q35" s="138">
        <v>6.4</v>
      </c>
      <c r="R35" s="138">
        <v>-5.49</v>
      </c>
      <c r="S35" s="138">
        <v>0.56999999999999995</v>
      </c>
      <c r="T35" s="138">
        <v>1.48</v>
      </c>
      <c r="U35" s="138">
        <v>-2.96</v>
      </c>
      <c r="V35" s="138">
        <v>40</v>
      </c>
      <c r="W35" s="138"/>
      <c r="X35" s="138">
        <v>1.7</v>
      </c>
      <c r="Y35" s="138"/>
      <c r="Z35" s="138">
        <v>21.75</v>
      </c>
      <c r="AA35" s="231">
        <f t="shared" si="1"/>
        <v>57.81</v>
      </c>
      <c r="AB35" s="142">
        <f t="shared" si="2"/>
        <v>3.9239138883800292E-6</v>
      </c>
      <c r="AC35" s="140"/>
      <c r="AD35" s="138">
        <v>101</v>
      </c>
      <c r="AE35" s="142">
        <f t="shared" si="3"/>
        <v>6.9058028526661785E-6</v>
      </c>
      <c r="AF35" s="141">
        <f t="shared" si="4"/>
        <v>-43.19</v>
      </c>
      <c r="AG35" s="138">
        <v>113.41</v>
      </c>
      <c r="AH35" s="142">
        <f t="shared" si="5"/>
        <v>9.5250298071450143E-6</v>
      </c>
      <c r="AI35" s="141">
        <f t="shared" si="6"/>
        <v>-55.599999999999994</v>
      </c>
      <c r="AJ35" s="462">
        <f t="shared" si="7"/>
        <v>1.1998754669987548E-3</v>
      </c>
      <c r="AK35" s="463">
        <f t="shared" si="8"/>
        <v>2.0963055209630554E-3</v>
      </c>
      <c r="AL35" s="464">
        <f t="shared" si="9"/>
        <v>2.3538812785388126E-3</v>
      </c>
      <c r="AM35" s="465" t="str">
        <f t="shared" si="10"/>
        <v>0 pts.</v>
      </c>
      <c r="AN35" s="466" t="str">
        <f t="shared" si="11"/>
        <v>0 pts.</v>
      </c>
      <c r="AO35" s="11"/>
    </row>
    <row r="36" spans="1:41" x14ac:dyDescent="0.25">
      <c r="A36" s="62" t="s">
        <v>23</v>
      </c>
      <c r="B36" s="63" t="s">
        <v>24</v>
      </c>
      <c r="C36" s="11"/>
      <c r="D36" s="11"/>
      <c r="E36" s="11"/>
      <c r="F36" s="11"/>
      <c r="G36" s="11"/>
      <c r="H36" s="88" t="s">
        <v>832</v>
      </c>
      <c r="I36" s="122" t="str">
        <f>IF(_epmOfflineCondition_,"T4",_xll.EVPRO($B$1,$H36,"STYLE"))</f>
        <v>T4</v>
      </c>
      <c r="J36" s="122" t="str">
        <f>IF(_epmOfflineCondition_,"Y",_xll.EVPRO($B$1,$H36,"CALC"))</f>
        <v>Y</v>
      </c>
      <c r="K36" s="179" t="str">
        <f t="shared" si="0"/>
        <v>&gt;</v>
      </c>
      <c r="L36" s="90" t="str">
        <f>IF(_epmOfflineCondition_,"",_xll.EVPRO($B$1,H36,"JDEID"))</f>
        <v/>
      </c>
      <c r="M36" s="90" t="str">
        <f>IF(_epmOfflineCondition_,"",IF(AND(I36="N",J36="N"),_xll.EVPRO($B$1,H36,"PSFTID"),""))</f>
        <v/>
      </c>
      <c r="N36" s="90" t="str">
        <f>IF(_epmOfflineCondition_,"Contract Services",IF(_xll.EVDES(H36,$B$1)="#NODATA","",_xll.EVDES(H36,$B$1)))</f>
        <v>Contract Services</v>
      </c>
      <c r="O36" s="138">
        <v>875</v>
      </c>
      <c r="P36" s="138"/>
      <c r="Q36" s="138"/>
      <c r="R36" s="138"/>
      <c r="S36" s="138"/>
      <c r="T36" s="138"/>
      <c r="U36" s="138"/>
      <c r="V36" s="138">
        <v>2000</v>
      </c>
      <c r="W36" s="138"/>
      <c r="X36" s="138"/>
      <c r="Y36" s="138"/>
      <c r="Z36" s="138"/>
      <c r="AA36" s="231">
        <f t="shared" si="1"/>
        <v>2875</v>
      </c>
      <c r="AB36" s="142">
        <f t="shared" si="2"/>
        <v>1.9514361579471687E-4</v>
      </c>
      <c r="AC36" s="140"/>
      <c r="AD36" s="138">
        <v>2350</v>
      </c>
      <c r="AE36" s="142">
        <f t="shared" si="3"/>
        <v>1.6067957132441106E-4</v>
      </c>
      <c r="AF36" s="141">
        <f t="shared" si="4"/>
        <v>525</v>
      </c>
      <c r="AG36" s="138">
        <v>2175</v>
      </c>
      <c r="AH36" s="142">
        <f t="shared" si="5"/>
        <v>1.8267295503518566E-4</v>
      </c>
      <c r="AI36" s="141">
        <f t="shared" si="6"/>
        <v>700</v>
      </c>
      <c r="AJ36" s="462">
        <f t="shared" si="7"/>
        <v>5.9672063096720629E-2</v>
      </c>
      <c r="AK36" s="463">
        <f t="shared" si="8"/>
        <v>4.8775425487754258E-2</v>
      </c>
      <c r="AL36" s="464">
        <f t="shared" si="9"/>
        <v>4.514321295143213E-2</v>
      </c>
      <c r="AM36" s="465" t="str">
        <f t="shared" si="10"/>
        <v>0 pts.</v>
      </c>
      <c r="AN36" s="466" t="str">
        <f t="shared" si="11"/>
        <v>0 pts.</v>
      </c>
      <c r="AO36" s="11"/>
    </row>
    <row r="37" spans="1:41" x14ac:dyDescent="0.25">
      <c r="A37" s="65" t="s">
        <v>25</v>
      </c>
      <c r="B37" s="66"/>
      <c r="C37" s="11"/>
      <c r="D37" s="11"/>
      <c r="E37" s="11"/>
      <c r="F37" s="11"/>
      <c r="G37" s="11"/>
      <c r="H37" s="88" t="s">
        <v>833</v>
      </c>
      <c r="I37" s="122" t="str">
        <f>IF(_epmOfflineCondition_,"T4",_xll.EVPRO($B$1,$H37,"STYLE"))</f>
        <v>T4</v>
      </c>
      <c r="J37" s="122" t="str">
        <f>IF(_epmOfflineCondition_,"Y",_xll.EVPRO($B$1,$H37,"CALC"))</f>
        <v>Y</v>
      </c>
      <c r="K37" s="179" t="str">
        <f t="shared" si="0"/>
        <v>&gt;</v>
      </c>
      <c r="L37" s="90" t="str">
        <f>IF(_epmOfflineCondition_,"",_xll.EVPRO($B$1,H37,"JDEID"))</f>
        <v/>
      </c>
      <c r="M37" s="90" t="str">
        <f>IF(_epmOfflineCondition_,"",IF(AND(I37="N",J37="N"),_xll.EVPRO($B$1,H37,"PSFTID"),""))</f>
        <v/>
      </c>
      <c r="N37" s="90" t="str">
        <f>IF(_epmOfflineCondition_,"Travel - Other",IF(_xll.EVDES(H37,$B$1)="#NODATA","",_xll.EVDES(H37,$B$1)))</f>
        <v>Travel - Other</v>
      </c>
      <c r="O37" s="138">
        <v>-26.57</v>
      </c>
      <c r="P37" s="138"/>
      <c r="Q37" s="138"/>
      <c r="R37" s="138"/>
      <c r="S37" s="138">
        <v>362.8</v>
      </c>
      <c r="T37" s="138">
        <v>608.87</v>
      </c>
      <c r="U37" s="138">
        <v>-11.73</v>
      </c>
      <c r="V37" s="138">
        <v>311.82</v>
      </c>
      <c r="W37" s="138">
        <v>10.43</v>
      </c>
      <c r="X37" s="138">
        <v>-51.7</v>
      </c>
      <c r="Y37" s="138">
        <v>0</v>
      </c>
      <c r="Z37" s="138">
        <v>-6.51</v>
      </c>
      <c r="AA37" s="231">
        <f t="shared" si="1"/>
        <v>1197.4100000000001</v>
      </c>
      <c r="AB37" s="142">
        <f t="shared" si="2"/>
        <v>8.1275449387391987E-5</v>
      </c>
      <c r="AC37" s="140"/>
      <c r="AD37" s="138">
        <v>480</v>
      </c>
      <c r="AE37" s="142">
        <f t="shared" si="3"/>
        <v>3.2819657121581838E-5</v>
      </c>
      <c r="AF37" s="141">
        <f t="shared" si="4"/>
        <v>717.41000000000008</v>
      </c>
      <c r="AG37" s="138">
        <v>65.34</v>
      </c>
      <c r="AH37" s="142">
        <f t="shared" si="5"/>
        <v>5.4877475319535776E-6</v>
      </c>
      <c r="AI37" s="141">
        <f t="shared" si="6"/>
        <v>1132.0700000000002</v>
      </c>
      <c r="AJ37" s="462">
        <f t="shared" si="7"/>
        <v>2.4852843503528437E-2</v>
      </c>
      <c r="AK37" s="463">
        <f t="shared" si="8"/>
        <v>9.9626400996264009E-3</v>
      </c>
      <c r="AL37" s="464">
        <f t="shared" si="9"/>
        <v>1.3561643835616438E-3</v>
      </c>
      <c r="AM37" s="465" t="str">
        <f t="shared" si="10"/>
        <v>0 pts.</v>
      </c>
      <c r="AN37" s="466" t="str">
        <f t="shared" si="11"/>
        <v>0.01 pts.</v>
      </c>
      <c r="AO37" s="11"/>
    </row>
    <row r="38" spans="1:41" x14ac:dyDescent="0.25">
      <c r="A38" s="65" t="s">
        <v>26</v>
      </c>
      <c r="B38" s="66"/>
      <c r="C38" s="11"/>
      <c r="D38" s="11"/>
      <c r="E38" s="11"/>
      <c r="F38" s="11"/>
      <c r="G38" s="11"/>
      <c r="H38" s="88" t="s">
        <v>834</v>
      </c>
      <c r="I38" s="122" t="str">
        <f>IF(_epmOfflineCondition_,"T4",_xll.EVPRO($B$1,$H38,"STYLE"))</f>
        <v>T4</v>
      </c>
      <c r="J38" s="122" t="str">
        <f>IF(_epmOfflineCondition_,"Y",_xll.EVPRO($B$1,$H38,"CALC"))</f>
        <v>Y</v>
      </c>
      <c r="K38" s="179" t="str">
        <f t="shared" si="0"/>
        <v>&gt;</v>
      </c>
      <c r="L38" s="90" t="str">
        <f>IF(_epmOfflineCondition_,"702900",_xll.EVPRO($B$1,H38,"JDEID"))</f>
        <v>702900</v>
      </c>
      <c r="M38" s="90" t="str">
        <f>IF(_epmOfflineCondition_,"",IF(AND(I38="N",J38="N"),_xll.EVPRO($B$1,H38,"PSFTID"),""))</f>
        <v/>
      </c>
      <c r="N38" s="90" t="str">
        <f>IF(_epmOfflineCondition_,"Travel - Meals &amp; Entertainment",IF(_xll.EVDES(H38,$B$1)="#NODATA","",_xll.EVDES(H38,$B$1)))</f>
        <v>Travel - Meals &amp; Entertainment</v>
      </c>
      <c r="O38" s="138"/>
      <c r="P38" s="138"/>
      <c r="Q38" s="138"/>
      <c r="R38" s="138"/>
      <c r="S38" s="138">
        <v>60.67</v>
      </c>
      <c r="T38" s="138">
        <v>164.21</v>
      </c>
      <c r="U38" s="138">
        <v>1.96</v>
      </c>
      <c r="V38" s="138"/>
      <c r="W38" s="138">
        <v>145.99</v>
      </c>
      <c r="X38" s="138">
        <v>-145.99</v>
      </c>
      <c r="Y38" s="138">
        <v>72.8</v>
      </c>
      <c r="Z38" s="138">
        <v>177.32</v>
      </c>
      <c r="AA38" s="231">
        <f t="shared" si="1"/>
        <v>476.96000000000004</v>
      </c>
      <c r="AB38" s="142">
        <f t="shared" si="2"/>
        <v>3.237415617024284E-5</v>
      </c>
      <c r="AC38" s="140"/>
      <c r="AD38" s="138">
        <v>75</v>
      </c>
      <c r="AE38" s="142">
        <f t="shared" si="3"/>
        <v>5.1280714252471618E-6</v>
      </c>
      <c r="AF38" s="141">
        <f t="shared" si="4"/>
        <v>401.96000000000004</v>
      </c>
      <c r="AG38" s="138"/>
      <c r="AH38" s="142" t="str">
        <f t="shared" si="5"/>
        <v/>
      </c>
      <c r="AI38" s="141">
        <f t="shared" si="6"/>
        <v>476.96000000000004</v>
      </c>
      <c r="AJ38" s="462">
        <f t="shared" si="7"/>
        <v>9.8995433789954342E-3</v>
      </c>
      <c r="AK38" s="463">
        <f t="shared" si="8"/>
        <v>1.5566625155666251E-3</v>
      </c>
      <c r="AL38" s="464">
        <f t="shared" si="9"/>
        <v>0</v>
      </c>
      <c r="AM38" s="465" t="str">
        <f t="shared" si="10"/>
        <v>0 pts.</v>
      </c>
      <c r="AN38" s="466">
        <f t="shared" si="11"/>
        <v>0</v>
      </c>
      <c r="AO38" s="11"/>
    </row>
    <row r="39" spans="1:41" x14ac:dyDescent="0.25">
      <c r="A39" s="65" t="s">
        <v>27</v>
      </c>
      <c r="B39" s="66"/>
      <c r="C39" s="11"/>
      <c r="D39" s="11"/>
      <c r="E39" s="11"/>
      <c r="F39" s="11"/>
      <c r="G39" s="11"/>
      <c r="H39" s="88" t="s">
        <v>874</v>
      </c>
      <c r="I39" s="122" t="str">
        <f>IF(_epmOfflineCondition_,"N",_xll.EVPRO($B$1,$H39,"STYLE"))</f>
        <v>N</v>
      </c>
      <c r="J39" s="122" t="str">
        <f>IF(_epmOfflineCondition_,"N",_xll.EVPRO($B$1,$H39,"CALC"))</f>
        <v>N</v>
      </c>
      <c r="K39" s="179" t="str">
        <f t="shared" si="0"/>
        <v/>
      </c>
      <c r="L39" s="90" t="str">
        <f>IF(_epmOfflineCondition_,"703100",_xll.EVPRO($B$1,H39,"JDEID"))</f>
        <v>703100</v>
      </c>
      <c r="M39" s="90" t="str">
        <f>IF(_epmOfflineCondition_,"690035",IF(AND(I39="N",J39="N"),_xll.EVPRO($B$1,H39,"PSFTID"),""))</f>
        <v>690035</v>
      </c>
      <c r="N39" s="90" t="str">
        <f>IF(_epmOfflineCondition_,"Training",IF(_xll.EVDES(H39,$B$1)="#NODATA","",_xll.EVDES(H39,$B$1)))</f>
        <v>Training</v>
      </c>
      <c r="O39" s="138"/>
      <c r="P39" s="138"/>
      <c r="Q39" s="138"/>
      <c r="R39" s="138">
        <v>405.29</v>
      </c>
      <c r="S39" s="138">
        <v>15</v>
      </c>
      <c r="T39" s="138">
        <v>70</v>
      </c>
      <c r="U39" s="138">
        <v>-85</v>
      </c>
      <c r="V39" s="138"/>
      <c r="W39" s="138"/>
      <c r="X39" s="138">
        <v>20.12</v>
      </c>
      <c r="Y39" s="138"/>
      <c r="Z39" s="138"/>
      <c r="AA39" s="231">
        <f t="shared" si="1"/>
        <v>425.41</v>
      </c>
      <c r="AB39" s="142">
        <f t="shared" si="2"/>
        <v>2.887514629399322E-5</v>
      </c>
      <c r="AC39" s="140"/>
      <c r="AD39" s="138">
        <v>865</v>
      </c>
      <c r="AE39" s="142">
        <f t="shared" si="3"/>
        <v>5.9143757104517269E-5</v>
      </c>
      <c r="AF39" s="141">
        <f t="shared" si="4"/>
        <v>-439.59</v>
      </c>
      <c r="AG39" s="138">
        <v>715.2</v>
      </c>
      <c r="AH39" s="142">
        <f t="shared" si="5"/>
        <v>6.0067906869501056E-5</v>
      </c>
      <c r="AI39" s="141">
        <f t="shared" si="6"/>
        <v>-289.79000000000002</v>
      </c>
      <c r="AJ39" s="462">
        <f t="shared" si="7"/>
        <v>8.8295973432959748E-3</v>
      </c>
      <c r="AK39" s="463">
        <f t="shared" si="8"/>
        <v>1.7953507679535078E-2</v>
      </c>
      <c r="AL39" s="464">
        <f t="shared" si="9"/>
        <v>1.4844333748443338E-2</v>
      </c>
      <c r="AM39" s="465" t="str">
        <f t="shared" si="10"/>
        <v>0 pts.</v>
      </c>
      <c r="AN39" s="466" t="str">
        <f t="shared" si="11"/>
        <v>0 pts.</v>
      </c>
      <c r="AO39" s="11"/>
    </row>
    <row r="40" spans="1:41" x14ac:dyDescent="0.25">
      <c r="A40" s="65" t="s">
        <v>28</v>
      </c>
      <c r="B40" s="66"/>
      <c r="C40" s="11"/>
      <c r="D40" s="11"/>
      <c r="E40" s="11"/>
      <c r="F40" s="11"/>
      <c r="G40" s="11"/>
      <c r="H40" s="88" t="s">
        <v>856</v>
      </c>
      <c r="I40" s="122" t="str">
        <f>IF(_epmOfflineCondition_,"N",_xll.EVPRO($B$1,$H40,"STYLE"))</f>
        <v>N</v>
      </c>
      <c r="J40" s="122" t="str">
        <f>IF(_epmOfflineCondition_,"N",_xll.EVPRO($B$1,$H40,"CALC"))</f>
        <v>N</v>
      </c>
      <c r="K40" s="179" t="str">
        <f t="shared" si="0"/>
        <v/>
      </c>
      <c r="L40" s="90" t="str">
        <f>IF(_epmOfflineCondition_,"703200",_xll.EVPRO($B$1,H40,"JDEID"))</f>
        <v>703200</v>
      </c>
      <c r="M40" s="90" t="str">
        <f>IF(_epmOfflineCondition_,"590035",IF(AND(I40="N",J40="N"),_xll.EVPRO($B$1,H40,"PSFTID"),""))</f>
        <v>590035</v>
      </c>
      <c r="N40" s="90" t="str">
        <f>IF(_epmOfflineCondition_,"Uniform Costs",IF(_xll.EVDES(H40,$B$1)="#NODATA","",_xll.EVDES(H40,$B$1)))</f>
        <v>Uniform Costs</v>
      </c>
      <c r="O40" s="138"/>
      <c r="P40" s="138"/>
      <c r="Q40" s="138"/>
      <c r="R40" s="138"/>
      <c r="S40" s="138"/>
      <c r="T40" s="138">
        <v>91.54</v>
      </c>
      <c r="U40" s="138"/>
      <c r="V40" s="138"/>
      <c r="W40" s="138">
        <v>-91.54</v>
      </c>
      <c r="X40" s="138"/>
      <c r="Y40" s="138"/>
      <c r="Z40" s="138"/>
      <c r="AA40" s="231">
        <f t="shared" si="1"/>
        <v>0</v>
      </c>
      <c r="AB40" s="142" t="str">
        <f t="shared" si="2"/>
        <v/>
      </c>
      <c r="AC40" s="140"/>
      <c r="AD40" s="138"/>
      <c r="AE40" s="142" t="str">
        <f t="shared" si="3"/>
        <v/>
      </c>
      <c r="AF40" s="141">
        <f t="shared" si="4"/>
        <v>0</v>
      </c>
      <c r="AG40" s="138"/>
      <c r="AH40" s="142" t="str">
        <f t="shared" si="5"/>
        <v/>
      </c>
      <c r="AI40" s="141">
        <f t="shared" si="6"/>
        <v>0</v>
      </c>
      <c r="AJ40" s="462">
        <f t="shared" si="7"/>
        <v>0</v>
      </c>
      <c r="AK40" s="463">
        <f t="shared" si="8"/>
        <v>0</v>
      </c>
      <c r="AL40" s="464">
        <f t="shared" si="9"/>
        <v>0</v>
      </c>
      <c r="AM40" s="465">
        <f t="shared" si="10"/>
        <v>0</v>
      </c>
      <c r="AN40" s="466">
        <f t="shared" si="11"/>
        <v>0</v>
      </c>
      <c r="AO40" s="11"/>
    </row>
    <row r="41" spans="1:41" x14ac:dyDescent="0.25">
      <c r="A41" s="65" t="s">
        <v>29</v>
      </c>
      <c r="B41" s="66"/>
      <c r="C41" s="11"/>
      <c r="D41" s="11"/>
      <c r="E41" s="11"/>
      <c r="F41" s="11"/>
      <c r="G41" s="11"/>
      <c r="H41" s="88" t="s">
        <v>883</v>
      </c>
      <c r="I41" s="122" t="str">
        <f>IF(_epmOfflineCondition_,"N",_xll.EVPRO($B$1,$H41,"STYLE"))</f>
        <v>N</v>
      </c>
      <c r="J41" s="122" t="str">
        <f>IF(_epmOfflineCondition_,"N",_xll.EVPRO($B$1,$H41,"CALC"))</f>
        <v>N</v>
      </c>
      <c r="K41" s="179" t="str">
        <f t="shared" si="0"/>
        <v/>
      </c>
      <c r="L41" s="90" t="str">
        <f>IF(_epmOfflineCondition_,"706700",_xll.EVPRO($B$1,H41,"JDEID"))</f>
        <v>706700</v>
      </c>
      <c r="M41" s="90" t="str">
        <f>IF(_epmOfflineCondition_,"690248",IF(AND(I41="N",J41="N"),_xll.EVPRO($B$1,H41,"PSFTID"),""))</f>
        <v>690248</v>
      </c>
      <c r="N41" s="90" t="str">
        <f>IF(_epmOfflineCondition_,"Employee Relations",IF(_xll.EVDES(H41,$B$1)="#NODATA","",_xll.EVDES(H41,$B$1)))</f>
        <v>Employee Relations</v>
      </c>
      <c r="O41" s="138">
        <v>1654.06</v>
      </c>
      <c r="P41" s="138">
        <v>1482.19</v>
      </c>
      <c r="Q41" s="138">
        <v>3709.46</v>
      </c>
      <c r="R41" s="138">
        <v>3761.32</v>
      </c>
      <c r="S41" s="138">
        <v>1322.18</v>
      </c>
      <c r="T41" s="138">
        <v>5159.57</v>
      </c>
      <c r="U41" s="138">
        <v>2664.29</v>
      </c>
      <c r="V41" s="138">
        <v>6686.38</v>
      </c>
      <c r="W41" s="138">
        <v>6358.54</v>
      </c>
      <c r="X41" s="138">
        <v>4036.06</v>
      </c>
      <c r="Y41" s="138">
        <v>7122.03</v>
      </c>
      <c r="Z41" s="138">
        <v>8111.65</v>
      </c>
      <c r="AA41" s="231">
        <f t="shared" si="1"/>
        <v>52067.729999999996</v>
      </c>
      <c r="AB41" s="142">
        <f t="shared" si="2"/>
        <v>3.5341513385819313E-3</v>
      </c>
      <c r="AC41" s="140"/>
      <c r="AD41" s="138">
        <v>39581</v>
      </c>
      <c r="AE41" s="142">
        <f t="shared" si="3"/>
        <v>2.7063226011027723E-3</v>
      </c>
      <c r="AF41" s="141">
        <f t="shared" si="4"/>
        <v>12486.729999999996</v>
      </c>
      <c r="AG41" s="138">
        <v>30908.87</v>
      </c>
      <c r="AH41" s="142">
        <f t="shared" si="5"/>
        <v>2.5959607446889191E-3</v>
      </c>
      <c r="AI41" s="141">
        <f t="shared" si="6"/>
        <v>21158.859999999997</v>
      </c>
      <c r="AJ41" s="462">
        <f t="shared" si="7"/>
        <v>1.0806917808219176</v>
      </c>
      <c r="AK41" s="463">
        <f t="shared" si="8"/>
        <v>0.8215234537152345</v>
      </c>
      <c r="AL41" s="464">
        <f t="shared" si="9"/>
        <v>0.64152905770029056</v>
      </c>
      <c r="AM41" s="465" t="str">
        <f t="shared" si="10"/>
        <v>0.08 pts.</v>
      </c>
      <c r="AN41" s="466" t="str">
        <f t="shared" si="11"/>
        <v>0.09 pts.</v>
      </c>
      <c r="AO41" s="11"/>
    </row>
    <row r="42" spans="1:41" x14ac:dyDescent="0.25">
      <c r="A42" s="65" t="s">
        <v>30</v>
      </c>
      <c r="B42" s="66" t="s">
        <v>78</v>
      </c>
      <c r="C42" s="11"/>
      <c r="D42" s="11"/>
      <c r="E42" s="11"/>
      <c r="F42" s="11"/>
      <c r="G42" s="11"/>
      <c r="H42" s="88" t="s">
        <v>884</v>
      </c>
      <c r="I42" s="122" t="str">
        <f>IF(_epmOfflineCondition_,"N",_xll.EVPRO($B$1,$H42,"STYLE"))</f>
        <v>N</v>
      </c>
      <c r="J42" s="122" t="str">
        <f>IF(_epmOfflineCondition_,"N",_xll.EVPRO($B$1,$H42,"CALC"))</f>
        <v>N</v>
      </c>
      <c r="K42" s="179" t="str">
        <f t="shared" si="0"/>
        <v/>
      </c>
      <c r="L42" s="90" t="str">
        <f>IF(_epmOfflineCondition_,"706800",_xll.EVPRO($B$1,H42,"JDEID"))</f>
        <v>706800</v>
      </c>
      <c r="M42" s="90" t="str">
        <f>IF(_epmOfflineCondition_,"690030",IF(AND(I42="N",J42="N"),_xll.EVPRO($B$1,H42,"PSFTID"),""))</f>
        <v>690030</v>
      </c>
      <c r="N42" s="90" t="str">
        <f>IF(_epmOfflineCondition_,"Recruiting",IF(_xll.EVDES(H42,$B$1)="#NODATA","",_xll.EVDES(H42,$B$1)))</f>
        <v>Recruiting</v>
      </c>
      <c r="O42" s="138">
        <v>861.77</v>
      </c>
      <c r="P42" s="138">
        <v>252.73</v>
      </c>
      <c r="Q42" s="138">
        <v>359.44</v>
      </c>
      <c r="R42" s="138">
        <v>697.12</v>
      </c>
      <c r="S42" s="138">
        <v>538.76</v>
      </c>
      <c r="T42" s="138">
        <v>1980.35</v>
      </c>
      <c r="U42" s="138">
        <v>369.45</v>
      </c>
      <c r="V42" s="138">
        <v>521.37</v>
      </c>
      <c r="W42" s="138">
        <v>441.89</v>
      </c>
      <c r="X42" s="138">
        <v>923.71</v>
      </c>
      <c r="Y42" s="138">
        <v>799.06</v>
      </c>
      <c r="Z42" s="138">
        <v>342.97</v>
      </c>
      <c r="AA42" s="231">
        <f t="shared" si="1"/>
        <v>8088.62</v>
      </c>
      <c r="AB42" s="142">
        <f t="shared" si="2"/>
        <v>5.4902349690068265E-4</v>
      </c>
      <c r="AC42" s="140"/>
      <c r="AD42" s="138">
        <v>7571.5</v>
      </c>
      <c r="AE42" s="142">
        <f t="shared" si="3"/>
        <v>5.1769590395011852E-4</v>
      </c>
      <c r="AF42" s="141">
        <f t="shared" si="4"/>
        <v>517.11999999999989</v>
      </c>
      <c r="AG42" s="138">
        <v>7957.2</v>
      </c>
      <c r="AH42" s="142">
        <f t="shared" si="5"/>
        <v>6.6830585646251918E-4</v>
      </c>
      <c r="AI42" s="141">
        <f t="shared" si="6"/>
        <v>131.42000000000007</v>
      </c>
      <c r="AJ42" s="462">
        <f t="shared" si="7"/>
        <v>0.16788335408883354</v>
      </c>
      <c r="AK42" s="463">
        <f t="shared" si="8"/>
        <v>0.15715026982150271</v>
      </c>
      <c r="AL42" s="464">
        <f t="shared" si="9"/>
        <v>0.16515566625155667</v>
      </c>
      <c r="AM42" s="465" t="str">
        <f t="shared" si="10"/>
        <v>0 pts.</v>
      </c>
      <c r="AN42" s="466" t="str">
        <f t="shared" si="11"/>
        <v>-0.01 pts.</v>
      </c>
      <c r="AO42" s="11"/>
    </row>
    <row r="43" spans="1:41" x14ac:dyDescent="0.25">
      <c r="A43" s="65" t="s">
        <v>31</v>
      </c>
      <c r="B43" s="66" t="s">
        <v>78</v>
      </c>
      <c r="C43" s="11"/>
      <c r="D43" s="11"/>
      <c r="E43" s="11"/>
      <c r="F43" s="11"/>
      <c r="G43" s="11"/>
      <c r="H43" s="88" t="s">
        <v>885</v>
      </c>
      <c r="I43" s="122" t="str">
        <f>IF(_epmOfflineCondition_,"N",_xll.EVPRO($B$1,$H43,"STYLE"))</f>
        <v>N</v>
      </c>
      <c r="J43" s="122" t="str">
        <f>IF(_epmOfflineCondition_,"N",_xll.EVPRO($B$1,$H43,"CALC"))</f>
        <v>N</v>
      </c>
      <c r="K43" s="179" t="str">
        <f t="shared" si="0"/>
        <v/>
      </c>
      <c r="L43" s="90" t="str">
        <f>IF(_epmOfflineCondition_,"706900",_xll.EVPRO($B$1,H43,"JDEID"))</f>
        <v>706900</v>
      </c>
      <c r="M43" s="90" t="str">
        <f>IF(_epmOfflineCondition_,"690031",IF(AND(I43="N",J43="N"),_xll.EVPRO($B$1,H43,"PSFTID"),""))</f>
        <v>690031</v>
      </c>
      <c r="N43" s="90" t="str">
        <f>IF(_epmOfflineCondition_,"Relocation",IF(_xll.EVDES(H43,$B$1)="#NODATA","",_xll.EVDES(H43,$B$1)))</f>
        <v>Relocation</v>
      </c>
      <c r="O43" s="138"/>
      <c r="P43" s="138"/>
      <c r="Q43" s="138"/>
      <c r="R43" s="138"/>
      <c r="S43" s="138"/>
      <c r="T43" s="138"/>
      <c r="U43" s="138">
        <v>7000</v>
      </c>
      <c r="V43" s="138">
        <v>20000</v>
      </c>
      <c r="W43" s="138"/>
      <c r="X43" s="138"/>
      <c r="Y43" s="138"/>
      <c r="Z43" s="138"/>
      <c r="AA43" s="231">
        <f t="shared" si="1"/>
        <v>27000</v>
      </c>
      <c r="AB43" s="142">
        <f t="shared" si="2"/>
        <v>1.8326530874634281E-3</v>
      </c>
      <c r="AC43" s="140"/>
      <c r="AD43" s="138"/>
      <c r="AE43" s="142" t="str">
        <f t="shared" si="3"/>
        <v/>
      </c>
      <c r="AF43" s="141">
        <f t="shared" si="4"/>
        <v>27000</v>
      </c>
      <c r="AG43" s="138">
        <v>3000</v>
      </c>
      <c r="AH43" s="142">
        <f t="shared" si="5"/>
        <v>2.519626966002561E-4</v>
      </c>
      <c r="AI43" s="141">
        <f t="shared" si="6"/>
        <v>24000</v>
      </c>
      <c r="AJ43" s="462">
        <f t="shared" si="7"/>
        <v>0.56039850560398508</v>
      </c>
      <c r="AK43" s="463">
        <f t="shared" si="8"/>
        <v>0</v>
      </c>
      <c r="AL43" s="464">
        <f t="shared" si="9"/>
        <v>6.2266500622665005E-2</v>
      </c>
      <c r="AM43" s="465">
        <f t="shared" si="10"/>
        <v>0</v>
      </c>
      <c r="AN43" s="466" t="str">
        <f t="shared" si="11"/>
        <v>0.16 pts.</v>
      </c>
      <c r="AO43" s="11"/>
    </row>
    <row r="44" spans="1:41" x14ac:dyDescent="0.25">
      <c r="A44" s="65" t="s">
        <v>32</v>
      </c>
      <c r="B44" s="66"/>
      <c r="C44" s="11"/>
      <c r="D44" s="11"/>
      <c r="E44" s="11"/>
      <c r="F44" s="11"/>
      <c r="G44" s="11"/>
      <c r="H44" s="88" t="s">
        <v>79</v>
      </c>
      <c r="I44" s="136" t="str">
        <f>IF(_epmOfflineCondition_,"T3",_xll.EVPRO($B$1,$H44,"STYLE"))</f>
        <v>T3</v>
      </c>
      <c r="J44" s="136" t="str">
        <f>IF(_epmOfflineCondition_,"Y",_xll.EVPRO($B$1,$H44,"CALC"))</f>
        <v>Y</v>
      </c>
      <c r="K44" s="104"/>
      <c r="L44" s="59"/>
      <c r="M44" s="59"/>
      <c r="N44" s="106" t="str">
        <f>IF(_epmOfflineCondition_,"Total Operations Expense",IF(_xll.EVDES(H44,$B$1)="#NODATA","",_xll.EVDES(H44,$B$1)))</f>
        <v>Total Operations Expense</v>
      </c>
      <c r="O44" s="112">
        <f t="shared" ref="O44:Z44" si="12">SUM(O34:O43)</f>
        <v>3358.62</v>
      </c>
      <c r="P44" s="112">
        <f t="shared" si="12"/>
        <v>1916.96</v>
      </c>
      <c r="Q44" s="112">
        <f t="shared" si="12"/>
        <v>4075.3</v>
      </c>
      <c r="R44" s="112">
        <f t="shared" si="12"/>
        <v>5031.1000000000004</v>
      </c>
      <c r="S44" s="112">
        <f t="shared" si="12"/>
        <v>2301.6999999999998</v>
      </c>
      <c r="T44" s="112">
        <f t="shared" si="12"/>
        <v>8201.75</v>
      </c>
      <c r="U44" s="112">
        <f t="shared" si="12"/>
        <v>10229.67</v>
      </c>
      <c r="V44" s="112">
        <f t="shared" si="12"/>
        <v>29559.57</v>
      </c>
      <c r="W44" s="112">
        <f t="shared" si="12"/>
        <v>6879.9800000000005</v>
      </c>
      <c r="X44" s="112">
        <f t="shared" si="12"/>
        <v>4807.83</v>
      </c>
      <c r="Y44" s="112">
        <f t="shared" si="12"/>
        <v>7993.8899999999994</v>
      </c>
      <c r="Z44" s="112">
        <f t="shared" si="12"/>
        <v>8647.1799999999985</v>
      </c>
      <c r="AA44" s="112">
        <f t="shared" si="1"/>
        <v>93003.549999999988</v>
      </c>
      <c r="AB44" s="113">
        <f t="shared" si="2"/>
        <v>6.3127127056503436E-3</v>
      </c>
      <c r="AC44" s="11"/>
      <c r="AD44" s="112">
        <f>SUM(AD34:AD43)</f>
        <v>52497.5</v>
      </c>
      <c r="AE44" s="113">
        <f t="shared" si="3"/>
        <v>3.5894790619588387E-3</v>
      </c>
      <c r="AF44" s="114">
        <f t="shared" si="4"/>
        <v>40506.049999999988</v>
      </c>
      <c r="AG44" s="112">
        <f>SUM(AG34:AG43)</f>
        <v>46408.939999999995</v>
      </c>
      <c r="AH44" s="113">
        <f t="shared" si="5"/>
        <v>3.8977738895864958E-3</v>
      </c>
      <c r="AI44" s="114">
        <f t="shared" si="6"/>
        <v>46594.609999999993</v>
      </c>
      <c r="AJ44" s="415">
        <f t="shared" si="7"/>
        <v>1.9303352013283517</v>
      </c>
      <c r="AK44" s="416">
        <f t="shared" si="8"/>
        <v>1.0896118721461188</v>
      </c>
      <c r="AL44" s="417">
        <f t="shared" si="9"/>
        <v>0.96324076380240753</v>
      </c>
      <c r="AM44" s="418" t="str">
        <f t="shared" si="10"/>
        <v>0.27 pts.</v>
      </c>
      <c r="AN44" s="543" t="str">
        <f t="shared" si="11"/>
        <v>0.24 pts.</v>
      </c>
      <c r="AO44" s="11"/>
    </row>
    <row r="45" spans="1:41" x14ac:dyDescent="0.25">
      <c r="A45" s="65" t="s">
        <v>33</v>
      </c>
      <c r="B45" s="66"/>
      <c r="C45" s="11"/>
      <c r="D45" s="11"/>
      <c r="E45" s="11"/>
      <c r="F45" s="11"/>
      <c r="G45" s="11"/>
      <c r="H45" s="11"/>
      <c r="I45" s="59"/>
      <c r="J45" s="59"/>
      <c r="K45" s="11"/>
      <c r="L45" s="59"/>
      <c r="M45" s="59"/>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row>
    <row r="46" spans="1:41" x14ac:dyDescent="0.25">
      <c r="A46" s="65" t="s">
        <v>34</v>
      </c>
      <c r="B46" s="66"/>
      <c r="C46" s="11"/>
      <c r="D46" s="11"/>
      <c r="E46" s="11"/>
      <c r="F46" s="11"/>
      <c r="G46" s="11"/>
      <c r="H46" s="88" t="s">
        <v>498</v>
      </c>
      <c r="I46" s="59"/>
      <c r="J46" s="59"/>
      <c r="K46" s="11"/>
      <c r="L46" s="59"/>
      <c r="M46" s="59"/>
      <c r="N46" s="104" t="str">
        <f>N44&amp;" - Check"</f>
        <v>Total Operations Expense - Check</v>
      </c>
      <c r="O46" s="209">
        <f>INDEX(AG!O50:O68,MATCH($H$46,AG!$G50:$G67,0))-O44</f>
        <v>0</v>
      </c>
      <c r="P46" s="209">
        <f>INDEX(AG!P50:P68,MATCH($H$46,AG!$G50:$G67,0))-P44</f>
        <v>0</v>
      </c>
      <c r="Q46" s="209">
        <f>INDEX(AG!Q50:Q68,MATCH($H$46,AG!$G50:$G67,0))-Q44</f>
        <v>0</v>
      </c>
      <c r="R46" s="209">
        <f>INDEX(AG!R50:R68,MATCH($H$46,AG!$G50:$G67,0))-R44</f>
        <v>0</v>
      </c>
      <c r="S46" s="209">
        <f>INDEX(AG!S50:S68,MATCH($H$46,AG!$G50:$G67,0))-S44</f>
        <v>0</v>
      </c>
      <c r="T46" s="209">
        <f>INDEX(AG!T50:T68,MATCH($H$46,AG!$G50:$G67,0))-T44</f>
        <v>0</v>
      </c>
      <c r="U46" s="209">
        <f>INDEX(AG!U50:U68,MATCH($H$46,AG!$G50:$G67,0))-U44</f>
        <v>0</v>
      </c>
      <c r="V46" s="209">
        <f>INDEX(AG!V50:V68,MATCH($H$46,AG!$G50:$G67,0))-V44</f>
        <v>0</v>
      </c>
      <c r="W46" s="209">
        <f>INDEX(AG!W50:W68,MATCH($H$46,AG!$G50:$G67,0))-W44</f>
        <v>0</v>
      </c>
      <c r="X46" s="209">
        <f>INDEX(AG!X50:X68,MATCH($H$46,AG!$G50:$G67,0))-X44</f>
        <v>0</v>
      </c>
      <c r="Y46" s="209">
        <f>INDEX(AG!Y50:Y68,MATCH($H$46,AG!$G50:$G67,0))-Y44</f>
        <v>0</v>
      </c>
      <c r="Z46" s="209">
        <f>INDEX(AG!Z50:Z68,MATCH($H$46,AG!$G50:$G67,0))-Z44</f>
        <v>0</v>
      </c>
      <c r="AA46" s="209">
        <f>IF($I46="B1","",SUM(O46:Z46))</f>
        <v>0</v>
      </c>
      <c r="AB46" s="606"/>
      <c r="AC46" s="137"/>
      <c r="AD46" s="209">
        <f>INDEX(AG!AD50:AD68,MATCH($H$46,AG!$G50:$G67,0))-AD44</f>
        <v>0</v>
      </c>
      <c r="AE46" s="606"/>
      <c r="AF46" s="91"/>
      <c r="AG46" s="209">
        <f>INDEX(AG!AG50:AG68,MATCH($H$46,AG!$G50:$G67,0))-AG44</f>
        <v>0</v>
      </c>
      <c r="AH46" s="606"/>
      <c r="AI46" s="91"/>
      <c r="AJ46" s="11"/>
      <c r="AK46" s="11"/>
      <c r="AL46" s="11"/>
      <c r="AM46" s="11"/>
      <c r="AN46" s="11"/>
      <c r="AO46" s="11"/>
    </row>
    <row r="47" spans="1:41" x14ac:dyDescent="0.25">
      <c r="A47" s="65" t="s">
        <v>35</v>
      </c>
      <c r="B47" s="66"/>
      <c r="C47" s="11"/>
      <c r="D47" s="11"/>
      <c r="E47" s="11"/>
      <c r="F47" s="11"/>
      <c r="G47" s="11"/>
      <c r="H47" s="11"/>
      <c r="I47" s="59"/>
      <c r="J47" s="59"/>
      <c r="K47" s="11"/>
      <c r="L47" s="59"/>
      <c r="M47" s="59"/>
      <c r="N47" s="59"/>
      <c r="O47" s="59"/>
      <c r="P47" s="59"/>
      <c r="Q47" s="59"/>
      <c r="R47" s="59"/>
      <c r="S47" s="59"/>
      <c r="T47" s="59"/>
      <c r="U47" s="59"/>
      <c r="V47" s="59"/>
      <c r="W47" s="59"/>
      <c r="X47" s="59"/>
      <c r="Y47" s="59"/>
      <c r="Z47" s="59"/>
      <c r="AA47" s="59"/>
      <c r="AB47" s="59"/>
      <c r="AC47" s="11"/>
      <c r="AD47" s="59"/>
      <c r="AE47" s="59"/>
      <c r="AF47" s="59"/>
      <c r="AG47" s="59"/>
      <c r="AH47" s="59"/>
      <c r="AI47" s="59"/>
      <c r="AJ47" s="11"/>
      <c r="AK47" s="11"/>
      <c r="AL47" s="11"/>
      <c r="AM47" s="11"/>
      <c r="AN47" s="11"/>
      <c r="AO47" s="11"/>
    </row>
    <row r="48" spans="1:41" x14ac:dyDescent="0.25">
      <c r="A48" s="65" t="s">
        <v>36</v>
      </c>
      <c r="B48" s="66"/>
      <c r="C48" s="11"/>
      <c r="D48" s="11"/>
      <c r="E48" s="11"/>
      <c r="F48" s="11"/>
      <c r="G48" s="11"/>
      <c r="H48" s="11"/>
      <c r="I48" s="59"/>
      <c r="J48" s="59"/>
      <c r="K48" s="11"/>
      <c r="L48" s="59"/>
      <c r="M48" s="59"/>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row>
    <row r="49" spans="1:41" x14ac:dyDescent="0.25">
      <c r="A49" s="65" t="s">
        <v>37</v>
      </c>
      <c r="B49" s="66"/>
      <c r="C49" s="11"/>
      <c r="D49" s="11"/>
      <c r="E49" s="11"/>
      <c r="F49" s="11"/>
      <c r="G49" s="11"/>
      <c r="H49" s="11"/>
      <c r="I49" s="59"/>
      <c r="J49" s="59"/>
      <c r="K49" s="11"/>
      <c r="L49" s="59"/>
      <c r="M49" s="59"/>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25">
      <c r="A50" s="65" t="s">
        <v>38</v>
      </c>
      <c r="B50" s="66"/>
      <c r="C50" s="11"/>
      <c r="D50" s="11"/>
      <c r="E50" s="11"/>
      <c r="F50" s="11"/>
      <c r="G50" s="11"/>
      <c r="H50" s="11"/>
      <c r="I50" s="59"/>
      <c r="J50" s="59"/>
      <c r="K50" s="11"/>
      <c r="L50" s="59"/>
      <c r="M50" s="59"/>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row>
    <row r="51" spans="1:41" x14ac:dyDescent="0.25">
      <c r="A51" s="65" t="s">
        <v>39</v>
      </c>
      <c r="B51" s="66"/>
      <c r="C51" s="11"/>
      <c r="D51" s="11"/>
      <c r="E51" s="11"/>
      <c r="F51" s="11"/>
      <c r="G51" s="11"/>
      <c r="H51" s="11"/>
      <c r="I51" s="59"/>
      <c r="J51" s="59"/>
      <c r="K51" s="11"/>
      <c r="L51" s="59"/>
      <c r="M51" s="59"/>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x14ac:dyDescent="0.25">
      <c r="A52" s="65" t="s">
        <v>40</v>
      </c>
      <c r="B52" s="66"/>
      <c r="C52" s="11"/>
      <c r="D52" s="11"/>
      <c r="E52" s="11"/>
      <c r="F52" s="11"/>
      <c r="G52" s="11"/>
      <c r="H52" s="11"/>
      <c r="I52" s="59"/>
      <c r="J52" s="59"/>
      <c r="K52" s="11"/>
      <c r="L52" s="59"/>
      <c r="M52" s="59"/>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row>
    <row r="53" spans="1:41" x14ac:dyDescent="0.25">
      <c r="A53" s="65" t="s">
        <v>41</v>
      </c>
      <c r="B53" s="66"/>
      <c r="C53" s="11"/>
      <c r="D53" s="11"/>
      <c r="E53" s="11"/>
      <c r="F53" s="11"/>
      <c r="G53" s="11"/>
      <c r="H53" s="11"/>
      <c r="I53" s="59"/>
      <c r="J53" s="59"/>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25">
      <c r="A54" s="65" t="s">
        <v>42</v>
      </c>
      <c r="B54" s="66"/>
      <c r="C54" s="11"/>
      <c r="D54" s="11"/>
      <c r="E54" s="11"/>
      <c r="F54" s="11"/>
      <c r="G54" s="11"/>
      <c r="H54" s="59"/>
      <c r="I54" s="59"/>
      <c r="J54" s="11"/>
      <c r="K54" s="11"/>
      <c r="L54" s="59"/>
      <c r="M54" s="59"/>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x14ac:dyDescent="0.25">
      <c r="A55" s="65" t="s">
        <v>43</v>
      </c>
      <c r="B55" s="66"/>
      <c r="C55" s="11"/>
      <c r="D55" s="11"/>
      <c r="E55" s="11"/>
      <c r="F55" s="11"/>
      <c r="G55" s="11"/>
      <c r="H55" s="59"/>
      <c r="I55" s="59"/>
      <c r="J55" s="11"/>
      <c r="K55" s="11"/>
      <c r="L55" s="59"/>
      <c r="M55" s="59"/>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25">
      <c r="A56" s="65" t="s">
        <v>44</v>
      </c>
      <c r="B56" s="66"/>
      <c r="C56" s="11"/>
      <c r="D56" s="11"/>
      <c r="E56" s="11"/>
      <c r="F56" s="11"/>
      <c r="G56" s="11"/>
      <c r="H56" s="59"/>
      <c r="I56" s="59"/>
      <c r="J56" s="11"/>
      <c r="K56" s="11"/>
      <c r="L56" s="59"/>
      <c r="M56" s="59"/>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row>
    <row r="57" spans="1:41" x14ac:dyDescent="0.25">
      <c r="A57" s="65" t="s">
        <v>45</v>
      </c>
      <c r="B57" s="66"/>
      <c r="C57" s="11"/>
      <c r="D57" s="11"/>
      <c r="E57" s="11"/>
      <c r="F57" s="11"/>
      <c r="G57" s="11"/>
      <c r="H57" s="59"/>
      <c r="I57" s="59"/>
      <c r="J57" s="11"/>
      <c r="K57" s="11"/>
      <c r="L57" s="59"/>
      <c r="M57" s="59"/>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25">
      <c r="A58" s="65" t="s">
        <v>46</v>
      </c>
      <c r="B58" s="66"/>
      <c r="C58" s="11"/>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25">
      <c r="A59" s="11"/>
      <c r="B59" s="11"/>
      <c r="C59" s="11"/>
      <c r="D59" s="11"/>
      <c r="E59" s="11"/>
      <c r="F59" s="11"/>
      <c r="G59" s="11"/>
      <c r="H59" s="59"/>
      <c r="I59" s="59"/>
      <c r="J59" s="11"/>
      <c r="K59" s="11"/>
      <c r="L59" s="59"/>
      <c r="M59" s="59"/>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25">
      <c r="A60" s="11"/>
      <c r="B60" s="11"/>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25">
      <c r="A61" s="11"/>
      <c r="B61" s="11"/>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25">
      <c r="A62" s="11"/>
      <c r="B62" s="11"/>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25">
      <c r="A63" s="11"/>
      <c r="B63" s="11"/>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25">
      <c r="A64" s="11"/>
      <c r="B64" s="11"/>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2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2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25">
      <c r="A67" s="11"/>
      <c r="B67" s="11"/>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25">
      <c r="A68" s="11"/>
      <c r="B68" s="11"/>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11"/>
      <c r="B69" s="11"/>
      <c r="C69" s="11"/>
      <c r="D69" s="11"/>
      <c r="E69" s="11"/>
      <c r="F69" s="11"/>
      <c r="G69" s="11"/>
      <c r="H69" s="59"/>
      <c r="I69" s="59"/>
      <c r="J69" s="11"/>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25">
      <c r="A70" s="11"/>
      <c r="B70" s="11"/>
      <c r="C70" s="11"/>
      <c r="D70" s="11"/>
      <c r="E70" s="11"/>
      <c r="F70" s="11"/>
      <c r="G70" s="11"/>
      <c r="H70" s="59"/>
      <c r="I70" s="59"/>
      <c r="J70" s="11"/>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25">
      <c r="A71" s="11"/>
      <c r="B71" s="11"/>
      <c r="C71" s="11"/>
      <c r="D71" s="11"/>
      <c r="E71" s="11"/>
      <c r="F71" s="11"/>
      <c r="G71" s="11"/>
      <c r="H71" s="59"/>
      <c r="I71" s="59"/>
      <c r="J71" s="11"/>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11"/>
      <c r="B72" s="11"/>
      <c r="C72" s="11"/>
      <c r="D72" s="11"/>
      <c r="E72" s="11"/>
      <c r="F72" s="11"/>
      <c r="G72" s="11"/>
      <c r="H72" s="59"/>
      <c r="I72" s="59"/>
      <c r="J72" s="11"/>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11"/>
      <c r="B73" s="11"/>
      <c r="C73" s="11"/>
      <c r="D73" s="11"/>
      <c r="E73" s="11"/>
      <c r="F73" s="11"/>
      <c r="G73" s="11"/>
      <c r="H73" s="59"/>
      <c r="I73" s="59"/>
      <c r="J73" s="11"/>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25">
      <c r="A74" s="11"/>
      <c r="B74" s="11"/>
      <c r="C74" s="11"/>
      <c r="D74" s="11"/>
      <c r="E74" s="11"/>
      <c r="F74" s="11"/>
      <c r="G74" s="11"/>
      <c r="H74" s="59"/>
      <c r="I74" s="59"/>
      <c r="J74" s="11"/>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25">
      <c r="A75" s="11"/>
      <c r="B75" s="11"/>
      <c r="C75" s="11"/>
      <c r="D75" s="11"/>
      <c r="E75" s="11"/>
      <c r="F75" s="11"/>
      <c r="G75" s="11"/>
      <c r="H75" s="59"/>
      <c r="I75" s="59"/>
      <c r="J75" s="11"/>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11"/>
      <c r="B76" s="11"/>
      <c r="C76" s="11"/>
      <c r="D76" s="11"/>
      <c r="E76" s="11"/>
      <c r="F76" s="11"/>
      <c r="G76" s="11"/>
      <c r="H76" s="59"/>
      <c r="I76" s="59"/>
      <c r="J76" s="11"/>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sheetData>
  <sheetProtection algorithmName="SHA-512" hashValue="7brZBNABMG0oCNKhpf0HKjGKz86BtSqzqSW3Ay9S+XMeSX0R76UtWvZH48M0i+hH0t5DOEzr9UvcrdINFldlFw==" saltValue="NbkKU6c/nxLi09vS/qOheQ==" spinCount="100000" sheet="1" scenarios="1"/>
  <mergeCells count="2">
    <mergeCell ref="AD31:AE31"/>
    <mergeCell ref="AG31:AH31"/>
  </mergeCells>
  <dataValidations disablePrompts="1" count="2">
    <dataValidation type="list" allowBlank="1" sqref="B29" xr:uid="{00000000-0002-0000-2700-000000000000}">
      <formula1>"SELF,ALL,BAS,DEP,BASMEMBERS,MEMBERS,NOEXPAND,GDEP"</formula1>
    </dataValidation>
    <dataValidation type="list" allowBlank="1" sqref="B28" xr:uid="{00000000-0002-0000-27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5304"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55304" r:id="rId7" name="FPMExcelClientSheetOptionstb1"/>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4">
    <pageSetUpPr fitToPage="1"/>
  </sheetPr>
  <dimension ref="A1:AO12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500</v>
      </c>
      <c r="C6" s="11" t="str">
        <f>IF(_epmOfflineCondition_,"Information &amp; Telecom Systems",_xll.EVDES(B6,$B$1))</f>
        <v>Information &amp; Telecom Systems</v>
      </c>
      <c r="D6" s="11"/>
      <c r="E6" s="58" t="str">
        <f>IF(_epmOfflineCondition_,"D1157",_xll.EVPRO($B$1,$B$6,$F$6))</f>
        <v>D1157</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IF(_epmOfflineCondition_,"'IT'!$B$2:$B$10",_xll.EVRNG($B$2:$B$10))</f>
        <v>'IT'!$B$2:$B$10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IF(_epmOfflineCondition_,"'IT'!$O$16:$AN$18",_xll.EVRNG($O$16:$AN$18))</f>
        <v>'IT'!$O$16:$AN$18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IF(_epmOfflineCondition_,"'IT'!$H$35:$H$36",_xll.EVRNG(H35:H36))</f>
        <v>'IT'!$H$35:$H$36</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IF(_epmOfflineCondition_,48180,_xll.EVGTS($B$1,1,$B$3,$B$5,$B$7,$B$9,AG$16,AG$17,AG$18,$G$20,$H$20))</f>
        <v>48180</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IF(_epmOfflineCondition_,"'IT'!$A$36:$F$42",_xll.EVRNG(A36:F42))</f>
        <v>'IT'!$A$36:$F$42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IF(_epmOfflineCondition_,"'IT'!$A$105:$B$126",_xll.EVRNG($A$105:$B$126))</f>
        <v>'IT'!$A$105:$B$126</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IF(_epmOfflineCondition_,"Information &amp; Telecom Systems Department",IF(_xll.EVDES(B6,$B$1)="#NODATA","",_xll.EVDES(B6,$B$1)&amp;" Department"))</f>
        <v>Information &amp; Telecom Systems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291</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t="s">
        <v>290</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2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25">
      <c r="A35" s="97" t="s">
        <v>92</v>
      </c>
      <c r="B35" s="98" t="s">
        <v>93</v>
      </c>
      <c r="C35" s="98" t="s">
        <v>94</v>
      </c>
      <c r="D35" s="98" t="s">
        <v>95</v>
      </c>
      <c r="E35" s="98" t="s">
        <v>96</v>
      </c>
      <c r="F35" s="99" t="s">
        <v>97</v>
      </c>
      <c r="G35" s="11"/>
      <c r="H35" s="88" t="s">
        <v>75</v>
      </c>
      <c r="I35" s="89" t="str">
        <f>IF(_epmOfflineCondition_,"B1",_xll.EVPRO($B$1,$H35,"STYLE"))</f>
        <v>B1</v>
      </c>
      <c r="J35" s="89" t="str">
        <f>IF(_epmOfflineCondition_,"Y",_xll.EVPRO($B$1,$H35,"CALC"))</f>
        <v>Y</v>
      </c>
      <c r="K35" s="265" t="str">
        <f>IF(AND(I35&gt;="T3"),"&gt;","")</f>
        <v/>
      </c>
      <c r="L35" s="106" t="str">
        <f>IF(_epmOfflineCondition_,"",_xll.EVPRO($B$1,H35,"JDEID"))</f>
        <v/>
      </c>
      <c r="M35" s="190" t="str">
        <f>IF(_epmOfflineCondition_,"",IF(AND(I35="N",J35="N"),_xll.EVPRO($B$1,H35,"PSFTID"),""))</f>
        <v/>
      </c>
      <c r="N35" s="106" t="str">
        <f>IF(_epmOfflineCondition_,"Non-Management",IF(_xll.EVDES(H35,$B$1)="#NODATA","",_xll.EVDES(H35,$B$1)))</f>
        <v>Non-Management</v>
      </c>
      <c r="O35" s="231"/>
      <c r="P35" s="231"/>
      <c r="Q35" s="231"/>
      <c r="R35" s="231"/>
      <c r="S35" s="231"/>
      <c r="T35" s="231"/>
      <c r="U35" s="231"/>
      <c r="V35" s="231"/>
      <c r="W35" s="231"/>
      <c r="X35" s="231"/>
      <c r="Y35" s="231"/>
      <c r="Z35" s="231"/>
      <c r="AA35" s="231" t="str">
        <f>IF($I35="B1","",SUM(O35:Z35))</f>
        <v/>
      </c>
      <c r="AB35" s="233" t="str">
        <f>IF(AA35=0,"",IFERROR(AA35/AA$19,""))</f>
        <v/>
      </c>
      <c r="AC35" s="140"/>
      <c r="AD35" s="138"/>
      <c r="AE35" s="142" t="str">
        <f>IF(AD35=0,"",IFERROR(AD35/AD$19,""))</f>
        <v/>
      </c>
      <c r="AF35" s="141" t="str">
        <f>IF(AND($AA35="",AD35=""),"",$AA35-AD35)</f>
        <v/>
      </c>
      <c r="AG35" s="138"/>
      <c r="AH35" s="142" t="str">
        <f>IF(AG35=0,"",IFERROR(AG35/AG$19,""))</f>
        <v/>
      </c>
      <c r="AI35" s="141" t="str">
        <f>IF(AND($AA35="",AG35=""),"",$AA35-AG35)</f>
        <v/>
      </c>
      <c r="AJ35" s="462">
        <f>IFERROR(AA35/AA$20,0)</f>
        <v>0</v>
      </c>
      <c r="AK35" s="463">
        <f>IFERROR(AD35/AD$20,0)</f>
        <v>0</v>
      </c>
      <c r="AL35" s="464">
        <f>IFERROR(AG35/AG$20,0)</f>
        <v>0</v>
      </c>
      <c r="AM35" s="465">
        <f>+IFERROR(ROUND(($AB35-AE35)*100,2)&amp;" pts.",0)</f>
        <v>0</v>
      </c>
      <c r="AN35" s="466">
        <f>+IFERROR(ROUND(($AB35-AH35)*100,2)&amp;" pts.",0)</f>
        <v>0</v>
      </c>
      <c r="AO35" s="11"/>
    </row>
    <row r="36" spans="1:41" hidden="1" x14ac:dyDescent="0.25">
      <c r="A36" s="11"/>
      <c r="B36" s="11"/>
      <c r="C36" s="11"/>
      <c r="D36" s="11"/>
      <c r="E36" s="11"/>
      <c r="F36" s="11"/>
      <c r="G36" s="11"/>
      <c r="H36" s="88"/>
      <c r="I36" s="89" t="str">
        <f>IF(_epmOfflineCondition_,"",_xll.EVPRO($B$1,$H36,"STYLE"))</f>
        <v/>
      </c>
      <c r="J36" s="89" t="str">
        <f>IF(_epmOfflineCondition_,"",_xll.EVPRO($B$1,$H36,"CALC"))</f>
        <v/>
      </c>
      <c r="K36" s="265" t="str">
        <f>IF(AND(I36&gt;="T3"),"&gt;","")</f>
        <v/>
      </c>
      <c r="L36" s="106" t="str">
        <f>IF(_epmOfflineCondition_,"",_xll.EVPRO($B$1,H36,"JDEID"))</f>
        <v/>
      </c>
      <c r="M36" s="190" t="str">
        <f>IF(_epmOfflineCondition_,"",IF(AND(I36="N",J36="N"),_xll.EVPRO($B$1,H36,"PSFTID"),""))</f>
        <v/>
      </c>
      <c r="N36" s="106" t="str">
        <f>IF(_epmOfflineCondition_,"",IF(_xll.EVDES(H36,$B$1)="#NODATA","",_xll.EVDES(H36,$B$1)))</f>
        <v/>
      </c>
      <c r="O36" s="231"/>
      <c r="P36" s="231"/>
      <c r="Q36" s="231"/>
      <c r="R36" s="231"/>
      <c r="S36" s="231"/>
      <c r="T36" s="231"/>
      <c r="U36" s="231"/>
      <c r="V36" s="231"/>
      <c r="W36" s="231"/>
      <c r="X36" s="231"/>
      <c r="Y36" s="231"/>
      <c r="Z36" s="231"/>
      <c r="AA36" s="231">
        <f>IF($I36="B1","",SUM(O36:Z36))</f>
        <v>0</v>
      </c>
      <c r="AB36" s="233" t="str">
        <f>IF(AA36=0,"",IFERROR(AA36/AA$19,""))</f>
        <v/>
      </c>
      <c r="AC36" s="140"/>
      <c r="AD36" s="138"/>
      <c r="AE36" s="142" t="str">
        <f>IF(AD36=0,"",IFERROR(AD36/AD$19,""))</f>
        <v/>
      </c>
      <c r="AF36" s="141">
        <f>IF(AND($AA36="",AD36=""),"",$AA36-AD36)</f>
        <v>0</v>
      </c>
      <c r="AG36" s="138"/>
      <c r="AH36" s="142" t="str">
        <f>IF(AG36=0,"",IFERROR(AG36/AG$19,""))</f>
        <v/>
      </c>
      <c r="AI36" s="141">
        <f>IF(AND($AA36="",AG36=""),"",$AA36-AG36)</f>
        <v>0</v>
      </c>
      <c r="AJ36" s="462">
        <f>IFERROR(AA36/AA$20,0)</f>
        <v>0</v>
      </c>
      <c r="AK36" s="463">
        <f>IFERROR(AD36/AD$20,0)</f>
        <v>0</v>
      </c>
      <c r="AL36" s="464">
        <f>IFERROR(AG36/AG$20,0)</f>
        <v>0</v>
      </c>
      <c r="AM36" s="465">
        <f>+IFERROR(ROUND(($AB36-AE36)*100,2)&amp;" pts.",0)</f>
        <v>0</v>
      </c>
      <c r="AN36" s="466">
        <f>+IFERROR(ROUND(($AB36-AH36)*100,2)&amp;" pts.",0)</f>
        <v>0</v>
      </c>
      <c r="AO36" s="11"/>
    </row>
    <row r="37" spans="1:41" x14ac:dyDescent="0.25">
      <c r="A37" s="11" t="s">
        <v>108</v>
      </c>
      <c r="B37" s="11"/>
      <c r="C37" s="104" t="s">
        <v>101</v>
      </c>
      <c r="D37" s="11" t="s">
        <v>106</v>
      </c>
      <c r="E37" s="11"/>
      <c r="F37" s="11" t="s">
        <v>98</v>
      </c>
      <c r="G37" s="11"/>
      <c r="H37" s="106"/>
      <c r="I37" s="106"/>
      <c r="J37" s="106"/>
      <c r="K37" s="106"/>
      <c r="L37" s="106"/>
      <c r="M37" s="106"/>
      <c r="N37" s="106"/>
      <c r="O37" s="203"/>
      <c r="P37" s="204"/>
      <c r="Q37" s="204"/>
      <c r="R37" s="204"/>
      <c r="S37" s="204"/>
      <c r="T37" s="204"/>
      <c r="U37" s="204"/>
      <c r="V37" s="204"/>
      <c r="W37" s="204"/>
      <c r="X37" s="204"/>
      <c r="Y37" s="204"/>
      <c r="Z37" s="204"/>
      <c r="AA37" s="204"/>
      <c r="AB37" s="118"/>
      <c r="AC37" s="11"/>
      <c r="AD37" s="203"/>
      <c r="AE37" s="204"/>
      <c r="AF37" s="118"/>
      <c r="AG37" s="203"/>
      <c r="AH37" s="204"/>
      <c r="AI37" s="118"/>
      <c r="AJ37" s="11"/>
      <c r="AK37" s="11"/>
      <c r="AL37" s="11"/>
      <c r="AM37" s="11"/>
      <c r="AN37" s="11"/>
      <c r="AO37" s="11"/>
    </row>
    <row r="38" spans="1:41" x14ac:dyDescent="0.25">
      <c r="A38" s="11" t="s">
        <v>100</v>
      </c>
      <c r="B38" s="11"/>
      <c r="C38" s="53" t="s">
        <v>101</v>
      </c>
      <c r="D38" s="11" t="s">
        <v>106</v>
      </c>
      <c r="E38" s="11"/>
      <c r="F38" s="11" t="s">
        <v>98</v>
      </c>
      <c r="G38" s="11"/>
      <c r="H38" s="11" t="s">
        <v>504</v>
      </c>
      <c r="I38" s="59" t="str">
        <f>IF(_epmOfflineCondition_,"B1",_xll.EVPRO($B$1,$H38,"STYLE"))</f>
        <v>B1</v>
      </c>
      <c r="J38" s="59" t="str">
        <f>IF(_epmOfflineCondition_,"Y",_xll.EVPRO($B$1,$H38,"CALC"))</f>
        <v>Y</v>
      </c>
      <c r="K38" s="106"/>
      <c r="L38" s="106"/>
      <c r="M38" s="106"/>
      <c r="N38" s="105" t="str">
        <f>IF(_epmOfflineCondition_,"Cost of Services",IF(_xll.EVDES(H38,$B$1)="#NODATA","",_xll.EVDES(H38,$B$1)))</f>
        <v>Cost of Services</v>
      </c>
      <c r="O38" s="119"/>
      <c r="P38" s="120"/>
      <c r="Q38" s="120"/>
      <c r="R38" s="120"/>
      <c r="S38" s="120"/>
      <c r="T38" s="120"/>
      <c r="U38" s="120"/>
      <c r="V38" s="120"/>
      <c r="W38" s="120"/>
      <c r="X38" s="120"/>
      <c r="Y38" s="120"/>
      <c r="Z38" s="120"/>
      <c r="AA38" s="120"/>
      <c r="AB38" s="121"/>
      <c r="AC38" s="11"/>
      <c r="AD38" s="119"/>
      <c r="AE38" s="120"/>
      <c r="AF38" s="121"/>
      <c r="AG38" s="119"/>
      <c r="AH38" s="120"/>
      <c r="AI38" s="121"/>
      <c r="AJ38" s="11"/>
      <c r="AK38" s="11"/>
      <c r="AL38" s="11"/>
      <c r="AM38" s="11"/>
      <c r="AN38" s="11"/>
      <c r="AO38" s="11"/>
    </row>
    <row r="39" spans="1:41" x14ac:dyDescent="0.25">
      <c r="A39" s="11" t="s">
        <v>109</v>
      </c>
      <c r="B39" s="11"/>
      <c r="C39" s="106" t="s">
        <v>101</v>
      </c>
      <c r="D39" s="11" t="s">
        <v>106</v>
      </c>
      <c r="E39" s="11"/>
      <c r="F39" s="11" t="s">
        <v>98</v>
      </c>
      <c r="G39" s="11"/>
      <c r="H39" s="88" t="s">
        <v>506</v>
      </c>
      <c r="I39" s="122" t="str">
        <f>IF(_epmOfflineCondition_,"N",_xll.EVPRO($B$1,$H39,"STYLE"))</f>
        <v>N</v>
      </c>
      <c r="J39" s="122" t="str">
        <f>IF(_epmOfflineCondition_,"N",_xll.EVPRO($B$1,$H39,"CALC"))</f>
        <v>N</v>
      </c>
      <c r="K39" s="179" t="str">
        <f>IF(AND(I39&gt;="T3"),"&gt;","")</f>
        <v/>
      </c>
      <c r="L39" s="90" t="str">
        <f>IF(_epmOfflineCondition_,"707901",_xll.EVPRO($B$1,H39,"JDEID"))</f>
        <v>707901</v>
      </c>
      <c r="M39" s="90" t="str">
        <f>IF(_epmOfflineCondition_,"690047",IF(AND(I39="N",J39="N"),_xll.EVPRO($B$1,H39,"PSFTID"),""))</f>
        <v>690047</v>
      </c>
      <c r="N39" s="90" t="str">
        <f>IF(_epmOfflineCondition_,"Cost of Cell Phones",IF(_xll.EVDES(H39,$B$1)="#NODATA","",_xll.EVDES(H39,$B$1)))</f>
        <v>Cost of Cell Phones</v>
      </c>
      <c r="O39" s="231">
        <v>412.56</v>
      </c>
      <c r="P39" s="231">
        <v>590.35</v>
      </c>
      <c r="Q39" s="231">
        <v>1402.8</v>
      </c>
      <c r="R39" s="231">
        <v>1101.72</v>
      </c>
      <c r="S39" s="231">
        <v>814.05</v>
      </c>
      <c r="T39" s="231">
        <v>961.67</v>
      </c>
      <c r="U39" s="231">
        <v>1008.97</v>
      </c>
      <c r="V39" s="231">
        <v>893.05</v>
      </c>
      <c r="W39" s="231">
        <v>897.08</v>
      </c>
      <c r="X39" s="231">
        <v>1073.1400000000001</v>
      </c>
      <c r="Y39" s="231">
        <v>747.83</v>
      </c>
      <c r="Z39" s="231">
        <v>974.18</v>
      </c>
      <c r="AA39" s="231">
        <f t="shared" ref="AA39:AA44" si="0">IF($I39="B1","",SUM(O39:Z39))</f>
        <v>10877.400000000001</v>
      </c>
      <c r="AB39" s="233">
        <f t="shared" ref="AB39:AB44" si="1">IF(AA39=0,"",IFERROR(AA39/AA$19,""))</f>
        <v>7.3831484050276646E-4</v>
      </c>
      <c r="AC39" s="140"/>
      <c r="AD39" s="231">
        <v>9396</v>
      </c>
      <c r="AE39" s="233">
        <f t="shared" ref="AE39:AE44" si="2">IF(AD39=0,"",IFERROR(AD39/AD$19,""))</f>
        <v>6.4244478815496441E-4</v>
      </c>
      <c r="AF39" s="234">
        <f t="shared" ref="AF39:AF44" si="3">IF(AND($AA39="",AD39=""),"",$AA39-AD39)</f>
        <v>1481.4000000000015</v>
      </c>
      <c r="AG39" s="231">
        <v>9382.6299999999992</v>
      </c>
      <c r="AH39" s="233">
        <f t="shared" ref="AH39:AH44" si="4">IF(AG39=0,"",IFERROR(AG39/AG$19,""))</f>
        <v>7.8802425200082018E-4</v>
      </c>
      <c r="AI39" s="234">
        <f t="shared" ref="AI39:AI44" si="5">IF(AND($AA39="",AG39=""),"",$AA39-AG39)</f>
        <v>1494.7700000000023</v>
      </c>
      <c r="AJ39" s="462">
        <f t="shared" ref="AJ39:AJ44" si="6">IFERROR(AA39/AA$20,0)</f>
        <v>0.22576587795765882</v>
      </c>
      <c r="AK39" s="463">
        <f t="shared" ref="AK39:AK44" si="7">IFERROR(AD39/AD$20,0)</f>
        <v>0.19501867995018679</v>
      </c>
      <c r="AL39" s="464">
        <f t="shared" ref="AL39:AL44" si="8">IFERROR(AG39/AG$20,0)</f>
        <v>0.19474117891241177</v>
      </c>
      <c r="AM39" s="465" t="str">
        <f t="shared" ref="AM39:AM44" si="9">+IFERROR(ROUND(($AB39-AE39)*100,2)&amp;" pts.",0)</f>
        <v>0.01 pts.</v>
      </c>
      <c r="AN39" s="466" t="str">
        <f t="shared" ref="AN39:AN44" si="10">+IFERROR(ROUND(($AB39-AH39)*100,2)&amp;" pts.",0)</f>
        <v>0 pts.</v>
      </c>
      <c r="AO39" s="11"/>
    </row>
    <row r="40" spans="1:41" x14ac:dyDescent="0.25">
      <c r="A40" s="11" t="s">
        <v>109</v>
      </c>
      <c r="B40" s="11"/>
      <c r="C40" s="196" t="s">
        <v>101</v>
      </c>
      <c r="D40" s="11" t="s">
        <v>107</v>
      </c>
      <c r="E40" s="11"/>
      <c r="F40" s="11" t="s">
        <v>99</v>
      </c>
      <c r="G40" s="11"/>
      <c r="H40" s="88" t="s">
        <v>507</v>
      </c>
      <c r="I40" s="122" t="str">
        <f>IF(_epmOfflineCondition_,"N",_xll.EVPRO($B$1,$H40,"STYLE"))</f>
        <v>N</v>
      </c>
      <c r="J40" s="122" t="str">
        <f>IF(_epmOfflineCondition_,"N",_xll.EVPRO($B$1,$H40,"CALC"))</f>
        <v>N</v>
      </c>
      <c r="K40" s="179" t="str">
        <f>IF(AND(I40&gt;="T3"),"&gt;","")</f>
        <v/>
      </c>
      <c r="L40" s="90" t="str">
        <f>IF(_epmOfflineCondition_,"707902",_xll.EVPRO($B$1,H40,"JDEID"))</f>
        <v>707902</v>
      </c>
      <c r="M40" s="90" t="str">
        <f>IF(_epmOfflineCondition_,"690612",IF(AND(I40="N",J40="N"),_xll.EVPRO($B$1,H40,"PSFTID"),""))</f>
        <v>690612</v>
      </c>
      <c r="N40" s="90" t="str">
        <f>IF(_epmOfflineCondition_,"Cost of Internet Services",IF(_xll.EVDES(H40,$B$1)="#NODATA","",_xll.EVDES(H40,$B$1)))</f>
        <v>Cost of Internet Services</v>
      </c>
      <c r="O40" s="231">
        <v>2949.51</v>
      </c>
      <c r="P40" s="231">
        <v>3092.2</v>
      </c>
      <c r="Q40" s="231">
        <v>2917.71</v>
      </c>
      <c r="R40" s="231">
        <v>2544.65</v>
      </c>
      <c r="S40" s="231">
        <v>2854.19</v>
      </c>
      <c r="T40" s="231">
        <v>2962.02</v>
      </c>
      <c r="U40" s="231">
        <v>4328</v>
      </c>
      <c r="V40" s="231">
        <v>3929.99</v>
      </c>
      <c r="W40" s="231">
        <v>2958.82</v>
      </c>
      <c r="X40" s="231">
        <v>3019.99</v>
      </c>
      <c r="Y40" s="231">
        <v>2964.31</v>
      </c>
      <c r="Z40" s="231">
        <v>3500.19</v>
      </c>
      <c r="AA40" s="231">
        <f t="shared" si="0"/>
        <v>38021.579999999994</v>
      </c>
      <c r="AB40" s="233">
        <f t="shared" si="1"/>
        <v>2.5807542954532489E-3</v>
      </c>
      <c r="AC40" s="140"/>
      <c r="AD40" s="231">
        <v>42564</v>
      </c>
      <c r="AE40" s="233">
        <f t="shared" si="2"/>
        <v>2.9102830952562695E-3</v>
      </c>
      <c r="AF40" s="234">
        <f t="shared" si="3"/>
        <v>-4542.4200000000055</v>
      </c>
      <c r="AG40" s="231">
        <v>36041.86</v>
      </c>
      <c r="AH40" s="233">
        <f t="shared" si="4"/>
        <v>3.027068078696302E-3</v>
      </c>
      <c r="AI40" s="234">
        <f t="shared" si="5"/>
        <v>1979.7199999999939</v>
      </c>
      <c r="AJ40" s="462">
        <f t="shared" si="6"/>
        <v>0.78915691158156898</v>
      </c>
      <c r="AK40" s="463">
        <f t="shared" si="7"/>
        <v>0.88343711083437115</v>
      </c>
      <c r="AL40" s="464">
        <f t="shared" si="8"/>
        <v>0.74806683271066832</v>
      </c>
      <c r="AM40" s="465" t="str">
        <f t="shared" si="9"/>
        <v>-0.03 pts.</v>
      </c>
      <c r="AN40" s="466" t="str">
        <f t="shared" si="10"/>
        <v>-0.04 pts.</v>
      </c>
      <c r="AO40" s="11"/>
    </row>
    <row r="41" spans="1:41" x14ac:dyDescent="0.25">
      <c r="A41" s="11" t="s">
        <v>110</v>
      </c>
      <c r="B41" s="11"/>
      <c r="C41" s="106" t="s">
        <v>101</v>
      </c>
      <c r="D41" s="11" t="s">
        <v>106</v>
      </c>
      <c r="E41" s="11"/>
      <c r="F41" s="11" t="s">
        <v>98</v>
      </c>
      <c r="G41" s="11"/>
      <c r="H41" s="88" t="s">
        <v>508</v>
      </c>
      <c r="I41" s="122" t="str">
        <f>IF(_epmOfflineCondition_,"N",_xll.EVPRO($B$1,$H41,"STYLE"))</f>
        <v>N</v>
      </c>
      <c r="J41" s="122" t="str">
        <f>IF(_epmOfflineCondition_,"N",_xll.EVPRO($B$1,$H41,"CALC"))</f>
        <v>N</v>
      </c>
      <c r="K41" s="179" t="str">
        <f>IF(AND(I41&gt;="T3"),"&gt;","")</f>
        <v/>
      </c>
      <c r="L41" s="90" t="str">
        <f>IF(_epmOfflineCondition_,"707903",_xll.EVPRO($B$1,H41,"JDEID"))</f>
        <v>707903</v>
      </c>
      <c r="M41" s="90" t="str">
        <f>IF(_epmOfflineCondition_,"690045",IF(AND(I41="N",J41="N"),_xll.EVPRO($B$1,H41,"PSFTID"),""))</f>
        <v>690045</v>
      </c>
      <c r="N41" s="90" t="str">
        <f>IF(_epmOfflineCondition_,"Cost of Local Calls",IF(_xll.EVDES(H41,$B$1)="#NODATA","",_xll.EVDES(H41,$B$1)))</f>
        <v>Cost of Local Calls</v>
      </c>
      <c r="O41" s="231"/>
      <c r="P41" s="231"/>
      <c r="Q41" s="231"/>
      <c r="R41" s="231"/>
      <c r="S41" s="231"/>
      <c r="T41" s="231"/>
      <c r="U41" s="231"/>
      <c r="V41" s="231"/>
      <c r="W41" s="231"/>
      <c r="X41" s="231"/>
      <c r="Y41" s="231"/>
      <c r="Z41" s="231"/>
      <c r="AA41" s="231">
        <f t="shared" si="0"/>
        <v>0</v>
      </c>
      <c r="AB41" s="233" t="str">
        <f t="shared" si="1"/>
        <v/>
      </c>
      <c r="AC41" s="140"/>
      <c r="AD41" s="231"/>
      <c r="AE41" s="233" t="str">
        <f t="shared" si="2"/>
        <v/>
      </c>
      <c r="AF41" s="234">
        <f t="shared" si="3"/>
        <v>0</v>
      </c>
      <c r="AG41" s="231"/>
      <c r="AH41" s="233" t="str">
        <f t="shared" si="4"/>
        <v/>
      </c>
      <c r="AI41" s="234">
        <f t="shared" si="5"/>
        <v>0</v>
      </c>
      <c r="AJ41" s="462">
        <f t="shared" si="6"/>
        <v>0</v>
      </c>
      <c r="AK41" s="463">
        <f t="shared" si="7"/>
        <v>0</v>
      </c>
      <c r="AL41" s="464">
        <f t="shared" si="8"/>
        <v>0</v>
      </c>
      <c r="AM41" s="465">
        <f t="shared" si="9"/>
        <v>0</v>
      </c>
      <c r="AN41" s="466">
        <f t="shared" si="10"/>
        <v>0</v>
      </c>
      <c r="AO41" s="11"/>
    </row>
    <row r="42" spans="1:41" x14ac:dyDescent="0.25">
      <c r="A42" s="11" t="s">
        <v>110</v>
      </c>
      <c r="B42" s="11"/>
      <c r="C42" s="109" t="s">
        <v>101</v>
      </c>
      <c r="D42" s="11" t="s">
        <v>107</v>
      </c>
      <c r="E42" s="11"/>
      <c r="F42" s="11" t="s">
        <v>99</v>
      </c>
      <c r="G42" s="11"/>
      <c r="H42" s="88" t="s">
        <v>509</v>
      </c>
      <c r="I42" s="122" t="str">
        <f>IF(_epmOfflineCondition_,"N",_xll.EVPRO($B$1,$H42,"STYLE"))</f>
        <v>N</v>
      </c>
      <c r="J42" s="122" t="str">
        <f>IF(_epmOfflineCondition_,"N",_xll.EVPRO($B$1,$H42,"CALC"))</f>
        <v>N</v>
      </c>
      <c r="K42" s="179" t="str">
        <f>IF(AND(I42&gt;="T3"),"&gt;","")</f>
        <v/>
      </c>
      <c r="L42" s="90" t="str">
        <f>IF(_epmOfflineCondition_,"707904",_xll.EVPRO($B$1,H42,"JDEID"))</f>
        <v>707904</v>
      </c>
      <c r="M42" s="90" t="str">
        <f>IF(_epmOfflineCondition_,"690046",IF(AND(I42="N",J42="N"),_xll.EVPRO($B$1,H42,"PSFTID"),""))</f>
        <v>690046</v>
      </c>
      <c r="N42" s="90" t="str">
        <f>IF(_epmOfflineCondition_,"Cost of Long Distance Calls",IF(_xll.EVDES(H42,$B$1)="#NODATA","",_xll.EVDES(H42,$B$1)))</f>
        <v>Cost of Long Distance Calls</v>
      </c>
      <c r="O42" s="231"/>
      <c r="P42" s="231"/>
      <c r="Q42" s="231"/>
      <c r="R42" s="231"/>
      <c r="S42" s="231"/>
      <c r="T42" s="231"/>
      <c r="U42" s="231"/>
      <c r="V42" s="231"/>
      <c r="W42" s="231"/>
      <c r="X42" s="231"/>
      <c r="Y42" s="231"/>
      <c r="Z42" s="231"/>
      <c r="AA42" s="231">
        <f t="shared" si="0"/>
        <v>0</v>
      </c>
      <c r="AB42" s="233" t="str">
        <f t="shared" si="1"/>
        <v/>
      </c>
      <c r="AC42" s="140"/>
      <c r="AD42" s="231"/>
      <c r="AE42" s="233" t="str">
        <f t="shared" si="2"/>
        <v/>
      </c>
      <c r="AF42" s="234">
        <f t="shared" si="3"/>
        <v>0</v>
      </c>
      <c r="AG42" s="231"/>
      <c r="AH42" s="233" t="str">
        <f t="shared" si="4"/>
        <v/>
      </c>
      <c r="AI42" s="234">
        <f t="shared" si="5"/>
        <v>0</v>
      </c>
      <c r="AJ42" s="462">
        <f t="shared" si="6"/>
        <v>0</v>
      </c>
      <c r="AK42" s="463">
        <f t="shared" si="7"/>
        <v>0</v>
      </c>
      <c r="AL42" s="464">
        <f t="shared" si="8"/>
        <v>0</v>
      </c>
      <c r="AM42" s="465">
        <f t="shared" si="9"/>
        <v>0</v>
      </c>
      <c r="AN42" s="466">
        <f t="shared" si="10"/>
        <v>0</v>
      </c>
      <c r="AO42" s="11"/>
    </row>
    <row r="43" spans="1:41" x14ac:dyDescent="0.25">
      <c r="A43" s="11"/>
      <c r="B43" s="11"/>
      <c r="C43" s="208"/>
      <c r="D43" s="11"/>
      <c r="E43" s="11"/>
      <c r="F43" s="11"/>
      <c r="G43" s="11"/>
      <c r="H43" s="88" t="s">
        <v>510</v>
      </c>
      <c r="I43" s="122" t="str">
        <f>IF(_epmOfflineCondition_,"N",_xll.EVPRO($B$1,$H43,"STYLE"))</f>
        <v>N</v>
      </c>
      <c r="J43" s="122" t="str">
        <f>IF(_epmOfflineCondition_,"N",_xll.EVPRO($B$1,$H43,"CALC"))</f>
        <v>N</v>
      </c>
      <c r="K43" s="179" t="str">
        <f>IF(AND(I43&gt;="T3"),"&gt;","")</f>
        <v/>
      </c>
      <c r="L43" s="90" t="str">
        <f>IF(_epmOfflineCondition_,"707905",_xll.EVPRO($B$1,H43,"JDEID"))</f>
        <v>707905</v>
      </c>
      <c r="M43" s="90" t="str">
        <f>IF(_epmOfflineCondition_,"690039",IF(AND(I43="N",J43="N"),_xll.EVPRO($B$1,H43,"PSFTID"),""))</f>
        <v>690039</v>
      </c>
      <c r="N43" s="90" t="str">
        <f>IF(_epmOfflineCondition_,"Other Cost of Services",IF(_xll.EVDES(H43,$B$1)="#NODATA","",_xll.EVDES(H43,$B$1)))</f>
        <v>Other Cost of Services</v>
      </c>
      <c r="O43" s="231"/>
      <c r="P43" s="231">
        <v>109.51</v>
      </c>
      <c r="Q43" s="231"/>
      <c r="R43" s="231"/>
      <c r="S43" s="231"/>
      <c r="T43" s="231"/>
      <c r="U43" s="231"/>
      <c r="V43" s="231"/>
      <c r="W43" s="231"/>
      <c r="X43" s="231">
        <v>89.84</v>
      </c>
      <c r="Y43" s="231"/>
      <c r="Z43" s="231"/>
      <c r="AA43" s="231">
        <f t="shared" si="0"/>
        <v>199.35000000000002</v>
      </c>
      <c r="AB43" s="233">
        <f t="shared" si="1"/>
        <v>1.3531088629104979E-5</v>
      </c>
      <c r="AC43" s="140"/>
      <c r="AD43" s="231">
        <v>1025.0000000004</v>
      </c>
      <c r="AE43" s="233">
        <f t="shared" si="2"/>
        <v>7.0083642811738557E-5</v>
      </c>
      <c r="AF43" s="234">
        <f t="shared" si="3"/>
        <v>-825.65000000039993</v>
      </c>
      <c r="AG43" s="231">
        <v>1363.18</v>
      </c>
      <c r="AH43" s="233">
        <f t="shared" si="4"/>
        <v>1.144901695838457E-4</v>
      </c>
      <c r="AI43" s="234">
        <f t="shared" si="5"/>
        <v>-1163.83</v>
      </c>
      <c r="AJ43" s="462">
        <f t="shared" si="6"/>
        <v>4.1376089663760903E-3</v>
      </c>
      <c r="AK43" s="463">
        <f t="shared" si="7"/>
        <v>2.1274387712752179E-2</v>
      </c>
      <c r="AL43" s="464">
        <f t="shared" si="8"/>
        <v>2.8293482772934829E-2</v>
      </c>
      <c r="AM43" s="465" t="str">
        <f t="shared" si="9"/>
        <v>-0.01 pts.</v>
      </c>
      <c r="AN43" s="466" t="str">
        <f t="shared" si="10"/>
        <v>-0.01 pts.</v>
      </c>
      <c r="AO43" s="11"/>
    </row>
    <row r="44" spans="1:41" x14ac:dyDescent="0.25">
      <c r="A44" s="11"/>
      <c r="B44" s="11"/>
      <c r="C44" s="208"/>
      <c r="D44" s="11"/>
      <c r="E44" s="11"/>
      <c r="F44" s="11"/>
      <c r="G44" s="11"/>
      <c r="H44" s="88" t="s">
        <v>511</v>
      </c>
      <c r="I44" s="122" t="str">
        <f>IF(_epmOfflineCondition_,"T4",_xll.EVPRO($B$1,$H44,"STYLE"))</f>
        <v>T4</v>
      </c>
      <c r="J44" s="122" t="str">
        <f>IF(_epmOfflineCondition_,"Y",_xll.EVPRO($B$1,$H44,"CALC"))</f>
        <v>Y</v>
      </c>
      <c r="K44" s="179"/>
      <c r="L44" s="90" t="str">
        <f>IF(_epmOfflineCondition_,"707900",_xll.EVPRO($B$1,H44,"JDEID"))</f>
        <v>707900</v>
      </c>
      <c r="M44" s="90" t="str">
        <f>IF(_epmOfflineCondition_,"",IF(AND(I44="N",J44="N"),_xll.EVPRO($B$1,H44,"PSFTID"),""))</f>
        <v/>
      </c>
      <c r="N44" s="106" t="str">
        <f>IF(_epmOfflineCondition_,"Total Cost of Services",IF(_xll.EVDES(H44,$B$1)="#NODATA","",_xll.EVDES(H44,$B$1)))</f>
        <v>Total Cost of Services</v>
      </c>
      <c r="O44" s="112">
        <f t="shared" ref="O44:Z44" si="11">SUM(O39:O43)</f>
        <v>3362.07</v>
      </c>
      <c r="P44" s="112">
        <f t="shared" si="11"/>
        <v>3792.06</v>
      </c>
      <c r="Q44" s="112">
        <f t="shared" si="11"/>
        <v>4320.51</v>
      </c>
      <c r="R44" s="112">
        <f t="shared" si="11"/>
        <v>3646.37</v>
      </c>
      <c r="S44" s="112">
        <f t="shared" si="11"/>
        <v>3668.24</v>
      </c>
      <c r="T44" s="112">
        <f t="shared" si="11"/>
        <v>3923.69</v>
      </c>
      <c r="U44" s="112">
        <f t="shared" si="11"/>
        <v>5336.97</v>
      </c>
      <c r="V44" s="112">
        <f t="shared" si="11"/>
        <v>4823.04</v>
      </c>
      <c r="W44" s="112">
        <f t="shared" si="11"/>
        <v>3855.9</v>
      </c>
      <c r="X44" s="112">
        <f t="shared" si="11"/>
        <v>4182.97</v>
      </c>
      <c r="Y44" s="112">
        <f t="shared" si="11"/>
        <v>3712.14</v>
      </c>
      <c r="Z44" s="112">
        <f t="shared" si="11"/>
        <v>4474.37</v>
      </c>
      <c r="AA44" s="112">
        <f t="shared" si="0"/>
        <v>49098.33</v>
      </c>
      <c r="AB44" s="113">
        <f t="shared" si="1"/>
        <v>3.3326002245851207E-3</v>
      </c>
      <c r="AC44" s="11"/>
      <c r="AD44" s="112">
        <f>SUM(AD39:AD43)</f>
        <v>52985.0000000004</v>
      </c>
      <c r="AE44" s="113">
        <f t="shared" si="2"/>
        <v>3.6228115262229724E-3</v>
      </c>
      <c r="AF44" s="114">
        <f t="shared" si="3"/>
        <v>-3886.6700000003984</v>
      </c>
      <c r="AG44" s="112">
        <f>SUM(AG39:AG43)</f>
        <v>46787.67</v>
      </c>
      <c r="AH44" s="113">
        <f t="shared" si="4"/>
        <v>3.9295825002809677E-3</v>
      </c>
      <c r="AI44" s="114">
        <f t="shared" si="5"/>
        <v>2310.6600000000035</v>
      </c>
      <c r="AJ44" s="415">
        <f t="shared" si="6"/>
        <v>1.0190603985056039</v>
      </c>
      <c r="AK44" s="416">
        <f t="shared" si="7"/>
        <v>1.0997301784973101</v>
      </c>
      <c r="AL44" s="417">
        <f t="shared" si="8"/>
        <v>0.9711014943960149</v>
      </c>
      <c r="AM44" s="418" t="str">
        <f t="shared" si="9"/>
        <v>-0.03 pts.</v>
      </c>
      <c r="AN44" s="543" t="str">
        <f t="shared" si="10"/>
        <v>-0.06 pts.</v>
      </c>
      <c r="AO44" s="11"/>
    </row>
    <row r="45" spans="1:41" x14ac:dyDescent="0.25">
      <c r="A45" s="61" t="str">
        <f>IF(_epmOfflineCondition_,"Evdre:Ok",_xll.EVDRE($B$1,A48:B55,A58:B64))</f>
        <v>Evdre:Ok</v>
      </c>
      <c r="B45" s="11"/>
      <c r="C45" s="11"/>
      <c r="D45" s="11"/>
      <c r="E45" s="11"/>
      <c r="F45" s="11"/>
      <c r="G45" s="11"/>
      <c r="H45" s="106"/>
      <c r="I45" s="106"/>
      <c r="J45" s="106"/>
      <c r="K45" s="106"/>
      <c r="L45" s="106"/>
      <c r="M45" s="106"/>
      <c r="N45" s="106"/>
      <c r="O45" s="129"/>
      <c r="P45" s="130"/>
      <c r="Q45" s="130"/>
      <c r="R45" s="130"/>
      <c r="S45" s="130"/>
      <c r="T45" s="130"/>
      <c r="U45" s="130"/>
      <c r="V45" s="130"/>
      <c r="W45" s="130"/>
      <c r="X45" s="130"/>
      <c r="Y45" s="130"/>
      <c r="Z45" s="130"/>
      <c r="AA45" s="130"/>
      <c r="AB45" s="131"/>
      <c r="AC45" s="11"/>
      <c r="AD45" s="129"/>
      <c r="AE45" s="130"/>
      <c r="AF45" s="131"/>
      <c r="AG45" s="129"/>
      <c r="AH45" s="130"/>
      <c r="AI45" s="131"/>
      <c r="AJ45" s="11"/>
      <c r="AK45" s="11"/>
      <c r="AL45" s="11"/>
      <c r="AM45" s="11"/>
      <c r="AN45" s="11"/>
      <c r="AO45" s="11"/>
    </row>
    <row r="46" spans="1:41" x14ac:dyDescent="0.25">
      <c r="A46" s="11"/>
      <c r="B46" s="11"/>
      <c r="C46" s="11"/>
      <c r="D46" s="11"/>
      <c r="E46" s="11"/>
      <c r="F46" s="11"/>
      <c r="G46" s="11"/>
      <c r="H46" s="11" t="s">
        <v>501</v>
      </c>
      <c r="I46" s="59" t="str">
        <f>IF(_epmOfflineCondition_,"B1",_xll.EVPRO($B$1,$H46,"STYLE"))</f>
        <v>B1</v>
      </c>
      <c r="J46" s="59" t="str">
        <f>IF(_epmOfflineCondition_,"Y",_xll.EVPRO($B$1,$H46,"CALC"))</f>
        <v>Y</v>
      </c>
      <c r="K46" s="11"/>
      <c r="L46" s="11"/>
      <c r="M46" s="11"/>
      <c r="N46" s="105" t="str">
        <f>IF(_epmOfflineCondition_,"System Expenses",IF(_xll.EVDES(H46,$B$1)="#NODATA","",_xll.EVDES(H46,$B$1)))</f>
        <v>System Expenses</v>
      </c>
      <c r="O46" s="119"/>
      <c r="P46" s="120"/>
      <c r="Q46" s="120"/>
      <c r="R46" s="120"/>
      <c r="S46" s="120"/>
      <c r="T46" s="120"/>
      <c r="U46" s="120"/>
      <c r="V46" s="120"/>
      <c r="W46" s="120"/>
      <c r="X46" s="120"/>
      <c r="Y46" s="120"/>
      <c r="Z46" s="120"/>
      <c r="AA46" s="120"/>
      <c r="AB46" s="121"/>
      <c r="AC46" s="11"/>
      <c r="AD46" s="119"/>
      <c r="AE46" s="120"/>
      <c r="AF46" s="121"/>
      <c r="AG46" s="119"/>
      <c r="AH46" s="120"/>
      <c r="AI46" s="121"/>
      <c r="AJ46" s="11"/>
      <c r="AK46" s="11"/>
      <c r="AL46" s="11"/>
      <c r="AM46" s="11"/>
      <c r="AN46" s="11"/>
      <c r="AO46" s="11"/>
    </row>
    <row r="47" spans="1:41" x14ac:dyDescent="0.25">
      <c r="A47" s="62" t="s">
        <v>0</v>
      </c>
      <c r="B47" s="63" t="s">
        <v>1</v>
      </c>
      <c r="C47" s="11"/>
      <c r="D47" s="11"/>
      <c r="E47" s="11"/>
      <c r="F47" s="11"/>
      <c r="G47" s="11"/>
      <c r="H47" s="88" t="s">
        <v>887</v>
      </c>
      <c r="I47" s="122" t="str">
        <f>IF(_epmOfflineCondition_,"T5",_xll.EVPRO($B$1,$H47,"STYLE"))</f>
        <v>T5</v>
      </c>
      <c r="J47" s="122" t="str">
        <f>IF(_epmOfflineCondition_,"Y",_xll.EVPRO($B$1,$H47,"CALC"))</f>
        <v>Y</v>
      </c>
      <c r="K47" s="179" t="str">
        <f t="shared" ref="K47:K52" si="12">IF(AND(I47&gt;="T3"),"&gt;","")</f>
        <v>&gt;</v>
      </c>
      <c r="L47" s="90" t="str">
        <f>IF(_epmOfflineCondition_,"707010",_xll.EVPRO($B$1,H47,"JDEID"))</f>
        <v>707010</v>
      </c>
      <c r="M47" s="90" t="str">
        <f>IF(_epmOfflineCondition_,"",IF(AND(I47="N",J47="N"),_xll.EVPRO($B$1,H47,"PSFTID"),""))</f>
        <v/>
      </c>
      <c r="N47" s="90" t="str">
        <f>IF(_epmOfflineCondition_,"Administrative and General",IF(_xll.EVDES(H47,$B$1)="#NODATA","",_xll.EVDES(H47,$B$1)))</f>
        <v>Administrative and General</v>
      </c>
      <c r="O47" s="138">
        <v>2205</v>
      </c>
      <c r="P47" s="138"/>
      <c r="Q47" s="138"/>
      <c r="R47" s="138"/>
      <c r="S47" s="138"/>
      <c r="T47" s="138"/>
      <c r="U47" s="138"/>
      <c r="V47" s="138"/>
      <c r="W47" s="138">
        <v>325</v>
      </c>
      <c r="X47" s="138">
        <v>240</v>
      </c>
      <c r="Y47" s="138"/>
      <c r="Z47" s="138">
        <v>1840</v>
      </c>
      <c r="AA47" s="231">
        <f t="shared" ref="AA47:AA53" si="13">IF($I47="B1","",SUM(O47:Z47))</f>
        <v>4610</v>
      </c>
      <c r="AB47" s="142">
        <f t="shared" ref="AB47:AB53" si="14">IF(AA47=0,"",IFERROR(AA47/AA$19,""))</f>
        <v>3.1290854567431122E-4</v>
      </c>
      <c r="AC47" s="140"/>
      <c r="AD47" s="138">
        <v>2205</v>
      </c>
      <c r="AE47" s="142">
        <f t="shared" ref="AE47:AE53" si="15">IF(AD47=0,"",IFERROR(AD47/AD$19,""))</f>
        <v>1.5076529990226657E-4</v>
      </c>
      <c r="AF47" s="141">
        <f t="shared" ref="AF47:AF53" si="16">IF(AND($AA47="",AD47=""),"",$AA47-AD47)</f>
        <v>2405</v>
      </c>
      <c r="AG47" s="138">
        <v>3680.27</v>
      </c>
      <c r="AH47" s="142">
        <f t="shared" ref="AH47:AH53" si="17">IF(AG47=0,"",IFERROR(AG47/AG$19,""))</f>
        <v>3.090969178056748E-4</v>
      </c>
      <c r="AI47" s="141">
        <f t="shared" ref="AI47:AI53" si="18">IF(AND($AA47="",AG47=""),"",$AA47-AG47)</f>
        <v>929.73</v>
      </c>
      <c r="AJ47" s="462">
        <f t="shared" ref="AJ47:AJ53" si="19">IFERROR(AA47/AA$20,0)</f>
        <v>9.5682855956828558E-2</v>
      </c>
      <c r="AK47" s="463">
        <f t="shared" ref="AK47:AK53" si="20">IFERROR(AD47/AD$20,0)</f>
        <v>4.5765877957658782E-2</v>
      </c>
      <c r="AL47" s="464">
        <f t="shared" ref="AL47:AL53" si="21">IFERROR(AG47/AG$20,0)</f>
        <v>7.6385844748858442E-2</v>
      </c>
      <c r="AM47" s="465" t="str">
        <f t="shared" ref="AM47:AM53" si="22">+IFERROR(ROUND(($AB47-AE47)*100,2)&amp;" pts.",0)</f>
        <v>0.02 pts.</v>
      </c>
      <c r="AN47" s="466" t="str">
        <f t="shared" ref="AN47:AN53" si="23">+IFERROR(ROUND(($AB47-AH47)*100,2)&amp;" pts.",0)</f>
        <v>0 pts.</v>
      </c>
      <c r="AO47" s="11"/>
    </row>
    <row r="48" spans="1:41" x14ac:dyDescent="0.25">
      <c r="A48" s="65" t="s">
        <v>2</v>
      </c>
      <c r="B48" s="66" t="str">
        <f>IF(_epmOfflineCondition_,"'IT'!$B$2:$B$10",_xll.EVRNG($B$2:$B$10))</f>
        <v>'IT'!$B$2:$B$10</v>
      </c>
      <c r="C48" s="11"/>
      <c r="D48" s="11"/>
      <c r="E48" s="11"/>
      <c r="F48" s="11"/>
      <c r="G48" s="11"/>
      <c r="H48" s="88" t="s">
        <v>888</v>
      </c>
      <c r="I48" s="122" t="str">
        <f>IF(_epmOfflineCondition_,"T5",_xll.EVPRO($B$1,$H48,"STYLE"))</f>
        <v>T5</v>
      </c>
      <c r="J48" s="122" t="str">
        <f>IF(_epmOfflineCondition_,"Y",_xll.EVPRO($B$1,$H48,"CALC"))</f>
        <v>Y</v>
      </c>
      <c r="K48" s="179" t="str">
        <f t="shared" si="12"/>
        <v>&gt;</v>
      </c>
      <c r="L48" s="90" t="str">
        <f>IF(_epmOfflineCondition_,"707150",_xll.EVPRO($B$1,H48,"JDEID"))</f>
        <v>707150</v>
      </c>
      <c r="M48" s="90" t="str">
        <f>IF(_epmOfflineCondition_,"",IF(AND(I48="N",J48="N"),_xll.EVPRO($B$1,H48,"PSFTID"),""))</f>
        <v/>
      </c>
      <c r="N48" s="90" t="str">
        <f>IF(_epmOfflineCondition_,"Food and Beverage",IF(_xll.EVDES(H48,$B$1)="#NODATA","",_xll.EVDES(H48,$B$1)))</f>
        <v>Food and Beverage</v>
      </c>
      <c r="O48" s="138">
        <v>945.2</v>
      </c>
      <c r="P48" s="138">
        <v>1570.13</v>
      </c>
      <c r="Q48" s="138">
        <v>3627.1</v>
      </c>
      <c r="R48" s="138">
        <v>1285.9000000000001</v>
      </c>
      <c r="S48" s="138">
        <v>317.3</v>
      </c>
      <c r="T48" s="138">
        <v>2333.27</v>
      </c>
      <c r="U48" s="138">
        <v>2432.87</v>
      </c>
      <c r="V48" s="138">
        <v>2333.27</v>
      </c>
      <c r="W48" s="138">
        <v>1144.5</v>
      </c>
      <c r="X48" s="138">
        <v>2549.9299999999998</v>
      </c>
      <c r="Y48" s="138">
        <v>3397.45</v>
      </c>
      <c r="Z48" s="138">
        <v>3396.85</v>
      </c>
      <c r="AA48" s="231">
        <f t="shared" si="13"/>
        <v>25333.77</v>
      </c>
      <c r="AB48" s="142">
        <f t="shared" si="14"/>
        <v>1.7195559928736433E-3</v>
      </c>
      <c r="AC48" s="140"/>
      <c r="AD48" s="138">
        <v>24715</v>
      </c>
      <c r="AE48" s="142">
        <f t="shared" si="15"/>
        <v>1.6898704703331147E-3</v>
      </c>
      <c r="AF48" s="141">
        <f t="shared" si="16"/>
        <v>618.77000000000044</v>
      </c>
      <c r="AG48" s="138">
        <v>18280.939999999999</v>
      </c>
      <c r="AH48" s="142">
        <f t="shared" si="17"/>
        <v>1.5353716462624951E-3</v>
      </c>
      <c r="AI48" s="141">
        <f t="shared" si="18"/>
        <v>7052.8300000000017</v>
      </c>
      <c r="AJ48" s="462">
        <f t="shared" si="19"/>
        <v>0.52581506849315074</v>
      </c>
      <c r="AK48" s="463">
        <f t="shared" si="20"/>
        <v>0.51297218762972185</v>
      </c>
      <c r="AL48" s="464">
        <f t="shared" si="21"/>
        <v>0.37943005396430052</v>
      </c>
      <c r="AM48" s="465" t="str">
        <f t="shared" si="22"/>
        <v>0 pts.</v>
      </c>
      <c r="AN48" s="466" t="str">
        <f t="shared" si="23"/>
        <v>0.02 pts.</v>
      </c>
      <c r="AO48" s="11"/>
    </row>
    <row r="49" spans="1:41" x14ac:dyDescent="0.25">
      <c r="A49" s="65" t="s">
        <v>3</v>
      </c>
      <c r="B49" s="66" t="str">
        <f>IF(_epmOfflineCondition_,"'IT'!$O$16:$AN$18",_xll.EVRNG($O$16:$AN$18))</f>
        <v>'IT'!$O$16:$AN$18</v>
      </c>
      <c r="C49" s="11"/>
      <c r="D49" s="11"/>
      <c r="E49" s="11"/>
      <c r="F49" s="11"/>
      <c r="G49" s="11"/>
      <c r="H49" s="88" t="s">
        <v>889</v>
      </c>
      <c r="I49" s="122" t="str">
        <f>IF(_epmOfflineCondition_,"T5",_xll.EVPRO($B$1,$H49,"STYLE"))</f>
        <v>T5</v>
      </c>
      <c r="J49" s="122" t="str">
        <f>IF(_epmOfflineCondition_,"Y",_xll.EVPRO($B$1,$H49,"CALC"))</f>
        <v>Y</v>
      </c>
      <c r="K49" s="179" t="str">
        <f t="shared" si="12"/>
        <v>&gt;</v>
      </c>
      <c r="L49" s="90" t="str">
        <f>IF(_epmOfflineCondition_,"707310",_xll.EVPRO($B$1,H49,"JDEID"))</f>
        <v>707310</v>
      </c>
      <c r="M49" s="90" t="str">
        <f>IF(_epmOfflineCondition_,"",IF(AND(I49="N",J49="N"),_xll.EVPRO($B$1,H49,"PSFTID"),""))</f>
        <v/>
      </c>
      <c r="N49" s="90" t="str">
        <f>IF(_epmOfflineCondition_,"Human Resources",IF(_xll.EVDES(H49,$B$1)="#NODATA","",_xll.EVDES(H49,$B$1)))</f>
        <v>Human Resources</v>
      </c>
      <c r="O49" s="138">
        <v>796.12</v>
      </c>
      <c r="P49" s="138">
        <v>748.53</v>
      </c>
      <c r="Q49" s="138">
        <v>596.01</v>
      </c>
      <c r="R49" s="138">
        <v>504.98</v>
      </c>
      <c r="S49" s="138">
        <v>520.45000000000005</v>
      </c>
      <c r="T49" s="138">
        <v>565.94000000000005</v>
      </c>
      <c r="U49" s="138">
        <v>394.95</v>
      </c>
      <c r="V49" s="138">
        <v>1165.22</v>
      </c>
      <c r="W49" s="138">
        <v>682.46</v>
      </c>
      <c r="X49" s="138">
        <v>672.8</v>
      </c>
      <c r="Y49" s="138">
        <v>665.47</v>
      </c>
      <c r="Z49" s="138">
        <v>1228.9100000000001</v>
      </c>
      <c r="AA49" s="231">
        <f t="shared" si="13"/>
        <v>8541.840000000002</v>
      </c>
      <c r="AB49" s="142">
        <f t="shared" si="14"/>
        <v>5.7978627587476335E-4</v>
      </c>
      <c r="AC49" s="140"/>
      <c r="AD49" s="138">
        <v>9411</v>
      </c>
      <c r="AE49" s="142">
        <f t="shared" si="15"/>
        <v>6.4347040244001387E-4</v>
      </c>
      <c r="AF49" s="141">
        <f t="shared" si="16"/>
        <v>-869.15999999999804</v>
      </c>
      <c r="AG49" s="138">
        <v>10368.01</v>
      </c>
      <c r="AH49" s="142">
        <f t="shared" si="17"/>
        <v>8.7078391932614036E-4</v>
      </c>
      <c r="AI49" s="141">
        <f t="shared" si="18"/>
        <v>-1826.1699999999983</v>
      </c>
      <c r="AJ49" s="462">
        <f t="shared" si="19"/>
        <v>0.17729016189290167</v>
      </c>
      <c r="AK49" s="463">
        <f t="shared" si="20"/>
        <v>0.19533001245330012</v>
      </c>
      <c r="AL49" s="464">
        <f t="shared" si="21"/>
        <v>0.21519323370693233</v>
      </c>
      <c r="AM49" s="465" t="str">
        <f t="shared" si="22"/>
        <v>-0.01 pts.</v>
      </c>
      <c r="AN49" s="466" t="str">
        <f t="shared" si="23"/>
        <v>-0.03 pts.</v>
      </c>
      <c r="AO49" s="11"/>
    </row>
    <row r="50" spans="1:41" x14ac:dyDescent="0.25">
      <c r="A50" s="65" t="s">
        <v>4</v>
      </c>
      <c r="B50" s="66" t="str">
        <f>IF(_epmOfflineCondition_,"'IT'!$H$39:$H$43",_xll.EVRNG(H39:H43))</f>
        <v>'IT'!$H$39:$H$43</v>
      </c>
      <c r="C50" s="11"/>
      <c r="D50" s="11"/>
      <c r="E50" s="11"/>
      <c r="F50" s="11"/>
      <c r="G50" s="11"/>
      <c r="H50" s="88" t="s">
        <v>890</v>
      </c>
      <c r="I50" s="122" t="str">
        <f>IF(_epmOfflineCondition_,"T5",_xll.EVPRO($B$1,$H50,"STYLE"))</f>
        <v>T5</v>
      </c>
      <c r="J50" s="122" t="str">
        <f>IF(_epmOfflineCondition_,"Y",_xll.EVPRO($B$1,$H50,"CALC"))</f>
        <v>Y</v>
      </c>
      <c r="K50" s="179" t="str">
        <f t="shared" si="12"/>
        <v>&gt;</v>
      </c>
      <c r="L50" s="90" t="str">
        <f>IF(_epmOfflineCondition_,"707450",_xll.EVPRO($B$1,H50,"JDEID"))</f>
        <v>707450</v>
      </c>
      <c r="M50" s="90" t="str">
        <f>IF(_epmOfflineCondition_,"",IF(AND(I50="N",J50="N"),_xll.EVPRO($B$1,H50,"PSFTID"),""))</f>
        <v/>
      </c>
      <c r="N50" s="90" t="str">
        <f>IF(_epmOfflineCondition_,"Other",IF(_xll.EVDES(H50,$B$1)="#NODATA","",_xll.EVDES(H50,$B$1)))</f>
        <v>Other</v>
      </c>
      <c r="O50" s="138"/>
      <c r="P50" s="138"/>
      <c r="Q50" s="138">
        <v>1639.2</v>
      </c>
      <c r="R50" s="138"/>
      <c r="S50" s="138"/>
      <c r="T50" s="138">
        <v>1450</v>
      </c>
      <c r="U50" s="138">
        <v>1462.85</v>
      </c>
      <c r="V50" s="138"/>
      <c r="W50" s="138">
        <v>-1450</v>
      </c>
      <c r="X50" s="138"/>
      <c r="Y50" s="138">
        <v>174.04</v>
      </c>
      <c r="Z50" s="138"/>
      <c r="AA50" s="231">
        <f t="shared" si="13"/>
        <v>3276.0899999999992</v>
      </c>
      <c r="AB50" s="142">
        <f t="shared" si="14"/>
        <v>2.2236801678918741E-4</v>
      </c>
      <c r="AC50" s="140"/>
      <c r="AD50" s="138">
        <v>5915</v>
      </c>
      <c r="AE50" s="142">
        <f t="shared" si="15"/>
        <v>4.0443389973782618E-4</v>
      </c>
      <c r="AF50" s="141">
        <f t="shared" si="16"/>
        <v>-2638.9100000000008</v>
      </c>
      <c r="AG50" s="138">
        <v>4868.25</v>
      </c>
      <c r="AH50" s="142">
        <f t="shared" si="17"/>
        <v>4.0887246590806556E-4</v>
      </c>
      <c r="AI50" s="141">
        <f t="shared" si="18"/>
        <v>-1592.1600000000008</v>
      </c>
      <c r="AJ50" s="462">
        <f t="shared" si="19"/>
        <v>6.7996886674968851E-2</v>
      </c>
      <c r="AK50" s="463">
        <f t="shared" si="20"/>
        <v>0.12276878372768783</v>
      </c>
      <c r="AL50" s="464">
        <f t="shared" si="21"/>
        <v>0.10104296388542963</v>
      </c>
      <c r="AM50" s="465" t="str">
        <f t="shared" si="22"/>
        <v>-0.02 pts.</v>
      </c>
      <c r="AN50" s="466" t="str">
        <f t="shared" si="23"/>
        <v>-0.02 pts.</v>
      </c>
      <c r="AO50" s="11"/>
    </row>
    <row r="51" spans="1:41" x14ac:dyDescent="0.25">
      <c r="A51" s="65" t="s">
        <v>5</v>
      </c>
      <c r="B51" s="66"/>
      <c r="C51" s="11"/>
      <c r="D51" s="11"/>
      <c r="E51" s="11"/>
      <c r="F51" s="11"/>
      <c r="G51" s="11"/>
      <c r="H51" s="88" t="s">
        <v>891</v>
      </c>
      <c r="I51" s="122" t="str">
        <f>IF(_epmOfflineCondition_,"T5",_xll.EVPRO($B$1,$H51,"STYLE"))</f>
        <v>T5</v>
      </c>
      <c r="J51" s="122" t="str">
        <f>IF(_epmOfflineCondition_,"Y",_xll.EVPRO($B$1,$H51,"CALC"))</f>
        <v>Y</v>
      </c>
      <c r="K51" s="179" t="str">
        <f t="shared" si="12"/>
        <v>&gt;</v>
      </c>
      <c r="L51" s="90" t="str">
        <f>IF(_epmOfflineCondition_,"707610",_xll.EVPRO($B$1,H51,"JDEID"))</f>
        <v>707610</v>
      </c>
      <c r="M51" s="90" t="str">
        <f>IF(_epmOfflineCondition_,"",IF(AND(I51="N",J51="N"),_xll.EVPRO($B$1,H51,"PSFTID"),""))</f>
        <v/>
      </c>
      <c r="N51" s="90" t="str">
        <f>IF(_epmOfflineCondition_,"Rooms",IF(_xll.EVDES(H51,$B$1)="#NODATA","",_xll.EVDES(H51,$B$1)))</f>
        <v>Rooms</v>
      </c>
      <c r="O51" s="138">
        <v>608.14</v>
      </c>
      <c r="P51" s="138">
        <v>541.03</v>
      </c>
      <c r="Q51" s="138">
        <v>540.91999999999996</v>
      </c>
      <c r="R51" s="138">
        <v>2261.1799999999998</v>
      </c>
      <c r="S51" s="138">
        <v>-756.66</v>
      </c>
      <c r="T51" s="138">
        <v>534.91999999999996</v>
      </c>
      <c r="U51" s="138">
        <v>540.91999999999996</v>
      </c>
      <c r="V51" s="138">
        <v>445</v>
      </c>
      <c r="W51" s="138">
        <v>445</v>
      </c>
      <c r="X51" s="138">
        <v>288.75</v>
      </c>
      <c r="Y51" s="138">
        <v>403.75</v>
      </c>
      <c r="Z51" s="138">
        <v>710.55</v>
      </c>
      <c r="AA51" s="231">
        <f t="shared" si="13"/>
        <v>6563.5</v>
      </c>
      <c r="AB51" s="142">
        <f t="shared" si="14"/>
        <v>4.4550439035430405E-4</v>
      </c>
      <c r="AC51" s="140"/>
      <c r="AD51" s="138">
        <v>10631.04</v>
      </c>
      <c r="AE51" s="142">
        <f t="shared" si="15"/>
        <v>7.2688976592879455E-4</v>
      </c>
      <c r="AF51" s="141">
        <f t="shared" si="16"/>
        <v>-4067.5400000000009</v>
      </c>
      <c r="AG51" s="138">
        <v>10952.26</v>
      </c>
      <c r="AH51" s="142">
        <f t="shared" si="17"/>
        <v>9.1985365448904021E-4</v>
      </c>
      <c r="AI51" s="141">
        <f t="shared" si="18"/>
        <v>-4388.76</v>
      </c>
      <c r="AJ51" s="462">
        <f t="shared" si="19"/>
        <v>0.13622872561228724</v>
      </c>
      <c r="AK51" s="463">
        <f t="shared" si="20"/>
        <v>0.22065255292652555</v>
      </c>
      <c r="AL51" s="464">
        <f t="shared" si="21"/>
        <v>0.22731963470319635</v>
      </c>
      <c r="AM51" s="465" t="str">
        <f t="shared" si="22"/>
        <v>-0.03 pts.</v>
      </c>
      <c r="AN51" s="466" t="str">
        <f t="shared" si="23"/>
        <v>-0.05 pts.</v>
      </c>
      <c r="AO51" s="11"/>
    </row>
    <row r="52" spans="1:41" x14ac:dyDescent="0.25">
      <c r="A52" s="65" t="s">
        <v>6</v>
      </c>
      <c r="B52" s="66"/>
      <c r="C52" s="11"/>
      <c r="D52" s="11"/>
      <c r="E52" s="11"/>
      <c r="F52" s="11"/>
      <c r="G52" s="11"/>
      <c r="H52" s="88" t="s">
        <v>892</v>
      </c>
      <c r="I52" s="122" t="str">
        <f>IF(_epmOfflineCondition_,"T5",_xll.EVPRO($B$1,$H52,"STYLE"))</f>
        <v>T5</v>
      </c>
      <c r="J52" s="122" t="str">
        <f>IF(_epmOfflineCondition_,"Y",_xll.EVPRO($B$1,$H52,"CALC"))</f>
        <v>Y</v>
      </c>
      <c r="K52" s="179" t="str">
        <f t="shared" si="12"/>
        <v>&gt;</v>
      </c>
      <c r="L52" s="90" t="str">
        <f>IF(_epmOfflineCondition_,"707650",_xll.EVPRO($B$1,H52,"JDEID"))</f>
        <v>707650</v>
      </c>
      <c r="M52" s="90" t="str">
        <f>IF(_epmOfflineCondition_,"",IF(AND(I52="N",J52="N"),_xll.EVPRO($B$1,H52,"PSFTID"),""))</f>
        <v/>
      </c>
      <c r="N52" s="90" t="str">
        <f>IF(_epmOfflineCondition_,"Sales and Marketing",IF(_xll.EVDES(H52,$B$1)="#NODATA","",_xll.EVDES(H52,$B$1)))</f>
        <v>Sales and Marketing</v>
      </c>
      <c r="O52" s="138">
        <v>2448.6</v>
      </c>
      <c r="P52" s="138">
        <v>1286.99</v>
      </c>
      <c r="Q52" s="138">
        <v>2242.48</v>
      </c>
      <c r="R52" s="138">
        <v>1106.9000000000001</v>
      </c>
      <c r="S52" s="138">
        <v>1638.79</v>
      </c>
      <c r="T52" s="138">
        <v>1028.3800000000001</v>
      </c>
      <c r="U52" s="138">
        <v>1159.6300000000001</v>
      </c>
      <c r="V52" s="138">
        <v>1243.2</v>
      </c>
      <c r="W52" s="138">
        <v>1159.6300000000001</v>
      </c>
      <c r="X52" s="138">
        <v>1171.18</v>
      </c>
      <c r="Y52" s="138">
        <v>994.63</v>
      </c>
      <c r="Z52" s="138">
        <v>1176.1099999999999</v>
      </c>
      <c r="AA52" s="231">
        <f t="shared" si="13"/>
        <v>16656.52</v>
      </c>
      <c r="AB52" s="142">
        <f t="shared" si="14"/>
        <v>1.1305786223850497E-3</v>
      </c>
      <c r="AC52" s="140"/>
      <c r="AD52" s="138">
        <v>19901.9999999996</v>
      </c>
      <c r="AE52" s="142">
        <f t="shared" si="15"/>
        <v>1.3607850334035596E-3</v>
      </c>
      <c r="AF52" s="141">
        <f t="shared" si="16"/>
        <v>-3245.4799999995994</v>
      </c>
      <c r="AG52" s="138">
        <v>14787.09</v>
      </c>
      <c r="AH52" s="142">
        <f t="shared" si="17"/>
        <v>1.2419316904235603E-3</v>
      </c>
      <c r="AI52" s="141">
        <f t="shared" si="18"/>
        <v>1869.4300000000003</v>
      </c>
      <c r="AJ52" s="462">
        <f t="shared" si="19"/>
        <v>0.34571440431714406</v>
      </c>
      <c r="AK52" s="463">
        <f t="shared" si="20"/>
        <v>0.41307596513075134</v>
      </c>
      <c r="AL52" s="464">
        <f t="shared" si="21"/>
        <v>0.30691344956413452</v>
      </c>
      <c r="AM52" s="465" t="str">
        <f t="shared" si="22"/>
        <v>-0.02 pts.</v>
      </c>
      <c r="AN52" s="466" t="str">
        <f t="shared" si="23"/>
        <v>-0.01 pts.</v>
      </c>
      <c r="AO52" s="11"/>
    </row>
    <row r="53" spans="1:41" x14ac:dyDescent="0.25">
      <c r="A53" s="65" t="s">
        <v>7</v>
      </c>
      <c r="B53" s="66"/>
      <c r="C53" s="11"/>
      <c r="D53" s="11"/>
      <c r="E53" s="11"/>
      <c r="F53" s="11"/>
      <c r="G53" s="11"/>
      <c r="H53" s="88" t="s">
        <v>502</v>
      </c>
      <c r="I53" s="122" t="str">
        <f>IF(_epmOfflineCondition_,"T4",_xll.EVPRO($B$1,$H53,"STYLE"))</f>
        <v>T4</v>
      </c>
      <c r="J53" s="122" t="str">
        <f>IF(_epmOfflineCondition_,"Y",_xll.EVPRO($B$1,$H53,"CALC"))</f>
        <v>Y</v>
      </c>
      <c r="K53" s="179"/>
      <c r="L53" s="90" t="str">
        <f>IF(_epmOfflineCondition_,"",_xll.EVPRO($B$1,H53,"JDEID"))</f>
        <v/>
      </c>
      <c r="M53" s="90" t="str">
        <f>IF(_epmOfflineCondition_,"",IF(AND(I53="N",J53="N"),_xll.EVPRO($B$1,H53,"PSFTID"),""))</f>
        <v/>
      </c>
      <c r="N53" s="106" t="str">
        <f>IF(_epmOfflineCondition_,"Total System Expenses",IF(_xll.EVDES(H53,$B$1)="#NODATA","",_xll.EVDES(H53,$B$1)))</f>
        <v>Total System Expenses</v>
      </c>
      <c r="O53" s="112">
        <f t="shared" ref="O53:Z53" si="24">SUM(O47:O52)</f>
        <v>7003.0599999999995</v>
      </c>
      <c r="P53" s="112">
        <f t="shared" si="24"/>
        <v>4146.6799999999994</v>
      </c>
      <c r="Q53" s="112">
        <f t="shared" si="24"/>
        <v>8645.7099999999991</v>
      </c>
      <c r="R53" s="112">
        <f t="shared" si="24"/>
        <v>5158.96</v>
      </c>
      <c r="S53" s="112">
        <f t="shared" si="24"/>
        <v>1719.88</v>
      </c>
      <c r="T53" s="112">
        <f t="shared" si="24"/>
        <v>5912.51</v>
      </c>
      <c r="U53" s="112">
        <f t="shared" si="24"/>
        <v>5991.22</v>
      </c>
      <c r="V53" s="112">
        <f t="shared" si="24"/>
        <v>5186.6899999999996</v>
      </c>
      <c r="W53" s="112">
        <f t="shared" si="24"/>
        <v>2306.59</v>
      </c>
      <c r="X53" s="112">
        <f t="shared" si="24"/>
        <v>4922.66</v>
      </c>
      <c r="Y53" s="112">
        <f t="shared" si="24"/>
        <v>5635.34</v>
      </c>
      <c r="Z53" s="112">
        <f t="shared" si="24"/>
        <v>8352.42</v>
      </c>
      <c r="AA53" s="112">
        <f t="shared" si="13"/>
        <v>64981.72</v>
      </c>
      <c r="AB53" s="113">
        <f t="shared" si="14"/>
        <v>4.4107018439512591E-3</v>
      </c>
      <c r="AC53" s="11"/>
      <c r="AD53" s="112">
        <f>SUM(AD47:AD52)</f>
        <v>72779.039999999601</v>
      </c>
      <c r="AE53" s="113">
        <f t="shared" si="15"/>
        <v>4.9762148717455755E-3</v>
      </c>
      <c r="AF53" s="114">
        <f t="shared" si="16"/>
        <v>-7797.3199999995995</v>
      </c>
      <c r="AG53" s="112">
        <f>SUM(AG47:AG52)</f>
        <v>62936.820000000007</v>
      </c>
      <c r="AH53" s="113">
        <f t="shared" si="17"/>
        <v>5.2859102942149766E-3</v>
      </c>
      <c r="AI53" s="114">
        <f t="shared" si="18"/>
        <v>2044.8999999999942</v>
      </c>
      <c r="AJ53" s="415">
        <f t="shared" si="19"/>
        <v>1.3487281029472811</v>
      </c>
      <c r="AK53" s="416">
        <f t="shared" si="20"/>
        <v>1.5105653798256455</v>
      </c>
      <c r="AL53" s="417">
        <f t="shared" si="21"/>
        <v>1.3062851805728519</v>
      </c>
      <c r="AM53" s="418" t="str">
        <f t="shared" si="22"/>
        <v>-0.06 pts.</v>
      </c>
      <c r="AN53" s="543" t="str">
        <f t="shared" si="23"/>
        <v>-0.09 pts.</v>
      </c>
      <c r="AO53" s="11"/>
    </row>
    <row r="54" spans="1:41" x14ac:dyDescent="0.25">
      <c r="A54" s="65" t="s">
        <v>47</v>
      </c>
      <c r="B54" s="66" t="str">
        <f>IF(_epmOfflineCondition_,"'IT'!$A$105:$B$126",_xll.EVRNG($A$105:$B$126))</f>
        <v>'IT'!$A$105:$B$126</v>
      </c>
      <c r="C54" s="11"/>
      <c r="D54" s="11"/>
      <c r="E54" s="11"/>
      <c r="F54" s="11"/>
      <c r="G54" s="11"/>
      <c r="H54" s="179"/>
      <c r="I54" s="179"/>
      <c r="J54" s="179"/>
      <c r="K54" s="179"/>
      <c r="L54" s="90"/>
      <c r="M54" s="90"/>
      <c r="N54" s="106"/>
      <c r="O54" s="129"/>
      <c r="P54" s="130"/>
      <c r="Q54" s="130"/>
      <c r="R54" s="130"/>
      <c r="S54" s="130"/>
      <c r="T54" s="130"/>
      <c r="U54" s="130"/>
      <c r="V54" s="130"/>
      <c r="W54" s="130"/>
      <c r="X54" s="130"/>
      <c r="Y54" s="130"/>
      <c r="Z54" s="130"/>
      <c r="AA54" s="130"/>
      <c r="AB54" s="131"/>
      <c r="AC54" s="11"/>
      <c r="AD54" s="129"/>
      <c r="AE54" s="130"/>
      <c r="AF54" s="131"/>
      <c r="AG54" s="129"/>
      <c r="AH54" s="130"/>
      <c r="AI54" s="131"/>
      <c r="AJ54" s="11"/>
      <c r="AK54" s="11"/>
      <c r="AL54" s="11"/>
      <c r="AM54" s="11"/>
      <c r="AN54" s="11"/>
      <c r="AO54" s="11"/>
    </row>
    <row r="55" spans="1:41" x14ac:dyDescent="0.25">
      <c r="A55" s="65" t="s">
        <v>8</v>
      </c>
      <c r="B55" s="66"/>
      <c r="C55" s="11"/>
      <c r="D55" s="11"/>
      <c r="E55" s="11"/>
      <c r="F55" s="11"/>
      <c r="G55" s="11"/>
      <c r="H55" s="11" t="s">
        <v>82</v>
      </c>
      <c r="I55" s="59" t="str">
        <f>IF(_epmOfflineCondition_,"B1",_xll.EVPRO($B$1,$H55,"STYLE"))</f>
        <v>B1</v>
      </c>
      <c r="J55" s="59" t="str">
        <f>IF(_epmOfflineCondition_,"Y",_xll.EVPRO($B$1,$H55,"CALC"))</f>
        <v>Y</v>
      </c>
      <c r="K55" s="11"/>
      <c r="L55" s="11"/>
      <c r="M55" s="11"/>
      <c r="N55" s="105" t="str">
        <f>IF(_epmOfflineCondition_,"Other Expenses",IF(_xll.EVDES(H55,$B$1)="#NODATA","",_xll.EVDES(H55,$B$1)))</f>
        <v>Other Expenses</v>
      </c>
      <c r="O55" s="119"/>
      <c r="P55" s="120"/>
      <c r="Q55" s="120"/>
      <c r="R55" s="120"/>
      <c r="S55" s="120"/>
      <c r="T55" s="120"/>
      <c r="U55" s="120"/>
      <c r="V55" s="120"/>
      <c r="W55" s="120"/>
      <c r="X55" s="120"/>
      <c r="Y55" s="120"/>
      <c r="Z55" s="120"/>
      <c r="AA55" s="120"/>
      <c r="AB55" s="121"/>
      <c r="AC55" s="11"/>
      <c r="AD55" s="119"/>
      <c r="AE55" s="120"/>
      <c r="AF55" s="121"/>
      <c r="AG55" s="119"/>
      <c r="AH55" s="120"/>
      <c r="AI55" s="121"/>
      <c r="AJ55" s="11"/>
      <c r="AK55" s="11"/>
      <c r="AL55" s="11"/>
      <c r="AM55" s="11"/>
      <c r="AN55" s="11"/>
      <c r="AO55" s="11"/>
    </row>
    <row r="56" spans="1:41" x14ac:dyDescent="0.25">
      <c r="A56" s="11"/>
      <c r="B56" s="11"/>
      <c r="C56" s="11"/>
      <c r="D56" s="11"/>
      <c r="E56" s="11"/>
      <c r="F56" s="11"/>
      <c r="G56" s="11"/>
      <c r="H56" s="88" t="s">
        <v>832</v>
      </c>
      <c r="I56" s="122" t="str">
        <f>IF(_epmOfflineCondition_,"T4",_xll.EVPRO($B$1,$H56,"STYLE"))</f>
        <v>T4</v>
      </c>
      <c r="J56" s="122" t="str">
        <f>IF(_epmOfflineCondition_,"Y",_xll.EVPRO($B$1,$H56,"CALC"))</f>
        <v>Y</v>
      </c>
      <c r="K56" s="179" t="str">
        <f>IF(AND(I56&gt;="T3"),"&gt;","")</f>
        <v>&gt;</v>
      </c>
      <c r="L56" s="90" t="str">
        <f>IF(_epmOfflineCondition_,"",_xll.EVPRO($B$1,H56,"JDEID"))</f>
        <v/>
      </c>
      <c r="M56" s="90" t="str">
        <f>IF(_epmOfflineCondition_,"",IF(AND(I56="N",J56="N"),_xll.EVPRO($B$1,H56,"PSFTID"),""))</f>
        <v/>
      </c>
      <c r="N56" s="90" t="str">
        <f>IF(_epmOfflineCondition_,"Contract Services",IF(_xll.EVDES(H56,$B$1)="#NODATA","",_xll.EVDES(H56,$B$1)))</f>
        <v>Contract Services</v>
      </c>
      <c r="O56" s="138">
        <v>140</v>
      </c>
      <c r="P56" s="138">
        <v>79.2</v>
      </c>
      <c r="Q56" s="138">
        <v>140</v>
      </c>
      <c r="R56" s="138">
        <v>140</v>
      </c>
      <c r="S56" s="138"/>
      <c r="T56" s="138">
        <v>24.37</v>
      </c>
      <c r="U56" s="138">
        <v>80.41</v>
      </c>
      <c r="V56" s="138">
        <v>42.3</v>
      </c>
      <c r="W56" s="138">
        <v>57.01</v>
      </c>
      <c r="X56" s="138">
        <v>175.22</v>
      </c>
      <c r="Y56" s="138">
        <v>73.81</v>
      </c>
      <c r="Z56" s="138">
        <v>85</v>
      </c>
      <c r="AA56" s="231">
        <f t="shared" ref="AA56:AA61" si="25">IF($I56="B1","",SUM(O56:Z56))</f>
        <v>1037.32</v>
      </c>
      <c r="AB56" s="142">
        <f t="shared" ref="AB56:AB61" si="26">IF(AA56=0,"",IFERROR(AA56/AA$19,""))</f>
        <v>7.0409174099539374E-5</v>
      </c>
      <c r="AC56" s="140"/>
      <c r="AD56" s="138">
        <v>360</v>
      </c>
      <c r="AE56" s="142">
        <f t="shared" ref="AE56:AE61" si="27">IF(AD56=0,"",IFERROR(AD56/AD$19,""))</f>
        <v>2.4614742841186378E-5</v>
      </c>
      <c r="AF56" s="141">
        <f t="shared" ref="AF56:AF61" si="28">IF(AND($AA56="",AD56=""),"",$AA56-AD56)</f>
        <v>677.31999999999994</v>
      </c>
      <c r="AG56" s="138">
        <v>-1712.44</v>
      </c>
      <c r="AH56" s="142">
        <f t="shared" ref="AH56:AH61" si="29">IF(AG56=0,"",IFERROR(AG56/AG$19,""))</f>
        <v>-1.4382366672204751E-4</v>
      </c>
      <c r="AI56" s="141">
        <f t="shared" ref="AI56:AI61" si="30">IF(AND($AA56="",AG56=""),"",$AA56-AG56)</f>
        <v>2749.76</v>
      </c>
      <c r="AJ56" s="462">
        <f t="shared" ref="AJ56:AJ61" si="31">IFERROR(AA56/AA$20,0)</f>
        <v>2.1530095475300954E-2</v>
      </c>
      <c r="AK56" s="463">
        <f t="shared" ref="AK56:AK61" si="32">IFERROR(AD56/AD$20,0)</f>
        <v>7.4719800747198011E-3</v>
      </c>
      <c r="AL56" s="464">
        <f t="shared" ref="AL56:AL61" si="33">IFERROR(AG56/AG$20,0)</f>
        <v>-3.5542548775425488E-2</v>
      </c>
      <c r="AM56" s="465" t="str">
        <f t="shared" ref="AM56:AM61" si="34">+IFERROR(ROUND(($AB56-AE56)*100,2)&amp;" pts.",0)</f>
        <v>0 pts.</v>
      </c>
      <c r="AN56" s="466" t="str">
        <f t="shared" ref="AN56:AN61" si="35">+IFERROR(ROUND(($AB56-AH56)*100,2)&amp;" pts.",0)</f>
        <v>0.02 pts.</v>
      </c>
      <c r="AO56" s="11"/>
    </row>
    <row r="57" spans="1:41" x14ac:dyDescent="0.25">
      <c r="A57" s="62" t="s">
        <v>9</v>
      </c>
      <c r="B57" s="63" t="s">
        <v>10</v>
      </c>
      <c r="C57" s="11"/>
      <c r="D57" s="11"/>
      <c r="E57" s="11"/>
      <c r="F57" s="11"/>
      <c r="G57" s="11"/>
      <c r="H57" s="88" t="s">
        <v>833</v>
      </c>
      <c r="I57" s="122" t="str">
        <f>IF(_epmOfflineCondition_,"T4",_xll.EVPRO($B$1,$H57,"STYLE"))</f>
        <v>T4</v>
      </c>
      <c r="J57" s="122" t="str">
        <f>IF(_epmOfflineCondition_,"Y",_xll.EVPRO($B$1,$H57,"CALC"))</f>
        <v>Y</v>
      </c>
      <c r="K57" s="179" t="str">
        <f>IF(AND(I57&gt;="T3"),"&gt;","")</f>
        <v>&gt;</v>
      </c>
      <c r="L57" s="90" t="str">
        <f>IF(_epmOfflineCondition_,"",_xll.EVPRO($B$1,H57,"JDEID"))</f>
        <v/>
      </c>
      <c r="M57" s="90" t="str">
        <f>IF(_epmOfflineCondition_,"",IF(AND(I57="N",J57="N"),_xll.EVPRO($B$1,H57,"PSFTID"),""))</f>
        <v/>
      </c>
      <c r="N57" s="90" t="str">
        <f>IF(_epmOfflineCondition_,"Travel - Other",IF(_xll.EVDES(H57,$B$1)="#NODATA","",_xll.EVDES(H57,$B$1)))</f>
        <v>Travel - Other</v>
      </c>
      <c r="O57" s="138"/>
      <c r="P57" s="138"/>
      <c r="Q57" s="138"/>
      <c r="R57" s="138"/>
      <c r="S57" s="138"/>
      <c r="T57" s="138"/>
      <c r="U57" s="138"/>
      <c r="V57" s="138"/>
      <c r="W57" s="138">
        <v>17.61</v>
      </c>
      <c r="X57" s="138"/>
      <c r="Y57" s="138"/>
      <c r="Z57" s="138">
        <v>42.58</v>
      </c>
      <c r="AA57" s="231">
        <f t="shared" si="25"/>
        <v>60.19</v>
      </c>
      <c r="AB57" s="142">
        <f t="shared" si="26"/>
        <v>4.0854588642379154E-6</v>
      </c>
      <c r="AC57" s="140"/>
      <c r="AD57" s="138"/>
      <c r="AE57" s="142" t="str">
        <f t="shared" si="27"/>
        <v/>
      </c>
      <c r="AF57" s="141">
        <f t="shared" si="28"/>
        <v>60.19</v>
      </c>
      <c r="AG57" s="138">
        <v>54.73</v>
      </c>
      <c r="AH57" s="142">
        <f t="shared" si="29"/>
        <v>4.5966394616440051E-6</v>
      </c>
      <c r="AI57" s="141">
        <f t="shared" si="30"/>
        <v>5.4600000000000009</v>
      </c>
      <c r="AJ57" s="462">
        <f t="shared" si="31"/>
        <v>1.2492735574927355E-3</v>
      </c>
      <c r="AK57" s="463">
        <f t="shared" si="32"/>
        <v>0</v>
      </c>
      <c r="AL57" s="464">
        <f t="shared" si="33"/>
        <v>1.1359485263594852E-3</v>
      </c>
      <c r="AM57" s="465">
        <f t="shared" si="34"/>
        <v>0</v>
      </c>
      <c r="AN57" s="466" t="str">
        <f t="shared" si="35"/>
        <v>0 pts.</v>
      </c>
      <c r="AO57" s="11"/>
    </row>
    <row r="58" spans="1:41" x14ac:dyDescent="0.25">
      <c r="A58" s="65" t="s">
        <v>11</v>
      </c>
      <c r="B58" s="66" t="s">
        <v>21</v>
      </c>
      <c r="C58" s="11"/>
      <c r="D58" s="11"/>
      <c r="E58" s="11"/>
      <c r="F58" s="11"/>
      <c r="G58" s="11"/>
      <c r="H58" s="88" t="s">
        <v>874</v>
      </c>
      <c r="I58" s="122" t="str">
        <f>IF(_epmOfflineCondition_,"N",_xll.EVPRO($B$1,$H58,"STYLE"))</f>
        <v>N</v>
      </c>
      <c r="J58" s="122" t="str">
        <f>IF(_epmOfflineCondition_,"N",_xll.EVPRO($B$1,$H58,"CALC"))</f>
        <v>N</v>
      </c>
      <c r="K58" s="179" t="str">
        <f>IF(AND(I58&gt;="T3"),"&gt;","")</f>
        <v/>
      </c>
      <c r="L58" s="90" t="str">
        <f>IF(_epmOfflineCondition_,"703100",_xll.EVPRO($B$1,H58,"JDEID"))</f>
        <v>703100</v>
      </c>
      <c r="M58" s="90" t="str">
        <f>IF(_epmOfflineCondition_,"690035",IF(AND(I58="N",J58="N"),_xll.EVPRO($B$1,H58,"PSFTID"),""))</f>
        <v>690035</v>
      </c>
      <c r="N58" s="90" t="str">
        <f>IF(_epmOfflineCondition_,"Training",IF(_xll.EVDES(H58,$B$1)="#NODATA","",_xll.EVDES(H58,$B$1)))</f>
        <v>Training</v>
      </c>
      <c r="O58" s="138"/>
      <c r="P58" s="138"/>
      <c r="Q58" s="138"/>
      <c r="R58" s="138"/>
      <c r="S58" s="138"/>
      <c r="T58" s="138"/>
      <c r="U58" s="138"/>
      <c r="V58" s="138"/>
      <c r="W58" s="138"/>
      <c r="X58" s="138"/>
      <c r="Y58" s="138"/>
      <c r="Z58" s="138"/>
      <c r="AA58" s="231">
        <f t="shared" si="25"/>
        <v>0</v>
      </c>
      <c r="AB58" s="142" t="str">
        <f t="shared" si="26"/>
        <v/>
      </c>
      <c r="AC58" s="140"/>
      <c r="AD58" s="138"/>
      <c r="AE58" s="142" t="str">
        <f t="shared" si="27"/>
        <v/>
      </c>
      <c r="AF58" s="141">
        <f t="shared" si="28"/>
        <v>0</v>
      </c>
      <c r="AG58" s="138">
        <v>18.190000000000001</v>
      </c>
      <c r="AH58" s="142">
        <f t="shared" si="29"/>
        <v>1.5277338170528862E-6</v>
      </c>
      <c r="AI58" s="141">
        <f t="shared" si="30"/>
        <v>-18.190000000000001</v>
      </c>
      <c r="AJ58" s="462">
        <f t="shared" si="31"/>
        <v>0</v>
      </c>
      <c r="AK58" s="463">
        <f t="shared" si="32"/>
        <v>0</v>
      </c>
      <c r="AL58" s="464">
        <f t="shared" si="33"/>
        <v>3.7754254877542552E-4</v>
      </c>
      <c r="AM58" s="465">
        <f t="shared" si="34"/>
        <v>0</v>
      </c>
      <c r="AN58" s="466">
        <f t="shared" si="35"/>
        <v>0</v>
      </c>
      <c r="AO58" s="11"/>
    </row>
    <row r="59" spans="1:41" x14ac:dyDescent="0.25">
      <c r="A59" s="65" t="s">
        <v>12</v>
      </c>
      <c r="B59" s="66" t="s">
        <v>22</v>
      </c>
      <c r="C59" s="11"/>
      <c r="D59" s="11"/>
      <c r="E59" s="11"/>
      <c r="F59" s="11"/>
      <c r="G59" s="11"/>
      <c r="H59" s="88" t="s">
        <v>886</v>
      </c>
      <c r="I59" s="122" t="str">
        <f>IF(_epmOfflineCondition_,"N",_xll.EVPRO($B$1,$H59,"STYLE"))</f>
        <v>N</v>
      </c>
      <c r="J59" s="122" t="str">
        <f>IF(_epmOfflineCondition_,"N",_xll.EVPRO($B$1,$H59,"CALC"))</f>
        <v>N</v>
      </c>
      <c r="K59" s="179" t="str">
        <f>IF(AND(I59&gt;="T3"),"&gt;","")</f>
        <v/>
      </c>
      <c r="L59" s="90" t="str">
        <f>IF(_epmOfflineCondition_,"706060",_xll.EVPRO($B$1,H59,"JDEID"))</f>
        <v>706060</v>
      </c>
      <c r="M59" s="90" t="str">
        <f>IF(_epmOfflineCondition_,"690230",IF(AND(I59="N",J59="N"),_xll.EVPRO($B$1,H59,"PSFTID"),""))</f>
        <v>690230</v>
      </c>
      <c r="N59" s="90" t="str">
        <f>IF(_epmOfflineCondition_,"Other Equipment",IF(_xll.EVDES(H59,$B$1)="#NODATA","",_xll.EVDES(H59,$B$1)))</f>
        <v>Other Equipment</v>
      </c>
      <c r="O59" s="138"/>
      <c r="P59" s="138"/>
      <c r="Q59" s="138"/>
      <c r="R59" s="138"/>
      <c r="S59" s="138"/>
      <c r="T59" s="138"/>
      <c r="U59" s="138"/>
      <c r="V59" s="138"/>
      <c r="W59" s="138"/>
      <c r="X59" s="138"/>
      <c r="Y59" s="138"/>
      <c r="Z59" s="138"/>
      <c r="AA59" s="231">
        <f t="shared" si="25"/>
        <v>0</v>
      </c>
      <c r="AB59" s="142" t="str">
        <f t="shared" si="26"/>
        <v/>
      </c>
      <c r="AC59" s="140"/>
      <c r="AD59" s="138"/>
      <c r="AE59" s="142" t="str">
        <f t="shared" si="27"/>
        <v/>
      </c>
      <c r="AF59" s="141">
        <f t="shared" si="28"/>
        <v>0</v>
      </c>
      <c r="AG59" s="138">
        <v>0.3</v>
      </c>
      <c r="AH59" s="142">
        <f t="shared" si="29"/>
        <v>2.5196269660025608E-8</v>
      </c>
      <c r="AI59" s="141">
        <f t="shared" si="30"/>
        <v>-0.3</v>
      </c>
      <c r="AJ59" s="462">
        <f t="shared" si="31"/>
        <v>0</v>
      </c>
      <c r="AK59" s="463">
        <f t="shared" si="32"/>
        <v>0</v>
      </c>
      <c r="AL59" s="464">
        <f t="shared" si="33"/>
        <v>6.2266500622665006E-6</v>
      </c>
      <c r="AM59" s="465">
        <f t="shared" si="34"/>
        <v>0</v>
      </c>
      <c r="AN59" s="466">
        <f t="shared" si="35"/>
        <v>0</v>
      </c>
      <c r="AO59" s="11"/>
    </row>
    <row r="60" spans="1:41" x14ac:dyDescent="0.25">
      <c r="A60" s="65" t="s">
        <v>13</v>
      </c>
      <c r="B60" s="66" t="s">
        <v>505</v>
      </c>
      <c r="C60" s="11"/>
      <c r="D60" s="11"/>
      <c r="E60" s="11"/>
      <c r="F60" s="11"/>
      <c r="G60" s="11"/>
      <c r="H60" s="88" t="s">
        <v>844</v>
      </c>
      <c r="I60" s="122" t="str">
        <f>IF(_epmOfflineCondition_,"T4",_xll.EVPRO($B$1,$H60,"STYLE"))</f>
        <v>T4</v>
      </c>
      <c r="J60" s="122" t="str">
        <f>IF(_epmOfflineCondition_,"Y",_xll.EVPRO($B$1,$H60,"CALC"))</f>
        <v>Y</v>
      </c>
      <c r="K60" s="179" t="str">
        <f>IF(AND(I60&gt;="T3"),"&gt;","")</f>
        <v>&gt;</v>
      </c>
      <c r="L60" s="90" t="str">
        <f>IF(_epmOfflineCondition_,"706500",_xll.EVPRO($B$1,H60,"JDEID"))</f>
        <v>706500</v>
      </c>
      <c r="M60" s="90" t="str">
        <f>IF(_epmOfflineCondition_,"",IF(AND(I60="N",J60="N"),_xll.EVPRO($B$1,H60,"PSFTID"),""))</f>
        <v/>
      </c>
      <c r="N60" s="90" t="str">
        <f>IF(_epmOfflineCondition_,"Corporate Office Reimbursement",IF(_xll.EVDES(H60,$B$1)="#NODATA","",_xll.EVDES(H60,$B$1)))</f>
        <v>Corporate Office Reimbursement</v>
      </c>
      <c r="O60" s="138">
        <v>10409.82</v>
      </c>
      <c r="P60" s="138">
        <v>9578.7000000000007</v>
      </c>
      <c r="Q60" s="138">
        <v>10701.7</v>
      </c>
      <c r="R60" s="138">
        <v>10575.49</v>
      </c>
      <c r="S60" s="138">
        <v>8500</v>
      </c>
      <c r="T60" s="138">
        <v>5200</v>
      </c>
      <c r="U60" s="138">
        <v>6881.92</v>
      </c>
      <c r="V60" s="138">
        <v>5468</v>
      </c>
      <c r="W60" s="138">
        <v>4281.84</v>
      </c>
      <c r="X60" s="138">
        <v>5375.51</v>
      </c>
      <c r="Y60" s="138">
        <v>7613.15</v>
      </c>
      <c r="Z60" s="138">
        <v>10029.43</v>
      </c>
      <c r="AA60" s="231">
        <f t="shared" si="25"/>
        <v>94615.56</v>
      </c>
      <c r="AB60" s="142">
        <f t="shared" si="26"/>
        <v>6.4221295613363415E-3</v>
      </c>
      <c r="AC60" s="140"/>
      <c r="AD60" s="138">
        <v>94000.899650700201</v>
      </c>
      <c r="AE60" s="142">
        <f t="shared" si="27"/>
        <v>6.4272443659504214E-3</v>
      </c>
      <c r="AF60" s="141">
        <f t="shared" si="28"/>
        <v>614.66034929979651</v>
      </c>
      <c r="AG60" s="138">
        <v>74021.77</v>
      </c>
      <c r="AH60" s="142">
        <f t="shared" si="29"/>
        <v>6.216908258774646E-3</v>
      </c>
      <c r="AI60" s="141">
        <f t="shared" si="30"/>
        <v>20593.789999999994</v>
      </c>
      <c r="AJ60" s="462">
        <f t="shared" si="31"/>
        <v>1.9637932752179328</v>
      </c>
      <c r="AK60" s="463">
        <f t="shared" si="32"/>
        <v>1.951035692210465</v>
      </c>
      <c r="AL60" s="464">
        <f t="shared" si="33"/>
        <v>1.5363588625985887</v>
      </c>
      <c r="AM60" s="465" t="str">
        <f t="shared" si="34"/>
        <v>0 pts.</v>
      </c>
      <c r="AN60" s="466" t="str">
        <f t="shared" si="35"/>
        <v>0.02 pts.</v>
      </c>
      <c r="AO60" s="11"/>
    </row>
    <row r="61" spans="1:41" x14ac:dyDescent="0.25">
      <c r="A61" s="65" t="s">
        <v>14</v>
      </c>
      <c r="B61" s="605"/>
      <c r="C61" s="11"/>
      <c r="D61" s="11"/>
      <c r="E61" s="11"/>
      <c r="F61" s="11"/>
      <c r="G61" s="11"/>
      <c r="H61" s="88" t="s">
        <v>79</v>
      </c>
      <c r="I61" s="136" t="str">
        <f>IF(_epmOfflineCondition_,"T3",_xll.EVPRO($B$1,$H61,"STYLE"))</f>
        <v>T3</v>
      </c>
      <c r="J61" s="136" t="str">
        <f>IF(_epmOfflineCondition_,"Y",_xll.EVPRO($B$1,$H61,"CALC"))</f>
        <v>Y</v>
      </c>
      <c r="K61" s="104"/>
      <c r="L61" s="59"/>
      <c r="M61" s="59"/>
      <c r="N61" s="106" t="str">
        <f>IF(_epmOfflineCondition_,"Total Operations Expense",IF(_xll.EVDES(H61,$B$1)="#NODATA","",_xll.EVDES(H61,$B$1)))</f>
        <v>Total Operations Expense</v>
      </c>
      <c r="O61" s="112">
        <f t="shared" ref="O61:Z61" si="36">SUM(O56:O60)</f>
        <v>10549.82</v>
      </c>
      <c r="P61" s="112">
        <f t="shared" si="36"/>
        <v>9657.9000000000015</v>
      </c>
      <c r="Q61" s="112">
        <f t="shared" si="36"/>
        <v>10841.7</v>
      </c>
      <c r="R61" s="112">
        <f t="shared" si="36"/>
        <v>10715.49</v>
      </c>
      <c r="S61" s="112">
        <f t="shared" si="36"/>
        <v>8500</v>
      </c>
      <c r="T61" s="112">
        <f t="shared" si="36"/>
        <v>5224.37</v>
      </c>
      <c r="U61" s="112">
        <f t="shared" si="36"/>
        <v>6962.33</v>
      </c>
      <c r="V61" s="112">
        <f t="shared" si="36"/>
        <v>5510.3</v>
      </c>
      <c r="W61" s="112">
        <f t="shared" si="36"/>
        <v>4356.46</v>
      </c>
      <c r="X61" s="112">
        <f t="shared" si="36"/>
        <v>5550.7300000000005</v>
      </c>
      <c r="Y61" s="112">
        <f t="shared" si="36"/>
        <v>7686.96</v>
      </c>
      <c r="Z61" s="112">
        <f t="shared" si="36"/>
        <v>10157.01</v>
      </c>
      <c r="AA61" s="112">
        <f t="shared" si="25"/>
        <v>95713.07</v>
      </c>
      <c r="AB61" s="113">
        <f t="shared" si="26"/>
        <v>6.4966241943001189E-3</v>
      </c>
      <c r="AC61" s="11"/>
      <c r="AD61" s="112">
        <f>SUM(AD56:AD60)</f>
        <v>94360.899650700201</v>
      </c>
      <c r="AE61" s="113">
        <f t="shared" si="27"/>
        <v>6.4518591087916084E-3</v>
      </c>
      <c r="AF61" s="114">
        <f t="shared" si="28"/>
        <v>1352.1703492998058</v>
      </c>
      <c r="AG61" s="112">
        <f>SUM(AG56:AG60)</f>
        <v>72382.55</v>
      </c>
      <c r="AH61" s="113">
        <f t="shared" si="29"/>
        <v>6.0792341616009559E-3</v>
      </c>
      <c r="AI61" s="114">
        <f t="shared" si="30"/>
        <v>23330.520000000004</v>
      </c>
      <c r="AJ61" s="415">
        <f t="shared" si="31"/>
        <v>1.9865726442507265</v>
      </c>
      <c r="AK61" s="416">
        <f t="shared" si="32"/>
        <v>1.9585076722851849</v>
      </c>
      <c r="AL61" s="417">
        <f t="shared" si="33"/>
        <v>1.5023360315483605</v>
      </c>
      <c r="AM61" s="418" t="str">
        <f t="shared" si="34"/>
        <v>0 pts.</v>
      </c>
      <c r="AN61" s="543" t="str">
        <f t="shared" si="35"/>
        <v>0.04 pts.</v>
      </c>
      <c r="AO61" s="11"/>
    </row>
    <row r="62" spans="1:41" x14ac:dyDescent="0.25">
      <c r="A62" s="65" t="s">
        <v>15</v>
      </c>
      <c r="B62" s="66"/>
      <c r="C62" s="11"/>
      <c r="D62" s="11"/>
      <c r="E62" s="11"/>
      <c r="F62" s="11"/>
      <c r="G62" s="11"/>
      <c r="H62" s="11"/>
      <c r="I62" s="59"/>
      <c r="J62" s="59"/>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25">
      <c r="A63" s="65" t="s">
        <v>16</v>
      </c>
      <c r="B63" s="66"/>
      <c r="C63" s="11"/>
      <c r="D63" s="11"/>
      <c r="E63" s="11"/>
      <c r="F63" s="11"/>
      <c r="G63" s="11"/>
      <c r="H63" s="88" t="s">
        <v>80</v>
      </c>
      <c r="I63" s="136" t="str">
        <f>IF(_epmOfflineCondition_,"T3",_xll.EVPRO($B$1,$H63,"STYLE"))</f>
        <v>T3</v>
      </c>
      <c r="J63" s="136" t="str">
        <f>IF(_epmOfflineCondition_,"Y",_xll.EVPRO($B$1,$H63,"CALC"))</f>
        <v>Y</v>
      </c>
      <c r="K63" s="106"/>
      <c r="L63" s="59"/>
      <c r="M63" s="59"/>
      <c r="N63" s="106" t="str">
        <f>IF(_epmOfflineCondition_,"Total Expenses",IF(_xll.EVDES(H63,$B$1)="#NODATA","",_xll.EVDES(H63,$B$1)))</f>
        <v>Total Expenses</v>
      </c>
      <c r="O63" s="242">
        <v>20914.95</v>
      </c>
      <c r="P63" s="242">
        <v>17596.64</v>
      </c>
      <c r="Q63" s="242">
        <v>23807.919999999998</v>
      </c>
      <c r="R63" s="242">
        <v>19520.82</v>
      </c>
      <c r="S63" s="242">
        <v>13888.12</v>
      </c>
      <c r="T63" s="242">
        <v>15060.57</v>
      </c>
      <c r="U63" s="242">
        <v>18290.52</v>
      </c>
      <c r="V63" s="242">
        <v>15520.03</v>
      </c>
      <c r="W63" s="242">
        <v>10518.95</v>
      </c>
      <c r="X63" s="242">
        <v>14656.36</v>
      </c>
      <c r="Y63" s="242">
        <v>17034.439999999999</v>
      </c>
      <c r="Z63" s="242">
        <v>22983.8</v>
      </c>
      <c r="AA63" s="242">
        <f>IF($I63="B1","",SUM(O63:Z63))</f>
        <v>209793.12</v>
      </c>
      <c r="AB63" s="243">
        <f>IF(AA63=0,"",IFERROR(AA63/AA$19,""))</f>
        <v>1.4239926262836497E-2</v>
      </c>
      <c r="AC63" s="140"/>
      <c r="AD63" s="242">
        <v>220124.93965069999</v>
      </c>
      <c r="AE63" s="243">
        <f>IF(AD63=0,"",IFERROR(AD63/AD$19,""))</f>
        <v>1.5050885506760142E-2</v>
      </c>
      <c r="AF63" s="254">
        <f>IF(AND($AA63="",AD63=""),"",$AA63-AD63)</f>
        <v>-10331.819650699996</v>
      </c>
      <c r="AG63" s="255">
        <v>182107.04</v>
      </c>
      <c r="AH63" s="256">
        <f>IF(AG63=0,"",IFERROR(AG63/AG$19,""))</f>
        <v>1.5294726956096899E-2</v>
      </c>
      <c r="AI63" s="254">
        <f>IF(AND($AA63="",AG63=""),"",$AA63-AG63)</f>
        <v>27686.079999999987</v>
      </c>
      <c r="AJ63" s="435">
        <f>IFERROR(AA63/AA$20,0)</f>
        <v>4.3543611457036118</v>
      </c>
      <c r="AK63" s="436">
        <f>IFERROR(AD63/AD$20,0)</f>
        <v>4.5688032306081361</v>
      </c>
      <c r="AL63" s="437">
        <f>IFERROR(AG63/AG$20,0)</f>
        <v>3.7797227065172274</v>
      </c>
      <c r="AM63" s="438" t="str">
        <f>+IFERROR(ROUND(($AB63-AE63)*100,2)&amp;" pts.",0)</f>
        <v>-0.08 pts.</v>
      </c>
      <c r="AN63" s="547" t="str">
        <f>+IFERROR(ROUND(($AB63-AH63)*100,2)&amp;" pts.",0)</f>
        <v>-0.11 pts.</v>
      </c>
      <c r="AO63" s="11"/>
    </row>
    <row r="64" spans="1:41" ht="15.75" thickBot="1" x14ac:dyDescent="0.3">
      <c r="A64" s="65" t="s">
        <v>17</v>
      </c>
      <c r="B64" s="66"/>
      <c r="C64" s="11"/>
      <c r="D64" s="11"/>
      <c r="E64" s="11"/>
      <c r="F64" s="11"/>
      <c r="G64" s="11"/>
      <c r="H64" s="88" t="s">
        <v>81</v>
      </c>
      <c r="I64" s="136" t="str">
        <f>IF(_epmOfflineCondition_,"T3",_xll.EVPRO($B$1,$H64,"STYLE"))</f>
        <v>T3</v>
      </c>
      <c r="J64" s="136" t="str">
        <f>IF(_epmOfflineCondition_,"Y",_xll.EVPRO($B$1,$H64,"CALC"))</f>
        <v>Y</v>
      </c>
      <c r="K64" s="106"/>
      <c r="L64" s="59"/>
      <c r="M64" s="59"/>
      <c r="N64" s="106" t="str">
        <f>IF(_epmOfflineCondition_,"Department Profit (Loss)",IF(_xll.EVDES(H64,$B$1)="#NODATA","",_xll.EVDES(H64,$B$1)))</f>
        <v>Department Profit (Loss)</v>
      </c>
      <c r="O64" s="165">
        <v>-20914.95</v>
      </c>
      <c r="P64" s="165">
        <v>-17596.64</v>
      </c>
      <c r="Q64" s="165">
        <v>-23807.919999999998</v>
      </c>
      <c r="R64" s="165">
        <v>-19520.82</v>
      </c>
      <c r="S64" s="165">
        <v>-13888.12</v>
      </c>
      <c r="T64" s="165">
        <v>-15060.57</v>
      </c>
      <c r="U64" s="165">
        <v>-18290.52</v>
      </c>
      <c r="V64" s="165">
        <v>-15520.03</v>
      </c>
      <c r="W64" s="165">
        <v>-10518.95</v>
      </c>
      <c r="X64" s="165">
        <v>-14656.36</v>
      </c>
      <c r="Y64" s="165">
        <v>-17034.439999999999</v>
      </c>
      <c r="Z64" s="165">
        <v>-22983.8</v>
      </c>
      <c r="AA64" s="165">
        <f>IF($I64="B1","",SUM(O64:Z64))</f>
        <v>-209793.12</v>
      </c>
      <c r="AB64" s="166">
        <f>IF(AA64=0,"",IFERROR(AA64/AA$19,""))</f>
        <v>-1.4239926262836497E-2</v>
      </c>
      <c r="AC64" s="140"/>
      <c r="AD64" s="165">
        <v>-220124.93965069999</v>
      </c>
      <c r="AE64" s="166">
        <f>IF(AD64=0,"",IFERROR(AD64/AD$19,""))</f>
        <v>-1.5050885506760142E-2</v>
      </c>
      <c r="AF64" s="167">
        <f>IF(AND($AA64="",AD64=""),"",$AA64-AD64)</f>
        <v>10331.819650699996</v>
      </c>
      <c r="AG64" s="165">
        <v>-182107.04</v>
      </c>
      <c r="AH64" s="166">
        <f>IF(AG64=0,"",IFERROR(AG64/AG$19,""))</f>
        <v>-1.5294726956096899E-2</v>
      </c>
      <c r="AI64" s="167">
        <f>IF(AND($AA64="",AG64=""),"",$AA64-AG64)</f>
        <v>-27686.079999999987</v>
      </c>
      <c r="AJ64" s="452">
        <f>IFERROR(AA64/AA$20,0)</f>
        <v>-4.3543611457036118</v>
      </c>
      <c r="AK64" s="453">
        <f>IFERROR(AD64/AD$20,0)</f>
        <v>-4.5688032306081361</v>
      </c>
      <c r="AL64" s="454">
        <f>IFERROR(AG64/AG$20,0)</f>
        <v>-3.7797227065172274</v>
      </c>
      <c r="AM64" s="455" t="str">
        <f>+IFERROR(ROUND(($AB64-AE64)*100,2)&amp;" pts.",0)</f>
        <v>0.08 pts.</v>
      </c>
      <c r="AN64" s="548" t="str">
        <f>+IFERROR(ROUND(($AB64-AH64)*100,2)&amp;" pts.",0)</f>
        <v>0.11 pts.</v>
      </c>
      <c r="AO64" s="11"/>
    </row>
    <row r="65" spans="1:41" ht="15.75" thickTop="1" x14ac:dyDescent="0.25">
      <c r="A65" s="11"/>
      <c r="B65" s="11"/>
      <c r="C65" s="11"/>
      <c r="D65" s="11"/>
      <c r="E65" s="11"/>
      <c r="F65" s="11"/>
      <c r="G65" s="11"/>
      <c r="H65" s="11"/>
      <c r="I65" s="59"/>
      <c r="J65" s="59"/>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25">
      <c r="A66" s="11"/>
      <c r="B66" s="11"/>
      <c r="C66" s="208"/>
      <c r="D66" s="11"/>
      <c r="E66" s="11"/>
      <c r="F66" s="11"/>
      <c r="G66" s="11"/>
      <c r="H66" s="11"/>
      <c r="I66" s="59"/>
      <c r="J66" s="59"/>
      <c r="K66" s="11"/>
      <c r="L66" s="59"/>
      <c r="M66" s="59"/>
      <c r="N66" s="104" t="str">
        <f>N63&amp;" - Check"</f>
        <v>Total Expenses - Check</v>
      </c>
      <c r="O66" s="209">
        <f t="shared" ref="O66:AA66" si="37">SUMIF($H$35:$H$64,"600000",O$35:O$64)+SUMIF($H$35:$H$64,"707900",O$35:O$64)+SUMIF($H$35:$H$64,"ITSYS_EXP",O$35:O$64)+SUMIF($H$35:$H$64,"700000",O$35:O$64)-SUMIF($H$35:$H$64,"TOTDEPTEXP",O$35:O$64)</f>
        <v>0</v>
      </c>
      <c r="P66" s="209">
        <f t="shared" si="37"/>
        <v>0</v>
      </c>
      <c r="Q66" s="209">
        <f t="shared" si="37"/>
        <v>0</v>
      </c>
      <c r="R66" s="209">
        <f t="shared" si="37"/>
        <v>0</v>
      </c>
      <c r="S66" s="209">
        <f t="shared" si="37"/>
        <v>0</v>
      </c>
      <c r="T66" s="209">
        <f t="shared" si="37"/>
        <v>0</v>
      </c>
      <c r="U66" s="209">
        <f t="shared" si="37"/>
        <v>0</v>
      </c>
      <c r="V66" s="209">
        <f t="shared" si="37"/>
        <v>0</v>
      </c>
      <c r="W66" s="209">
        <f t="shared" si="37"/>
        <v>0</v>
      </c>
      <c r="X66" s="209">
        <f t="shared" si="37"/>
        <v>0</v>
      </c>
      <c r="Y66" s="209">
        <f t="shared" si="37"/>
        <v>0</v>
      </c>
      <c r="Z66" s="209">
        <f t="shared" si="37"/>
        <v>0</v>
      </c>
      <c r="AA66" s="209">
        <f t="shared" si="37"/>
        <v>0</v>
      </c>
      <c r="AB66" s="100"/>
      <c r="AC66" s="11"/>
      <c r="AD66" s="209">
        <f>SUMIF($H$35:$H$64,"600000",AD$35:AD$64)+SUMIF($H$35:$H$64,"707900",AD$35:AD$64)+SUMIF($H$35:$H$64,"ITSYS_EXP",AD$35:AD$64)+SUMIF($H$35:$H$64,"700000",AD$35:AD$64)-SUMIF($H$35:$H$64,"TOTDEPTEXP",AD$35:AD$64)</f>
        <v>0</v>
      </c>
      <c r="AE66" s="100"/>
      <c r="AF66" s="91"/>
      <c r="AG66" s="209">
        <f>SUMIF($H$35:$H$64,"600000",AG$35:AG$64)+SUMIF($H$35:$H$64,"707900",AG$35:AG$64)+SUMIF($H$35:$H$64,"ITSYS_EXP",AG$35:AG$64)+SUMIF($H$35:$H$64,"700000",AG$35:AG$64)-SUMIF($H$35:$H$64,"TOTDEPTEXP",AG$35:AG$64)</f>
        <v>0</v>
      </c>
      <c r="AH66" s="100"/>
      <c r="AI66" s="91"/>
      <c r="AJ66" s="11"/>
      <c r="AK66" s="11"/>
      <c r="AL66" s="11"/>
      <c r="AM66" s="11"/>
      <c r="AN66" s="11"/>
      <c r="AO66" s="11"/>
    </row>
    <row r="67" spans="1:41" x14ac:dyDescent="0.25">
      <c r="A67" s="11"/>
      <c r="B67" s="11"/>
      <c r="C67" s="11"/>
      <c r="D67" s="11"/>
      <c r="E67" s="11"/>
      <c r="F67" s="11"/>
      <c r="G67" s="11"/>
      <c r="H67" s="11"/>
      <c r="I67" s="59"/>
      <c r="J67" s="59"/>
      <c r="K67" s="11"/>
      <c r="L67" s="59"/>
      <c r="M67" s="59"/>
      <c r="N67" s="104" t="str">
        <f>N64&amp;" - Check"</f>
        <v>Department Profit (Loss) - Check</v>
      </c>
      <c r="O67" s="209">
        <f t="shared" ref="O67:AA67" si="38">SUMIF($H$33:$H$64,"TOTDEPTEXP",O$33:O$64)+SUMIF($H$33:$H$64,"TOTDEPTPL",O$33:O$64)</f>
        <v>0</v>
      </c>
      <c r="P67" s="209">
        <f t="shared" si="38"/>
        <v>0</v>
      </c>
      <c r="Q67" s="209">
        <f t="shared" si="38"/>
        <v>0</v>
      </c>
      <c r="R67" s="209">
        <f t="shared" si="38"/>
        <v>0</v>
      </c>
      <c r="S67" s="209">
        <f t="shared" si="38"/>
        <v>0</v>
      </c>
      <c r="T67" s="209">
        <f t="shared" si="38"/>
        <v>0</v>
      </c>
      <c r="U67" s="209">
        <f t="shared" si="38"/>
        <v>0</v>
      </c>
      <c r="V67" s="209">
        <f t="shared" si="38"/>
        <v>0</v>
      </c>
      <c r="W67" s="209">
        <f t="shared" si="38"/>
        <v>0</v>
      </c>
      <c r="X67" s="209">
        <f t="shared" si="38"/>
        <v>0</v>
      </c>
      <c r="Y67" s="209">
        <f t="shared" si="38"/>
        <v>0</v>
      </c>
      <c r="Z67" s="209">
        <f t="shared" si="38"/>
        <v>0</v>
      </c>
      <c r="AA67" s="209">
        <f t="shared" si="38"/>
        <v>0</v>
      </c>
      <c r="AB67" s="100"/>
      <c r="AC67" s="11"/>
      <c r="AD67" s="209">
        <f>SUMIF($H$33:$H$64,"ROOMS_TOT",AD$33:AD$64)-SUMIF($H$33:$H$64,"TOTDEPTEXP",AD$33:AD$64)-SUMIF($H$33:$H$64,"TOTDEPTPL",AD$33:AD$64)</f>
        <v>0</v>
      </c>
      <c r="AE67" s="100"/>
      <c r="AF67" s="91"/>
      <c r="AG67" s="209">
        <f>SUMIF($H$33:$H$64,"ROOMS_TOT",AG$33:AG$64)-SUMIF($H$33:$H$64,"TOTDEPTEXP",AG$33:AG$64)-SUMIF($H$33:$H$64,"TOTDEPTPL",AG$33:AG$64)</f>
        <v>0</v>
      </c>
      <c r="AH67" s="100"/>
      <c r="AI67" s="91"/>
      <c r="AJ67" s="11"/>
      <c r="AK67" s="11"/>
      <c r="AL67" s="11"/>
      <c r="AM67" s="11"/>
      <c r="AN67" s="11"/>
      <c r="AO67" s="11"/>
    </row>
    <row r="68" spans="1:41" x14ac:dyDescent="0.25">
      <c r="A68" s="61" t="str">
        <f>IF(_epmOfflineCondition_,"Evdre:Ok",_xll.EVDRE($B$1,A71:B78,A81:B87))</f>
        <v>Evdre:Ok</v>
      </c>
      <c r="B68" s="11"/>
      <c r="C68" s="11"/>
      <c r="D68" s="11"/>
      <c r="E68" s="11"/>
      <c r="F68" s="11"/>
      <c r="G68" s="11"/>
      <c r="H68" s="11"/>
      <c r="I68" s="59"/>
      <c r="J68" s="59"/>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11"/>
      <c r="B69" s="11"/>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25">
      <c r="A70" s="62" t="s">
        <v>0</v>
      </c>
      <c r="B70" s="63" t="s">
        <v>1</v>
      </c>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25">
      <c r="A71" s="65" t="s">
        <v>2</v>
      </c>
      <c r="B71" s="66" t="str">
        <f>IF(_epmOfflineCondition_,"'IT'!$B$2:$B$10",_xll.EVRNG($B$2:$B$10))</f>
        <v>'IT'!$B$2:$B$10</v>
      </c>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65" t="s">
        <v>3</v>
      </c>
      <c r="B72" s="66" t="str">
        <f>IF(_epmOfflineCondition_,"'IT'!$O$16:$AN$18",_xll.EVRNG($O$16:$AN$18))</f>
        <v>'IT'!$O$16:$AN$18</v>
      </c>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65" t="s">
        <v>4</v>
      </c>
      <c r="B73" s="66" t="str">
        <f>IF(_epmOfflineCondition_,"'IT'!$H$47:$H$52,'IT'!$H$56:$H$60",_xll.EVRNG(H47:H52,H56:H60))</f>
        <v>'IT'!$H$47:$H$52,'IT'!$H$56:$H$60</v>
      </c>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25">
      <c r="A74" s="65" t="s">
        <v>5</v>
      </c>
      <c r="B74" s="66"/>
      <c r="C74" s="11"/>
      <c r="D74" s="11"/>
      <c r="E74" s="11"/>
      <c r="F74" s="11"/>
      <c r="G74" s="11"/>
      <c r="H74" s="59"/>
      <c r="I74" s="59"/>
      <c r="J74" s="11"/>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25">
      <c r="A75" s="65" t="s">
        <v>6</v>
      </c>
      <c r="B75" s="66"/>
      <c r="C75" s="11"/>
      <c r="D75" s="11"/>
      <c r="E75" s="11"/>
      <c r="F75" s="11"/>
      <c r="G75" s="11"/>
      <c r="H75" s="59"/>
      <c r="I75" s="59"/>
      <c r="J75" s="11"/>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65" t="s">
        <v>7</v>
      </c>
      <c r="B76" s="66"/>
      <c r="C76" s="11"/>
      <c r="D76" s="11"/>
      <c r="E76" s="11"/>
      <c r="F76" s="11"/>
      <c r="G76" s="11"/>
      <c r="H76" s="59"/>
      <c r="I76" s="59"/>
      <c r="J76" s="11"/>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25">
      <c r="A77" s="65" t="s">
        <v>47</v>
      </c>
      <c r="B77" s="66" t="str">
        <f>IF(_epmOfflineCondition_,"'IT'!$A$105:$B$126",_xll.EVRNG($A$105:$B$126))</f>
        <v>'IT'!$A$105:$B$126</v>
      </c>
      <c r="C77" s="11"/>
      <c r="D77" s="11"/>
      <c r="E77" s="11"/>
      <c r="F77" s="11"/>
      <c r="G77" s="11"/>
      <c r="H77" s="59"/>
      <c r="I77" s="59"/>
      <c r="J77" s="11"/>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65" t="s">
        <v>8</v>
      </c>
      <c r="B78" s="66"/>
      <c r="C78" s="11"/>
      <c r="D78" s="11"/>
      <c r="E78" s="11"/>
      <c r="F78" s="11"/>
      <c r="G78" s="11"/>
      <c r="H78" s="59"/>
      <c r="I78" s="59"/>
      <c r="J78" s="11"/>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11"/>
      <c r="B79" s="11"/>
      <c r="C79" s="11"/>
      <c r="D79" s="11"/>
      <c r="E79" s="11"/>
      <c r="F79" s="11"/>
      <c r="G79" s="11"/>
      <c r="H79" s="59"/>
      <c r="I79" s="59"/>
      <c r="J79" s="11"/>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62" t="s">
        <v>9</v>
      </c>
      <c r="B80" s="63" t="s">
        <v>10</v>
      </c>
      <c r="C80" s="11"/>
      <c r="D80" s="11"/>
      <c r="E80" s="11"/>
      <c r="F80" s="11"/>
      <c r="G80" s="11"/>
      <c r="H80" s="59"/>
      <c r="I80" s="59"/>
      <c r="J80" s="11"/>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65" t="s">
        <v>11</v>
      </c>
      <c r="B81" s="66" t="s">
        <v>21</v>
      </c>
      <c r="C81" s="11"/>
      <c r="D81" s="11"/>
      <c r="E81" s="11"/>
      <c r="F81" s="11"/>
      <c r="G81" s="11"/>
      <c r="H81" s="59"/>
      <c r="I81" s="59"/>
      <c r="J81" s="11"/>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65" t="s">
        <v>12</v>
      </c>
      <c r="B82" s="66" t="s">
        <v>22</v>
      </c>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65" t="s">
        <v>13</v>
      </c>
      <c r="B83" s="66" t="s">
        <v>503</v>
      </c>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14</v>
      </c>
      <c r="B84" s="605"/>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65" t="s">
        <v>15</v>
      </c>
      <c r="B85" s="66"/>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16</v>
      </c>
      <c r="B86" s="66" t="s">
        <v>78</v>
      </c>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17</v>
      </c>
      <c r="B87" s="66"/>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11"/>
      <c r="B89" s="11"/>
      <c r="C89" s="208"/>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61" t="str">
        <f>IF(_epmOfflineCondition_,"Evdre:Ok",_xll.EVDRE($B$1,A94:B101))</f>
        <v>Evdre:Ok</v>
      </c>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2" t="s">
        <v>0</v>
      </c>
      <c r="B93" s="63" t="s">
        <v>1</v>
      </c>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65" t="s">
        <v>2</v>
      </c>
      <c r="B94" s="66" t="str">
        <f>IF(_epmOfflineCondition_,"'IT'!$B$2:$B$10",_xll.EVRNG($B$2:$B$10))</f>
        <v>'IT'!$B$2:$B$10</v>
      </c>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3</v>
      </c>
      <c r="B95" s="66" t="str">
        <f>IF(_epmOfflineCondition_,"'IT'!$O$16:$AN$18",_xll.EVRNG($O$16:$AN$18))</f>
        <v>'IT'!$O$16:$AN$18</v>
      </c>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65" t="s">
        <v>4</v>
      </c>
      <c r="B96" s="66" t="str">
        <f>IF(_epmOfflineCondition_,"'IT'!$H$63:$H$64",_xll.EVRNG(H63:H64))</f>
        <v>'IT'!$H$63:$H$64</v>
      </c>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5</v>
      </c>
      <c r="B97" s="66"/>
      <c r="C97" s="11"/>
      <c r="D97" s="11"/>
      <c r="E97" s="11"/>
      <c r="F97" s="11"/>
      <c r="G97" s="11"/>
      <c r="H97" s="11"/>
      <c r="I97" s="59"/>
      <c r="J97" s="59"/>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65" t="s">
        <v>6</v>
      </c>
      <c r="B98" s="66"/>
      <c r="C98" s="11"/>
      <c r="D98" s="11"/>
      <c r="E98" s="11"/>
      <c r="F98" s="11"/>
      <c r="G98" s="11"/>
      <c r="H98" s="11"/>
      <c r="I98" s="59"/>
      <c r="J98" s="59"/>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7</v>
      </c>
      <c r="B99" s="66"/>
      <c r="C99" s="11"/>
      <c r="D99" s="11"/>
      <c r="E99" s="11"/>
      <c r="F99" s="11"/>
      <c r="G99" s="11"/>
      <c r="H99" s="11"/>
      <c r="I99" s="59"/>
      <c r="J99" s="59"/>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65" t="s">
        <v>47</v>
      </c>
      <c r="B100" s="66" t="str">
        <f>IF(_epmOfflineCondition_,"'IT'!$A$105:$B$126",_xll.EVRNG($A$105:$B$126))</f>
        <v>'IT'!$A$105:$B$126</v>
      </c>
      <c r="C100" s="11"/>
      <c r="D100" s="11"/>
      <c r="E100" s="11"/>
      <c r="F100" s="11"/>
      <c r="G100" s="11"/>
      <c r="H100" s="11"/>
      <c r="I100" s="59"/>
      <c r="J100" s="59"/>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65" t="s">
        <v>8</v>
      </c>
      <c r="B101" s="66"/>
      <c r="C101" s="11"/>
      <c r="D101" s="11"/>
      <c r="E101" s="11"/>
      <c r="F101" s="11"/>
      <c r="G101" s="11"/>
      <c r="H101" s="11"/>
      <c r="I101" s="59"/>
      <c r="J101" s="59"/>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11"/>
      <c r="I102" s="59"/>
      <c r="J102" s="59"/>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c r="B103" s="11"/>
      <c r="C103" s="11"/>
      <c r="D103" s="11"/>
      <c r="E103" s="11"/>
      <c r="F103" s="11"/>
      <c r="G103" s="11"/>
      <c r="H103" s="11"/>
      <c r="I103" s="59"/>
      <c r="J103" s="59"/>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62" t="s">
        <v>23</v>
      </c>
      <c r="B104" s="63" t="s">
        <v>24</v>
      </c>
      <c r="C104" s="11"/>
      <c r="D104" s="11"/>
      <c r="E104" s="11"/>
      <c r="F104" s="11"/>
      <c r="G104" s="11"/>
      <c r="H104" s="11"/>
      <c r="I104" s="59"/>
      <c r="J104" s="59"/>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65" t="s">
        <v>25</v>
      </c>
      <c r="B105" s="66"/>
      <c r="C105" s="11"/>
      <c r="D105" s="11"/>
      <c r="E105" s="11"/>
      <c r="F105" s="11"/>
      <c r="G105" s="11"/>
      <c r="H105" s="11"/>
      <c r="I105" s="59"/>
      <c r="J105" s="59"/>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65" t="s">
        <v>26</v>
      </c>
      <c r="B106" s="66"/>
      <c r="C106" s="11"/>
      <c r="D106" s="11"/>
      <c r="E106" s="11"/>
      <c r="F106" s="11"/>
      <c r="G106" s="11"/>
      <c r="H106" s="11"/>
      <c r="I106" s="59"/>
      <c r="J106" s="59"/>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65" t="s">
        <v>27</v>
      </c>
      <c r="B107" s="66"/>
      <c r="C107" s="11"/>
      <c r="D107" s="11"/>
      <c r="E107" s="11"/>
      <c r="F107" s="11"/>
      <c r="G107" s="11"/>
      <c r="H107" s="11"/>
      <c r="I107" s="59"/>
      <c r="J107" s="59"/>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65" t="s">
        <v>28</v>
      </c>
      <c r="B108" s="66"/>
      <c r="C108" s="11"/>
      <c r="D108" s="11"/>
      <c r="E108" s="11"/>
      <c r="F108" s="11"/>
      <c r="G108" s="11"/>
      <c r="H108" s="11"/>
      <c r="I108" s="59"/>
      <c r="J108" s="59"/>
      <c r="K108" s="11"/>
      <c r="L108" s="59"/>
      <c r="M108" s="59"/>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row r="109" spans="1:41" x14ac:dyDescent="0.25">
      <c r="A109" s="65" t="s">
        <v>29</v>
      </c>
      <c r="B109" s="66"/>
      <c r="C109" s="11"/>
      <c r="D109" s="11"/>
      <c r="E109" s="11"/>
      <c r="F109" s="11"/>
      <c r="G109" s="11"/>
      <c r="H109" s="11"/>
      <c r="I109" s="59"/>
      <c r="J109" s="59"/>
      <c r="K109" s="11"/>
      <c r="L109" s="59"/>
      <c r="M109" s="59"/>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row>
    <row r="110" spans="1:41" x14ac:dyDescent="0.25">
      <c r="A110" s="65" t="s">
        <v>30</v>
      </c>
      <c r="B110" s="66" t="s">
        <v>78</v>
      </c>
      <c r="C110" s="11"/>
      <c r="D110" s="11"/>
      <c r="E110" s="11"/>
      <c r="F110" s="11"/>
      <c r="G110" s="11"/>
      <c r="H110" s="11"/>
      <c r="I110" s="59"/>
      <c r="J110" s="59"/>
      <c r="K110" s="11"/>
      <c r="L110" s="59"/>
      <c r="M110" s="59"/>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row>
    <row r="111" spans="1:41" x14ac:dyDescent="0.25">
      <c r="A111" s="65" t="s">
        <v>31</v>
      </c>
      <c r="B111" s="66" t="s">
        <v>78</v>
      </c>
      <c r="C111" s="11"/>
      <c r="D111" s="11"/>
      <c r="E111" s="11"/>
      <c r="F111" s="11"/>
      <c r="G111" s="11"/>
      <c r="H111" s="11"/>
      <c r="I111" s="59"/>
      <c r="J111" s="59"/>
      <c r="K111" s="11"/>
      <c r="L111" s="59"/>
      <c r="M111" s="59"/>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row>
    <row r="112" spans="1:41" x14ac:dyDescent="0.25">
      <c r="A112" s="65" t="s">
        <v>32</v>
      </c>
      <c r="B112" s="66"/>
      <c r="C112" s="11"/>
      <c r="D112" s="11"/>
      <c r="E112" s="11"/>
      <c r="F112" s="11"/>
      <c r="G112" s="11"/>
      <c r="H112" s="11"/>
      <c r="I112" s="59"/>
      <c r="J112" s="59"/>
      <c r="K112" s="11"/>
      <c r="L112" s="59"/>
      <c r="M112" s="59"/>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row>
    <row r="113" spans="1:41" x14ac:dyDescent="0.25">
      <c r="A113" s="65" t="s">
        <v>33</v>
      </c>
      <c r="B113" s="66"/>
      <c r="C113" s="11"/>
      <c r="D113" s="11"/>
      <c r="E113" s="11"/>
      <c r="F113" s="11"/>
      <c r="G113" s="11"/>
      <c r="H113" s="11"/>
      <c r="I113" s="59"/>
      <c r="J113" s="59"/>
      <c r="K113" s="11"/>
      <c r="L113" s="59"/>
      <c r="M113" s="59"/>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row>
    <row r="114" spans="1:41" x14ac:dyDescent="0.25">
      <c r="A114" s="65" t="s">
        <v>34</v>
      </c>
      <c r="B114" s="66"/>
      <c r="C114" s="11"/>
      <c r="D114" s="11"/>
      <c r="E114" s="11"/>
      <c r="F114" s="11"/>
      <c r="G114" s="11"/>
      <c r="H114" s="11"/>
      <c r="I114" s="59"/>
      <c r="J114" s="59"/>
      <c r="K114" s="11"/>
      <c r="L114" s="59"/>
      <c r="M114" s="59"/>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row>
    <row r="115" spans="1:41" x14ac:dyDescent="0.25">
      <c r="A115" s="65" t="s">
        <v>35</v>
      </c>
      <c r="B115" s="66"/>
      <c r="C115" s="11"/>
      <c r="D115" s="11"/>
      <c r="E115" s="11"/>
      <c r="F115" s="11"/>
      <c r="G115" s="11"/>
      <c r="H115" s="11"/>
      <c r="I115" s="59"/>
      <c r="J115" s="59"/>
      <c r="K115" s="11"/>
      <c r="L115" s="59"/>
      <c r="M115" s="59"/>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row>
    <row r="116" spans="1:41" x14ac:dyDescent="0.25">
      <c r="A116" s="65" t="s">
        <v>36</v>
      </c>
      <c r="B116" s="66"/>
      <c r="C116" s="11"/>
      <c r="D116" s="11"/>
      <c r="E116" s="11"/>
      <c r="F116" s="11"/>
      <c r="G116" s="11"/>
      <c r="H116" s="11"/>
      <c r="I116" s="59"/>
      <c r="J116" s="59"/>
      <c r="K116" s="11"/>
      <c r="L116" s="59"/>
      <c r="M116" s="59"/>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row>
    <row r="117" spans="1:41" x14ac:dyDescent="0.25">
      <c r="A117" s="65" t="s">
        <v>37</v>
      </c>
      <c r="B117" s="66"/>
      <c r="C117" s="11"/>
      <c r="D117" s="11"/>
      <c r="E117" s="11"/>
      <c r="F117" s="11"/>
      <c r="G117" s="11"/>
      <c r="H117" s="11"/>
      <c r="I117" s="59"/>
      <c r="J117" s="59"/>
      <c r="K117" s="11"/>
      <c r="L117" s="59"/>
      <c r="M117" s="59"/>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row>
    <row r="118" spans="1:41" x14ac:dyDescent="0.25">
      <c r="A118" s="65" t="s">
        <v>38</v>
      </c>
      <c r="B118" s="66"/>
      <c r="C118" s="11"/>
      <c r="D118" s="11"/>
      <c r="E118" s="11"/>
      <c r="F118" s="11"/>
      <c r="G118" s="11"/>
      <c r="H118" s="11"/>
      <c r="I118" s="59"/>
      <c r="J118" s="59"/>
      <c r="K118" s="11"/>
      <c r="L118" s="59"/>
      <c r="M118" s="59"/>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row>
    <row r="119" spans="1:41" x14ac:dyDescent="0.25">
      <c r="A119" s="65" t="s">
        <v>39</v>
      </c>
      <c r="B119" s="66"/>
      <c r="C119" s="11"/>
      <c r="D119" s="11"/>
      <c r="E119" s="11"/>
      <c r="F119" s="11"/>
      <c r="G119" s="11"/>
      <c r="H119" s="11"/>
      <c r="I119" s="59"/>
      <c r="J119" s="59"/>
      <c r="K119" s="11"/>
      <c r="L119" s="59"/>
      <c r="M119" s="59"/>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row>
    <row r="120" spans="1:41" x14ac:dyDescent="0.25">
      <c r="A120" s="65" t="s">
        <v>40</v>
      </c>
      <c r="B120" s="66"/>
      <c r="C120" s="11"/>
      <c r="D120" s="11"/>
      <c r="E120" s="11"/>
      <c r="F120" s="11"/>
      <c r="G120" s="11"/>
      <c r="H120" s="11"/>
      <c r="I120" s="59"/>
      <c r="J120" s="59"/>
      <c r="K120" s="11"/>
      <c r="L120" s="59"/>
      <c r="M120" s="59"/>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row>
    <row r="121" spans="1:41" x14ac:dyDescent="0.25">
      <c r="A121" s="65" t="s">
        <v>41</v>
      </c>
      <c r="B121" s="66"/>
      <c r="C121" s="11"/>
      <c r="D121" s="11"/>
      <c r="E121" s="11"/>
      <c r="F121" s="11"/>
      <c r="G121" s="11"/>
      <c r="H121" s="11"/>
      <c r="I121" s="59"/>
      <c r="J121" s="59"/>
      <c r="K121" s="11"/>
      <c r="L121" s="59"/>
      <c r="M121" s="59"/>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row>
    <row r="122" spans="1:41" x14ac:dyDescent="0.25">
      <c r="A122" s="65" t="s">
        <v>42</v>
      </c>
      <c r="B122" s="66"/>
      <c r="C122" s="11"/>
      <c r="D122" s="11"/>
      <c r="E122" s="11"/>
      <c r="F122" s="11"/>
      <c r="G122" s="11"/>
      <c r="H122" s="11"/>
      <c r="I122" s="59"/>
      <c r="J122" s="59"/>
      <c r="K122" s="11"/>
      <c r="L122" s="59"/>
      <c r="M122" s="59"/>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row>
    <row r="123" spans="1:41" x14ac:dyDescent="0.25">
      <c r="A123" s="65" t="s">
        <v>43</v>
      </c>
      <c r="B123" s="66"/>
      <c r="C123" s="11"/>
      <c r="D123" s="11"/>
      <c r="E123" s="11"/>
      <c r="F123" s="11"/>
      <c r="G123" s="11"/>
      <c r="H123" s="11"/>
      <c r="I123" s="59"/>
      <c r="J123" s="59"/>
      <c r="K123" s="11"/>
      <c r="L123" s="59"/>
      <c r="M123" s="59"/>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row>
    <row r="124" spans="1:41" x14ac:dyDescent="0.25">
      <c r="A124" s="65" t="s">
        <v>44</v>
      </c>
      <c r="B124" s="66"/>
      <c r="C124" s="11"/>
      <c r="D124" s="11"/>
      <c r="E124" s="11"/>
      <c r="F124" s="11"/>
      <c r="G124" s="11"/>
      <c r="H124" s="11"/>
      <c r="I124" s="59"/>
      <c r="J124" s="59"/>
      <c r="K124" s="11"/>
      <c r="L124" s="59"/>
      <c r="M124" s="59"/>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row>
    <row r="125" spans="1:41" x14ac:dyDescent="0.25">
      <c r="A125" s="65" t="s">
        <v>45</v>
      </c>
      <c r="B125" s="66"/>
      <c r="C125" s="11"/>
      <c r="D125" s="11"/>
      <c r="E125" s="11"/>
      <c r="F125" s="11"/>
      <c r="G125" s="11"/>
      <c r="H125" s="11"/>
      <c r="I125" s="59"/>
      <c r="J125" s="59"/>
      <c r="K125" s="11"/>
      <c r="L125" s="59"/>
      <c r="M125" s="59"/>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row>
    <row r="126" spans="1:41" x14ac:dyDescent="0.25">
      <c r="A126" s="65" t="s">
        <v>46</v>
      </c>
      <c r="B126" s="66"/>
      <c r="C126" s="11"/>
      <c r="D126" s="11"/>
      <c r="E126" s="11"/>
      <c r="F126" s="11"/>
      <c r="G126" s="11"/>
      <c r="H126" s="11"/>
      <c r="I126" s="59"/>
      <c r="J126" s="59"/>
      <c r="K126" s="11"/>
      <c r="L126" s="59"/>
      <c r="M126" s="59"/>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row>
  </sheetData>
  <sheetProtection algorithmName="SHA-512" hashValue="fPQscsR4W1B3aNd+TCz0Bx5JACxR7JHPP/FeHYyPT9ADlCO+kk2MCwGBH/9t4LvymTuXMMZ6F65wwpqL50wlCA==" saltValue="GHM2WZXakpuSpkiRboslJA==" spinCount="100000" sheet="1" scenarios="1"/>
  <mergeCells count="2">
    <mergeCell ref="AD31:AE31"/>
    <mergeCell ref="AG31:AH31"/>
  </mergeCells>
  <dataValidations count="2">
    <dataValidation type="list" allowBlank="1" sqref="B82 B28 B59" xr:uid="{00000000-0002-0000-2800-000000000000}">
      <formula1>"ACCOUNT,BUSINESSUNIT,CATEGORY,DATASRC,DEPARTMENT,INTCO,MEASURES,RPTCURRENCY,TIME"</formula1>
    </dataValidation>
    <dataValidation type="list" allowBlank="1" sqref="B83 B29 B60" xr:uid="{00000000-0002-0000-28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6326"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56326" r:id="rId7" name="FPMExcelClientSheetOptionstb1"/>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5">
    <pageSetUpPr fitToPage="1"/>
  </sheetPr>
  <dimension ref="A1:AO10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512</v>
      </c>
      <c r="C6" s="11" t="str">
        <f>IF(_epmOfflineCondition_,"Sales &amp; Marketing",_xll.EVDES(B6,$B$1))</f>
        <v>Sales &amp; Marketing</v>
      </c>
      <c r="D6" s="11"/>
      <c r="E6" s="58" t="str">
        <f>IF(_epmOfflineCondition_,"D_SM",_xll.EVPRO($B$1,$B$6,$F$6))</f>
        <v>D_SM</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IF(_epmOfflineCondition_,"'SM'!$B$2:$B$10",_xll.EVRNG($B$2:$B$10))</f>
        <v>'SM'!$B$2:$B$10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IF(_epmOfflineCondition_,"'SM'!$O$16:$AN$18",_xll.EVRNG($O$16:$AN$18))</f>
        <v>'SM'!$O$16:$AN$18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IF(_epmOfflineCondition_,"'SM'!$H$35:$H$36,'SM'!$H$38:$H$47,'SM'!$H$50:$H$70",_xll.EVRNG(H35:H36,H38:H47,H50:H70))</f>
        <v>'SM'!$H$35:$H$36,'SM'!$H$38:$H$47,'SM'!$H$50:$H$70</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IF(_epmOfflineCondition_,48180,_xll.EVGTS($B$1,1,$B$3,$B$5,$B$7,$B$9,AG$16,AG$17,AG$18,$G$20,$H$20))</f>
        <v>48180</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IF(_epmOfflineCondition_,"'SM'!$A$36:$F$42",_xll.EVRNG(A36:F42))</f>
        <v>'SM'!$A$36:$F$42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IF(_epmOfflineCondition_,"'SM'!$A$59:$B$80",_xll.EVRNG($A$59:$B$80))</f>
        <v>'SM'!$A$59:$B$80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IF(_epmOfflineCondition_,"Sales &amp; Marketing Department",IF(_xll.EVDES(B6,$B$1)="#NODATA","",_xll.EVDES(B6,$B$1)&amp;" Department"))</f>
        <v>Sales &amp; Marketing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735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ht="15" customHeight="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2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25">
      <c r="A35" s="97" t="s">
        <v>92</v>
      </c>
      <c r="B35" s="98" t="s">
        <v>93</v>
      </c>
      <c r="C35" s="98" t="s">
        <v>94</v>
      </c>
      <c r="D35" s="98" t="s">
        <v>95</v>
      </c>
      <c r="E35" s="98" t="s">
        <v>96</v>
      </c>
      <c r="F35" s="99" t="s">
        <v>97</v>
      </c>
      <c r="G35" s="11"/>
      <c r="H35" s="88" t="s">
        <v>854</v>
      </c>
      <c r="I35" s="122" t="str">
        <f>IF(_epmOfflineCondition_,"T3",_xll.EVPRO($B$1,$H35,"STYLE"))</f>
        <v>T3</v>
      </c>
      <c r="J35" s="122" t="str">
        <f>IF(_epmOfflineCondition_,"Y",_xll.EVPRO($B$1,$H35,"CALC"))</f>
        <v>Y</v>
      </c>
      <c r="K35" s="179" t="str">
        <f t="shared" ref="K35:K47" si="0">IF(AND(I35&gt;="T3"),"&gt;","")</f>
        <v>&gt;</v>
      </c>
      <c r="L35" s="90" t="str">
        <f>IF(_epmOfflineCondition_,"",_xll.EVPRO($B$1,H35,"JDEID"))</f>
        <v/>
      </c>
      <c r="M35" s="90" t="str">
        <f>IF(_epmOfflineCondition_,"",IF(AND(I35="N",J35="N"),_xll.EVPRO($B$1,H35,"PSFTID"),""))</f>
        <v/>
      </c>
      <c r="N35" s="90" t="str">
        <f>IF(_epmOfflineCondition_,"Management",IF(_xll.EVDES(H35,$B$1)="#NODATA","",_xll.EVDES(H35,$B$1)))</f>
        <v>Management</v>
      </c>
      <c r="O35" s="231">
        <v>16602.810000000001</v>
      </c>
      <c r="P35" s="231">
        <v>18946.02</v>
      </c>
      <c r="Q35" s="231">
        <v>18719.14</v>
      </c>
      <c r="R35" s="231">
        <v>18787.18</v>
      </c>
      <c r="S35" s="231">
        <v>16981.650000000001</v>
      </c>
      <c r="T35" s="231">
        <v>18462.009999999998</v>
      </c>
      <c r="U35" s="231">
        <v>17005.759999999998</v>
      </c>
      <c r="V35" s="231">
        <v>22099.200000000001</v>
      </c>
      <c r="W35" s="231">
        <v>6658.44</v>
      </c>
      <c r="X35" s="231">
        <v>17443.919999999998</v>
      </c>
      <c r="Y35" s="231">
        <v>17947.259999999998</v>
      </c>
      <c r="Z35" s="231">
        <v>17598.509999999998</v>
      </c>
      <c r="AA35" s="231">
        <f t="shared" ref="AA35:AA47" si="1">IF($I35="B1","",SUM(O35:Z35))</f>
        <v>207251.90000000002</v>
      </c>
      <c r="AB35" s="233">
        <f t="shared" ref="AB35:AB47" si="2">IF(AA35=0,"",IFERROR(AA35/AA$19,""))</f>
        <v>1.4067438311765247E-2</v>
      </c>
      <c r="AC35" s="140"/>
      <c r="AD35" s="138">
        <v>192402.51374452599</v>
      </c>
      <c r="AE35" s="142">
        <f t="shared" ref="AE35:AE47" si="3">IF(AD35=0,"",IFERROR(AD35/AD$19,""))</f>
        <v>1.3155384438387041E-2</v>
      </c>
      <c r="AF35" s="141">
        <f t="shared" ref="AF35:AF47" si="4">IF(AND($AA35="",AD35=""),"",$AA35-AD35)</f>
        <v>14849.386255474034</v>
      </c>
      <c r="AG35" s="138">
        <v>161917.01</v>
      </c>
      <c r="AH35" s="142">
        <f t="shared" ref="AH35:AH47" si="5">IF(AG35=0,"",IFERROR(AG35/AG$19,""))</f>
        <v>1.359901548835021E-2</v>
      </c>
      <c r="AI35" s="141">
        <f t="shared" ref="AI35:AI47" si="6">IF(AND($AA35="",AG35=""),"",$AA35-AG35)</f>
        <v>45334.890000000014</v>
      </c>
      <c r="AJ35" s="462">
        <f t="shared" ref="AJ35:AJ47" si="7">IFERROR(AA35/AA$20,0)</f>
        <v>4.301616853466169</v>
      </c>
      <c r="AK35" s="463">
        <f t="shared" ref="AK35:AK47" si="8">IFERROR(AD35/AD$20,0)</f>
        <v>3.9934104139586135</v>
      </c>
      <c r="AL35" s="464">
        <f t="shared" ref="AL35:AL47" si="9">IFERROR(AG35/AG$20,0)</f>
        <v>3.3606685346616856</v>
      </c>
      <c r="AM35" s="465" t="str">
        <f t="shared" ref="AM35:AM47" si="10">+IFERROR(ROUND(($AB35-AE35)*100,2)&amp;" pts.",0)</f>
        <v>0.09 pts.</v>
      </c>
      <c r="AN35" s="466" t="str">
        <f t="shared" ref="AN35:AN47" si="11">+IFERROR(ROUND(($AB35-AH35)*100,2)&amp;" pts.",0)</f>
        <v>0.05 pts.</v>
      </c>
      <c r="AO35" s="11"/>
    </row>
    <row r="36" spans="1:41" hidden="1" x14ac:dyDescent="0.25">
      <c r="A36" s="11"/>
      <c r="B36" s="11"/>
      <c r="C36" s="11"/>
      <c r="D36" s="11"/>
      <c r="E36" s="11"/>
      <c r="F36" s="11"/>
      <c r="G36" s="11"/>
      <c r="H36" s="88"/>
      <c r="I36" s="122" t="str">
        <f>IF(_epmOfflineCondition_,"",_xll.EVPRO($B$1,$H36,"STYLE"))</f>
        <v/>
      </c>
      <c r="J36" s="122" t="str">
        <f>IF(_epmOfflineCondition_,"",_xll.EVPRO($B$1,$H36,"CALC"))</f>
        <v/>
      </c>
      <c r="K36" s="179" t="str">
        <f t="shared" si="0"/>
        <v/>
      </c>
      <c r="L36" s="90" t="str">
        <f>IF(_epmOfflineCondition_,"",_xll.EVPRO($B$1,H36,"JDEID"))</f>
        <v/>
      </c>
      <c r="M36" s="90" t="str">
        <f>IF(_epmOfflineCondition_,"",IF(AND(I36="N",J36="N"),_xll.EVPRO($B$1,H36,"PSFTID"),""))</f>
        <v/>
      </c>
      <c r="N36" s="90" t="str">
        <f>IF(_epmOfflineCondition_,"",IF(_xll.EVDES(H36,$B$1)="#NODATA","",_xll.EVDES(H36,$B$1)))</f>
        <v/>
      </c>
      <c r="O36" s="231"/>
      <c r="P36" s="231"/>
      <c r="Q36" s="231"/>
      <c r="R36" s="231"/>
      <c r="S36" s="231"/>
      <c r="T36" s="231"/>
      <c r="U36" s="231"/>
      <c r="V36" s="231"/>
      <c r="W36" s="231"/>
      <c r="X36" s="231"/>
      <c r="Y36" s="231"/>
      <c r="Z36" s="231"/>
      <c r="AA36" s="231">
        <f t="shared" si="1"/>
        <v>0</v>
      </c>
      <c r="AB36" s="233" t="str">
        <f t="shared" si="2"/>
        <v/>
      </c>
      <c r="AC36" s="140"/>
      <c r="AD36" s="138"/>
      <c r="AE36" s="142" t="str">
        <f t="shared" si="3"/>
        <v/>
      </c>
      <c r="AF36" s="141">
        <f t="shared" si="4"/>
        <v>0</v>
      </c>
      <c r="AG36" s="138"/>
      <c r="AH36" s="142" t="str">
        <f t="shared" si="5"/>
        <v/>
      </c>
      <c r="AI36" s="141">
        <f t="shared" si="6"/>
        <v>0</v>
      </c>
      <c r="AJ36" s="462">
        <f t="shared" si="7"/>
        <v>0</v>
      </c>
      <c r="AK36" s="463">
        <f t="shared" si="8"/>
        <v>0</v>
      </c>
      <c r="AL36" s="464">
        <f t="shared" si="9"/>
        <v>0</v>
      </c>
      <c r="AM36" s="465">
        <f t="shared" si="10"/>
        <v>0</v>
      </c>
      <c r="AN36" s="466">
        <f t="shared" si="11"/>
        <v>0</v>
      </c>
      <c r="AO36" s="11"/>
    </row>
    <row r="37" spans="1:41" x14ac:dyDescent="0.25">
      <c r="A37" s="11" t="s">
        <v>108</v>
      </c>
      <c r="B37" s="11"/>
      <c r="C37" s="104" t="s">
        <v>101</v>
      </c>
      <c r="D37" s="11" t="s">
        <v>106</v>
      </c>
      <c r="E37" s="11"/>
      <c r="F37" s="11" t="s">
        <v>98</v>
      </c>
      <c r="G37" s="11"/>
      <c r="H37" s="88" t="s">
        <v>75</v>
      </c>
      <c r="I37" s="89" t="str">
        <f>IF(_epmOfflineCondition_,"B1",_xll.EVPRO($B$1,$H37,"STYLE"))</f>
        <v>B1</v>
      </c>
      <c r="J37" s="89" t="str">
        <f>IF(_epmOfflineCondition_,"Y",_xll.EVPRO($B$1,$H37,"CALC"))</f>
        <v>Y</v>
      </c>
      <c r="K37" s="265" t="str">
        <f t="shared" si="0"/>
        <v/>
      </c>
      <c r="L37" s="106" t="str">
        <f>IF(_epmOfflineCondition_,"",_xll.EVPRO($B$1,H37,"JDEID"))</f>
        <v/>
      </c>
      <c r="M37" s="90" t="str">
        <f>IF(_epmOfflineCondition_,"",IF(AND(I37="N",J37="N"),_xll.EVPRO($B$1,H37,"PSFTID"),""))</f>
        <v/>
      </c>
      <c r="N37" s="106" t="str">
        <f>IF(_epmOfflineCondition_,"Non-Management",IF(_xll.EVDES(H37,$B$1)="#NODATA","",_xll.EVDES(H37,$B$1)))</f>
        <v>Non-Management</v>
      </c>
      <c r="O37" s="197"/>
      <c r="P37" s="197"/>
      <c r="Q37" s="197"/>
      <c r="R37" s="197"/>
      <c r="S37" s="197"/>
      <c r="T37" s="197"/>
      <c r="U37" s="197"/>
      <c r="V37" s="197"/>
      <c r="W37" s="197"/>
      <c r="X37" s="197"/>
      <c r="Y37" s="197"/>
      <c r="Z37" s="197"/>
      <c r="AA37" s="197" t="str">
        <f t="shared" si="1"/>
        <v/>
      </c>
      <c r="AB37" s="198" t="str">
        <f t="shared" si="2"/>
        <v/>
      </c>
      <c r="AC37" s="11"/>
      <c r="AD37" s="91"/>
      <c r="AE37" s="100" t="str">
        <f t="shared" si="3"/>
        <v/>
      </c>
      <c r="AF37" s="92" t="str">
        <f t="shared" si="4"/>
        <v/>
      </c>
      <c r="AG37" s="91"/>
      <c r="AH37" s="100" t="str">
        <f t="shared" si="5"/>
        <v/>
      </c>
      <c r="AI37" s="92" t="str">
        <f t="shared" si="6"/>
        <v/>
      </c>
      <c r="AJ37" s="397">
        <f t="shared" si="7"/>
        <v>0</v>
      </c>
      <c r="AK37" s="398">
        <f t="shared" si="8"/>
        <v>0</v>
      </c>
      <c r="AL37" s="399">
        <f t="shared" si="9"/>
        <v>0</v>
      </c>
      <c r="AM37" s="400">
        <f t="shared" si="10"/>
        <v>0</v>
      </c>
      <c r="AN37" s="401">
        <f t="shared" si="11"/>
        <v>0</v>
      </c>
      <c r="AO37" s="11"/>
    </row>
    <row r="38" spans="1:41" x14ac:dyDescent="0.25">
      <c r="A38" s="11" t="s">
        <v>100</v>
      </c>
      <c r="B38" s="11"/>
      <c r="C38" s="53" t="s">
        <v>101</v>
      </c>
      <c r="D38" s="11" t="s">
        <v>106</v>
      </c>
      <c r="E38" s="11"/>
      <c r="F38" s="11" t="s">
        <v>98</v>
      </c>
      <c r="G38" s="11"/>
      <c r="H38" s="88" t="s">
        <v>951</v>
      </c>
      <c r="I38" s="122" t="str">
        <f>IF(_epmOfflineCondition_,"T3",_xll.EVPRO($B$1,$H38,"STYLE"))</f>
        <v>T3</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IF(_epmOfflineCondition_,"Non-Mgmt. (Sales &amp; Marketing)",IF(_xll.EVDES(H38,$B$1)="#NODATA","",_xll.EVDES(H38,$B$1)))</f>
        <v>Non-Mgmt. (Sales &amp; Marketing)</v>
      </c>
      <c r="O38" s="239"/>
      <c r="P38" s="239"/>
      <c r="Q38" s="239">
        <v>1313</v>
      </c>
      <c r="R38" s="239">
        <v>3359.9</v>
      </c>
      <c r="S38" s="239">
        <v>3610.3</v>
      </c>
      <c r="T38" s="239">
        <v>3431.8</v>
      </c>
      <c r="U38" s="239">
        <v>3060.1</v>
      </c>
      <c r="V38" s="239">
        <v>3253.7</v>
      </c>
      <c r="W38" s="239">
        <v>3105.9</v>
      </c>
      <c r="X38" s="239">
        <v>3466.4</v>
      </c>
      <c r="Y38" s="239">
        <v>3544.9</v>
      </c>
      <c r="Z38" s="239">
        <v>3496.6</v>
      </c>
      <c r="AA38" s="239">
        <f t="shared" si="1"/>
        <v>31642.600000000002</v>
      </c>
      <c r="AB38" s="240">
        <f t="shared" si="2"/>
        <v>2.1477743920507507E-3</v>
      </c>
      <c r="AC38" s="140"/>
      <c r="AD38" s="215">
        <v>29721.4285714283</v>
      </c>
      <c r="AE38" s="217">
        <f t="shared" si="3"/>
        <v>2.0321814476622138E-3</v>
      </c>
      <c r="AF38" s="218">
        <f t="shared" si="4"/>
        <v>1921.1714285717026</v>
      </c>
      <c r="AG38" s="215"/>
      <c r="AH38" s="217" t="str">
        <f t="shared" si="5"/>
        <v/>
      </c>
      <c r="AI38" s="218">
        <f t="shared" si="6"/>
        <v>31642.600000000002</v>
      </c>
      <c r="AJ38" s="471">
        <f t="shared" si="7"/>
        <v>0.65675799086757991</v>
      </c>
      <c r="AK38" s="472">
        <f t="shared" si="8"/>
        <v>0.61688311688311126</v>
      </c>
      <c r="AL38" s="473">
        <f t="shared" si="9"/>
        <v>0</v>
      </c>
      <c r="AM38" s="474" t="str">
        <f t="shared" si="10"/>
        <v>0.01 pts.</v>
      </c>
      <c r="AN38" s="475">
        <f t="shared" si="11"/>
        <v>0</v>
      </c>
      <c r="AO38" s="11"/>
    </row>
    <row r="39" spans="1:41" x14ac:dyDescent="0.25">
      <c r="A39" s="11" t="s">
        <v>109</v>
      </c>
      <c r="B39" s="11"/>
      <c r="C39" s="106" t="s">
        <v>101</v>
      </c>
      <c r="D39" s="11" t="s">
        <v>106</v>
      </c>
      <c r="E39" s="11"/>
      <c r="F39" s="11" t="s">
        <v>98</v>
      </c>
      <c r="G39" s="11"/>
      <c r="H39" s="88" t="s">
        <v>847</v>
      </c>
      <c r="I39" s="188" t="str">
        <f>IF(_epmOfflineCondition_,"T2",_xll.EVPRO($B$1,$H39,"STYLE"))</f>
        <v>T2</v>
      </c>
      <c r="J39" s="188" t="str">
        <f>IF(_epmOfflineCondition_,"Y",_xll.EVPRO($B$1,$H39,"CALC"))</f>
        <v>Y</v>
      </c>
      <c r="K39" s="189" t="str">
        <f t="shared" si="0"/>
        <v/>
      </c>
      <c r="L39" s="190" t="str">
        <f>IF(_epmOfflineCondition_,"",_xll.EVPRO($B$1,H39,"JDEID"))</f>
        <v/>
      </c>
      <c r="M39" s="190" t="str">
        <f>IF(_epmOfflineCondition_,"",IF(AND(I39="N",J39="N"),_xll.EVPRO($B$1,H39,"PSFTID"),""))</f>
        <v/>
      </c>
      <c r="N39" s="190" t="str">
        <f>IF(_epmOfflineCondition_,"Total Salaries and Wages",IF(_xll.EVDES(H39,$B$1)="#NODATA","",_xll.EVDES(H39,$B$1)))</f>
        <v>Total Salaries and Wages</v>
      </c>
      <c r="O39" s="223">
        <v>16602.810000000001</v>
      </c>
      <c r="P39" s="223">
        <v>18946.02</v>
      </c>
      <c r="Q39" s="223">
        <v>20032.14</v>
      </c>
      <c r="R39" s="223">
        <v>22147.08</v>
      </c>
      <c r="S39" s="223">
        <v>20591.95</v>
      </c>
      <c r="T39" s="223">
        <v>21893.81</v>
      </c>
      <c r="U39" s="223">
        <v>20065.86</v>
      </c>
      <c r="V39" s="223">
        <v>25352.9</v>
      </c>
      <c r="W39" s="223">
        <v>9764.34</v>
      </c>
      <c r="X39" s="223">
        <v>20910.32</v>
      </c>
      <c r="Y39" s="223">
        <v>21492.16</v>
      </c>
      <c r="Z39" s="223">
        <v>21095.11</v>
      </c>
      <c r="AA39" s="223">
        <f t="shared" si="1"/>
        <v>238894.5</v>
      </c>
      <c r="AB39" s="224">
        <f t="shared" si="2"/>
        <v>1.6215212703815995E-2</v>
      </c>
      <c r="AC39" s="225"/>
      <c r="AD39" s="223">
        <v>222123.94231595501</v>
      </c>
      <c r="AE39" s="224">
        <f t="shared" si="3"/>
        <v>1.5187565886049303E-2</v>
      </c>
      <c r="AF39" s="226">
        <f t="shared" si="4"/>
        <v>16770.557684044994</v>
      </c>
      <c r="AG39" s="223">
        <v>161917.01</v>
      </c>
      <c r="AH39" s="224">
        <f t="shared" si="5"/>
        <v>1.359901548835021E-2</v>
      </c>
      <c r="AI39" s="226">
        <f t="shared" si="6"/>
        <v>76977.489999999991</v>
      </c>
      <c r="AJ39" s="227">
        <f t="shared" si="7"/>
        <v>4.9583748443337488</v>
      </c>
      <c r="AK39" s="228">
        <f t="shared" si="8"/>
        <v>4.6102935308417399</v>
      </c>
      <c r="AL39" s="230">
        <f t="shared" si="9"/>
        <v>3.3606685346616856</v>
      </c>
      <c r="AM39" s="427" t="str">
        <f t="shared" si="10"/>
        <v>0.1 pts.</v>
      </c>
      <c r="AN39" s="478" t="str">
        <f t="shared" si="11"/>
        <v>0.26 pts.</v>
      </c>
      <c r="AO39" s="11"/>
    </row>
    <row r="40" spans="1:41" x14ac:dyDescent="0.25">
      <c r="A40" s="11" t="s">
        <v>109</v>
      </c>
      <c r="B40" s="11"/>
      <c r="C40" s="196" t="s">
        <v>101</v>
      </c>
      <c r="D40" s="11" t="s">
        <v>107</v>
      </c>
      <c r="E40" s="11"/>
      <c r="F40" s="11" t="s">
        <v>99</v>
      </c>
      <c r="G40" s="11"/>
      <c r="H40" s="88" t="s">
        <v>863</v>
      </c>
      <c r="I40" s="122" t="str">
        <f>IF(_epmOfflineCondition_,"T3",_xll.EVPRO($B$1,$H40,"STYLE"))</f>
        <v>T3</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IF(_epmOfflineCondition_,"Contracted &amp; Leased Labor",IF(_xll.EVDES(H40,$B$1)="#NODATA","",_xll.EVDES(H40,$B$1)))</f>
        <v>Contracted &amp; Leased Labor</v>
      </c>
      <c r="O40" s="239">
        <v>3025</v>
      </c>
      <c r="P40" s="239">
        <v>4400</v>
      </c>
      <c r="Q40" s="239">
        <v>5275</v>
      </c>
      <c r="R40" s="239">
        <v>4975</v>
      </c>
      <c r="S40" s="239">
        <v>3975</v>
      </c>
      <c r="T40" s="239">
        <v>3975</v>
      </c>
      <c r="U40" s="239">
        <v>3650</v>
      </c>
      <c r="V40" s="239">
        <v>3650</v>
      </c>
      <c r="W40" s="239">
        <v>3650</v>
      </c>
      <c r="X40" s="239">
        <v>3650</v>
      </c>
      <c r="Y40" s="239">
        <v>3650</v>
      </c>
      <c r="Z40" s="239">
        <v>3650</v>
      </c>
      <c r="AA40" s="239">
        <f t="shared" si="1"/>
        <v>47525</v>
      </c>
      <c r="AB40" s="240">
        <f t="shared" si="2"/>
        <v>3.2258088141370153E-3</v>
      </c>
      <c r="AC40" s="140"/>
      <c r="AD40" s="239">
        <v>39900</v>
      </c>
      <c r="AE40" s="240">
        <f t="shared" si="3"/>
        <v>2.7281339982314903E-3</v>
      </c>
      <c r="AF40" s="241">
        <f t="shared" si="4"/>
        <v>7625</v>
      </c>
      <c r="AG40" s="239">
        <v>32800</v>
      </c>
      <c r="AH40" s="240">
        <f t="shared" si="5"/>
        <v>2.7547921494961332E-3</v>
      </c>
      <c r="AI40" s="241">
        <f t="shared" si="6"/>
        <v>14725</v>
      </c>
      <c r="AJ40" s="532">
        <f t="shared" si="7"/>
        <v>0.98640514736405149</v>
      </c>
      <c r="AK40" s="533">
        <f t="shared" si="8"/>
        <v>0.82814445828144456</v>
      </c>
      <c r="AL40" s="534">
        <f t="shared" si="9"/>
        <v>0.68078040680780405</v>
      </c>
      <c r="AM40" s="535" t="str">
        <f t="shared" si="10"/>
        <v>0.05 pts.</v>
      </c>
      <c r="AN40" s="536" t="str">
        <f t="shared" si="11"/>
        <v>0.05 pts.</v>
      </c>
      <c r="AO40" s="11"/>
    </row>
    <row r="41" spans="1:41" x14ac:dyDescent="0.25">
      <c r="A41" s="11" t="s">
        <v>110</v>
      </c>
      <c r="B41" s="11"/>
      <c r="C41" s="106" t="s">
        <v>101</v>
      </c>
      <c r="D41" s="11" t="s">
        <v>106</v>
      </c>
      <c r="E41" s="11"/>
      <c r="F41" s="11" t="s">
        <v>98</v>
      </c>
      <c r="G41" s="11"/>
      <c r="H41" s="88" t="s">
        <v>848</v>
      </c>
      <c r="I41" s="122" t="str">
        <f>IF(_epmOfflineCondition_,"T3",_xll.EVPRO($B$1,$H41,"STYLE"))</f>
        <v>T3</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IF(_epmOfflineCondition_,"Bonuses &amp; Incentives",IF(_xll.EVDES(H41,$B$1)="#NODATA","",_xll.EVDES(H41,$B$1)))</f>
        <v>Bonuses &amp; Incentives</v>
      </c>
      <c r="O41" s="239">
        <v>2834.07</v>
      </c>
      <c r="P41" s="239">
        <v>6927.58</v>
      </c>
      <c r="Q41" s="239">
        <v>5480.2</v>
      </c>
      <c r="R41" s="239">
        <v>6215.81</v>
      </c>
      <c r="S41" s="239">
        <v>5983.5</v>
      </c>
      <c r="T41" s="239">
        <v>6340.93</v>
      </c>
      <c r="U41" s="239">
        <v>4218.16</v>
      </c>
      <c r="V41" s="239">
        <v>2740.27</v>
      </c>
      <c r="W41" s="239">
        <v>4077.54</v>
      </c>
      <c r="X41" s="239">
        <v>5414.3</v>
      </c>
      <c r="Y41" s="239">
        <v>9335.98</v>
      </c>
      <c r="Z41" s="239">
        <v>18187.25</v>
      </c>
      <c r="AA41" s="239">
        <f t="shared" si="1"/>
        <v>77755.59</v>
      </c>
      <c r="AB41" s="240">
        <f t="shared" si="2"/>
        <v>5.2777415585570538E-3</v>
      </c>
      <c r="AC41" s="140"/>
      <c r="AD41" s="215">
        <v>45193.167928012503</v>
      </c>
      <c r="AE41" s="217">
        <f t="shared" si="3"/>
        <v>3.0900505742404989E-3</v>
      </c>
      <c r="AF41" s="218">
        <f t="shared" si="4"/>
        <v>32562.422071987494</v>
      </c>
      <c r="AG41" s="215">
        <v>34775.120000000003</v>
      </c>
      <c r="AH41" s="217">
        <f t="shared" si="5"/>
        <v>2.9206776699324992E-3</v>
      </c>
      <c r="AI41" s="218">
        <f t="shared" si="6"/>
        <v>42980.469999999994</v>
      </c>
      <c r="AJ41" s="471">
        <f t="shared" si="7"/>
        <v>1.6138561643835616</v>
      </c>
      <c r="AK41" s="472">
        <f t="shared" si="8"/>
        <v>0.93800680630993161</v>
      </c>
      <c r="AL41" s="473">
        <f t="shared" si="9"/>
        <v>0.72177501037775016</v>
      </c>
      <c r="AM41" s="474" t="str">
        <f t="shared" si="10"/>
        <v>0.22 pts.</v>
      </c>
      <c r="AN41" s="475" t="str">
        <f t="shared" si="11"/>
        <v>0.24 pts.</v>
      </c>
      <c r="AO41" s="11"/>
    </row>
    <row r="42" spans="1:41" x14ac:dyDescent="0.25">
      <c r="A42" s="11" t="s">
        <v>110</v>
      </c>
      <c r="B42" s="11"/>
      <c r="C42" s="109" t="s">
        <v>101</v>
      </c>
      <c r="D42" s="11" t="s">
        <v>107</v>
      </c>
      <c r="E42" s="11"/>
      <c r="F42" s="11" t="s">
        <v>99</v>
      </c>
      <c r="G42" s="11"/>
      <c r="H42" s="88" t="s">
        <v>849</v>
      </c>
      <c r="I42" s="188" t="str">
        <f>IF(_epmOfflineCondition_,"T2",_xll.EVPRO($B$1,$H42,"STYLE"))</f>
        <v>T2</v>
      </c>
      <c r="J42" s="188" t="str">
        <f>IF(_epmOfflineCondition_,"Y",_xll.EVPRO($B$1,$H42,"CALC"))</f>
        <v>Y</v>
      </c>
      <c r="K42" s="189" t="str">
        <f t="shared" si="0"/>
        <v/>
      </c>
      <c r="L42" s="190" t="str">
        <f>IF(_epmOfflineCondition_,"",_xll.EVPRO($B$1,H42,"JDEID"))</f>
        <v/>
      </c>
      <c r="M42" s="190" t="str">
        <f>IF(_epmOfflineCondition_,"",IF(AND(I42="N",J42="N"),_xll.EVPRO($B$1,H42,"PSFTID"),""))</f>
        <v/>
      </c>
      <c r="N42" s="190" t="str">
        <f>IF(_epmOfflineCondition_,"Total Labor Expense",IF(_xll.EVDES(H42,$B$1)="#NODATA","",_xll.EVDES(H42,$B$1)))</f>
        <v>Total Labor Expense</v>
      </c>
      <c r="O42" s="223">
        <v>22461.88</v>
      </c>
      <c r="P42" s="223">
        <v>30273.599999999999</v>
      </c>
      <c r="Q42" s="223">
        <v>30787.34</v>
      </c>
      <c r="R42" s="223">
        <v>33337.89</v>
      </c>
      <c r="S42" s="223">
        <v>30550.45</v>
      </c>
      <c r="T42" s="223">
        <v>32209.74</v>
      </c>
      <c r="U42" s="223">
        <v>27934.02</v>
      </c>
      <c r="V42" s="223">
        <v>31743.17</v>
      </c>
      <c r="W42" s="223">
        <v>17491.88</v>
      </c>
      <c r="X42" s="223">
        <v>29974.62</v>
      </c>
      <c r="Y42" s="223">
        <v>34478.14</v>
      </c>
      <c r="Z42" s="223">
        <v>42932.36</v>
      </c>
      <c r="AA42" s="223">
        <f t="shared" si="1"/>
        <v>364175.08999999997</v>
      </c>
      <c r="AB42" s="224">
        <f t="shared" si="2"/>
        <v>2.4718763076510063E-2</v>
      </c>
      <c r="AC42" s="225"/>
      <c r="AD42" s="223">
        <v>307217.11024396698</v>
      </c>
      <c r="AE42" s="224">
        <f t="shared" si="3"/>
        <v>2.1005750458521256E-2</v>
      </c>
      <c r="AF42" s="226">
        <f t="shared" si="4"/>
        <v>56957.97975603299</v>
      </c>
      <c r="AG42" s="223">
        <v>229492.13</v>
      </c>
      <c r="AH42" s="224">
        <f t="shared" si="5"/>
        <v>1.9274485307778842E-2</v>
      </c>
      <c r="AI42" s="226">
        <f t="shared" si="6"/>
        <v>134682.95999999996</v>
      </c>
      <c r="AJ42" s="227">
        <f t="shared" si="7"/>
        <v>7.5586361560813611</v>
      </c>
      <c r="AK42" s="228">
        <f t="shared" si="8"/>
        <v>6.3764447954331045</v>
      </c>
      <c r="AL42" s="230">
        <f t="shared" si="9"/>
        <v>4.7632239518472392</v>
      </c>
      <c r="AM42" s="427" t="str">
        <f t="shared" si="10"/>
        <v>0.37 pts.</v>
      </c>
      <c r="AN42" s="478" t="str">
        <f t="shared" si="11"/>
        <v>0.54 pts.</v>
      </c>
      <c r="AO42" s="11"/>
    </row>
    <row r="43" spans="1:41" x14ac:dyDescent="0.25">
      <c r="A43" s="11"/>
      <c r="B43" s="11"/>
      <c r="C43" s="208"/>
      <c r="D43" s="11"/>
      <c r="E43" s="11"/>
      <c r="F43" s="11"/>
      <c r="G43" s="11"/>
      <c r="H43" s="88" t="s">
        <v>850</v>
      </c>
      <c r="I43" s="122" t="str">
        <f>IF(_epmOfflineCondition_,"T3",_xll.EVPRO($B$1,$H43,"STYLE"))</f>
        <v>T3</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IF(_epmOfflineCondition_,"Payroll Taxes",IF(_xll.EVDES(H43,$B$1)="#NODATA","",_xll.EVDES(H43,$B$1)))</f>
        <v>Payroll Taxes</v>
      </c>
      <c r="O43" s="239">
        <v>1803.14</v>
      </c>
      <c r="P43" s="239">
        <v>1684.84</v>
      </c>
      <c r="Q43" s="239">
        <v>1960.37</v>
      </c>
      <c r="R43" s="239">
        <v>2574.5500000000002</v>
      </c>
      <c r="S43" s="239">
        <v>2325.36</v>
      </c>
      <c r="T43" s="239">
        <v>2074.66</v>
      </c>
      <c r="U43" s="239">
        <v>2001.97</v>
      </c>
      <c r="V43" s="239">
        <v>1783.83</v>
      </c>
      <c r="W43" s="239">
        <v>1381.02</v>
      </c>
      <c r="X43" s="239">
        <v>2015.09</v>
      </c>
      <c r="Y43" s="239">
        <v>2428.21</v>
      </c>
      <c r="Z43" s="239">
        <v>2710.39</v>
      </c>
      <c r="AA43" s="239">
        <f t="shared" si="1"/>
        <v>24743.429999999997</v>
      </c>
      <c r="AB43" s="240">
        <f t="shared" si="2"/>
        <v>1.6794860512568594E-3</v>
      </c>
      <c r="AC43" s="140"/>
      <c r="AD43" s="239">
        <v>22664.678373750801</v>
      </c>
      <c r="AE43" s="240">
        <f t="shared" si="3"/>
        <v>1.5496811937446508E-3</v>
      </c>
      <c r="AF43" s="241">
        <f t="shared" si="4"/>
        <v>2078.7516262491954</v>
      </c>
      <c r="AG43" s="239">
        <v>15978.83</v>
      </c>
      <c r="AH43" s="240">
        <f t="shared" si="5"/>
        <v>1.3420230317723566E-3</v>
      </c>
      <c r="AI43" s="241">
        <f t="shared" si="6"/>
        <v>8764.5999999999967</v>
      </c>
      <c r="AJ43" s="532">
        <f t="shared" si="7"/>
        <v>0.51356226650062264</v>
      </c>
      <c r="AK43" s="533">
        <f t="shared" si="8"/>
        <v>0.47041673669055212</v>
      </c>
      <c r="AL43" s="534">
        <f t="shared" si="9"/>
        <v>0.3316486093814861</v>
      </c>
      <c r="AM43" s="535" t="str">
        <f t="shared" si="10"/>
        <v>0.01 pts.</v>
      </c>
      <c r="AN43" s="536" t="str">
        <f t="shared" si="11"/>
        <v>0.03 pts.</v>
      </c>
      <c r="AO43" s="11"/>
    </row>
    <row r="44" spans="1:41" x14ac:dyDescent="0.25">
      <c r="A44" s="11"/>
      <c r="B44" s="11"/>
      <c r="C44" s="11"/>
      <c r="D44" s="11"/>
      <c r="E44" s="11"/>
      <c r="F44" s="11"/>
      <c r="G44" s="11"/>
      <c r="H44" s="88" t="s">
        <v>851</v>
      </c>
      <c r="I44" s="122" t="str">
        <f>IF(_epmOfflineCondition_,"T3",_xll.EVPRO($B$1,$H44,"STYLE"))</f>
        <v>T3</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IF(_epmOfflineCondition_,"Supplemental Pay",IF(_xll.EVDES(H44,$B$1)="#NODATA","",_xll.EVDES(H44,$B$1)))</f>
        <v>Supplemental Pay</v>
      </c>
      <c r="O44" s="239">
        <v>3695.67</v>
      </c>
      <c r="P44" s="239">
        <v>1503.29</v>
      </c>
      <c r="Q44" s="239">
        <v>1628.99</v>
      </c>
      <c r="R44" s="239">
        <v>2130.86</v>
      </c>
      <c r="S44" s="239">
        <v>1610.45</v>
      </c>
      <c r="T44" s="239">
        <v>1604.2</v>
      </c>
      <c r="U44" s="239">
        <v>2333.0300000000002</v>
      </c>
      <c r="V44" s="239">
        <v>1206.07</v>
      </c>
      <c r="W44" s="239">
        <v>1703.11</v>
      </c>
      <c r="X44" s="239">
        <v>1351.49</v>
      </c>
      <c r="Y44" s="239">
        <v>1631.63</v>
      </c>
      <c r="Z44" s="239">
        <v>2784.94</v>
      </c>
      <c r="AA44" s="239">
        <f t="shared" si="1"/>
        <v>23183.730000000003</v>
      </c>
      <c r="AB44" s="240">
        <f t="shared" si="2"/>
        <v>1.5736197912377225E-3</v>
      </c>
      <c r="AC44" s="140"/>
      <c r="AD44" s="215">
        <v>14799.3978902405</v>
      </c>
      <c r="AE44" s="217">
        <f t="shared" si="3"/>
        <v>1.0118982590907393E-3</v>
      </c>
      <c r="AF44" s="218">
        <f t="shared" si="4"/>
        <v>8384.3321097595035</v>
      </c>
      <c r="AG44" s="215">
        <v>11971.76</v>
      </c>
      <c r="AH44" s="217">
        <f t="shared" si="5"/>
        <v>1.0054789775503605E-3</v>
      </c>
      <c r="AI44" s="218">
        <f t="shared" si="6"/>
        <v>11211.970000000003</v>
      </c>
      <c r="AJ44" s="471">
        <f t="shared" si="7"/>
        <v>0.48118991282689921</v>
      </c>
      <c r="AK44" s="472">
        <f t="shared" si="8"/>
        <v>0.30716890598257574</v>
      </c>
      <c r="AL44" s="473">
        <f t="shared" si="9"/>
        <v>0.24847986716479867</v>
      </c>
      <c r="AM44" s="474" t="str">
        <f t="shared" si="10"/>
        <v>0.06 pts.</v>
      </c>
      <c r="AN44" s="475" t="str">
        <f t="shared" si="11"/>
        <v>0.06 pts.</v>
      </c>
      <c r="AO44" s="11"/>
    </row>
    <row r="45" spans="1:41" x14ac:dyDescent="0.25">
      <c r="A45" s="61" t="str">
        <f>IF(_epmOfflineCondition_,"Evdre:Ok",_xll.EVDRE($B$1,A48:B55))</f>
        <v>Evdre:Ok</v>
      </c>
      <c r="B45" s="11" t="s">
        <v>739</v>
      </c>
      <c r="C45" s="11"/>
      <c r="D45" s="11"/>
      <c r="E45" s="11"/>
      <c r="F45" s="11"/>
      <c r="G45" s="11"/>
      <c r="H45" s="88" t="s">
        <v>852</v>
      </c>
      <c r="I45" s="122" t="str">
        <f>IF(_epmOfflineCondition_,"T3",_xll.EVPRO($B$1,$H45,"STYLE"))</f>
        <v>T3</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IF(_epmOfflineCondition_,"Employee Benefits",IF(_xll.EVDES(H45,$B$1)="#NODATA","",_xll.EVDES(H45,$B$1)))</f>
        <v>Employee Benefits</v>
      </c>
      <c r="O45" s="239">
        <v>1227.3900000000001</v>
      </c>
      <c r="P45" s="239">
        <v>2249.6999999999998</v>
      </c>
      <c r="Q45" s="239">
        <v>2176.04</v>
      </c>
      <c r="R45" s="239">
        <v>2462.35</v>
      </c>
      <c r="S45" s="239">
        <v>2720.11</v>
      </c>
      <c r="T45" s="239">
        <v>1391.96</v>
      </c>
      <c r="U45" s="239">
        <v>2294.23</v>
      </c>
      <c r="V45" s="239">
        <v>2753.65</v>
      </c>
      <c r="W45" s="239">
        <v>204.94</v>
      </c>
      <c r="X45" s="239">
        <v>3836.01</v>
      </c>
      <c r="Y45" s="239">
        <v>3307.54</v>
      </c>
      <c r="Z45" s="239">
        <v>3200.09</v>
      </c>
      <c r="AA45" s="239">
        <f t="shared" si="1"/>
        <v>27824.01</v>
      </c>
      <c r="AB45" s="240">
        <f t="shared" si="2"/>
        <v>1.8885836234116035E-3</v>
      </c>
      <c r="AC45" s="140"/>
      <c r="AD45" s="215">
        <v>18453.096555188898</v>
      </c>
      <c r="AE45" s="217">
        <f t="shared" si="3"/>
        <v>1.2617172953598803E-3</v>
      </c>
      <c r="AF45" s="218">
        <f t="shared" si="4"/>
        <v>9370.9134448110999</v>
      </c>
      <c r="AG45" s="215">
        <v>11263.52</v>
      </c>
      <c r="AH45" s="217">
        <f t="shared" si="5"/>
        <v>9.4599562413697218E-4</v>
      </c>
      <c r="AI45" s="218">
        <f t="shared" si="6"/>
        <v>16560.489999999998</v>
      </c>
      <c r="AJ45" s="471">
        <f t="shared" si="7"/>
        <v>0.57750124533001246</v>
      </c>
      <c r="AK45" s="472">
        <f t="shared" si="8"/>
        <v>0.38300324938125568</v>
      </c>
      <c r="AL45" s="473">
        <f t="shared" si="9"/>
        <v>0.23377999169779992</v>
      </c>
      <c r="AM45" s="474" t="str">
        <f t="shared" si="10"/>
        <v>0.06 pts.</v>
      </c>
      <c r="AN45" s="475" t="str">
        <f t="shared" si="11"/>
        <v>0.09 pts.</v>
      </c>
      <c r="AO45" s="11"/>
    </row>
    <row r="46" spans="1:41" x14ac:dyDescent="0.25">
      <c r="A46" s="11"/>
      <c r="B46" s="11"/>
      <c r="C46" s="11"/>
      <c r="D46" s="11"/>
      <c r="E46" s="11"/>
      <c r="F46" s="11"/>
      <c r="G46" s="11"/>
      <c r="H46" s="88" t="s">
        <v>853</v>
      </c>
      <c r="I46" s="188" t="str">
        <f>IF(_epmOfflineCondition_,"T2",_xll.EVPRO($B$1,$H46,"STYLE"))</f>
        <v>T2</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Payroll Related",IF(_xll.EVDES(H46,$B$1)="#NODATA","",_xll.EVDES(H46,$B$1)))</f>
        <v>Total Payroll Related</v>
      </c>
      <c r="O46" s="242">
        <v>6726.2</v>
      </c>
      <c r="P46" s="242">
        <v>5437.83</v>
      </c>
      <c r="Q46" s="242">
        <v>5765.4</v>
      </c>
      <c r="R46" s="242">
        <v>7167.76</v>
      </c>
      <c r="S46" s="242">
        <v>6655.92</v>
      </c>
      <c r="T46" s="242">
        <v>5070.82</v>
      </c>
      <c r="U46" s="242">
        <v>6629.23</v>
      </c>
      <c r="V46" s="242">
        <v>5743.55</v>
      </c>
      <c r="W46" s="242">
        <v>3289.07</v>
      </c>
      <c r="X46" s="242">
        <v>7202.59</v>
      </c>
      <c r="Y46" s="242">
        <v>7367.38</v>
      </c>
      <c r="Z46" s="242">
        <v>8695.42</v>
      </c>
      <c r="AA46" s="242">
        <f t="shared" si="1"/>
        <v>75751.170000000013</v>
      </c>
      <c r="AB46" s="243">
        <f t="shared" si="2"/>
        <v>5.1416894659061865E-3</v>
      </c>
      <c r="AC46" s="244"/>
      <c r="AD46" s="242">
        <v>55917.172819180203</v>
      </c>
      <c r="AE46" s="243">
        <f t="shared" si="3"/>
        <v>3.8232967481952704E-3</v>
      </c>
      <c r="AF46" s="245">
        <f t="shared" si="4"/>
        <v>19833.99718081981</v>
      </c>
      <c r="AG46" s="242">
        <v>39214.11</v>
      </c>
      <c r="AH46" s="243">
        <f t="shared" si="5"/>
        <v>3.2934976334596895E-3</v>
      </c>
      <c r="AI46" s="245">
        <f t="shared" si="6"/>
        <v>36537.060000000012</v>
      </c>
      <c r="AJ46" s="246">
        <f t="shared" si="7"/>
        <v>1.5722534246575346</v>
      </c>
      <c r="AK46" s="247">
        <f t="shared" si="8"/>
        <v>1.1605888920543836</v>
      </c>
      <c r="AL46" s="249">
        <f t="shared" si="9"/>
        <v>0.81390846824408469</v>
      </c>
      <c r="AM46" s="431" t="str">
        <f t="shared" si="10"/>
        <v>0.13 pts.</v>
      </c>
      <c r="AN46" s="487" t="str">
        <f t="shared" si="11"/>
        <v>0.18 pts.</v>
      </c>
      <c r="AO46" s="11"/>
    </row>
    <row r="47" spans="1:41" x14ac:dyDescent="0.25">
      <c r="A47" s="62" t="s">
        <v>0</v>
      </c>
      <c r="B47" s="63" t="s">
        <v>1</v>
      </c>
      <c r="C47" s="11"/>
      <c r="D47" s="11"/>
      <c r="E47" s="11"/>
      <c r="F47" s="11"/>
      <c r="G47" s="11"/>
      <c r="H47" s="88" t="s">
        <v>76</v>
      </c>
      <c r="I47" s="188" t="str">
        <f>IF(_epmOfflineCondition_,"T1",_xll.EVPRO($B$1,$H47,"STYLE"))</f>
        <v>T1</v>
      </c>
      <c r="J47" s="188" t="str">
        <f>IF(_epmOfflineCondition_,"Y",_xll.EVPRO($B$1,$H47,"CALC"))</f>
        <v>Y</v>
      </c>
      <c r="K47" s="189" t="str">
        <f t="shared" si="0"/>
        <v/>
      </c>
      <c r="L47" s="190" t="str">
        <f>IF(_epmOfflineCondition_,"600000",_xll.EVPRO($B$1,H47,"JDEID"))</f>
        <v>600000</v>
      </c>
      <c r="M47" s="190" t="str">
        <f>IF(_epmOfflineCondition_,"",IF(AND(I47="N",J47="N"),_xll.EVPRO($B$1,H47,"PSFTID"),""))</f>
        <v/>
      </c>
      <c r="N47" s="190" t="str">
        <f>IF(_epmOfflineCondition_,"Total Labor &amp; Related Exp",IF(_xll.EVDES(H47,$B$1)="#NODATA","",_xll.EVDES(H47,$B$1)))</f>
        <v>Total Labor &amp; Related Exp</v>
      </c>
      <c r="O47" s="242">
        <v>29188.080000000002</v>
      </c>
      <c r="P47" s="242">
        <v>35711.43</v>
      </c>
      <c r="Q47" s="242">
        <v>36552.74</v>
      </c>
      <c r="R47" s="242">
        <v>40505.65</v>
      </c>
      <c r="S47" s="242">
        <v>37206.370000000003</v>
      </c>
      <c r="T47" s="242">
        <v>37280.559999999998</v>
      </c>
      <c r="U47" s="242">
        <v>34563.25</v>
      </c>
      <c r="V47" s="242">
        <v>37486.720000000001</v>
      </c>
      <c r="W47" s="242">
        <v>20780.95</v>
      </c>
      <c r="X47" s="242">
        <v>37177.21</v>
      </c>
      <c r="Y47" s="242">
        <v>41845.519999999997</v>
      </c>
      <c r="Z47" s="242">
        <v>51627.78</v>
      </c>
      <c r="AA47" s="242">
        <f t="shared" si="1"/>
        <v>439926.26</v>
      </c>
      <c r="AB47" s="243">
        <f t="shared" si="2"/>
        <v>2.986045254241625E-2</v>
      </c>
      <c r="AC47" s="244"/>
      <c r="AD47" s="242">
        <v>363134.28306314698</v>
      </c>
      <c r="AE47" s="243">
        <f t="shared" si="3"/>
        <v>2.4829047206716512E-2</v>
      </c>
      <c r="AF47" s="245">
        <f t="shared" si="4"/>
        <v>76791.976936853025</v>
      </c>
      <c r="AG47" s="242">
        <v>268706.24</v>
      </c>
      <c r="AH47" s="243">
        <f t="shared" si="5"/>
        <v>2.2567982941238532E-2</v>
      </c>
      <c r="AI47" s="245">
        <f t="shared" si="6"/>
        <v>171220.02000000002</v>
      </c>
      <c r="AJ47" s="246">
        <f t="shared" si="7"/>
        <v>9.1308895807388968</v>
      </c>
      <c r="AK47" s="247">
        <f t="shared" si="8"/>
        <v>7.5370336874874839</v>
      </c>
      <c r="AL47" s="249">
        <f t="shared" si="9"/>
        <v>5.5771324200913241</v>
      </c>
      <c r="AM47" s="431" t="str">
        <f t="shared" si="10"/>
        <v>0.5 pts.</v>
      </c>
      <c r="AN47" s="487" t="str">
        <f t="shared" si="11"/>
        <v>0.73 pts.</v>
      </c>
      <c r="AO47" s="11"/>
    </row>
    <row r="48" spans="1:41" x14ac:dyDescent="0.25">
      <c r="A48" s="65" t="s">
        <v>2</v>
      </c>
      <c r="B48" s="66" t="str">
        <f>IF(_epmOfflineCondition_,"'SM'!$B$2:$B$10",_xll.EVRNG($B$2:$B$10))</f>
        <v>'SM'!$B$2:$B$10</v>
      </c>
      <c r="C48" s="11"/>
      <c r="D48" s="11"/>
      <c r="E48" s="11"/>
      <c r="F48" s="11"/>
      <c r="G48" s="11"/>
      <c r="H48" s="106"/>
      <c r="I48" s="106"/>
      <c r="J48" s="106"/>
      <c r="K48" s="106"/>
      <c r="L48" s="106"/>
      <c r="M48" s="106"/>
      <c r="N48" s="106"/>
      <c r="O48" s="129"/>
      <c r="P48" s="130"/>
      <c r="Q48" s="130"/>
      <c r="R48" s="130"/>
      <c r="S48" s="130"/>
      <c r="T48" s="130"/>
      <c r="U48" s="130"/>
      <c r="V48" s="130"/>
      <c r="W48" s="130"/>
      <c r="X48" s="130"/>
      <c r="Y48" s="130"/>
      <c r="Z48" s="130"/>
      <c r="AA48" s="130"/>
      <c r="AB48" s="131"/>
      <c r="AC48" s="11"/>
      <c r="AD48" s="129"/>
      <c r="AE48" s="130"/>
      <c r="AF48" s="131"/>
      <c r="AG48" s="129"/>
      <c r="AH48" s="130"/>
      <c r="AI48" s="131"/>
      <c r="AJ48" s="11"/>
      <c r="AK48" s="11"/>
      <c r="AL48" s="11"/>
      <c r="AM48" s="11"/>
      <c r="AN48" s="11"/>
      <c r="AO48" s="11"/>
    </row>
    <row r="49" spans="1:41" x14ac:dyDescent="0.25">
      <c r="A49" s="65" t="s">
        <v>3</v>
      </c>
      <c r="B49" s="66" t="str">
        <f>IF(_epmOfflineCondition_,"'SM'!$O$16:$AN$18",_xll.EVRNG($O$16:$AN$18))</f>
        <v>'SM'!$O$16:$AN$18</v>
      </c>
      <c r="C49" s="11"/>
      <c r="D49" s="11"/>
      <c r="E49" s="11"/>
      <c r="F49" s="11"/>
      <c r="G49" s="11"/>
      <c r="H49" s="11" t="s">
        <v>82</v>
      </c>
      <c r="I49" s="59" t="str">
        <f>IF(_epmOfflineCondition_,"B1",_xll.EVPRO($B$1,$H49,"STYLE"))</f>
        <v>B1</v>
      </c>
      <c r="J49" s="59" t="str">
        <f>IF(_epmOfflineCondition_,"Y",_xll.EVPRO($B$1,$H49,"CALC"))</f>
        <v>Y</v>
      </c>
      <c r="K49" s="11"/>
      <c r="L49" s="11"/>
      <c r="M49" s="11"/>
      <c r="N49" s="105" t="str">
        <f>IF(_epmOfflineCondition_,"Other Expenses",IF(_xll.EVDES(H49,$B$1)="#NODATA","",_xll.EVDES(H49,$B$1)))</f>
        <v>Other Expenses</v>
      </c>
      <c r="O49" s="119"/>
      <c r="P49" s="120"/>
      <c r="Q49" s="120"/>
      <c r="R49" s="120"/>
      <c r="S49" s="120"/>
      <c r="T49" s="120"/>
      <c r="U49" s="120"/>
      <c r="V49" s="120"/>
      <c r="W49" s="120"/>
      <c r="X49" s="120"/>
      <c r="Y49" s="120"/>
      <c r="Z49" s="120"/>
      <c r="AA49" s="120"/>
      <c r="AB49" s="121"/>
      <c r="AC49" s="11"/>
      <c r="AD49" s="119"/>
      <c r="AE49" s="120"/>
      <c r="AF49" s="121"/>
      <c r="AG49" s="119"/>
      <c r="AH49" s="120"/>
      <c r="AI49" s="121"/>
      <c r="AJ49" s="11"/>
      <c r="AK49" s="11"/>
      <c r="AL49" s="11"/>
      <c r="AM49" s="11"/>
      <c r="AN49" s="11"/>
      <c r="AO49" s="11"/>
    </row>
    <row r="50" spans="1:41" x14ac:dyDescent="0.25">
      <c r="A50" s="65" t="s">
        <v>4</v>
      </c>
      <c r="B50" s="66" t="str">
        <f>IF(_epmOfflineCondition_,"'SM'!$H$71:$H$74",_xll.EVRNG(H71:H74))</f>
        <v>'SM'!$H$71:$H$74</v>
      </c>
      <c r="C50" s="11"/>
      <c r="D50" s="11"/>
      <c r="E50" s="11"/>
      <c r="F50" s="11"/>
      <c r="G50" s="11"/>
      <c r="H50" s="88" t="s">
        <v>828</v>
      </c>
      <c r="I50" s="122" t="str">
        <f>IF(_epmOfflineCondition_,"N",_xll.EVPRO($B$1,$H50,"STYLE"))</f>
        <v>N</v>
      </c>
      <c r="J50" s="122" t="str">
        <f>IF(_epmOfflineCondition_,"N",_xll.EVPRO($B$1,$H50,"CALC"))</f>
        <v>N</v>
      </c>
      <c r="K50" s="179" t="str">
        <f t="shared" ref="K50:K70" si="12">IF(AND(I50&gt;="T3"),"&gt;","")</f>
        <v/>
      </c>
      <c r="L50" s="90" t="str">
        <f>IF(_epmOfflineCondition_,"701100",_xll.EVPRO($B$1,H50,"JDEID"))</f>
        <v>701100</v>
      </c>
      <c r="M50" s="90" t="str">
        <f>IF(_epmOfflineCondition_,"690015",IF(AND(I50="N",J50="N"),_xll.EVPRO($B$1,H50,"PSFTID"),""))</f>
        <v>690015</v>
      </c>
      <c r="N50" s="90" t="str">
        <f>IF(_epmOfflineCondition_,"Dues and Subscriptions",IF(_xll.EVDES(H50,$B$1)="#NODATA","",_xll.EVDES(H50,$B$1)))</f>
        <v>Dues and Subscriptions</v>
      </c>
      <c r="O50" s="138">
        <v>3542.36</v>
      </c>
      <c r="P50" s="138">
        <v>2785.77</v>
      </c>
      <c r="Q50" s="138">
        <v>3598.51</v>
      </c>
      <c r="R50" s="138">
        <v>3558.57</v>
      </c>
      <c r="S50" s="138">
        <v>2954.01</v>
      </c>
      <c r="T50" s="138">
        <v>3287.37</v>
      </c>
      <c r="U50" s="138">
        <v>5206.87</v>
      </c>
      <c r="V50" s="138">
        <v>-768.6</v>
      </c>
      <c r="W50" s="138">
        <v>3476.5</v>
      </c>
      <c r="X50" s="138">
        <v>4617.68</v>
      </c>
      <c r="Y50" s="138">
        <v>4310.9399999999996</v>
      </c>
      <c r="Z50" s="138">
        <v>3340.37</v>
      </c>
      <c r="AA50" s="231">
        <f t="shared" ref="AA50:AA71" si="13">IF($I50="B1","",SUM(O50:Z50))</f>
        <v>39910.350000000006</v>
      </c>
      <c r="AB50" s="142">
        <f t="shared" ref="AB50:AB71" si="14">IF(AA50=0,"",IFERROR(AA50/AA$19,""))</f>
        <v>2.7089565240461496E-3</v>
      </c>
      <c r="AC50" s="140"/>
      <c r="AD50" s="138">
        <v>40721</v>
      </c>
      <c r="AE50" s="142">
        <f t="shared" ref="AE50:AE71" si="15">IF(AD50=0,"",IFERROR(AD50/AD$19,""))</f>
        <v>2.7842692867665292E-3</v>
      </c>
      <c r="AF50" s="141">
        <f t="shared" ref="AF50:AF71" si="16">IF(AND($AA50="",AD50=""),"",$AA50-AD50)</f>
        <v>-810.64999999999418</v>
      </c>
      <c r="AG50" s="138">
        <v>40966.61</v>
      </c>
      <c r="AH50" s="142">
        <f t="shared" ref="AH50:AH71" si="17">IF(AG50=0,"",IFERROR(AG50/AG$19,""))</f>
        <v>3.4406858420570055E-3</v>
      </c>
      <c r="AI50" s="141">
        <f t="shared" ref="AI50:AI71" si="18">IF(AND($AA50="",AG50=""),"",$AA50-AG50)</f>
        <v>-1056.2599999999948</v>
      </c>
      <c r="AJ50" s="462">
        <f t="shared" ref="AJ50:AJ71" si="19">IFERROR(AA50/AA$20,0)</f>
        <v>0.82835927770859286</v>
      </c>
      <c r="AK50" s="463">
        <f t="shared" ref="AK50:AK71" si="20">IFERROR(AD50/AD$20,0)</f>
        <v>0.84518472395184729</v>
      </c>
      <c r="AL50" s="464">
        <f t="shared" ref="AL50:AL71" si="21">IFERROR(AG50/AG$20,0)</f>
        <v>0.85028248235782489</v>
      </c>
      <c r="AM50" s="465" t="str">
        <f t="shared" ref="AM50:AM71" si="22">+IFERROR(ROUND(($AB50-AE50)*100,2)&amp;" pts.",0)</f>
        <v>-0.01 pts.</v>
      </c>
      <c r="AN50" s="466" t="str">
        <f t="shared" ref="AN50:AN71" si="23">+IFERROR(ROUND(($AB50-AH50)*100,2)&amp;" pts.",0)</f>
        <v>-0.07 pts.</v>
      </c>
      <c r="AO50" s="11"/>
    </row>
    <row r="51" spans="1:41" x14ac:dyDescent="0.25">
      <c r="A51" s="65" t="s">
        <v>5</v>
      </c>
      <c r="B51" s="66"/>
      <c r="C51" s="11"/>
      <c r="D51" s="11"/>
      <c r="E51" s="11"/>
      <c r="F51" s="11"/>
      <c r="G51" s="11"/>
      <c r="H51" s="88" t="s">
        <v>829</v>
      </c>
      <c r="I51" s="122" t="str">
        <f>IF(_epmOfflineCondition_,"N",_xll.EVPRO($B$1,$H51,"STYLE"))</f>
        <v>N</v>
      </c>
      <c r="J51" s="122" t="str">
        <f>IF(_epmOfflineCondition_,"N",_xll.EVPRO($B$1,$H51,"CALC"))</f>
        <v>N</v>
      </c>
      <c r="K51" s="179" t="str">
        <f t="shared" si="12"/>
        <v/>
      </c>
      <c r="L51" s="90" t="str">
        <f>IF(_epmOfflineCondition_,"701200",_xll.EVPRO($B$1,H51,"JDEID"))</f>
        <v>701200</v>
      </c>
      <c r="M51" s="90" t="str">
        <f>IF(_epmOfflineCondition_,"690010",IF(AND(I51="N",J51="N"),_xll.EVPRO($B$1,H51,"PSFTID"),""))</f>
        <v>690010</v>
      </c>
      <c r="N51" s="90" t="str">
        <f>IF(_epmOfflineCondition_,"Postage and Overnight Delivery",IF(_xll.EVDES(H51,$B$1)="#NODATA","",_xll.EVDES(H51,$B$1)))</f>
        <v>Postage and Overnight Delivery</v>
      </c>
      <c r="O51" s="138"/>
      <c r="P51" s="138"/>
      <c r="Q51" s="138">
        <v>110.8</v>
      </c>
      <c r="R51" s="138"/>
      <c r="S51" s="138"/>
      <c r="T51" s="138"/>
      <c r="U51" s="138"/>
      <c r="V51" s="138"/>
      <c r="W51" s="138"/>
      <c r="X51" s="138"/>
      <c r="Y51" s="138"/>
      <c r="Z51" s="138"/>
      <c r="AA51" s="231">
        <f t="shared" si="13"/>
        <v>110.8</v>
      </c>
      <c r="AB51" s="142">
        <f t="shared" si="14"/>
        <v>7.5206652626276966E-6</v>
      </c>
      <c r="AC51" s="140"/>
      <c r="AD51" s="138">
        <v>996</v>
      </c>
      <c r="AE51" s="142">
        <f t="shared" si="15"/>
        <v>6.8100788527282317E-5</v>
      </c>
      <c r="AF51" s="141">
        <f t="shared" si="16"/>
        <v>-885.2</v>
      </c>
      <c r="AG51" s="138"/>
      <c r="AH51" s="142" t="str">
        <f t="shared" si="17"/>
        <v/>
      </c>
      <c r="AI51" s="141">
        <f t="shared" si="18"/>
        <v>110.8</v>
      </c>
      <c r="AJ51" s="462">
        <f t="shared" si="19"/>
        <v>2.299709422997094E-3</v>
      </c>
      <c r="AK51" s="463">
        <f t="shared" si="20"/>
        <v>2.0672478206724781E-2</v>
      </c>
      <c r="AL51" s="464">
        <f t="shared" si="21"/>
        <v>0</v>
      </c>
      <c r="AM51" s="465" t="str">
        <f t="shared" si="22"/>
        <v>-0.01 pts.</v>
      </c>
      <c r="AN51" s="466">
        <f t="shared" si="23"/>
        <v>0</v>
      </c>
      <c r="AO51" s="11"/>
    </row>
    <row r="52" spans="1:41" x14ac:dyDescent="0.25">
      <c r="A52" s="65" t="s">
        <v>6</v>
      </c>
      <c r="B52" s="66"/>
      <c r="C52" s="11"/>
      <c r="D52" s="11"/>
      <c r="E52" s="11"/>
      <c r="F52" s="11"/>
      <c r="G52" s="11"/>
      <c r="H52" s="88" t="s">
        <v>855</v>
      </c>
      <c r="I52" s="122" t="str">
        <f>IF(_epmOfflineCondition_,"N",_xll.EVPRO($B$1,$H52,"STYLE"))</f>
        <v>N</v>
      </c>
      <c r="J52" s="122" t="str">
        <f>IF(_epmOfflineCondition_,"N",_xll.EVPRO($B$1,$H52,"CALC"))</f>
        <v>N</v>
      </c>
      <c r="K52" s="179" t="str">
        <f t="shared" si="12"/>
        <v/>
      </c>
      <c r="L52" s="90" t="str">
        <f>IF(_epmOfflineCondition_,"701300",_xll.EVPRO($B$1,H52,"JDEID"))</f>
        <v>701300</v>
      </c>
      <c r="M52" s="90" t="str">
        <f>IF(_epmOfflineCondition_,"690205",IF(AND(I52="N",J52="N"),_xll.EVPRO($B$1,H52,"PSFTID"),""))</f>
        <v>690205</v>
      </c>
      <c r="N52" s="90" t="str">
        <f>IF(_epmOfflineCondition_,"Printing &amp; Stationery",IF(_xll.EVDES(H52,$B$1)="#NODATA","",_xll.EVDES(H52,$B$1)))</f>
        <v>Printing &amp; Stationery</v>
      </c>
      <c r="O52" s="138"/>
      <c r="P52" s="138"/>
      <c r="Q52" s="138"/>
      <c r="R52" s="138"/>
      <c r="S52" s="138"/>
      <c r="T52" s="138"/>
      <c r="U52" s="138"/>
      <c r="V52" s="138">
        <v>277.48</v>
      </c>
      <c r="W52" s="138">
        <v>-277.48</v>
      </c>
      <c r="X52" s="138"/>
      <c r="Y52" s="138"/>
      <c r="Z52" s="138"/>
      <c r="AA52" s="231">
        <f t="shared" si="13"/>
        <v>0</v>
      </c>
      <c r="AB52" s="142" t="str">
        <f t="shared" si="14"/>
        <v/>
      </c>
      <c r="AC52" s="140"/>
      <c r="AD52" s="138"/>
      <c r="AE52" s="142" t="str">
        <f t="shared" si="15"/>
        <v/>
      </c>
      <c r="AF52" s="141">
        <f t="shared" si="16"/>
        <v>0</v>
      </c>
      <c r="AG52" s="138">
        <v>0</v>
      </c>
      <c r="AH52" s="142" t="str">
        <f t="shared" si="17"/>
        <v/>
      </c>
      <c r="AI52" s="141">
        <f t="shared" si="18"/>
        <v>0</v>
      </c>
      <c r="AJ52" s="462">
        <f t="shared" si="19"/>
        <v>0</v>
      </c>
      <c r="AK52" s="463">
        <f t="shared" si="20"/>
        <v>0</v>
      </c>
      <c r="AL52" s="464">
        <f t="shared" si="21"/>
        <v>0</v>
      </c>
      <c r="AM52" s="465">
        <f t="shared" si="22"/>
        <v>0</v>
      </c>
      <c r="AN52" s="466">
        <f t="shared" si="23"/>
        <v>0</v>
      </c>
      <c r="AO52" s="11"/>
    </row>
    <row r="53" spans="1:41" x14ac:dyDescent="0.25">
      <c r="A53" s="65" t="s">
        <v>7</v>
      </c>
      <c r="B53" s="66"/>
      <c r="C53" s="11"/>
      <c r="D53" s="11"/>
      <c r="E53" s="11"/>
      <c r="F53" s="11"/>
      <c r="G53" s="11"/>
      <c r="H53" s="88" t="s">
        <v>831</v>
      </c>
      <c r="I53" s="122" t="str">
        <f>IF(_epmOfflineCondition_,"T4",_xll.EVPRO($B$1,$H53,"STYLE"))</f>
        <v>T4</v>
      </c>
      <c r="J53" s="122" t="str">
        <f>IF(_epmOfflineCondition_,"Y",_xll.EVPRO($B$1,$H53,"CALC"))</f>
        <v>Y</v>
      </c>
      <c r="K53" s="179" t="str">
        <f t="shared" si="12"/>
        <v>&gt;</v>
      </c>
      <c r="L53" s="90" t="str">
        <f>IF(_epmOfflineCondition_,"701500",_xll.EVPRO($B$1,H53,"JDEID"))</f>
        <v>701500</v>
      </c>
      <c r="M53" s="90" t="str">
        <f>IF(_epmOfflineCondition_,"",IF(AND(I53="N",J53="N"),_xll.EVPRO($B$1,H53,"PSFTID"),""))</f>
        <v/>
      </c>
      <c r="N53" s="90" t="str">
        <f>IF(_epmOfflineCondition_,"Operating Supplies",IF(_xll.EVDES(H53,$B$1)="#NODATA","",_xll.EVDES(H53,$B$1)))</f>
        <v>Operating Supplies</v>
      </c>
      <c r="O53" s="138"/>
      <c r="P53" s="138"/>
      <c r="Q53" s="138"/>
      <c r="R53" s="138"/>
      <c r="S53" s="138"/>
      <c r="T53" s="138">
        <v>11.21</v>
      </c>
      <c r="U53" s="138">
        <v>18.14</v>
      </c>
      <c r="V53" s="138"/>
      <c r="W53" s="138">
        <v>277.48</v>
      </c>
      <c r="X53" s="138"/>
      <c r="Y53" s="138">
        <v>80.989999999999995</v>
      </c>
      <c r="Z53" s="138">
        <v>369.63</v>
      </c>
      <c r="AA53" s="231">
        <f t="shared" si="13"/>
        <v>757.45</v>
      </c>
      <c r="AB53" s="142">
        <f t="shared" si="14"/>
        <v>5.1412706707376804E-5</v>
      </c>
      <c r="AC53" s="140"/>
      <c r="AD53" s="138">
        <v>900</v>
      </c>
      <c r="AE53" s="142">
        <f t="shared" si="15"/>
        <v>6.1536857102965941E-5</v>
      </c>
      <c r="AF53" s="141">
        <f t="shared" si="16"/>
        <v>-142.54999999999995</v>
      </c>
      <c r="AG53" s="138">
        <v>236.52</v>
      </c>
      <c r="AH53" s="142">
        <f t="shared" si="17"/>
        <v>1.9864738999964191E-5</v>
      </c>
      <c r="AI53" s="141">
        <f t="shared" si="18"/>
        <v>520.93000000000006</v>
      </c>
      <c r="AJ53" s="462">
        <f t="shared" si="19"/>
        <v>1.5721253632212537E-2</v>
      </c>
      <c r="AK53" s="463">
        <f t="shared" si="20"/>
        <v>1.86799501867995E-2</v>
      </c>
      <c r="AL53" s="464">
        <f t="shared" si="21"/>
        <v>4.909090909090909E-3</v>
      </c>
      <c r="AM53" s="465" t="str">
        <f t="shared" si="22"/>
        <v>0 pts.</v>
      </c>
      <c r="AN53" s="466" t="str">
        <f t="shared" si="23"/>
        <v>0 pts.</v>
      </c>
      <c r="AO53" s="11"/>
    </row>
    <row r="54" spans="1:41" x14ac:dyDescent="0.25">
      <c r="A54" s="65" t="s">
        <v>47</v>
      </c>
      <c r="B54" s="66" t="str">
        <f>IF(_epmOfflineCondition_,"'SM'!$A$59:$B$80",_xll.EVRNG($A$59:$B$80))</f>
        <v>'SM'!$A$59:$B$80</v>
      </c>
      <c r="C54" s="11"/>
      <c r="D54" s="11"/>
      <c r="E54" s="11"/>
      <c r="F54" s="11"/>
      <c r="G54" s="11"/>
      <c r="H54" s="88" t="s">
        <v>832</v>
      </c>
      <c r="I54" s="122" t="str">
        <f>IF(_epmOfflineCondition_,"T4",_xll.EVPRO($B$1,$H54,"STYLE"))</f>
        <v>T4</v>
      </c>
      <c r="J54" s="122" t="str">
        <f>IF(_epmOfflineCondition_,"Y",_xll.EVPRO($B$1,$H54,"CALC"))</f>
        <v>Y</v>
      </c>
      <c r="K54" s="179" t="str">
        <f t="shared" si="12"/>
        <v>&gt;</v>
      </c>
      <c r="L54" s="90" t="str">
        <f>IF(_epmOfflineCondition_,"",_xll.EVPRO($B$1,H54,"JDEID"))</f>
        <v/>
      </c>
      <c r="M54" s="90" t="str">
        <f>IF(_epmOfflineCondition_,"",IF(AND(I54="N",J54="N"),_xll.EVPRO($B$1,H54,"PSFTID"),""))</f>
        <v/>
      </c>
      <c r="N54" s="90" t="str">
        <f>IF(_epmOfflineCondition_,"Contract Services",IF(_xll.EVDES(H54,$B$1)="#NODATA","",_xll.EVDES(H54,$B$1)))</f>
        <v>Contract Services</v>
      </c>
      <c r="O54" s="138">
        <v>732.33</v>
      </c>
      <c r="P54" s="138">
        <v>3292.33</v>
      </c>
      <c r="Q54" s="138">
        <v>456.39</v>
      </c>
      <c r="R54" s="138">
        <v>512.03</v>
      </c>
      <c r="S54" s="138">
        <v>496.02</v>
      </c>
      <c r="T54" s="138">
        <v>534.34</v>
      </c>
      <c r="U54" s="138">
        <v>490.19</v>
      </c>
      <c r="V54" s="138">
        <v>137.83000000000001</v>
      </c>
      <c r="W54" s="138">
        <v>489.61</v>
      </c>
      <c r="X54" s="138">
        <v>489</v>
      </c>
      <c r="Y54" s="138">
        <v>-1021</v>
      </c>
      <c r="Z54" s="138">
        <v>2150.9699999999998</v>
      </c>
      <c r="AA54" s="231">
        <f t="shared" si="13"/>
        <v>8760.0399999999991</v>
      </c>
      <c r="AB54" s="142">
        <f t="shared" si="14"/>
        <v>5.9459682786307873E-4</v>
      </c>
      <c r="AC54" s="140"/>
      <c r="AD54" s="138">
        <v>10210</v>
      </c>
      <c r="AE54" s="142">
        <f t="shared" si="15"/>
        <v>6.9810145669031362E-4</v>
      </c>
      <c r="AF54" s="141">
        <f t="shared" si="16"/>
        <v>-1449.9600000000009</v>
      </c>
      <c r="AG54" s="138">
        <v>7298</v>
      </c>
      <c r="AH54" s="142">
        <f t="shared" si="17"/>
        <v>6.1294125326288959E-4</v>
      </c>
      <c r="AI54" s="141">
        <f t="shared" si="18"/>
        <v>1462.0399999999991</v>
      </c>
      <c r="AJ54" s="462">
        <f t="shared" si="19"/>
        <v>0.18181901203819009</v>
      </c>
      <c r="AK54" s="463">
        <f t="shared" si="20"/>
        <v>0.21191365711913657</v>
      </c>
      <c r="AL54" s="464">
        <f t="shared" si="21"/>
        <v>0.15147364051473641</v>
      </c>
      <c r="AM54" s="465" t="str">
        <f t="shared" si="22"/>
        <v>-0.01 pts.</v>
      </c>
      <c r="AN54" s="466" t="str">
        <f t="shared" si="23"/>
        <v>0 pts.</v>
      </c>
      <c r="AO54" s="11"/>
    </row>
    <row r="55" spans="1:41" x14ac:dyDescent="0.25">
      <c r="A55" s="65" t="s">
        <v>8</v>
      </c>
      <c r="B55" s="66"/>
      <c r="C55" s="11"/>
      <c r="D55" s="11"/>
      <c r="E55" s="11"/>
      <c r="F55" s="11"/>
      <c r="G55" s="11"/>
      <c r="H55" s="88" t="s">
        <v>833</v>
      </c>
      <c r="I55" s="122" t="str">
        <f>IF(_epmOfflineCondition_,"T4",_xll.EVPRO($B$1,$H55,"STYLE"))</f>
        <v>T4</v>
      </c>
      <c r="J55" s="122" t="str">
        <f>IF(_epmOfflineCondition_,"Y",_xll.EVPRO($B$1,$H55,"CALC"))</f>
        <v>Y</v>
      </c>
      <c r="K55" s="179" t="str">
        <f t="shared" si="12"/>
        <v>&gt;</v>
      </c>
      <c r="L55" s="90" t="str">
        <f>IF(_epmOfflineCondition_,"",_xll.EVPRO($B$1,H55,"JDEID"))</f>
        <v/>
      </c>
      <c r="M55" s="90" t="str">
        <f>IF(_epmOfflineCondition_,"",IF(AND(I55="N",J55="N"),_xll.EVPRO($B$1,H55,"PSFTID"),""))</f>
        <v/>
      </c>
      <c r="N55" s="90" t="str">
        <f>IF(_epmOfflineCondition_,"Travel - Other",IF(_xll.EVDES(H55,$B$1)="#NODATA","",_xll.EVDES(H55,$B$1)))</f>
        <v>Travel - Other</v>
      </c>
      <c r="O55" s="138"/>
      <c r="P55" s="138"/>
      <c r="Q55" s="138"/>
      <c r="R55" s="138">
        <v>1020</v>
      </c>
      <c r="S55" s="138">
        <v>1290.93</v>
      </c>
      <c r="T55" s="138">
        <v>71.989999999999995</v>
      </c>
      <c r="U55" s="138">
        <v>382.07</v>
      </c>
      <c r="V55" s="138"/>
      <c r="W55" s="138"/>
      <c r="X55" s="138">
        <v>1485.44</v>
      </c>
      <c r="Y55" s="138">
        <v>378.08</v>
      </c>
      <c r="Z55" s="138">
        <v>16.8</v>
      </c>
      <c r="AA55" s="231">
        <f t="shared" si="13"/>
        <v>4645.3100000000004</v>
      </c>
      <c r="AB55" s="142">
        <f t="shared" si="14"/>
        <v>3.1530524865647176E-4</v>
      </c>
      <c r="AC55" s="140"/>
      <c r="AD55" s="138">
        <v>3520</v>
      </c>
      <c r="AE55" s="142">
        <f t="shared" si="15"/>
        <v>2.4067748555826681E-4</v>
      </c>
      <c r="AF55" s="141">
        <f t="shared" si="16"/>
        <v>1125.3100000000004</v>
      </c>
      <c r="AG55" s="138"/>
      <c r="AH55" s="142" t="str">
        <f t="shared" si="17"/>
        <v/>
      </c>
      <c r="AI55" s="141">
        <f t="shared" si="18"/>
        <v>4645.3100000000004</v>
      </c>
      <c r="AJ55" s="462">
        <f t="shared" si="19"/>
        <v>9.6415732669157331E-2</v>
      </c>
      <c r="AK55" s="463">
        <f t="shared" si="20"/>
        <v>7.3059360730593603E-2</v>
      </c>
      <c r="AL55" s="464">
        <f t="shared" si="21"/>
        <v>0</v>
      </c>
      <c r="AM55" s="465" t="str">
        <f t="shared" si="22"/>
        <v>0.01 pts.</v>
      </c>
      <c r="AN55" s="466">
        <f t="shared" si="23"/>
        <v>0</v>
      </c>
      <c r="AO55" s="11"/>
    </row>
    <row r="56" spans="1:41" x14ac:dyDescent="0.25">
      <c r="A56" s="11"/>
      <c r="B56" s="11"/>
      <c r="C56" s="11"/>
      <c r="D56" s="11"/>
      <c r="E56" s="11"/>
      <c r="F56" s="11"/>
      <c r="G56" s="11"/>
      <c r="H56" s="88" t="s">
        <v>834</v>
      </c>
      <c r="I56" s="122" t="str">
        <f>IF(_epmOfflineCondition_,"T4",_xll.EVPRO($B$1,$H56,"STYLE"))</f>
        <v>T4</v>
      </c>
      <c r="J56" s="122" t="str">
        <f>IF(_epmOfflineCondition_,"Y",_xll.EVPRO($B$1,$H56,"CALC"))</f>
        <v>Y</v>
      </c>
      <c r="K56" s="179" t="str">
        <f t="shared" si="12"/>
        <v>&gt;</v>
      </c>
      <c r="L56" s="90" t="str">
        <f>IF(_epmOfflineCondition_,"702900",_xll.EVPRO($B$1,H56,"JDEID"))</f>
        <v>702900</v>
      </c>
      <c r="M56" s="90" t="str">
        <f>IF(_epmOfflineCondition_,"",IF(AND(I56="N",J56="N"),_xll.EVPRO($B$1,H56,"PSFTID"),""))</f>
        <v/>
      </c>
      <c r="N56" s="90" t="str">
        <f>IF(_epmOfflineCondition_,"Travel - Meals &amp; Entertainment",IF(_xll.EVDES(H56,$B$1)="#NODATA","",_xll.EVDES(H56,$B$1)))</f>
        <v>Travel - Meals &amp; Entertainment</v>
      </c>
      <c r="O56" s="138"/>
      <c r="P56" s="138"/>
      <c r="Q56" s="138"/>
      <c r="R56" s="138">
        <v>250</v>
      </c>
      <c r="S56" s="138">
        <v>165.03</v>
      </c>
      <c r="T56" s="138"/>
      <c r="U56" s="138"/>
      <c r="V56" s="138"/>
      <c r="W56" s="138"/>
      <c r="X56" s="138">
        <v>131.69</v>
      </c>
      <c r="Y56" s="138">
        <v>293.04000000000002</v>
      </c>
      <c r="Z56" s="138"/>
      <c r="AA56" s="231">
        <f t="shared" si="13"/>
        <v>839.76</v>
      </c>
      <c r="AB56" s="142">
        <f t="shared" si="14"/>
        <v>5.6999583582529199E-5</v>
      </c>
      <c r="AC56" s="140"/>
      <c r="AD56" s="138">
        <v>4000</v>
      </c>
      <c r="AE56" s="142">
        <f t="shared" si="15"/>
        <v>2.7349714267984866E-4</v>
      </c>
      <c r="AF56" s="141">
        <f t="shared" si="16"/>
        <v>-3160.24</v>
      </c>
      <c r="AG56" s="138"/>
      <c r="AH56" s="142" t="str">
        <f t="shared" si="17"/>
        <v/>
      </c>
      <c r="AI56" s="141">
        <f t="shared" si="18"/>
        <v>839.76</v>
      </c>
      <c r="AJ56" s="462">
        <f t="shared" si="19"/>
        <v>1.7429638854296388E-2</v>
      </c>
      <c r="AK56" s="463">
        <f t="shared" si="20"/>
        <v>8.3022000830220002E-2</v>
      </c>
      <c r="AL56" s="464">
        <f t="shared" si="21"/>
        <v>0</v>
      </c>
      <c r="AM56" s="465" t="str">
        <f t="shared" si="22"/>
        <v>-0.02 pts.</v>
      </c>
      <c r="AN56" s="466">
        <f t="shared" si="23"/>
        <v>0</v>
      </c>
      <c r="AO56" s="11"/>
    </row>
    <row r="57" spans="1:41" x14ac:dyDescent="0.25">
      <c r="A57" s="11"/>
      <c r="B57" s="11"/>
      <c r="C57" s="11"/>
      <c r="D57" s="11"/>
      <c r="E57" s="11"/>
      <c r="F57" s="11"/>
      <c r="G57" s="11"/>
      <c r="H57" s="88" t="s">
        <v>873</v>
      </c>
      <c r="I57" s="122" t="str">
        <f>IF(_epmOfflineCondition_,"T4",_xll.EVPRO($B$1,$H57,"STYLE"))</f>
        <v>T4</v>
      </c>
      <c r="J57" s="122" t="str">
        <f>IF(_epmOfflineCondition_,"Y",_xll.EVPRO($B$1,$H57,"CALC"))</f>
        <v>Y</v>
      </c>
      <c r="K57" s="179" t="str">
        <f t="shared" si="12"/>
        <v>&gt;</v>
      </c>
      <c r="L57" s="90" t="str">
        <f>IF(_epmOfflineCondition_,"703000",_xll.EVPRO($B$1,H57,"JDEID"))</f>
        <v>703000</v>
      </c>
      <c r="M57" s="90" t="str">
        <f>IF(_epmOfflineCondition_,"",IF(AND(I57="N",J57="N"),_xll.EVPRO($B$1,H57,"PSFTID"),""))</f>
        <v/>
      </c>
      <c r="N57" s="90" t="str">
        <f>IF(_epmOfflineCondition_,"Complimentary Services &amp; Gifts",IF(_xll.EVDES(H57,$B$1)="#NODATA","",_xll.EVDES(H57,$B$1)))</f>
        <v>Complimentary Services &amp; Gifts</v>
      </c>
      <c r="O57" s="138"/>
      <c r="P57" s="138"/>
      <c r="Q57" s="138">
        <v>670.69</v>
      </c>
      <c r="R57" s="138">
        <v>426.25</v>
      </c>
      <c r="S57" s="138">
        <v>500</v>
      </c>
      <c r="T57" s="138">
        <v>126.45</v>
      </c>
      <c r="U57" s="138">
        <v>75</v>
      </c>
      <c r="V57" s="138"/>
      <c r="W57" s="138">
        <v>581.1</v>
      </c>
      <c r="X57" s="138">
        <v>103.99</v>
      </c>
      <c r="Y57" s="138">
        <v>138.19999999999999</v>
      </c>
      <c r="Z57" s="138">
        <v>1126</v>
      </c>
      <c r="AA57" s="231">
        <f t="shared" si="13"/>
        <v>3747.68</v>
      </c>
      <c r="AB57" s="142">
        <f t="shared" si="14"/>
        <v>2.5437767862314593E-4</v>
      </c>
      <c r="AC57" s="140"/>
      <c r="AD57" s="138">
        <v>5100</v>
      </c>
      <c r="AE57" s="142">
        <f t="shared" si="15"/>
        <v>3.4870885691680703E-4</v>
      </c>
      <c r="AF57" s="141">
        <f t="shared" si="16"/>
        <v>-1352.3200000000002</v>
      </c>
      <c r="AG57" s="138">
        <v>158.4</v>
      </c>
      <c r="AH57" s="142">
        <f t="shared" si="17"/>
        <v>1.3303630380493522E-5</v>
      </c>
      <c r="AI57" s="141">
        <f t="shared" si="18"/>
        <v>3589.2799999999997</v>
      </c>
      <c r="AJ57" s="462">
        <f t="shared" si="19"/>
        <v>7.7784973017849729E-2</v>
      </c>
      <c r="AK57" s="463">
        <f t="shared" si="20"/>
        <v>0.10585305105853052</v>
      </c>
      <c r="AL57" s="464">
        <f t="shared" si="21"/>
        <v>3.2876712328767125E-3</v>
      </c>
      <c r="AM57" s="465" t="str">
        <f t="shared" si="22"/>
        <v>-0.01 pts.</v>
      </c>
      <c r="AN57" s="466" t="str">
        <f t="shared" si="23"/>
        <v>0.02 pts.</v>
      </c>
      <c r="AO57" s="11"/>
    </row>
    <row r="58" spans="1:41" x14ac:dyDescent="0.25">
      <c r="A58" s="62" t="s">
        <v>23</v>
      </c>
      <c r="B58" s="63" t="s">
        <v>24</v>
      </c>
      <c r="C58" s="11"/>
      <c r="D58" s="11"/>
      <c r="E58" s="11"/>
      <c r="F58" s="11"/>
      <c r="G58" s="11"/>
      <c r="H58" s="88" t="s">
        <v>874</v>
      </c>
      <c r="I58" s="122" t="str">
        <f>IF(_epmOfflineCondition_,"N",_xll.EVPRO($B$1,$H58,"STYLE"))</f>
        <v>N</v>
      </c>
      <c r="J58" s="122" t="str">
        <f>IF(_epmOfflineCondition_,"N",_xll.EVPRO($B$1,$H58,"CALC"))</f>
        <v>N</v>
      </c>
      <c r="K58" s="179" t="str">
        <f t="shared" si="12"/>
        <v/>
      </c>
      <c r="L58" s="90" t="str">
        <f>IF(_epmOfflineCondition_,"703100",_xll.EVPRO($B$1,H58,"JDEID"))</f>
        <v>703100</v>
      </c>
      <c r="M58" s="90" t="str">
        <f>IF(_epmOfflineCondition_,"690035",IF(AND(I58="N",J58="N"),_xll.EVPRO($B$1,H58,"PSFTID"),""))</f>
        <v>690035</v>
      </c>
      <c r="N58" s="90" t="str">
        <f>IF(_epmOfflineCondition_,"Training",IF(_xll.EVDES(H58,$B$1)="#NODATA","",_xll.EVDES(H58,$B$1)))</f>
        <v>Training</v>
      </c>
      <c r="O58" s="138"/>
      <c r="P58" s="138"/>
      <c r="Q58" s="138"/>
      <c r="R58" s="138"/>
      <c r="S58" s="138"/>
      <c r="T58" s="138"/>
      <c r="U58" s="138"/>
      <c r="V58" s="138"/>
      <c r="W58" s="138"/>
      <c r="X58" s="138"/>
      <c r="Y58" s="138"/>
      <c r="Z58" s="138"/>
      <c r="AA58" s="231">
        <f t="shared" si="13"/>
        <v>0</v>
      </c>
      <c r="AB58" s="142" t="str">
        <f t="shared" si="14"/>
        <v/>
      </c>
      <c r="AC58" s="140"/>
      <c r="AD58" s="138">
        <v>280</v>
      </c>
      <c r="AE58" s="142">
        <f t="shared" si="15"/>
        <v>1.9144799987589405E-5</v>
      </c>
      <c r="AF58" s="141">
        <f t="shared" si="16"/>
        <v>-280</v>
      </c>
      <c r="AG58" s="138"/>
      <c r="AH58" s="142" t="str">
        <f t="shared" si="17"/>
        <v/>
      </c>
      <c r="AI58" s="141">
        <f t="shared" si="18"/>
        <v>0</v>
      </c>
      <c r="AJ58" s="462">
        <f t="shared" si="19"/>
        <v>0</v>
      </c>
      <c r="AK58" s="463">
        <f t="shared" si="20"/>
        <v>5.811540058115401E-3</v>
      </c>
      <c r="AL58" s="464">
        <f t="shared" si="21"/>
        <v>0</v>
      </c>
      <c r="AM58" s="465">
        <f t="shared" si="22"/>
        <v>0</v>
      </c>
      <c r="AN58" s="466">
        <f t="shared" si="23"/>
        <v>0</v>
      </c>
      <c r="AO58" s="11"/>
    </row>
    <row r="59" spans="1:41" x14ac:dyDescent="0.25">
      <c r="A59" s="65" t="s">
        <v>25</v>
      </c>
      <c r="B59" s="66"/>
      <c r="C59" s="11"/>
      <c r="D59" s="11"/>
      <c r="E59" s="11"/>
      <c r="F59" s="11"/>
      <c r="G59" s="11"/>
      <c r="H59" s="88" t="s">
        <v>875</v>
      </c>
      <c r="I59" s="122" t="str">
        <f>IF(_epmOfflineCondition_,"N",_xll.EVPRO($B$1,$H59,"STYLE"))</f>
        <v>N</v>
      </c>
      <c r="J59" s="122" t="str">
        <f>IF(_epmOfflineCondition_,"N",_xll.EVPRO($B$1,$H59,"CALC"))</f>
        <v>N</v>
      </c>
      <c r="K59" s="179" t="str">
        <f t="shared" si="12"/>
        <v/>
      </c>
      <c r="L59" s="90" t="str">
        <f>IF(_epmOfflineCondition_,"703300",_xll.EVPRO($B$1,H59,"JDEID"))</f>
        <v>703300</v>
      </c>
      <c r="M59" s="90" t="str">
        <f>IF(_epmOfflineCondition_,"590115",IF(AND(I59="N",J59="N"),_xll.EVPRO($B$1,H59,"PSFTID"),""))</f>
        <v>590115</v>
      </c>
      <c r="N59" s="90" t="str">
        <f>IF(_epmOfflineCondition_,"Uniforms Laundry",IF(_xll.EVDES(H59,$B$1)="#NODATA","",_xll.EVDES(H59,$B$1)))</f>
        <v>Uniforms Laundry</v>
      </c>
      <c r="O59" s="138"/>
      <c r="P59" s="138"/>
      <c r="Q59" s="138">
        <v>121.6</v>
      </c>
      <c r="R59" s="138">
        <v>-60.8</v>
      </c>
      <c r="S59" s="138">
        <v>193.4</v>
      </c>
      <c r="T59" s="138"/>
      <c r="U59" s="138"/>
      <c r="V59" s="138">
        <v>89.63</v>
      </c>
      <c r="W59" s="138">
        <v>89.72</v>
      </c>
      <c r="X59" s="138">
        <v>74.599999999999994</v>
      </c>
      <c r="Y59" s="138">
        <v>50.43</v>
      </c>
      <c r="Z59" s="138">
        <v>167.36</v>
      </c>
      <c r="AA59" s="231">
        <f t="shared" si="13"/>
        <v>725.93999999999994</v>
      </c>
      <c r="AB59" s="142">
        <f t="shared" si="14"/>
        <v>4.9273932678266698E-5</v>
      </c>
      <c r="AC59" s="140"/>
      <c r="AD59" s="138"/>
      <c r="AE59" s="142" t="str">
        <f t="shared" si="15"/>
        <v/>
      </c>
      <c r="AF59" s="141">
        <f t="shared" si="16"/>
        <v>725.93999999999994</v>
      </c>
      <c r="AG59" s="138">
        <v>117.6</v>
      </c>
      <c r="AH59" s="142">
        <f t="shared" si="17"/>
        <v>9.8769377067300387E-6</v>
      </c>
      <c r="AI59" s="141">
        <f t="shared" si="18"/>
        <v>608.33999999999992</v>
      </c>
      <c r="AJ59" s="462">
        <f t="shared" si="19"/>
        <v>1.5067247820672477E-2</v>
      </c>
      <c r="AK59" s="463">
        <f t="shared" si="20"/>
        <v>0</v>
      </c>
      <c r="AL59" s="464">
        <f t="shared" si="21"/>
        <v>2.4408468244084681E-3</v>
      </c>
      <c r="AM59" s="465">
        <f t="shared" si="22"/>
        <v>0</v>
      </c>
      <c r="AN59" s="466" t="str">
        <f t="shared" si="23"/>
        <v>0 pts.</v>
      </c>
      <c r="AO59" s="11"/>
    </row>
    <row r="60" spans="1:41" x14ac:dyDescent="0.25">
      <c r="A60" s="65" t="s">
        <v>26</v>
      </c>
      <c r="B60" s="66"/>
      <c r="C60" s="11"/>
      <c r="D60" s="11"/>
      <c r="E60" s="11"/>
      <c r="F60" s="11"/>
      <c r="G60" s="11"/>
      <c r="H60" s="88" t="s">
        <v>844</v>
      </c>
      <c r="I60" s="122" t="str">
        <f>IF(_epmOfflineCondition_,"T4",_xll.EVPRO($B$1,$H60,"STYLE"))</f>
        <v>T4</v>
      </c>
      <c r="J60" s="122" t="str">
        <f>IF(_epmOfflineCondition_,"Y",_xll.EVPRO($B$1,$H60,"CALC"))</f>
        <v>Y</v>
      </c>
      <c r="K60" s="179" t="str">
        <f t="shared" si="12"/>
        <v>&gt;</v>
      </c>
      <c r="L60" s="90" t="str">
        <f>IF(_epmOfflineCondition_,"706500",_xll.EVPRO($B$1,H60,"JDEID"))</f>
        <v>706500</v>
      </c>
      <c r="M60" s="90" t="str">
        <f>IF(_epmOfflineCondition_,"",IF(AND(I60="N",J60="N"),_xll.EVPRO($B$1,H60,"PSFTID"),""))</f>
        <v/>
      </c>
      <c r="N60" s="90" t="str">
        <f>IF(_epmOfflineCondition_,"Corporate Office Reimbursement",IF(_xll.EVDES(H60,$B$1)="#NODATA","",_xll.EVDES(H60,$B$1)))</f>
        <v>Corporate Office Reimbursement</v>
      </c>
      <c r="O60" s="138">
        <v>24815.73</v>
      </c>
      <c r="P60" s="138">
        <v>22722.71</v>
      </c>
      <c r="Q60" s="138">
        <v>25948.21</v>
      </c>
      <c r="R60" s="138">
        <v>25514.51</v>
      </c>
      <c r="S60" s="138">
        <v>21500</v>
      </c>
      <c r="T60" s="138">
        <v>12500</v>
      </c>
      <c r="U60" s="138">
        <v>16878.95</v>
      </c>
      <c r="V60" s="138">
        <v>12558.79</v>
      </c>
      <c r="W60" s="138">
        <v>9882.01</v>
      </c>
      <c r="X60" s="138">
        <v>12943.94</v>
      </c>
      <c r="Y60" s="138">
        <v>18005.96</v>
      </c>
      <c r="Z60" s="138">
        <v>22932.68</v>
      </c>
      <c r="AA60" s="231">
        <f t="shared" si="13"/>
        <v>226203.49</v>
      </c>
      <c r="AB60" s="142">
        <f t="shared" si="14"/>
        <v>1.5353797197907505E-2</v>
      </c>
      <c r="AC60" s="140"/>
      <c r="AD60" s="138">
        <v>209950.2262</v>
      </c>
      <c r="AE60" s="142">
        <f t="shared" si="15"/>
        <v>1.4355196742671975E-2</v>
      </c>
      <c r="AF60" s="141">
        <f t="shared" si="16"/>
        <v>16253.263799999986</v>
      </c>
      <c r="AG60" s="138">
        <v>183219.09</v>
      </c>
      <c r="AH60" s="142">
        <f t="shared" si="17"/>
        <v>1.5388125328348337E-2</v>
      </c>
      <c r="AI60" s="141">
        <f t="shared" si="18"/>
        <v>42984.399999999994</v>
      </c>
      <c r="AJ60" s="462">
        <f t="shared" si="19"/>
        <v>4.6949665836446659</v>
      </c>
      <c r="AK60" s="463">
        <f t="shared" si="20"/>
        <v>4.3576219634703195</v>
      </c>
      <c r="AL60" s="464">
        <f t="shared" si="21"/>
        <v>3.8028038605230385</v>
      </c>
      <c r="AM60" s="465" t="str">
        <f t="shared" si="22"/>
        <v>0.1 pts.</v>
      </c>
      <c r="AN60" s="466" t="str">
        <f t="shared" si="23"/>
        <v>0 pts.</v>
      </c>
      <c r="AO60" s="11"/>
    </row>
    <row r="61" spans="1:41" x14ac:dyDescent="0.25">
      <c r="A61" s="65" t="s">
        <v>27</v>
      </c>
      <c r="B61" s="66"/>
      <c r="C61" s="11"/>
      <c r="D61" s="11"/>
      <c r="E61" s="11"/>
      <c r="F61" s="11"/>
      <c r="G61" s="11"/>
      <c r="H61" s="88" t="s">
        <v>941</v>
      </c>
      <c r="I61" s="122" t="str">
        <f>IF(_epmOfflineCondition_,"T4",_xll.EVPRO($B$1,$H61,"STYLE"))</f>
        <v>T4</v>
      </c>
      <c r="J61" s="122" t="str">
        <f>IF(_epmOfflineCondition_,"Y",_xll.EVPRO($B$1,$H61,"CALC"))</f>
        <v>Y</v>
      </c>
      <c r="K61" s="179" t="str">
        <f t="shared" si="12"/>
        <v>&gt;</v>
      </c>
      <c r="L61" s="90" t="str">
        <f>IF(_epmOfflineCondition_,"711100",_xll.EVPRO($B$1,H61,"JDEID"))</f>
        <v>711100</v>
      </c>
      <c r="M61" s="90" t="str">
        <f>IF(_epmOfflineCondition_,"",IF(AND(I61="N",J61="N"),_xll.EVPRO($B$1,H61,"PSFTID"),""))</f>
        <v/>
      </c>
      <c r="N61" s="90" t="str">
        <f>IF(_epmOfflineCondition_,"Promotion",IF(_xll.EVDES(H61,$B$1)="#NODATA","",_xll.EVDES(H61,$B$1)))</f>
        <v>Promotion</v>
      </c>
      <c r="O61" s="138">
        <v>197.29</v>
      </c>
      <c r="P61" s="138">
        <v>3406.21</v>
      </c>
      <c r="Q61" s="138">
        <v>1291.1400000000001</v>
      </c>
      <c r="R61" s="138">
        <v>3458.48</v>
      </c>
      <c r="S61" s="138">
        <v>2432.65</v>
      </c>
      <c r="T61" s="138">
        <v>3403.1</v>
      </c>
      <c r="U61" s="138">
        <v>4719.95</v>
      </c>
      <c r="V61" s="138">
        <v>1464.79</v>
      </c>
      <c r="W61" s="138">
        <v>741.65</v>
      </c>
      <c r="X61" s="138">
        <v>3617.72</v>
      </c>
      <c r="Y61" s="138">
        <v>1009.72</v>
      </c>
      <c r="Z61" s="138">
        <v>5210.6000000000004</v>
      </c>
      <c r="AA61" s="231">
        <f t="shared" si="13"/>
        <v>30953.300000000003</v>
      </c>
      <c r="AB61" s="142">
        <f t="shared" si="14"/>
        <v>2.1009874374882122E-3</v>
      </c>
      <c r="AC61" s="140"/>
      <c r="AD61" s="138">
        <v>24236.9999999996</v>
      </c>
      <c r="AE61" s="142">
        <f t="shared" si="15"/>
        <v>1.6571875617828456E-3</v>
      </c>
      <c r="AF61" s="141">
        <f t="shared" si="16"/>
        <v>6716.3000000004031</v>
      </c>
      <c r="AG61" s="138">
        <v>28523.42</v>
      </c>
      <c r="AH61" s="142">
        <f t="shared" si="17"/>
        <v>2.3956126064872251E-3</v>
      </c>
      <c r="AI61" s="141">
        <f t="shared" si="18"/>
        <v>2429.8800000000047</v>
      </c>
      <c r="AJ61" s="462">
        <f t="shared" si="19"/>
        <v>0.64245122457451231</v>
      </c>
      <c r="AK61" s="463">
        <f t="shared" si="20"/>
        <v>0.50305105853050225</v>
      </c>
      <c r="AL61" s="464">
        <f t="shared" si="21"/>
        <v>0.59201784973017846</v>
      </c>
      <c r="AM61" s="465" t="str">
        <f t="shared" si="22"/>
        <v>0.04 pts.</v>
      </c>
      <c r="AN61" s="466" t="str">
        <f t="shared" si="23"/>
        <v>-0.03 pts.</v>
      </c>
      <c r="AO61" s="11"/>
    </row>
    <row r="62" spans="1:41" x14ac:dyDescent="0.25">
      <c r="A62" s="65" t="s">
        <v>28</v>
      </c>
      <c r="B62" s="66"/>
      <c r="C62" s="11"/>
      <c r="D62" s="11"/>
      <c r="E62" s="11"/>
      <c r="F62" s="11"/>
      <c r="G62" s="11"/>
      <c r="H62" s="88" t="s">
        <v>942</v>
      </c>
      <c r="I62" s="122" t="str">
        <f>IF(_epmOfflineCondition_,"N",_xll.EVPRO($B$1,$H62,"STYLE"))</f>
        <v>N</v>
      </c>
      <c r="J62" s="122" t="str">
        <f>IF(_epmOfflineCondition_,"N",_xll.EVPRO($B$1,$H62,"CALC"))</f>
        <v>N</v>
      </c>
      <c r="K62" s="179" t="str">
        <f t="shared" si="12"/>
        <v/>
      </c>
      <c r="L62" s="90" t="str">
        <f>IF(_epmOfflineCondition_,"711200",_xll.EVPRO($B$1,H62,"JDEID"))</f>
        <v>711200</v>
      </c>
      <c r="M62" s="90" t="str">
        <f>IF(_epmOfflineCondition_,"690668",IF(AND(I62="N",J62="N"),_xll.EVPRO($B$1,H62,"PSFTID"),""))</f>
        <v>690668</v>
      </c>
      <c r="N62" s="90" t="str">
        <f>IF(_epmOfflineCondition_,"Fam Trips",IF(_xll.EVDES(H62,$B$1)="#NODATA","",_xll.EVDES(H62,$B$1)))</f>
        <v>Fam Trips</v>
      </c>
      <c r="O62" s="138"/>
      <c r="P62" s="138"/>
      <c r="Q62" s="138"/>
      <c r="R62" s="138"/>
      <c r="S62" s="138"/>
      <c r="T62" s="138"/>
      <c r="U62" s="138"/>
      <c r="V62" s="138"/>
      <c r="W62" s="138"/>
      <c r="X62" s="138"/>
      <c r="Y62" s="138"/>
      <c r="Z62" s="138"/>
      <c r="AA62" s="231">
        <f t="shared" si="13"/>
        <v>0</v>
      </c>
      <c r="AB62" s="142" t="str">
        <f t="shared" si="14"/>
        <v/>
      </c>
      <c r="AC62" s="140"/>
      <c r="AD62" s="138"/>
      <c r="AE62" s="142" t="str">
        <f t="shared" si="15"/>
        <v/>
      </c>
      <c r="AF62" s="141">
        <f t="shared" si="16"/>
        <v>0</v>
      </c>
      <c r="AG62" s="138">
        <v>333.33</v>
      </c>
      <c r="AH62" s="142">
        <f t="shared" si="17"/>
        <v>2.7995575219254453E-5</v>
      </c>
      <c r="AI62" s="141">
        <f t="shared" si="18"/>
        <v>-333.33</v>
      </c>
      <c r="AJ62" s="462">
        <f t="shared" si="19"/>
        <v>0</v>
      </c>
      <c r="AK62" s="463">
        <f t="shared" si="20"/>
        <v>0</v>
      </c>
      <c r="AL62" s="464">
        <f t="shared" si="21"/>
        <v>6.9184308841843088E-3</v>
      </c>
      <c r="AM62" s="465">
        <f t="shared" si="22"/>
        <v>0</v>
      </c>
      <c r="AN62" s="466">
        <f t="shared" si="23"/>
        <v>0</v>
      </c>
      <c r="AO62" s="11"/>
    </row>
    <row r="63" spans="1:41" x14ac:dyDescent="0.25">
      <c r="A63" s="65" t="s">
        <v>29</v>
      </c>
      <c r="B63" s="66"/>
      <c r="C63" s="11"/>
      <c r="D63" s="11"/>
      <c r="E63" s="11"/>
      <c r="F63" s="11"/>
      <c r="G63" s="11"/>
      <c r="H63" s="88" t="s">
        <v>943</v>
      </c>
      <c r="I63" s="122" t="str">
        <f>IF(_epmOfflineCondition_,"N",_xll.EVPRO($B$1,$H63,"STYLE"))</f>
        <v>N</v>
      </c>
      <c r="J63" s="122" t="str">
        <f>IF(_epmOfflineCondition_,"N",_xll.EVPRO($B$1,$H63,"CALC"))</f>
        <v>N</v>
      </c>
      <c r="K63" s="179" t="str">
        <f t="shared" si="12"/>
        <v/>
      </c>
      <c r="L63" s="90" t="str">
        <f>IF(_epmOfflineCondition_,"711400",_xll.EVPRO($B$1,H63,"JDEID"))</f>
        <v>711400</v>
      </c>
      <c r="M63" s="90" t="str">
        <f>IF(_epmOfflineCondition_,"690674",IF(AND(I63="N",J63="N"),_xll.EVPRO($B$1,H63,"PSFTID"),""))</f>
        <v>690674</v>
      </c>
      <c r="N63" s="90" t="str">
        <f>IF(_epmOfflineCondition_,"Trade Shows",IF(_xll.EVDES(H63,$B$1)="#NODATA","",_xll.EVDES(H63,$B$1)))</f>
        <v>Trade Shows</v>
      </c>
      <c r="O63" s="138">
        <v>42.62</v>
      </c>
      <c r="P63" s="138">
        <v>60.7</v>
      </c>
      <c r="Q63" s="138">
        <v>131.6</v>
      </c>
      <c r="R63" s="138">
        <v>85.84</v>
      </c>
      <c r="S63" s="138"/>
      <c r="T63" s="138">
        <v>97.38</v>
      </c>
      <c r="U63" s="138">
        <v>149.41</v>
      </c>
      <c r="V63" s="138">
        <v>81.22</v>
      </c>
      <c r="W63" s="138"/>
      <c r="X63" s="138"/>
      <c r="Y63" s="138">
        <v>1162.55</v>
      </c>
      <c r="Z63" s="138">
        <v>28.9</v>
      </c>
      <c r="AA63" s="231">
        <f t="shared" si="13"/>
        <v>1840.22</v>
      </c>
      <c r="AB63" s="142">
        <f t="shared" si="14"/>
        <v>1.249068468374796E-4</v>
      </c>
      <c r="AC63" s="140"/>
      <c r="AD63" s="138">
        <v>5400</v>
      </c>
      <c r="AE63" s="142">
        <f t="shared" si="15"/>
        <v>3.6922114261779565E-4</v>
      </c>
      <c r="AF63" s="141">
        <f t="shared" si="16"/>
        <v>-3559.7799999999997</v>
      </c>
      <c r="AG63" s="138">
        <v>453.97</v>
      </c>
      <c r="AH63" s="142">
        <f t="shared" si="17"/>
        <v>3.8127835125206086E-5</v>
      </c>
      <c r="AI63" s="141">
        <f t="shared" si="18"/>
        <v>1386.25</v>
      </c>
      <c r="AJ63" s="462">
        <f t="shared" si="19"/>
        <v>3.8194686591946865E-2</v>
      </c>
      <c r="AK63" s="463">
        <f t="shared" si="20"/>
        <v>0.11207970112079702</v>
      </c>
      <c r="AL63" s="464">
        <f t="shared" si="21"/>
        <v>9.4223744292237441E-3</v>
      </c>
      <c r="AM63" s="465" t="str">
        <f t="shared" si="22"/>
        <v>-0.02 pts.</v>
      </c>
      <c r="AN63" s="466" t="str">
        <f t="shared" si="23"/>
        <v>0.01 pts.</v>
      </c>
      <c r="AO63" s="11"/>
    </row>
    <row r="64" spans="1:41" x14ac:dyDescent="0.25">
      <c r="A64" s="65" t="s">
        <v>30</v>
      </c>
      <c r="B64" s="66" t="s">
        <v>78</v>
      </c>
      <c r="C64" s="11"/>
      <c r="D64" s="11"/>
      <c r="E64" s="11"/>
      <c r="F64" s="11"/>
      <c r="G64" s="11"/>
      <c r="H64" s="88" t="s">
        <v>944</v>
      </c>
      <c r="I64" s="122" t="str">
        <f>IF(_epmOfflineCondition_,"N",_xll.EVPRO($B$1,$H64,"STYLE"))</f>
        <v>N</v>
      </c>
      <c r="J64" s="122" t="str">
        <f>IF(_epmOfflineCondition_,"Y",_xll.EVPRO($B$1,$H64,"CALC"))</f>
        <v>Y</v>
      </c>
      <c r="K64" s="179" t="str">
        <f t="shared" si="12"/>
        <v/>
      </c>
      <c r="L64" s="90" t="str">
        <f>IF(_epmOfflineCondition_,"712100",_xll.EVPRO($B$1,H64,"JDEID"))</f>
        <v>712100</v>
      </c>
      <c r="M64" s="90" t="str">
        <f>IF(_epmOfflineCondition_,"",IF(AND(I64="N",J64="N"),_xll.EVPRO($B$1,H64,"PSFTID"),""))</f>
        <v/>
      </c>
      <c r="N64" s="90" t="str">
        <f>IF(_epmOfflineCondition_,"Collateral Materials",IF(_xll.EVDES(H64,$B$1)="#NODATA","",_xll.EVDES(H64,$B$1)))</f>
        <v>Collateral Materials</v>
      </c>
      <c r="O64" s="138"/>
      <c r="P64" s="138"/>
      <c r="Q64" s="138"/>
      <c r="R64" s="138"/>
      <c r="S64" s="138"/>
      <c r="T64" s="138"/>
      <c r="U64" s="138"/>
      <c r="V64" s="138"/>
      <c r="W64" s="138"/>
      <c r="X64" s="138"/>
      <c r="Y64" s="138"/>
      <c r="Z64" s="138"/>
      <c r="AA64" s="231">
        <f t="shared" si="13"/>
        <v>0</v>
      </c>
      <c r="AB64" s="142" t="str">
        <f t="shared" si="14"/>
        <v/>
      </c>
      <c r="AC64" s="140"/>
      <c r="AD64" s="138">
        <v>1200</v>
      </c>
      <c r="AE64" s="142">
        <f t="shared" si="15"/>
        <v>8.2049142803954588E-5</v>
      </c>
      <c r="AF64" s="141">
        <f t="shared" si="16"/>
        <v>-1200</v>
      </c>
      <c r="AG64" s="138">
        <v>0</v>
      </c>
      <c r="AH64" s="142" t="str">
        <f t="shared" si="17"/>
        <v/>
      </c>
      <c r="AI64" s="141">
        <f t="shared" si="18"/>
        <v>0</v>
      </c>
      <c r="AJ64" s="462">
        <f t="shared" si="19"/>
        <v>0</v>
      </c>
      <c r="AK64" s="463">
        <f t="shared" si="20"/>
        <v>2.4906600249066001E-2</v>
      </c>
      <c r="AL64" s="464">
        <f t="shared" si="21"/>
        <v>0</v>
      </c>
      <c r="AM64" s="465">
        <f t="shared" si="22"/>
        <v>0</v>
      </c>
      <c r="AN64" s="466">
        <f t="shared" si="23"/>
        <v>0</v>
      </c>
      <c r="AO64" s="11"/>
    </row>
    <row r="65" spans="1:41" x14ac:dyDescent="0.25">
      <c r="A65" s="65" t="s">
        <v>31</v>
      </c>
      <c r="B65" s="66" t="s">
        <v>78</v>
      </c>
      <c r="C65" s="11"/>
      <c r="D65" s="11"/>
      <c r="E65" s="11"/>
      <c r="F65" s="11"/>
      <c r="G65" s="11"/>
      <c r="H65" s="88" t="s">
        <v>945</v>
      </c>
      <c r="I65" s="122" t="str">
        <f>IF(_epmOfflineCondition_,"N",_xll.EVPRO($B$1,$H65,"STYLE"))</f>
        <v>N</v>
      </c>
      <c r="J65" s="122" t="str">
        <f>IF(_epmOfflineCondition_,"N",_xll.EVPRO($B$1,$H65,"CALC"))</f>
        <v>N</v>
      </c>
      <c r="K65" s="179" t="str">
        <f t="shared" si="12"/>
        <v/>
      </c>
      <c r="L65" s="90" t="str">
        <f>IF(_epmOfflineCondition_,"712400",_xll.EVPRO($B$1,H65,"JDEID"))</f>
        <v>712400</v>
      </c>
      <c r="M65" s="90" t="str">
        <f>IF(_epmOfflineCondition_,"690655",IF(AND(I65="N",J65="N"),_xll.EVPRO($B$1,H65,"PSFTID"),""))</f>
        <v>690655</v>
      </c>
      <c r="N65" s="90" t="str">
        <f>IF(_epmOfflineCondition_,"Website",IF(_xll.EVDES(H65,$B$1)="#NODATA","",_xll.EVDES(H65,$B$1)))</f>
        <v>Website</v>
      </c>
      <c r="O65" s="138">
        <v>2775</v>
      </c>
      <c r="P65" s="138">
        <v>2921.68</v>
      </c>
      <c r="Q65" s="138">
        <v>3073.32</v>
      </c>
      <c r="R65" s="138">
        <v>2785</v>
      </c>
      <c r="S65" s="138">
        <v>3085</v>
      </c>
      <c r="T65" s="138">
        <v>2785</v>
      </c>
      <c r="U65" s="138">
        <v>2685</v>
      </c>
      <c r="V65" s="138">
        <v>4685</v>
      </c>
      <c r="W65" s="138">
        <v>2785</v>
      </c>
      <c r="X65" s="138">
        <v>2785</v>
      </c>
      <c r="Y65" s="138">
        <v>2785</v>
      </c>
      <c r="Z65" s="138">
        <v>3742.09</v>
      </c>
      <c r="AA65" s="231">
        <f t="shared" si="13"/>
        <v>36892.089999999997</v>
      </c>
      <c r="AB65" s="142">
        <f t="shared" si="14"/>
        <v>2.5040889867214314E-3</v>
      </c>
      <c r="AC65" s="140"/>
      <c r="AD65" s="138">
        <v>34620</v>
      </c>
      <c r="AE65" s="142">
        <f t="shared" si="15"/>
        <v>2.3671177698940901E-3</v>
      </c>
      <c r="AF65" s="141">
        <f t="shared" si="16"/>
        <v>2272.0899999999965</v>
      </c>
      <c r="AG65" s="138">
        <v>27996.32</v>
      </c>
      <c r="AH65" s="142">
        <f t="shared" si="17"/>
        <v>2.3513427606945605E-3</v>
      </c>
      <c r="AI65" s="141">
        <f t="shared" si="18"/>
        <v>8895.7699999999968</v>
      </c>
      <c r="AJ65" s="462">
        <f t="shared" si="19"/>
        <v>0.76571378165213777</v>
      </c>
      <c r="AK65" s="463">
        <f t="shared" si="20"/>
        <v>0.71855541718555416</v>
      </c>
      <c r="AL65" s="464">
        <f t="shared" si="21"/>
        <v>0.58107762557077625</v>
      </c>
      <c r="AM65" s="465" t="str">
        <f t="shared" si="22"/>
        <v>0.01 pts.</v>
      </c>
      <c r="AN65" s="466" t="str">
        <f t="shared" si="23"/>
        <v>0.02 pts.</v>
      </c>
      <c r="AO65" s="11"/>
    </row>
    <row r="66" spans="1:41" x14ac:dyDescent="0.25">
      <c r="A66" s="65" t="s">
        <v>32</v>
      </c>
      <c r="B66" s="66"/>
      <c r="C66" s="11"/>
      <c r="D66" s="11"/>
      <c r="E66" s="11"/>
      <c r="F66" s="11"/>
      <c r="G66" s="11"/>
      <c r="H66" s="88" t="s">
        <v>946</v>
      </c>
      <c r="I66" s="122" t="str">
        <f>IF(_epmOfflineCondition_,"T5",_xll.EVPRO($B$1,$H66,"STYLE"))</f>
        <v>T5</v>
      </c>
      <c r="J66" s="122" t="str">
        <f>IF(_epmOfflineCondition_,"Y",_xll.EVPRO($B$1,$H66,"CALC"))</f>
        <v>Y</v>
      </c>
      <c r="K66" s="179" t="str">
        <f t="shared" si="12"/>
        <v>&gt;</v>
      </c>
      <c r="L66" s="90" t="str">
        <f>IF(_epmOfflineCondition_,"712600",_xll.EVPRO($B$1,H66,"JDEID"))</f>
        <v>712600</v>
      </c>
      <c r="M66" s="90" t="str">
        <f>IF(_epmOfflineCondition_,"",IF(AND(I66="N",J66="N"),_xll.EVPRO($B$1,H66,"PSFTID"),""))</f>
        <v/>
      </c>
      <c r="N66" s="90" t="str">
        <f>IF(_epmOfflineCondition_,"Media",IF(_xll.EVDES(H66,$B$1)="#NODATA","",_xll.EVDES(H66,$B$1)))</f>
        <v>Media</v>
      </c>
      <c r="O66" s="138">
        <v>7274.96</v>
      </c>
      <c r="P66" s="138">
        <v>5925.13</v>
      </c>
      <c r="Q66" s="138">
        <v>12485.72</v>
      </c>
      <c r="R66" s="138">
        <v>4610.2</v>
      </c>
      <c r="S66" s="138">
        <v>9550.84</v>
      </c>
      <c r="T66" s="138">
        <v>12985.71</v>
      </c>
      <c r="U66" s="138">
        <v>9581.1</v>
      </c>
      <c r="V66" s="138">
        <v>12273.64</v>
      </c>
      <c r="W66" s="138">
        <v>12833.41</v>
      </c>
      <c r="X66" s="138">
        <v>5736.06</v>
      </c>
      <c r="Y66" s="138">
        <v>12539.35</v>
      </c>
      <c r="Z66" s="138">
        <v>15941.72</v>
      </c>
      <c r="AA66" s="231">
        <f t="shared" si="13"/>
        <v>121737.84</v>
      </c>
      <c r="AB66" s="142">
        <f t="shared" si="14"/>
        <v>8.2630825310047711E-3</v>
      </c>
      <c r="AC66" s="140"/>
      <c r="AD66" s="138">
        <v>108772</v>
      </c>
      <c r="AE66" s="142">
        <f t="shared" si="15"/>
        <v>7.4372078008931239E-3</v>
      </c>
      <c r="AF66" s="141">
        <f t="shared" si="16"/>
        <v>12965.839999999997</v>
      </c>
      <c r="AG66" s="138">
        <v>85552.6</v>
      </c>
      <c r="AH66" s="142">
        <f t="shared" si="17"/>
        <v>7.185354599054357E-3</v>
      </c>
      <c r="AI66" s="141">
        <f t="shared" si="18"/>
        <v>36185.239999999991</v>
      </c>
      <c r="AJ66" s="462">
        <f t="shared" si="19"/>
        <v>2.5267297633872974</v>
      </c>
      <c r="AK66" s="463">
        <f t="shared" si="20"/>
        <v>2.2576172685761726</v>
      </c>
      <c r="AL66" s="464">
        <f t="shared" si="21"/>
        <v>1.7756870070568702</v>
      </c>
      <c r="AM66" s="465" t="str">
        <f t="shared" si="22"/>
        <v>0.08 pts.</v>
      </c>
      <c r="AN66" s="466" t="str">
        <f t="shared" si="23"/>
        <v>0.11 pts.</v>
      </c>
      <c r="AO66" s="11"/>
    </row>
    <row r="67" spans="1:41" x14ac:dyDescent="0.25">
      <c r="A67" s="65" t="s">
        <v>33</v>
      </c>
      <c r="B67" s="66"/>
      <c r="C67" s="11"/>
      <c r="D67" s="11"/>
      <c r="E67" s="11"/>
      <c r="F67" s="11"/>
      <c r="G67" s="11"/>
      <c r="H67" s="88" t="s">
        <v>947</v>
      </c>
      <c r="I67" s="122" t="str">
        <f>IF(_epmOfflineCondition_,"N",_xll.EVPRO($B$1,$H67,"STYLE"))</f>
        <v>N</v>
      </c>
      <c r="J67" s="122" t="str">
        <f>IF(_epmOfflineCondition_,"N",_xll.EVPRO($B$1,$H67,"CALC"))</f>
        <v>N</v>
      </c>
      <c r="K67" s="179" t="str">
        <f t="shared" si="12"/>
        <v/>
      </c>
      <c r="L67" s="90" t="str">
        <f>IF(_epmOfflineCondition_,"712800",_xll.EVPRO($B$1,H67,"JDEID"))</f>
        <v>712800</v>
      </c>
      <c r="M67" s="90" t="str">
        <f>IF(_epmOfflineCondition_,"690953",IF(AND(I67="N",J67="N"),_xll.EVPRO($B$1,H67,"PSFTID"),""))</f>
        <v>690953</v>
      </c>
      <c r="N67" s="90" t="str">
        <f>IF(_epmOfflineCondition_,"Outside Services Market Research",IF(_xll.EVDES(H67,$B$1)="#NODATA","",_xll.EVDES(H67,$B$1)))</f>
        <v>Outside Services Market Research</v>
      </c>
      <c r="O67" s="138">
        <v>849.76</v>
      </c>
      <c r="P67" s="138">
        <v>849.76</v>
      </c>
      <c r="Q67" s="138">
        <v>864.76</v>
      </c>
      <c r="R67" s="138">
        <v>864.69</v>
      </c>
      <c r="S67" s="138">
        <v>864.69</v>
      </c>
      <c r="T67" s="138">
        <v>1552.19</v>
      </c>
      <c r="U67" s="138">
        <v>1080.94</v>
      </c>
      <c r="V67" s="138">
        <v>1080.94</v>
      </c>
      <c r="W67" s="138">
        <v>1080.94</v>
      </c>
      <c r="X67" s="138">
        <v>164.28</v>
      </c>
      <c r="Y67" s="138">
        <v>747.57</v>
      </c>
      <c r="Z67" s="138">
        <v>3287.78</v>
      </c>
      <c r="AA67" s="231">
        <f t="shared" si="13"/>
        <v>13288.300000000003</v>
      </c>
      <c r="AB67" s="142">
        <f t="shared" si="14"/>
        <v>9.019571860051954E-4</v>
      </c>
      <c r="AC67" s="140"/>
      <c r="AD67" s="138">
        <v>11783</v>
      </c>
      <c r="AE67" s="142">
        <f t="shared" si="15"/>
        <v>8.056542080491641E-4</v>
      </c>
      <c r="AF67" s="141">
        <f t="shared" si="16"/>
        <v>1505.3000000000029</v>
      </c>
      <c r="AG67" s="138">
        <v>12198.15</v>
      </c>
      <c r="AH67" s="142">
        <f t="shared" si="17"/>
        <v>1.0244929225114712E-3</v>
      </c>
      <c r="AI67" s="141">
        <f t="shared" si="18"/>
        <v>1090.1500000000033</v>
      </c>
      <c r="AJ67" s="462">
        <f t="shared" si="19"/>
        <v>0.2758053134080532</v>
      </c>
      <c r="AK67" s="463">
        <f t="shared" si="20"/>
        <v>0.24456205894562058</v>
      </c>
      <c r="AL67" s="464">
        <f t="shared" si="21"/>
        <v>0.25317870485678706</v>
      </c>
      <c r="AM67" s="465" t="str">
        <f t="shared" si="22"/>
        <v>0.01 pts.</v>
      </c>
      <c r="AN67" s="466" t="str">
        <f t="shared" si="23"/>
        <v>-0.01 pts.</v>
      </c>
      <c r="AO67" s="11"/>
    </row>
    <row r="68" spans="1:41" x14ac:dyDescent="0.25">
      <c r="A68" s="65" t="s">
        <v>34</v>
      </c>
      <c r="B68" s="66"/>
      <c r="C68" s="11"/>
      <c r="D68" s="11"/>
      <c r="E68" s="11"/>
      <c r="F68" s="11"/>
      <c r="G68" s="11"/>
      <c r="H68" s="88" t="s">
        <v>948</v>
      </c>
      <c r="I68" s="122" t="str">
        <f>IF(_epmOfflineCondition_,"N",_xll.EVPRO($B$1,$H68,"STYLE"))</f>
        <v>N</v>
      </c>
      <c r="J68" s="122" t="str">
        <f>IF(_epmOfflineCondition_,"N",_xll.EVPRO($B$1,$H68,"CALC"))</f>
        <v>N</v>
      </c>
      <c r="K68" s="179" t="str">
        <f t="shared" si="12"/>
        <v/>
      </c>
      <c r="L68" s="90" t="str">
        <f>IF(_epmOfflineCondition_,"712900",_xll.EVPRO($B$1,H68,"JDEID"))</f>
        <v>712900</v>
      </c>
      <c r="M68" s="90" t="str">
        <f>IF(_epmOfflineCondition_,"690540",IF(AND(I68="N",J68="N"),_xll.EVPRO($B$1,H68,"PSFTID"),""))</f>
        <v>690540</v>
      </c>
      <c r="N68" s="90" t="str">
        <f>IF(_epmOfflineCondition_,"Photography",IF(_xll.EVDES(H68,$B$1)="#NODATA","",_xll.EVDES(H68,$B$1)))</f>
        <v>Photography</v>
      </c>
      <c r="O68" s="138">
        <v>1800</v>
      </c>
      <c r="P68" s="138"/>
      <c r="Q68" s="138">
        <v>200</v>
      </c>
      <c r="R68" s="138">
        <v>900</v>
      </c>
      <c r="S68" s="138">
        <v>900</v>
      </c>
      <c r="T68" s="138">
        <v>1000</v>
      </c>
      <c r="U68" s="138"/>
      <c r="V68" s="138"/>
      <c r="W68" s="138"/>
      <c r="X68" s="138"/>
      <c r="Y68" s="138">
        <v>800</v>
      </c>
      <c r="Z68" s="138">
        <v>800</v>
      </c>
      <c r="AA68" s="231">
        <f t="shared" si="13"/>
        <v>6400</v>
      </c>
      <c r="AB68" s="142">
        <f t="shared" si="14"/>
        <v>4.3440665776910885E-4</v>
      </c>
      <c r="AC68" s="140"/>
      <c r="AD68" s="138">
        <v>5400</v>
      </c>
      <c r="AE68" s="142">
        <f t="shared" si="15"/>
        <v>3.6922114261779565E-4</v>
      </c>
      <c r="AF68" s="141">
        <f t="shared" si="16"/>
        <v>1000</v>
      </c>
      <c r="AG68" s="138">
        <v>5400</v>
      </c>
      <c r="AH68" s="142">
        <f t="shared" si="17"/>
        <v>4.5353285388046095E-4</v>
      </c>
      <c r="AI68" s="141">
        <f t="shared" si="18"/>
        <v>1000</v>
      </c>
      <c r="AJ68" s="462">
        <f t="shared" si="19"/>
        <v>0.13283520132835203</v>
      </c>
      <c r="AK68" s="463">
        <f t="shared" si="20"/>
        <v>0.11207970112079702</v>
      </c>
      <c r="AL68" s="464">
        <f t="shared" si="21"/>
        <v>0.11207970112079702</v>
      </c>
      <c r="AM68" s="465" t="str">
        <f t="shared" si="22"/>
        <v>0.01 pts.</v>
      </c>
      <c r="AN68" s="466" t="str">
        <f t="shared" si="23"/>
        <v>0 pts.</v>
      </c>
      <c r="AO68" s="11"/>
    </row>
    <row r="69" spans="1:41" x14ac:dyDescent="0.25">
      <c r="A69" s="65" t="s">
        <v>35</v>
      </c>
      <c r="B69" s="66"/>
      <c r="C69" s="11"/>
      <c r="D69" s="11"/>
      <c r="E69" s="11"/>
      <c r="F69" s="11"/>
      <c r="G69" s="11"/>
      <c r="H69" s="88" t="s">
        <v>949</v>
      </c>
      <c r="I69" s="122" t="str">
        <f>IF(_epmOfflineCondition_,"T5",_xll.EVPRO($B$1,$H69,"STYLE"))</f>
        <v>T5</v>
      </c>
      <c r="J69" s="122" t="str">
        <f>IF(_epmOfflineCondition_,"Y",_xll.EVPRO($B$1,$H69,"CALC"))</f>
        <v>Y</v>
      </c>
      <c r="K69" s="179" t="str">
        <f t="shared" si="12"/>
        <v>&gt;</v>
      </c>
      <c r="L69" s="90" t="str">
        <f>IF(_epmOfflineCondition_,"713000",_xll.EVPRO($B$1,H69,"JDEID"))</f>
        <v>713000</v>
      </c>
      <c r="M69" s="90" t="str">
        <f>IF(_epmOfflineCondition_,"",IF(AND(I69="N",J69="N"),_xll.EVPRO($B$1,H69,"PSFTID"),""))</f>
        <v/>
      </c>
      <c r="N69" s="90" t="str">
        <f>IF(_epmOfflineCondition_,"Loyalty Programs",IF(_xll.EVDES(H69,$B$1)="#NODATA","",_xll.EVDES(H69,$B$1)))</f>
        <v>Loyalty Programs</v>
      </c>
      <c r="O69" s="138">
        <v>8394.42</v>
      </c>
      <c r="P69" s="138">
        <v>16155.71</v>
      </c>
      <c r="Q69" s="138">
        <v>12393.28</v>
      </c>
      <c r="R69" s="138">
        <v>14617.46</v>
      </c>
      <c r="S69" s="138">
        <v>11095.77</v>
      </c>
      <c r="T69" s="138">
        <v>7410.74</v>
      </c>
      <c r="U69" s="138">
        <v>6135.14</v>
      </c>
      <c r="V69" s="138">
        <v>7598.68</v>
      </c>
      <c r="W69" s="138">
        <v>7754.98</v>
      </c>
      <c r="X69" s="138">
        <v>7783.13</v>
      </c>
      <c r="Y69" s="138">
        <v>6812.7</v>
      </c>
      <c r="Z69" s="138">
        <v>13580.39</v>
      </c>
      <c r="AA69" s="231">
        <f t="shared" si="13"/>
        <v>119732.40000000001</v>
      </c>
      <c r="AB69" s="142">
        <f t="shared" si="14"/>
        <v>8.1269612047928201E-3</v>
      </c>
      <c r="AC69" s="140"/>
      <c r="AD69" s="138">
        <v>97364.434999999998</v>
      </c>
      <c r="AE69" s="142">
        <f t="shared" si="15"/>
        <v>6.657223692784462E-3</v>
      </c>
      <c r="AF69" s="141">
        <f t="shared" si="16"/>
        <v>22367.965000000011</v>
      </c>
      <c r="AG69" s="138">
        <v>94629.1</v>
      </c>
      <c r="AH69" s="142">
        <f t="shared" si="17"/>
        <v>7.9476677376184319E-3</v>
      </c>
      <c r="AI69" s="141">
        <f t="shared" si="18"/>
        <v>25103.300000000003</v>
      </c>
      <c r="AJ69" s="462">
        <f t="shared" si="19"/>
        <v>2.4851058530510586</v>
      </c>
      <c r="AK69" s="463">
        <f t="shared" si="20"/>
        <v>2.0208475508509753</v>
      </c>
      <c r="AL69" s="464">
        <f t="shared" si="21"/>
        <v>1.9640743046907432</v>
      </c>
      <c r="AM69" s="465" t="str">
        <f t="shared" si="22"/>
        <v>0.15 pts.</v>
      </c>
      <c r="AN69" s="466" t="str">
        <f t="shared" si="23"/>
        <v>0.02 pts.</v>
      </c>
      <c r="AO69" s="11"/>
    </row>
    <row r="70" spans="1:41" x14ac:dyDescent="0.25">
      <c r="A70" s="65" t="s">
        <v>36</v>
      </c>
      <c r="B70" s="66"/>
      <c r="C70" s="11"/>
      <c r="D70" s="11"/>
      <c r="E70" s="11"/>
      <c r="F70" s="11"/>
      <c r="G70" s="11"/>
      <c r="H70" s="88" t="s">
        <v>950</v>
      </c>
      <c r="I70" s="122" t="str">
        <f>IF(_epmOfflineCondition_,"N",_xll.EVPRO($B$1,$H70,"STYLE"))</f>
        <v>N</v>
      </c>
      <c r="J70" s="122" t="str">
        <f>IF(_epmOfflineCondition_,"N",_xll.EVPRO($B$1,$H70,"CALC"))</f>
        <v>N</v>
      </c>
      <c r="K70" s="179" t="str">
        <f t="shared" si="12"/>
        <v/>
      </c>
      <c r="L70" s="90" t="str">
        <f>IF(_epmOfflineCondition_,"713100",_xll.EVPRO($B$1,H70,"JDEID"))</f>
        <v>713100</v>
      </c>
      <c r="M70" s="90" t="str">
        <f>IF(_epmOfflineCondition_,"690799",IF(AND(I70="N",J70="N"),_xll.EVPRO($B$1,H70,"PSFTID"),""))</f>
        <v>690799</v>
      </c>
      <c r="N70" s="90" t="str">
        <f>IF(_epmOfflineCondition_,"Agency Fees",IF(_xll.EVDES(H70,$B$1)="#NODATA","",_xll.EVDES(H70,$B$1)))</f>
        <v>Agency Fees</v>
      </c>
      <c r="O70" s="138">
        <v>6065.85</v>
      </c>
      <c r="P70" s="138">
        <v>6927.5</v>
      </c>
      <c r="Q70" s="138">
        <v>8048.33</v>
      </c>
      <c r="R70" s="138">
        <v>7719.98</v>
      </c>
      <c r="S70" s="138">
        <v>7719.98</v>
      </c>
      <c r="T70" s="138">
        <v>7719.98</v>
      </c>
      <c r="U70" s="138">
        <v>8076.43</v>
      </c>
      <c r="V70" s="138">
        <v>8114.96</v>
      </c>
      <c r="W70" s="138">
        <v>7722.97</v>
      </c>
      <c r="X70" s="138">
        <v>7277.03</v>
      </c>
      <c r="Y70" s="138">
        <v>7945.94</v>
      </c>
      <c r="Z70" s="138">
        <v>7985.94</v>
      </c>
      <c r="AA70" s="231">
        <f t="shared" si="13"/>
        <v>91324.89</v>
      </c>
      <c r="AB70" s="142">
        <f t="shared" si="14"/>
        <v>6.1987719118799236E-3</v>
      </c>
      <c r="AC70" s="140"/>
      <c r="AD70" s="138">
        <v>86490</v>
      </c>
      <c r="AE70" s="142">
        <f t="shared" si="15"/>
        <v>5.9136919675950271E-3</v>
      </c>
      <c r="AF70" s="141">
        <f t="shared" si="16"/>
        <v>4834.8899999999994</v>
      </c>
      <c r="AG70" s="138">
        <v>63796.93</v>
      </c>
      <c r="AH70" s="142">
        <f t="shared" si="17"/>
        <v>5.3581488392059253E-3</v>
      </c>
      <c r="AI70" s="141">
        <f t="shared" si="18"/>
        <v>27527.96</v>
      </c>
      <c r="AJ70" s="462">
        <f t="shared" si="19"/>
        <v>1.8954937733499377</v>
      </c>
      <c r="AK70" s="463">
        <f t="shared" si="20"/>
        <v>1.7951432129514322</v>
      </c>
      <c r="AL70" s="464">
        <f t="shared" si="21"/>
        <v>1.324137193856372</v>
      </c>
      <c r="AM70" s="465" t="str">
        <f t="shared" si="22"/>
        <v>0.03 pts.</v>
      </c>
      <c r="AN70" s="466" t="str">
        <f t="shared" si="23"/>
        <v>0.08 pts.</v>
      </c>
      <c r="AO70" s="11"/>
    </row>
    <row r="71" spans="1:41" x14ac:dyDescent="0.25">
      <c r="A71" s="65" t="s">
        <v>37</v>
      </c>
      <c r="B71" s="66"/>
      <c r="C71" s="11"/>
      <c r="D71" s="11"/>
      <c r="E71" s="11"/>
      <c r="F71" s="11"/>
      <c r="G71" s="11"/>
      <c r="H71" s="88" t="s">
        <v>79</v>
      </c>
      <c r="I71" s="136" t="str">
        <f>IF(_epmOfflineCondition_,"T3",_xll.EVPRO($B$1,$H71,"STYLE"))</f>
        <v>T3</v>
      </c>
      <c r="J71" s="136" t="str">
        <f>IF(_epmOfflineCondition_,"Y",_xll.EVPRO($B$1,$H71,"CALC"))</f>
        <v>Y</v>
      </c>
      <c r="K71" s="104"/>
      <c r="L71" s="59"/>
      <c r="M71" s="59"/>
      <c r="N71" s="106" t="str">
        <f>IF(_epmOfflineCondition_,"Total Operations Expense",IF(_xll.EVDES(H71,$B$1)="#NODATA","",_xll.EVDES(H71,$B$1)))</f>
        <v>Total Operations Expense</v>
      </c>
      <c r="O71" s="150">
        <v>56490.32</v>
      </c>
      <c r="P71" s="150">
        <v>65047.5</v>
      </c>
      <c r="Q71" s="150">
        <v>69394.350000000006</v>
      </c>
      <c r="R71" s="150">
        <v>66262.210000000006</v>
      </c>
      <c r="S71" s="150">
        <v>62748.32</v>
      </c>
      <c r="T71" s="150">
        <v>53485.46</v>
      </c>
      <c r="U71" s="150">
        <v>55479.19</v>
      </c>
      <c r="V71" s="150">
        <v>47594.36</v>
      </c>
      <c r="W71" s="150">
        <v>47437.89</v>
      </c>
      <c r="X71" s="150">
        <v>47209.56</v>
      </c>
      <c r="Y71" s="150">
        <v>56039.47</v>
      </c>
      <c r="Z71" s="150">
        <v>80681.23</v>
      </c>
      <c r="AA71" s="150">
        <f t="shared" si="13"/>
        <v>707869.86</v>
      </c>
      <c r="AB71" s="151">
        <f t="shared" si="14"/>
        <v>4.8047403127826092E-2</v>
      </c>
      <c r="AC71" s="140"/>
      <c r="AD71" s="150">
        <v>650943.66119999997</v>
      </c>
      <c r="AE71" s="151">
        <f t="shared" si="15"/>
        <v>4.4507807845939863E-2</v>
      </c>
      <c r="AF71" s="152">
        <f t="shared" si="16"/>
        <v>56926.198800000013</v>
      </c>
      <c r="AG71" s="150">
        <v>550880.04</v>
      </c>
      <c r="AH71" s="151">
        <f t="shared" si="17"/>
        <v>4.6267073460552317E-2</v>
      </c>
      <c r="AI71" s="152">
        <f t="shared" si="18"/>
        <v>156989.81999999995</v>
      </c>
      <c r="AJ71" s="446">
        <f t="shared" si="19"/>
        <v>14.69219302615193</v>
      </c>
      <c r="AK71" s="447">
        <f t="shared" si="20"/>
        <v>13.510661295143212</v>
      </c>
      <c r="AL71" s="448">
        <f t="shared" si="21"/>
        <v>11.433790784557909</v>
      </c>
      <c r="AM71" s="449" t="str">
        <f t="shared" si="22"/>
        <v>0.35 pts.</v>
      </c>
      <c r="AN71" s="546" t="str">
        <f t="shared" si="23"/>
        <v>0.18 pts.</v>
      </c>
      <c r="AO71" s="11"/>
    </row>
    <row r="72" spans="1:41" x14ac:dyDescent="0.25">
      <c r="A72" s="65" t="s">
        <v>38</v>
      </c>
      <c r="B72" s="66"/>
      <c r="C72" s="11"/>
      <c r="D72" s="11"/>
      <c r="E72" s="11"/>
      <c r="F72" s="11"/>
      <c r="G72" s="11"/>
      <c r="H72" s="11"/>
      <c r="I72" s="59"/>
      <c r="J72" s="59"/>
      <c r="K72" s="11"/>
      <c r="L72" s="59"/>
      <c r="M72" s="59"/>
      <c r="N72" s="11"/>
      <c r="O72" s="140"/>
      <c r="P72" s="140"/>
      <c r="Q72" s="140"/>
      <c r="R72" s="140"/>
      <c r="S72" s="140"/>
      <c r="T72" s="140"/>
      <c r="U72" s="140"/>
      <c r="V72" s="140"/>
      <c r="W72" s="140"/>
      <c r="X72" s="140"/>
      <c r="Y72" s="140"/>
      <c r="Z72" s="140"/>
      <c r="AA72" s="140"/>
      <c r="AB72" s="140"/>
      <c r="AC72" s="140"/>
      <c r="AD72" s="140"/>
      <c r="AE72" s="140"/>
      <c r="AF72" s="140"/>
      <c r="AG72" s="140"/>
      <c r="AH72" s="140"/>
      <c r="AI72" s="140"/>
      <c r="AJ72" s="140"/>
      <c r="AK72" s="140"/>
      <c r="AL72" s="140"/>
      <c r="AM72" s="140"/>
      <c r="AN72" s="140"/>
      <c r="AO72" s="11"/>
    </row>
    <row r="73" spans="1:41" x14ac:dyDescent="0.25">
      <c r="A73" s="65" t="s">
        <v>39</v>
      </c>
      <c r="B73" s="66"/>
      <c r="C73" s="11"/>
      <c r="D73" s="11"/>
      <c r="E73" s="11"/>
      <c r="F73" s="11"/>
      <c r="G73" s="11"/>
      <c r="H73" s="88" t="s">
        <v>80</v>
      </c>
      <c r="I73" s="136" t="str">
        <f>IF(_epmOfflineCondition_,"T3",_xll.EVPRO($B$1,$H73,"STYLE"))</f>
        <v>T3</v>
      </c>
      <c r="J73" s="136" t="str">
        <f>IF(_epmOfflineCondition_,"Y",_xll.EVPRO($B$1,$H73,"CALC"))</f>
        <v>Y</v>
      </c>
      <c r="K73" s="106"/>
      <c r="L73" s="59"/>
      <c r="M73" s="59"/>
      <c r="N73" s="106" t="str">
        <f>IF(_epmOfflineCondition_,"Total Expenses",IF(_xll.EVDES(H73,$B$1)="#NODATA","",_xll.EVDES(H73,$B$1)))</f>
        <v>Total Expenses</v>
      </c>
      <c r="O73" s="242">
        <v>85678.399999999994</v>
      </c>
      <c r="P73" s="242">
        <v>100758.93</v>
      </c>
      <c r="Q73" s="242">
        <v>105947.09</v>
      </c>
      <c r="R73" s="242">
        <v>106767.86</v>
      </c>
      <c r="S73" s="242">
        <v>99954.69</v>
      </c>
      <c r="T73" s="242">
        <v>90766.02</v>
      </c>
      <c r="U73" s="242">
        <v>90042.44</v>
      </c>
      <c r="V73" s="242">
        <v>85081.08</v>
      </c>
      <c r="W73" s="242">
        <v>68218.84</v>
      </c>
      <c r="X73" s="242">
        <v>84386.77</v>
      </c>
      <c r="Y73" s="242">
        <v>97884.99</v>
      </c>
      <c r="Z73" s="242">
        <v>132309.01</v>
      </c>
      <c r="AA73" s="242">
        <f>IF($I73="B1","",SUM(O73:Z73))</f>
        <v>1147796.1199999999</v>
      </c>
      <c r="AB73" s="243">
        <f>IF(AA73=0,"",IFERROR(AA73/AA$19,""))</f>
        <v>7.7907855670242332E-2</v>
      </c>
      <c r="AC73" s="140"/>
      <c r="AD73" s="242">
        <v>1014077.94426315</v>
      </c>
      <c r="AE73" s="243">
        <f>IF(AD73=0,"",IFERROR(AD73/AD$19,""))</f>
        <v>6.9336855052656576E-2</v>
      </c>
      <c r="AF73" s="254">
        <f>IF(AND($AA73="",AD73=""),"",$AA73-AD73)</f>
        <v>133718.17573684989</v>
      </c>
      <c r="AG73" s="255">
        <v>819586.28</v>
      </c>
      <c r="AH73" s="256">
        <f>IF(AG73=0,"",IFERROR(AG73/AG$19,""))</f>
        <v>6.8835056401790842E-2</v>
      </c>
      <c r="AI73" s="254">
        <f>IF(AND($AA73="",AG73=""),"",$AA73-AG73)</f>
        <v>328209.83999999985</v>
      </c>
      <c r="AJ73" s="435">
        <f>IFERROR(AA73/AA$20,0)</f>
        <v>23.823082606890825</v>
      </c>
      <c r="AK73" s="436">
        <f>IFERROR(AD73/AD$20,0)</f>
        <v>21.047694982630759</v>
      </c>
      <c r="AL73" s="437">
        <f>IFERROR(AG73/AG$20,0)</f>
        <v>17.010923204649231</v>
      </c>
      <c r="AM73" s="438" t="str">
        <f>+IFERROR(ROUND(($AB73-AE73)*100,2)&amp;" pts.",0)</f>
        <v>0.86 pts.</v>
      </c>
      <c r="AN73" s="547" t="str">
        <f>+IFERROR(ROUND(($AB73-AH73)*100,2)&amp;" pts.",0)</f>
        <v>0.91 pts.</v>
      </c>
      <c r="AO73" s="11"/>
    </row>
    <row r="74" spans="1:41" ht="15.75" thickBot="1" x14ac:dyDescent="0.3">
      <c r="A74" s="65" t="s">
        <v>40</v>
      </c>
      <c r="B74" s="66"/>
      <c r="C74" s="11"/>
      <c r="D74" s="11"/>
      <c r="E74" s="11"/>
      <c r="F74" s="11"/>
      <c r="G74" s="11"/>
      <c r="H74" s="88" t="s">
        <v>81</v>
      </c>
      <c r="I74" s="136" t="str">
        <f>IF(_epmOfflineCondition_,"T3",_xll.EVPRO($B$1,$H74,"STYLE"))</f>
        <v>T3</v>
      </c>
      <c r="J74" s="136" t="str">
        <f>IF(_epmOfflineCondition_,"Y",_xll.EVPRO($B$1,$H74,"CALC"))</f>
        <v>Y</v>
      </c>
      <c r="K74" s="106"/>
      <c r="L74" s="59"/>
      <c r="M74" s="59"/>
      <c r="N74" s="106" t="str">
        <f>IF(_epmOfflineCondition_,"Department Profit (Loss)",IF(_xll.EVDES(H74,$B$1)="#NODATA","",_xll.EVDES(H74,$B$1)))</f>
        <v>Department Profit (Loss)</v>
      </c>
      <c r="O74" s="165">
        <v>-85678.399999999994</v>
      </c>
      <c r="P74" s="165">
        <v>-100758.93</v>
      </c>
      <c r="Q74" s="165">
        <v>-105947.09</v>
      </c>
      <c r="R74" s="165">
        <v>-106767.86</v>
      </c>
      <c r="S74" s="165">
        <v>-99954.69</v>
      </c>
      <c r="T74" s="165">
        <v>-90766.02</v>
      </c>
      <c r="U74" s="165">
        <v>-90042.44</v>
      </c>
      <c r="V74" s="165">
        <v>-85081.08</v>
      </c>
      <c r="W74" s="165">
        <v>-68218.84</v>
      </c>
      <c r="X74" s="165">
        <v>-84386.77</v>
      </c>
      <c r="Y74" s="165">
        <v>-97884.99</v>
      </c>
      <c r="Z74" s="165">
        <v>-132309.01</v>
      </c>
      <c r="AA74" s="165">
        <f>IF($I74="B1","",SUM(O74:Z74))</f>
        <v>-1147796.1199999999</v>
      </c>
      <c r="AB74" s="166">
        <f>IF(AA74=0,"",IFERROR(AA74/AA$19,""))</f>
        <v>-7.7907855670242332E-2</v>
      </c>
      <c r="AC74" s="140"/>
      <c r="AD74" s="165">
        <v>-1014077.94426315</v>
      </c>
      <c r="AE74" s="166">
        <f>IF(AD74=0,"",IFERROR(AD74/AD$19,""))</f>
        <v>-6.9336855052656576E-2</v>
      </c>
      <c r="AF74" s="167">
        <f>IF(AND($AA74="",AD74=""),"",$AA74-AD74)</f>
        <v>-133718.17573684989</v>
      </c>
      <c r="AG74" s="165">
        <v>-819586.27999999898</v>
      </c>
      <c r="AH74" s="166">
        <f>IF(AG74=0,"",IFERROR(AG74/AG$19,""))</f>
        <v>-6.8835056401790759E-2</v>
      </c>
      <c r="AI74" s="167">
        <f>IF(AND($AA74="",AG74=""),"",$AA74-AG74)</f>
        <v>-328209.8400000009</v>
      </c>
      <c r="AJ74" s="452">
        <f>IFERROR(AA74/AA$20,0)</f>
        <v>-23.823082606890825</v>
      </c>
      <c r="AK74" s="453">
        <f>IFERROR(AD74/AD$20,0)</f>
        <v>-21.047694982630759</v>
      </c>
      <c r="AL74" s="454">
        <f>IFERROR(AG74/AG$20,0)</f>
        <v>-17.01092320464921</v>
      </c>
      <c r="AM74" s="455" t="str">
        <f>+IFERROR(ROUND(($AB74-AE74)*100,2)&amp;" pts.",0)</f>
        <v>-0.86 pts.</v>
      </c>
      <c r="AN74" s="548" t="str">
        <f>+IFERROR(ROUND(($AB74-AH74)*100,2)&amp;" pts.",0)</f>
        <v>-0.91 pts.</v>
      </c>
      <c r="AO74" s="11"/>
    </row>
    <row r="75" spans="1:41" ht="15.75" thickTop="1" x14ac:dyDescent="0.25">
      <c r="A75" s="65" t="s">
        <v>41</v>
      </c>
      <c r="B75" s="66"/>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65" t="s">
        <v>42</v>
      </c>
      <c r="B76" s="66"/>
      <c r="C76" s="11"/>
      <c r="D76" s="11"/>
      <c r="E76" s="11"/>
      <c r="F76" s="11"/>
      <c r="G76" s="11"/>
      <c r="H76" s="11"/>
      <c r="I76" s="59"/>
      <c r="J76" s="59"/>
      <c r="K76" s="11"/>
      <c r="L76" s="59"/>
      <c r="M76" s="59"/>
      <c r="N76" s="104" t="str">
        <f>N73&amp;" - Check"</f>
        <v>Total Expenses - Check</v>
      </c>
      <c r="O76" s="209">
        <f t="shared" ref="O76:AA76" si="24">SUMIF($H$33:$H$74,"600000",O$33:O$74)+SUMIF($H$33:$H$74,"700000",O$33:O$74)-SUMIF($H$33:$H$74,"TOTDEPTEXP",O$33:O$74)</f>
        <v>0</v>
      </c>
      <c r="P76" s="209">
        <f t="shared" si="24"/>
        <v>0</v>
      </c>
      <c r="Q76" s="209">
        <f t="shared" si="24"/>
        <v>0</v>
      </c>
      <c r="R76" s="209">
        <f t="shared" si="24"/>
        <v>0</v>
      </c>
      <c r="S76" s="209">
        <f t="shared" si="24"/>
        <v>0</v>
      </c>
      <c r="T76" s="209">
        <f t="shared" si="24"/>
        <v>0</v>
      </c>
      <c r="U76" s="209">
        <f t="shared" si="24"/>
        <v>0</v>
      </c>
      <c r="V76" s="209">
        <f t="shared" si="24"/>
        <v>0</v>
      </c>
      <c r="W76" s="209">
        <f t="shared" si="24"/>
        <v>0</v>
      </c>
      <c r="X76" s="209">
        <f t="shared" si="24"/>
        <v>0</v>
      </c>
      <c r="Y76" s="209">
        <f t="shared" si="24"/>
        <v>0</v>
      </c>
      <c r="Z76" s="209">
        <f t="shared" si="24"/>
        <v>0</v>
      </c>
      <c r="AA76" s="209">
        <f t="shared" si="24"/>
        <v>0</v>
      </c>
      <c r="AB76" s="100"/>
      <c r="AC76" s="11"/>
      <c r="AD76" s="209">
        <f>SUMIF($H$33:$H$74,"600000",AD$33:AD$74)+SUMIF($H$33:$H$74,"700000",AD$33:AD$74)-SUMIF($H$33:$H$74,"TOTDEPTEXP",AD$33:AD$74)</f>
        <v>-3.0267983675003052E-9</v>
      </c>
      <c r="AE76" s="100"/>
      <c r="AF76" s="91"/>
      <c r="AG76" s="209">
        <f>SUMIF($H$33:$H$74,"600000",AG$33:AG$74)+SUMIF($H$33:$H$74,"700000",AG$33:AG$74)-SUMIF($H$33:$H$74,"TOTDEPTEXP",AG$33:AG$74)</f>
        <v>0</v>
      </c>
      <c r="AH76" s="100"/>
      <c r="AI76" s="91"/>
      <c r="AJ76" s="11"/>
      <c r="AK76" s="11"/>
      <c r="AL76" s="11"/>
      <c r="AM76" s="11"/>
      <c r="AN76" s="11"/>
      <c r="AO76" s="11"/>
    </row>
    <row r="77" spans="1:41" x14ac:dyDescent="0.25">
      <c r="A77" s="65" t="s">
        <v>43</v>
      </c>
      <c r="B77" s="66"/>
      <c r="C77" s="11"/>
      <c r="D77" s="11"/>
      <c r="E77" s="11"/>
      <c r="F77" s="11"/>
      <c r="G77" s="11"/>
      <c r="H77" s="11"/>
      <c r="I77" s="59"/>
      <c r="J77" s="59"/>
      <c r="K77" s="11"/>
      <c r="L77" s="59"/>
      <c r="M77" s="59"/>
      <c r="N77" s="104" t="str">
        <f>N74&amp;" - Check"</f>
        <v>Department Profit (Loss) - Check</v>
      </c>
      <c r="O77" s="209">
        <f t="shared" ref="O77:AA77" si="25">SUMIF($H$33:$H$74,"TOTDEPTEXP",O$33:O$74)+SUMIF($H$33:$H$74,"TOTDEPTPL",O$33:O$74)</f>
        <v>0</v>
      </c>
      <c r="P77" s="209">
        <f t="shared" si="25"/>
        <v>0</v>
      </c>
      <c r="Q77" s="209">
        <f t="shared" si="25"/>
        <v>0</v>
      </c>
      <c r="R77" s="209">
        <f t="shared" si="25"/>
        <v>0</v>
      </c>
      <c r="S77" s="209">
        <f t="shared" si="25"/>
        <v>0</v>
      </c>
      <c r="T77" s="209">
        <f t="shared" si="25"/>
        <v>0</v>
      </c>
      <c r="U77" s="209">
        <f t="shared" si="25"/>
        <v>0</v>
      </c>
      <c r="V77" s="209">
        <f t="shared" si="25"/>
        <v>0</v>
      </c>
      <c r="W77" s="209">
        <f t="shared" si="25"/>
        <v>0</v>
      </c>
      <c r="X77" s="209">
        <f t="shared" si="25"/>
        <v>0</v>
      </c>
      <c r="Y77" s="209">
        <f t="shared" si="25"/>
        <v>0</v>
      </c>
      <c r="Z77" s="209">
        <f t="shared" si="25"/>
        <v>0</v>
      </c>
      <c r="AA77" s="209">
        <f t="shared" si="25"/>
        <v>0</v>
      </c>
      <c r="AB77" s="100"/>
      <c r="AC77" s="11"/>
      <c r="AD77" s="209">
        <f>SUMIF($H$33:$H$74,"TOTDEPTEXP",AD$33:AD$74)+SUMIF($H$33:$H$74,"TOTDEPTPL",AD$33:AD$74)</f>
        <v>0</v>
      </c>
      <c r="AE77" s="100"/>
      <c r="AF77" s="91"/>
      <c r="AG77" s="209">
        <f>SUMIF($H$33:$H$74,"TOTDEPTEXP",AG$33:AG$74)+SUMIF($H$33:$H$74,"TOTDEPTPL",AG$33:AG$74)</f>
        <v>1.0477378964424133E-9</v>
      </c>
      <c r="AH77" s="100"/>
      <c r="AI77" s="91"/>
      <c r="AJ77" s="11"/>
      <c r="AK77" s="11"/>
      <c r="AL77" s="11"/>
      <c r="AM77" s="11"/>
      <c r="AN77" s="11"/>
      <c r="AO77" s="11"/>
    </row>
    <row r="78" spans="1:41" x14ac:dyDescent="0.25">
      <c r="A78" s="65" t="s">
        <v>44</v>
      </c>
      <c r="B78" s="66"/>
      <c r="C78" s="11"/>
      <c r="D78" s="11"/>
      <c r="E78" s="11"/>
      <c r="F78" s="11"/>
      <c r="G78" s="11"/>
      <c r="H78" s="11"/>
      <c r="I78" s="59"/>
      <c r="J78" s="59"/>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65" t="s">
        <v>45</v>
      </c>
      <c r="B79" s="66"/>
      <c r="C79" s="11"/>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65" t="s">
        <v>46</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11"/>
      <c r="B81" s="11"/>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11"/>
      <c r="B82" s="11"/>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11"/>
      <c r="B83" s="11"/>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11"/>
      <c r="B84" s="11"/>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11"/>
      <c r="B101" s="11"/>
      <c r="C101" s="11"/>
      <c r="D101" s="11"/>
      <c r="E101" s="11"/>
      <c r="F101" s="11"/>
      <c r="G101" s="11"/>
      <c r="H101" s="59"/>
      <c r="I101" s="59"/>
      <c r="J101" s="11"/>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59"/>
      <c r="I102" s="59"/>
      <c r="J102" s="11"/>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c r="B103" s="11"/>
      <c r="C103" s="11"/>
      <c r="D103" s="11"/>
      <c r="E103" s="11"/>
      <c r="F103" s="11"/>
      <c r="G103" s="11"/>
      <c r="H103" s="59"/>
      <c r="I103" s="59"/>
      <c r="J103" s="11"/>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c r="B104" s="11"/>
      <c r="C104" s="11"/>
      <c r="D104" s="11"/>
      <c r="E104" s="11"/>
      <c r="F104" s="11"/>
      <c r="G104" s="11"/>
      <c r="H104" s="59"/>
      <c r="I104" s="59"/>
      <c r="J104" s="11"/>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c r="B105" s="11"/>
      <c r="C105" s="11"/>
      <c r="D105" s="11"/>
      <c r="E105" s="11"/>
      <c r="F105" s="11"/>
      <c r="G105" s="11"/>
      <c r="H105" s="59"/>
      <c r="I105" s="59"/>
      <c r="J105" s="11"/>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c r="B106" s="11"/>
      <c r="C106" s="11"/>
      <c r="D106" s="11"/>
      <c r="E106" s="11"/>
      <c r="F106" s="11"/>
      <c r="G106" s="11"/>
      <c r="H106" s="59"/>
      <c r="I106" s="59"/>
      <c r="J106" s="11"/>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sheetData>
  <sheetProtection algorithmName="SHA-512" hashValue="t7sUwMxAs/J9V6NFS6Zx/o01b+1ixJrvD6y/7UJ1IkXStfPOR5biKNpNtaA3gFfX2XrXoB1otqKT5gWdzR4cTg==" saltValue="lUeBc4cVWWDFYzcl+iV3QQ==" spinCount="100000" sheet="1" scenarios="1"/>
  <mergeCells count="2">
    <mergeCell ref="AD31:AE31"/>
    <mergeCell ref="AG31:AH31"/>
  </mergeCells>
  <dataValidations disablePrompts="1" count="2">
    <dataValidation type="list" allowBlank="1" sqref="B29" xr:uid="{00000000-0002-0000-2900-000000000000}">
      <formula1>"SELF,ALL,BAS,DEP,BASMEMBERS,MEMBERS,NOEXPAND,GDEP"</formula1>
    </dataValidation>
    <dataValidation type="list" allowBlank="1" sqref="B28" xr:uid="{00000000-0002-0000-29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legacyDrawing r:id="rId5"/>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6">
    <pageSetUpPr fitToPage="1"/>
  </sheetPr>
  <dimension ref="A1:AO10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513</v>
      </c>
      <c r="C6" s="11" t="str">
        <f>IF(_epmOfflineCondition_,"Property Operation &amp; Maintenance",_xll.EVDES(B6,$B$1))</f>
        <v>Property Operation &amp; Maintenance</v>
      </c>
      <c r="D6" s="11"/>
      <c r="E6" s="58" t="str">
        <f>IF(_epmOfflineCondition_,"D_PM",_xll.EVPRO($B$1,$B$6,$F$6))</f>
        <v>D_PM</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IF(_epmOfflineCondition_,"'POM'!$B$2:$B$10",_xll.EVRNG($B$2:$B$10))</f>
        <v>'POM'!$B$2:$B$10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IF(_epmOfflineCondition_,"'POM'!$O$16:$AN$18",_xll.EVRNG($O$16:$AN$18))</f>
        <v>'POM'!$O$16:$AN$18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IF(_epmOfflineCondition_,"'POM'!$H$35:$H$36,'POM'!$H$38:$H$47,'POM'!$H$50:$H$72",_xll.EVRNG(H35:H36,H38:H47,H50:H72))</f>
        <v>'POM'!$H$35:$H$36,'POM'!$H$38:$H$47,'POM'!$H$50:$H$72</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IF(_epmOfflineCondition_,48180,_xll.EVGTS($B$1,1,$B$3,$B$5,$B$7,$B$9,AG$16,AG$17,AG$18,$G$20,$H$20))</f>
        <v>48180</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IF(_epmOfflineCondition_,"'POM'!$A$36:$F$42",_xll.EVRNG(A36:F42))</f>
        <v>'POM'!$A$36:$F$42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IF(_epmOfflineCondition_,"'POM'!$A$59:$B$80",_xll.EVRNG($A$59:$B$80))</f>
        <v>'POM'!$A$59:$B$80</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IF(_epmOfflineCondition_,"Property Operation &amp; Maintenance Department",IF(_xll.EVDES(B6,$B$1)="#NODATA","",_xll.EVDES(B6,$B$1)&amp;" Department"))</f>
        <v>Property Operation &amp; Maintenance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735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2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25">
      <c r="A35" s="97" t="s">
        <v>92</v>
      </c>
      <c r="B35" s="98" t="s">
        <v>93</v>
      </c>
      <c r="C35" s="98" t="s">
        <v>94</v>
      </c>
      <c r="D35" s="98" t="s">
        <v>95</v>
      </c>
      <c r="E35" s="98" t="s">
        <v>96</v>
      </c>
      <c r="F35" s="99" t="s">
        <v>97</v>
      </c>
      <c r="G35" s="11"/>
      <c r="H35" s="88" t="s">
        <v>854</v>
      </c>
      <c r="I35" s="122" t="str">
        <f>IF(_epmOfflineCondition_,"T3",_xll.EVPRO($B$1,$H35,"STYLE"))</f>
        <v>T3</v>
      </c>
      <c r="J35" s="122" t="str">
        <f>IF(_epmOfflineCondition_,"Y",_xll.EVPRO($B$1,$H35,"CALC"))</f>
        <v>Y</v>
      </c>
      <c r="K35" s="179" t="str">
        <f t="shared" ref="K35:K47" si="0">IF(AND(I35&gt;="T3"),"&gt;","")</f>
        <v>&gt;</v>
      </c>
      <c r="L35" s="90" t="str">
        <f>IF(_epmOfflineCondition_,"",_xll.EVPRO($B$1,H35,"JDEID"))</f>
        <v/>
      </c>
      <c r="M35" s="90" t="str">
        <f>IF(_epmOfflineCondition_,"",IF(AND(I35="N",J35="N"),_xll.EVPRO($B$1,H35,"PSFTID"),""))</f>
        <v/>
      </c>
      <c r="N35" s="90" t="str">
        <f>IF(_epmOfflineCondition_,"Management",IF(_xll.EVDES(H35,$B$1)="#NODATA","",_xll.EVDES(H35,$B$1)))</f>
        <v>Management</v>
      </c>
      <c r="O35" s="231">
        <v>7807.7</v>
      </c>
      <c r="P35" s="231">
        <v>7115.36</v>
      </c>
      <c r="Q35" s="231">
        <v>6410.57</v>
      </c>
      <c r="R35" s="231">
        <v>8583.34</v>
      </c>
      <c r="S35" s="231">
        <v>4250.7299999999996</v>
      </c>
      <c r="T35" s="231">
        <v>8583.34</v>
      </c>
      <c r="U35" s="231">
        <v>8187.35</v>
      </c>
      <c r="V35" s="231">
        <v>8583.34</v>
      </c>
      <c r="W35" s="231">
        <v>2311.27</v>
      </c>
      <c r="X35" s="231">
        <v>3750</v>
      </c>
      <c r="Y35" s="231">
        <v>5795</v>
      </c>
      <c r="Z35" s="231">
        <v>3750</v>
      </c>
      <c r="AA35" s="231">
        <f t="shared" ref="AA35:AA47" si="1">IF($I35="B1","",SUM(O35:Z35))</f>
        <v>75128</v>
      </c>
      <c r="AB35" s="233">
        <f t="shared" ref="AB35:AB47" si="2">IF(AA35=0,"",IFERROR(AA35/AA$19,""))</f>
        <v>5.099391153887127E-3</v>
      </c>
      <c r="AC35" s="140"/>
      <c r="AD35" s="138">
        <v>95205.841346108195</v>
      </c>
      <c r="AE35" s="142">
        <f t="shared" ref="AE35:AE47" si="3">IF(AD35=0,"",IFERROR(AD35/AD$19,""))</f>
        <v>6.5096313936478965E-3</v>
      </c>
      <c r="AF35" s="141">
        <f t="shared" ref="AF35:AF47" si="4">IF(AND($AA35="",AD35=""),"",$AA35-AD35)</f>
        <v>-20077.841346108195</v>
      </c>
      <c r="AG35" s="138">
        <v>88392.71</v>
      </c>
      <c r="AH35" s="142">
        <f t="shared" ref="AH35:AH47" si="5">IF(AG35=0,"",IFERROR(AG35/AG$19,""))</f>
        <v>7.4238885238014744E-3</v>
      </c>
      <c r="AI35" s="141">
        <f t="shared" ref="AI35:AI47" si="6">IF(AND($AA35="",AG35=""),"",$AA35-AG35)</f>
        <v>-13264.710000000006</v>
      </c>
      <c r="AJ35" s="462">
        <f t="shared" ref="AJ35:AJ47" si="7">IFERROR(AA35/AA$20,0)</f>
        <v>1.5593192195931922</v>
      </c>
      <c r="AK35" s="463">
        <f t="shared" ref="AK35:AK47" si="8">IFERROR(AD35/AD$20,0)</f>
        <v>1.9760448598195972</v>
      </c>
      <c r="AL35" s="464">
        <f t="shared" ref="AL35:AL47" si="9">IFERROR(AG35/AG$20,0)</f>
        <v>1.8346349107513493</v>
      </c>
      <c r="AM35" s="465" t="str">
        <f t="shared" ref="AM35:AM47" si="10">+IFERROR(ROUND(($AB35-AE35)*100,2)&amp;" pts.",0)</f>
        <v>-0.14 pts.</v>
      </c>
      <c r="AN35" s="466" t="str">
        <f t="shared" ref="AN35:AN47" si="11">+IFERROR(ROUND(($AB35-AH35)*100,2)&amp;" pts.",0)</f>
        <v>-0.23 pts.</v>
      </c>
      <c r="AO35" s="11"/>
    </row>
    <row r="36" spans="1:41" hidden="1" x14ac:dyDescent="0.25">
      <c r="A36" s="11"/>
      <c r="B36" s="11"/>
      <c r="C36" s="11"/>
      <c r="D36" s="11"/>
      <c r="E36" s="11"/>
      <c r="F36" s="11"/>
      <c r="G36" s="11"/>
      <c r="H36" s="88"/>
      <c r="I36" s="122" t="str">
        <f>IF(_epmOfflineCondition_,"",_xll.EVPRO($B$1,$H36,"STYLE"))</f>
        <v/>
      </c>
      <c r="J36" s="122" t="str">
        <f>IF(_epmOfflineCondition_,"",_xll.EVPRO($B$1,$H36,"CALC"))</f>
        <v/>
      </c>
      <c r="K36" s="179" t="str">
        <f t="shared" si="0"/>
        <v/>
      </c>
      <c r="L36" s="90" t="str">
        <f>IF(_epmOfflineCondition_,"",_xll.EVPRO($B$1,H36,"JDEID"))</f>
        <v/>
      </c>
      <c r="M36" s="90" t="str">
        <f>IF(_epmOfflineCondition_,"",IF(AND(I36="N",J36="N"),_xll.EVPRO($B$1,H36,"PSFTID"),""))</f>
        <v/>
      </c>
      <c r="N36" s="90" t="str">
        <f>IF(_epmOfflineCondition_,"",IF(_xll.EVDES(H36,$B$1)="#NODATA","",_xll.EVDES(H36,$B$1)))</f>
        <v/>
      </c>
      <c r="O36" s="231"/>
      <c r="P36" s="231"/>
      <c r="Q36" s="231"/>
      <c r="R36" s="231"/>
      <c r="S36" s="231"/>
      <c r="T36" s="231"/>
      <c r="U36" s="231"/>
      <c r="V36" s="231"/>
      <c r="W36" s="231"/>
      <c r="X36" s="231"/>
      <c r="Y36" s="231"/>
      <c r="Z36" s="231"/>
      <c r="AA36" s="231">
        <f t="shared" si="1"/>
        <v>0</v>
      </c>
      <c r="AB36" s="233" t="str">
        <f t="shared" si="2"/>
        <v/>
      </c>
      <c r="AC36" s="140"/>
      <c r="AD36" s="138"/>
      <c r="AE36" s="142" t="str">
        <f t="shared" si="3"/>
        <v/>
      </c>
      <c r="AF36" s="141">
        <f t="shared" si="4"/>
        <v>0</v>
      </c>
      <c r="AG36" s="138"/>
      <c r="AH36" s="142" t="str">
        <f t="shared" si="5"/>
        <v/>
      </c>
      <c r="AI36" s="141">
        <f t="shared" si="6"/>
        <v>0</v>
      </c>
      <c r="AJ36" s="462">
        <f t="shared" si="7"/>
        <v>0</v>
      </c>
      <c r="AK36" s="463">
        <f t="shared" si="8"/>
        <v>0</v>
      </c>
      <c r="AL36" s="464">
        <f t="shared" si="9"/>
        <v>0</v>
      </c>
      <c r="AM36" s="465">
        <f t="shared" si="10"/>
        <v>0</v>
      </c>
      <c r="AN36" s="466">
        <f t="shared" si="11"/>
        <v>0</v>
      </c>
      <c r="AO36" s="11"/>
    </row>
    <row r="37" spans="1:41" x14ac:dyDescent="0.25">
      <c r="A37" s="11" t="s">
        <v>108</v>
      </c>
      <c r="B37" s="11"/>
      <c r="C37" s="104" t="s">
        <v>101</v>
      </c>
      <c r="D37" s="11" t="s">
        <v>106</v>
      </c>
      <c r="E37" s="11"/>
      <c r="F37" s="11" t="s">
        <v>98</v>
      </c>
      <c r="G37" s="11"/>
      <c r="H37" s="88" t="s">
        <v>75</v>
      </c>
      <c r="I37" s="89" t="str">
        <f>IF(_epmOfflineCondition_,"B1",_xll.EVPRO($B$1,$H37,"STYLE"))</f>
        <v>B1</v>
      </c>
      <c r="J37" s="89" t="str">
        <f>IF(_epmOfflineCondition_,"Y",_xll.EVPRO($B$1,$H37,"CALC"))</f>
        <v>Y</v>
      </c>
      <c r="K37" s="265" t="str">
        <f t="shared" si="0"/>
        <v/>
      </c>
      <c r="L37" s="106" t="str">
        <f>IF(_epmOfflineCondition_,"",_xll.EVPRO($B$1,H37,"JDEID"))</f>
        <v/>
      </c>
      <c r="M37" s="90" t="str">
        <f>IF(_epmOfflineCondition_,"",IF(AND(I37="N",J37="N"),_xll.EVPRO($B$1,H37,"PSFTID"),""))</f>
        <v/>
      </c>
      <c r="N37" s="106" t="str">
        <f>IF(_epmOfflineCondition_,"Non-Management",IF(_xll.EVDES(H37,$B$1)="#NODATA","",_xll.EVDES(H37,$B$1)))</f>
        <v>Non-Management</v>
      </c>
      <c r="O37" s="197"/>
      <c r="P37" s="197"/>
      <c r="Q37" s="197"/>
      <c r="R37" s="197"/>
      <c r="S37" s="197"/>
      <c r="T37" s="197"/>
      <c r="U37" s="197"/>
      <c r="V37" s="197"/>
      <c r="W37" s="197"/>
      <c r="X37" s="197"/>
      <c r="Y37" s="197"/>
      <c r="Z37" s="197"/>
      <c r="AA37" s="197" t="str">
        <f t="shared" si="1"/>
        <v/>
      </c>
      <c r="AB37" s="198" t="str">
        <f t="shared" si="2"/>
        <v/>
      </c>
      <c r="AC37" s="11"/>
      <c r="AD37" s="91"/>
      <c r="AE37" s="100" t="str">
        <f t="shared" si="3"/>
        <v/>
      </c>
      <c r="AF37" s="92" t="str">
        <f t="shared" si="4"/>
        <v/>
      </c>
      <c r="AG37" s="91"/>
      <c r="AH37" s="100" t="str">
        <f t="shared" si="5"/>
        <v/>
      </c>
      <c r="AI37" s="92" t="str">
        <f t="shared" si="6"/>
        <v/>
      </c>
      <c r="AJ37" s="397">
        <f t="shared" si="7"/>
        <v>0</v>
      </c>
      <c r="AK37" s="398">
        <f t="shared" si="8"/>
        <v>0</v>
      </c>
      <c r="AL37" s="399">
        <f t="shared" si="9"/>
        <v>0</v>
      </c>
      <c r="AM37" s="400">
        <f t="shared" si="10"/>
        <v>0</v>
      </c>
      <c r="AN37" s="401">
        <f t="shared" si="11"/>
        <v>0</v>
      </c>
      <c r="AO37" s="11"/>
    </row>
    <row r="38" spans="1:41" x14ac:dyDescent="0.25">
      <c r="A38" s="11" t="s">
        <v>100</v>
      </c>
      <c r="B38" s="11"/>
      <c r="C38" s="53" t="s">
        <v>101</v>
      </c>
      <c r="D38" s="11" t="s">
        <v>106</v>
      </c>
      <c r="E38" s="11"/>
      <c r="F38" s="11" t="s">
        <v>98</v>
      </c>
      <c r="G38" s="11"/>
      <c r="H38" s="88" t="s">
        <v>910</v>
      </c>
      <c r="I38" s="122" t="str">
        <f>IF(_epmOfflineCondition_,"T3",_xll.EVPRO($B$1,$H38,"STYLE"))</f>
        <v>T3</v>
      </c>
      <c r="J38" s="122" t="str">
        <f>IF(_epmOfflineCondition_,"Y",_xll.EVPRO($B$1,$H38,"CALC"))</f>
        <v>Y</v>
      </c>
      <c r="K38" s="179" t="str">
        <f t="shared" si="0"/>
        <v>&gt;</v>
      </c>
      <c r="L38" s="90" t="str">
        <f>IF(_epmOfflineCondition_,"",_xll.EVPRO($B$1,H38,"JDEID"))</f>
        <v/>
      </c>
      <c r="M38" s="90" t="str">
        <f>IF(_epmOfflineCondition_,"",IF(AND(I38="N",J38="N"),_xll.EVPRO($B$1,H38,"PSFTID"),""))</f>
        <v/>
      </c>
      <c r="N38" s="90" t="str">
        <f>IF(_epmOfflineCondition_,"Non-Mgmt. (PO &amp; M)",IF(_xll.EVDES(H38,$B$1)="#NODATA","",_xll.EVDES(H38,$B$1)))</f>
        <v>Non-Mgmt. (PO &amp; M)</v>
      </c>
      <c r="O38" s="239">
        <v>5672.24</v>
      </c>
      <c r="P38" s="239">
        <v>6415.47</v>
      </c>
      <c r="Q38" s="239">
        <v>9129.18</v>
      </c>
      <c r="R38" s="239">
        <v>6794.51</v>
      </c>
      <c r="S38" s="239">
        <v>7746.12</v>
      </c>
      <c r="T38" s="239">
        <v>8489.34</v>
      </c>
      <c r="U38" s="239">
        <v>7856.97</v>
      </c>
      <c r="V38" s="239">
        <v>6743.45</v>
      </c>
      <c r="W38" s="239">
        <v>6666.12</v>
      </c>
      <c r="X38" s="239">
        <v>8282.24</v>
      </c>
      <c r="Y38" s="239">
        <v>12348.39</v>
      </c>
      <c r="Z38" s="239">
        <v>11136.27</v>
      </c>
      <c r="AA38" s="239">
        <f t="shared" si="1"/>
        <v>97280.3</v>
      </c>
      <c r="AB38" s="240">
        <f t="shared" si="2"/>
        <v>6.6030015609025378E-3</v>
      </c>
      <c r="AC38" s="140"/>
      <c r="AD38" s="215">
        <v>166748.75</v>
      </c>
      <c r="AE38" s="217">
        <f t="shared" si="3"/>
        <v>1.1401326667609103E-2</v>
      </c>
      <c r="AF38" s="218">
        <f t="shared" si="4"/>
        <v>-69468.45</v>
      </c>
      <c r="AG38" s="215">
        <v>78328.41</v>
      </c>
      <c r="AH38" s="217">
        <f t="shared" si="5"/>
        <v>6.5786124680034886E-3</v>
      </c>
      <c r="AI38" s="218">
        <f t="shared" si="6"/>
        <v>18951.89</v>
      </c>
      <c r="AJ38" s="471">
        <f t="shared" si="7"/>
        <v>2.0191012868410128</v>
      </c>
      <c r="AK38" s="472">
        <f t="shared" si="8"/>
        <v>3.4609537152345373</v>
      </c>
      <c r="AL38" s="473">
        <f t="shared" si="9"/>
        <v>1.6257453300124534</v>
      </c>
      <c r="AM38" s="474" t="str">
        <f t="shared" si="10"/>
        <v>-0.48 pts.</v>
      </c>
      <c r="AN38" s="475" t="str">
        <f t="shared" si="11"/>
        <v>0 pts.</v>
      </c>
      <c r="AO38" s="11"/>
    </row>
    <row r="39" spans="1:41" x14ac:dyDescent="0.25">
      <c r="A39" s="11" t="s">
        <v>109</v>
      </c>
      <c r="B39" s="11"/>
      <c r="C39" s="106" t="s">
        <v>101</v>
      </c>
      <c r="D39" s="11" t="s">
        <v>106</v>
      </c>
      <c r="E39" s="11"/>
      <c r="F39" s="11" t="s">
        <v>98</v>
      </c>
      <c r="G39" s="11"/>
      <c r="H39" s="88" t="s">
        <v>847</v>
      </c>
      <c r="I39" s="188" t="str">
        <f>IF(_epmOfflineCondition_,"T2",_xll.EVPRO($B$1,$H39,"STYLE"))</f>
        <v>T2</v>
      </c>
      <c r="J39" s="188" t="str">
        <f>IF(_epmOfflineCondition_,"Y",_xll.EVPRO($B$1,$H39,"CALC"))</f>
        <v>Y</v>
      </c>
      <c r="K39" s="189" t="str">
        <f t="shared" si="0"/>
        <v/>
      </c>
      <c r="L39" s="190" t="str">
        <f>IF(_epmOfflineCondition_,"",_xll.EVPRO($B$1,H39,"JDEID"))</f>
        <v/>
      </c>
      <c r="M39" s="190" t="str">
        <f>IF(_epmOfflineCondition_,"",IF(AND(I39="N",J39="N"),_xll.EVPRO($B$1,H39,"PSFTID"),""))</f>
        <v/>
      </c>
      <c r="N39" s="190" t="str">
        <f>IF(_epmOfflineCondition_,"Total Salaries and Wages",IF(_xll.EVDES(H39,$B$1)="#NODATA","",_xll.EVDES(H39,$B$1)))</f>
        <v>Total Salaries and Wages</v>
      </c>
      <c r="O39" s="223">
        <v>13479.94</v>
      </c>
      <c r="P39" s="223">
        <v>13530.83</v>
      </c>
      <c r="Q39" s="223">
        <v>15539.75</v>
      </c>
      <c r="R39" s="223">
        <v>15377.85</v>
      </c>
      <c r="S39" s="223">
        <v>11996.85</v>
      </c>
      <c r="T39" s="223">
        <v>17072.68</v>
      </c>
      <c r="U39" s="223">
        <v>16044.32</v>
      </c>
      <c r="V39" s="223">
        <v>15326.79</v>
      </c>
      <c r="W39" s="223">
        <v>8977.39</v>
      </c>
      <c r="X39" s="223">
        <v>12032.24</v>
      </c>
      <c r="Y39" s="223">
        <v>18143.39</v>
      </c>
      <c r="Z39" s="223">
        <v>14886.27</v>
      </c>
      <c r="AA39" s="223">
        <f t="shared" si="1"/>
        <v>172408.30000000002</v>
      </c>
      <c r="AB39" s="224">
        <f t="shared" si="2"/>
        <v>1.1702392714789666E-2</v>
      </c>
      <c r="AC39" s="225"/>
      <c r="AD39" s="223">
        <v>261954.59134610801</v>
      </c>
      <c r="AE39" s="224">
        <f t="shared" si="3"/>
        <v>1.7910958061256987E-2</v>
      </c>
      <c r="AF39" s="226">
        <f t="shared" si="4"/>
        <v>-89546.291346107988</v>
      </c>
      <c r="AG39" s="223">
        <v>166721.12</v>
      </c>
      <c r="AH39" s="224">
        <f t="shared" si="5"/>
        <v>1.4002500991804962E-2</v>
      </c>
      <c r="AI39" s="226">
        <f t="shared" si="6"/>
        <v>5687.1800000000221</v>
      </c>
      <c r="AJ39" s="227">
        <f t="shared" si="7"/>
        <v>3.5784205064342056</v>
      </c>
      <c r="AK39" s="228">
        <f t="shared" si="8"/>
        <v>5.4369985750541305</v>
      </c>
      <c r="AL39" s="230">
        <f t="shared" si="9"/>
        <v>3.4603802407638025</v>
      </c>
      <c r="AM39" s="427" t="str">
        <f t="shared" si="10"/>
        <v>-0.62 pts.</v>
      </c>
      <c r="AN39" s="478" t="str">
        <f t="shared" si="11"/>
        <v>-0.23 pts.</v>
      </c>
      <c r="AO39" s="11"/>
    </row>
    <row r="40" spans="1:41" x14ac:dyDescent="0.25">
      <c r="A40" s="11" t="s">
        <v>109</v>
      </c>
      <c r="B40" s="11"/>
      <c r="C40" s="196" t="s">
        <v>101</v>
      </c>
      <c r="D40" s="11" t="s">
        <v>107</v>
      </c>
      <c r="E40" s="11"/>
      <c r="F40" s="11" t="s">
        <v>99</v>
      </c>
      <c r="G40" s="11"/>
      <c r="H40" s="88" t="s">
        <v>863</v>
      </c>
      <c r="I40" s="122" t="str">
        <f>IF(_epmOfflineCondition_,"T3",_xll.EVPRO($B$1,$H40,"STYLE"))</f>
        <v>T3</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IF(_epmOfflineCondition_,"Contracted &amp; Leased Labor",IF(_xll.EVDES(H40,$B$1)="#NODATA","",_xll.EVDES(H40,$B$1)))</f>
        <v>Contracted &amp; Leased Labor</v>
      </c>
      <c r="O40" s="239">
        <v>9837.9699999999993</v>
      </c>
      <c r="P40" s="239">
        <v>7578</v>
      </c>
      <c r="Q40" s="239">
        <v>7480.13</v>
      </c>
      <c r="R40" s="239">
        <v>12831</v>
      </c>
      <c r="S40" s="239">
        <v>9360</v>
      </c>
      <c r="T40" s="239">
        <v>10977.13</v>
      </c>
      <c r="U40" s="239">
        <v>9795.25</v>
      </c>
      <c r="V40" s="239">
        <v>10073.14</v>
      </c>
      <c r="W40" s="239">
        <v>8222.0300000000007</v>
      </c>
      <c r="X40" s="239">
        <v>14396.58</v>
      </c>
      <c r="Y40" s="239">
        <v>7701.8</v>
      </c>
      <c r="Z40" s="239">
        <v>7986.96</v>
      </c>
      <c r="AA40" s="239">
        <f t="shared" si="1"/>
        <v>116239.99000000002</v>
      </c>
      <c r="AB40" s="240">
        <f t="shared" si="2"/>
        <v>7.8899102429710391E-3</v>
      </c>
      <c r="AC40" s="140"/>
      <c r="AD40" s="239"/>
      <c r="AE40" s="240" t="str">
        <f t="shared" si="3"/>
        <v/>
      </c>
      <c r="AF40" s="241">
        <f t="shared" si="4"/>
        <v>116239.99000000002</v>
      </c>
      <c r="AG40" s="239">
        <v>71809.84</v>
      </c>
      <c r="AH40" s="240">
        <f t="shared" si="5"/>
        <v>6.0311336429443108E-3</v>
      </c>
      <c r="AI40" s="241">
        <f t="shared" si="6"/>
        <v>44430.150000000023</v>
      </c>
      <c r="AJ40" s="532">
        <f t="shared" si="7"/>
        <v>2.412619136571192</v>
      </c>
      <c r="AK40" s="533">
        <f t="shared" si="8"/>
        <v>0</v>
      </c>
      <c r="AL40" s="534">
        <f t="shared" si="9"/>
        <v>1.4904491490244913</v>
      </c>
      <c r="AM40" s="535">
        <f t="shared" si="10"/>
        <v>0</v>
      </c>
      <c r="AN40" s="536" t="str">
        <f t="shared" si="11"/>
        <v>0.19 pts.</v>
      </c>
      <c r="AO40" s="11"/>
    </row>
    <row r="41" spans="1:41" x14ac:dyDescent="0.25">
      <c r="A41" s="11" t="s">
        <v>110</v>
      </c>
      <c r="B41" s="11"/>
      <c r="C41" s="106" t="s">
        <v>101</v>
      </c>
      <c r="D41" s="11" t="s">
        <v>106</v>
      </c>
      <c r="E41" s="11"/>
      <c r="F41" s="11" t="s">
        <v>98</v>
      </c>
      <c r="G41" s="11"/>
      <c r="H41" s="88" t="s">
        <v>848</v>
      </c>
      <c r="I41" s="122" t="str">
        <f>IF(_epmOfflineCondition_,"T3",_xll.EVPRO($B$1,$H41,"STYLE"))</f>
        <v>T3</v>
      </c>
      <c r="J41" s="122" t="str">
        <f>IF(_epmOfflineCondition_,"Y",_xll.EVPRO($B$1,$H41,"CALC"))</f>
        <v>Y</v>
      </c>
      <c r="K41" s="179" t="str">
        <f t="shared" si="0"/>
        <v>&gt;</v>
      </c>
      <c r="L41" s="90" t="str">
        <f>IF(_epmOfflineCondition_,"",_xll.EVPRO($B$1,H41,"JDEID"))</f>
        <v/>
      </c>
      <c r="M41" s="90" t="str">
        <f>IF(_epmOfflineCondition_,"",IF(AND(I41="N",J41="N"),_xll.EVPRO($B$1,H41,"PSFTID"),""))</f>
        <v/>
      </c>
      <c r="N41" s="90" t="str">
        <f>IF(_epmOfflineCondition_,"Bonuses &amp; Incentives",IF(_xll.EVDES(H41,$B$1)="#NODATA","",_xll.EVDES(H41,$B$1)))</f>
        <v>Bonuses &amp; Incentives</v>
      </c>
      <c r="O41" s="239">
        <v>850</v>
      </c>
      <c r="P41" s="239">
        <v>1850</v>
      </c>
      <c r="Q41" s="239">
        <v>-66.64</v>
      </c>
      <c r="R41" s="239">
        <v>600.83000000000004</v>
      </c>
      <c r="S41" s="239">
        <v>1471.59</v>
      </c>
      <c r="T41" s="239">
        <v>1041.32</v>
      </c>
      <c r="U41" s="239">
        <v>497.04</v>
      </c>
      <c r="V41" s="239">
        <v>-151.91999999999999</v>
      </c>
      <c r="W41" s="239">
        <v>-4836.2700000000004</v>
      </c>
      <c r="X41" s="239">
        <v>311.25</v>
      </c>
      <c r="Y41" s="239">
        <v>562.5</v>
      </c>
      <c r="Z41" s="239">
        <v>-873.75</v>
      </c>
      <c r="AA41" s="239">
        <f t="shared" si="1"/>
        <v>1255.9499999999989</v>
      </c>
      <c r="AB41" s="240">
        <f t="shared" si="2"/>
        <v>8.524891278517372E-5</v>
      </c>
      <c r="AC41" s="140"/>
      <c r="AD41" s="215">
        <v>12989.5620793206</v>
      </c>
      <c r="AE41" s="217">
        <f t="shared" si="3"/>
        <v>8.8815202833917434E-4</v>
      </c>
      <c r="AF41" s="218">
        <f t="shared" si="4"/>
        <v>-11733.612079320601</v>
      </c>
      <c r="AG41" s="215">
        <v>12190.5</v>
      </c>
      <c r="AH41" s="217">
        <f t="shared" si="5"/>
        <v>1.0238504176351406E-3</v>
      </c>
      <c r="AI41" s="218">
        <f t="shared" si="6"/>
        <v>-10934.550000000001</v>
      </c>
      <c r="AJ41" s="471">
        <f t="shared" si="7"/>
        <v>2.6067870485678681E-2</v>
      </c>
      <c r="AK41" s="472">
        <f t="shared" si="8"/>
        <v>0.26960485843338727</v>
      </c>
      <c r="AL41" s="473">
        <f t="shared" si="9"/>
        <v>0.25301992528019923</v>
      </c>
      <c r="AM41" s="474" t="str">
        <f t="shared" si="10"/>
        <v>-0.08 pts.</v>
      </c>
      <c r="AN41" s="475" t="str">
        <f t="shared" si="11"/>
        <v>-0.09 pts.</v>
      </c>
      <c r="AO41" s="11"/>
    </row>
    <row r="42" spans="1:41" x14ac:dyDescent="0.25">
      <c r="A42" s="11" t="s">
        <v>110</v>
      </c>
      <c r="B42" s="11"/>
      <c r="C42" s="109" t="s">
        <v>101</v>
      </c>
      <c r="D42" s="11" t="s">
        <v>107</v>
      </c>
      <c r="E42" s="11"/>
      <c r="F42" s="11" t="s">
        <v>99</v>
      </c>
      <c r="G42" s="11"/>
      <c r="H42" s="88" t="s">
        <v>849</v>
      </c>
      <c r="I42" s="188" t="str">
        <f>IF(_epmOfflineCondition_,"T2",_xll.EVPRO($B$1,$H42,"STYLE"))</f>
        <v>T2</v>
      </c>
      <c r="J42" s="188" t="str">
        <f>IF(_epmOfflineCondition_,"Y",_xll.EVPRO($B$1,$H42,"CALC"))</f>
        <v>Y</v>
      </c>
      <c r="K42" s="189" t="str">
        <f t="shared" si="0"/>
        <v/>
      </c>
      <c r="L42" s="190" t="str">
        <f>IF(_epmOfflineCondition_,"",_xll.EVPRO($B$1,H42,"JDEID"))</f>
        <v/>
      </c>
      <c r="M42" s="190" t="str">
        <f>IF(_epmOfflineCondition_,"",IF(AND(I42="N",J42="N"),_xll.EVPRO($B$1,H42,"PSFTID"),""))</f>
        <v/>
      </c>
      <c r="N42" s="190" t="str">
        <f>IF(_epmOfflineCondition_,"Total Labor Expense",IF(_xll.EVDES(H42,$B$1)="#NODATA","",_xll.EVDES(H42,$B$1)))</f>
        <v>Total Labor Expense</v>
      </c>
      <c r="O42" s="223">
        <v>24167.91</v>
      </c>
      <c r="P42" s="223">
        <v>22958.83</v>
      </c>
      <c r="Q42" s="223">
        <v>22953.24</v>
      </c>
      <c r="R42" s="223">
        <v>28809.68</v>
      </c>
      <c r="S42" s="223">
        <v>22828.44</v>
      </c>
      <c r="T42" s="223">
        <v>29091.13</v>
      </c>
      <c r="U42" s="223">
        <v>26336.61</v>
      </c>
      <c r="V42" s="223">
        <v>25248.01</v>
      </c>
      <c r="W42" s="223">
        <v>12363.15</v>
      </c>
      <c r="X42" s="223">
        <v>26740.07</v>
      </c>
      <c r="Y42" s="223">
        <v>26407.69</v>
      </c>
      <c r="Z42" s="223">
        <v>21999.48</v>
      </c>
      <c r="AA42" s="223">
        <f t="shared" si="1"/>
        <v>289904.24</v>
      </c>
      <c r="AB42" s="224">
        <f t="shared" si="2"/>
        <v>1.9677551870545873E-2</v>
      </c>
      <c r="AC42" s="225"/>
      <c r="AD42" s="223">
        <v>274944.15342542902</v>
      </c>
      <c r="AE42" s="224">
        <f t="shared" si="3"/>
        <v>1.8799110089596189E-2</v>
      </c>
      <c r="AF42" s="226">
        <f t="shared" si="4"/>
        <v>14960.086574570974</v>
      </c>
      <c r="AG42" s="223">
        <v>250721.46</v>
      </c>
      <c r="AH42" s="224">
        <f t="shared" si="5"/>
        <v>2.1057485052384414E-2</v>
      </c>
      <c r="AI42" s="226">
        <f t="shared" si="6"/>
        <v>39182.78</v>
      </c>
      <c r="AJ42" s="227">
        <f t="shared" si="7"/>
        <v>6.0171075134910748</v>
      </c>
      <c r="AK42" s="228">
        <f t="shared" si="8"/>
        <v>5.7066034334875262</v>
      </c>
      <c r="AL42" s="230">
        <f t="shared" si="9"/>
        <v>5.203849315068493</v>
      </c>
      <c r="AM42" s="427" t="str">
        <f t="shared" si="10"/>
        <v>0.09 pts.</v>
      </c>
      <c r="AN42" s="478" t="str">
        <f t="shared" si="11"/>
        <v>-0.14 pts.</v>
      </c>
      <c r="AO42" s="11"/>
    </row>
    <row r="43" spans="1:41" x14ac:dyDescent="0.25">
      <c r="A43" s="11"/>
      <c r="B43" s="11"/>
      <c r="C43" s="208"/>
      <c r="D43" s="11"/>
      <c r="E43" s="11"/>
      <c r="F43" s="11"/>
      <c r="G43" s="11"/>
      <c r="H43" s="88" t="s">
        <v>850</v>
      </c>
      <c r="I43" s="122" t="str">
        <f>IF(_epmOfflineCondition_,"T3",_xll.EVPRO($B$1,$H43,"STYLE"))</f>
        <v>T3</v>
      </c>
      <c r="J43" s="122" t="str">
        <f>IF(_epmOfflineCondition_,"Y",_xll.EVPRO($B$1,$H43,"CALC"))</f>
        <v>Y</v>
      </c>
      <c r="K43" s="179" t="str">
        <f t="shared" si="0"/>
        <v>&gt;</v>
      </c>
      <c r="L43" s="90" t="str">
        <f>IF(_epmOfflineCondition_,"",_xll.EVPRO($B$1,H43,"JDEID"))</f>
        <v/>
      </c>
      <c r="M43" s="90" t="str">
        <f>IF(_epmOfflineCondition_,"",IF(AND(I43="N",J43="N"),_xll.EVPRO($B$1,H43,"PSFTID"),""))</f>
        <v/>
      </c>
      <c r="N43" s="90" t="str">
        <f>IF(_epmOfflineCondition_,"Payroll Taxes",IF(_xll.EVDES(H43,$B$1)="#NODATA","",_xll.EVDES(H43,$B$1)))</f>
        <v>Payroll Taxes</v>
      </c>
      <c r="O43" s="239">
        <v>1261.47</v>
      </c>
      <c r="P43" s="239">
        <v>1255.92</v>
      </c>
      <c r="Q43" s="239">
        <v>1305.17</v>
      </c>
      <c r="R43" s="239">
        <v>1266.29</v>
      </c>
      <c r="S43" s="239">
        <v>1332.04</v>
      </c>
      <c r="T43" s="239">
        <v>1315.52</v>
      </c>
      <c r="U43" s="239">
        <v>1303.1199999999999</v>
      </c>
      <c r="V43" s="239">
        <v>1236.1500000000001</v>
      </c>
      <c r="W43" s="239">
        <v>588.5</v>
      </c>
      <c r="X43" s="239">
        <v>950.08</v>
      </c>
      <c r="Y43" s="239">
        <v>1476.83</v>
      </c>
      <c r="Z43" s="239">
        <v>1266.57</v>
      </c>
      <c r="AA43" s="239">
        <f t="shared" si="1"/>
        <v>14557.659999999998</v>
      </c>
      <c r="AB43" s="240">
        <f t="shared" si="2"/>
        <v>9.8811631649047579E-4</v>
      </c>
      <c r="AC43" s="140"/>
      <c r="AD43" s="239">
        <v>25122.282450885799</v>
      </c>
      <c r="AE43" s="240">
        <f t="shared" si="3"/>
        <v>1.7177181169783428E-3</v>
      </c>
      <c r="AF43" s="241">
        <f t="shared" si="4"/>
        <v>-10564.622450885801</v>
      </c>
      <c r="AG43" s="239">
        <v>14198.87</v>
      </c>
      <c r="AH43" s="240">
        <f t="shared" si="5"/>
        <v>1.1925285246254928E-3</v>
      </c>
      <c r="AI43" s="241">
        <f t="shared" si="6"/>
        <v>358.78999999999724</v>
      </c>
      <c r="AJ43" s="532">
        <f t="shared" si="7"/>
        <v>0.30215151515151512</v>
      </c>
      <c r="AK43" s="533">
        <f t="shared" si="8"/>
        <v>0.52142553862361563</v>
      </c>
      <c r="AL43" s="534">
        <f t="shared" si="9"/>
        <v>0.29470464923204653</v>
      </c>
      <c r="AM43" s="535" t="str">
        <f t="shared" si="10"/>
        <v>-0.07 pts.</v>
      </c>
      <c r="AN43" s="536" t="str">
        <f t="shared" si="11"/>
        <v>-0.02 pts.</v>
      </c>
      <c r="AO43" s="11"/>
    </row>
    <row r="44" spans="1:41" x14ac:dyDescent="0.25">
      <c r="A44" s="11"/>
      <c r="B44" s="11"/>
      <c r="C44" s="11"/>
      <c r="D44" s="11"/>
      <c r="E44" s="11"/>
      <c r="F44" s="11"/>
      <c r="G44" s="11"/>
      <c r="H44" s="88" t="s">
        <v>851</v>
      </c>
      <c r="I44" s="122" t="str">
        <f>IF(_epmOfflineCondition_,"T3",_xll.EVPRO($B$1,$H44,"STYLE"))</f>
        <v>T3</v>
      </c>
      <c r="J44" s="122" t="str">
        <f>IF(_epmOfflineCondition_,"Y",_xll.EVPRO($B$1,$H44,"CALC"))</f>
        <v>Y</v>
      </c>
      <c r="K44" s="179" t="str">
        <f t="shared" si="0"/>
        <v>&gt;</v>
      </c>
      <c r="L44" s="90" t="str">
        <f>IF(_epmOfflineCondition_,"",_xll.EVPRO($B$1,H44,"JDEID"))</f>
        <v/>
      </c>
      <c r="M44" s="90" t="str">
        <f>IF(_epmOfflineCondition_,"",IF(AND(I44="N",J44="N"),_xll.EVPRO($B$1,H44,"PSFTID"),""))</f>
        <v/>
      </c>
      <c r="N44" s="90" t="str">
        <f>IF(_epmOfflineCondition_,"Supplemental Pay",IF(_xll.EVDES(H44,$B$1)="#NODATA","",_xll.EVDES(H44,$B$1)))</f>
        <v>Supplemental Pay</v>
      </c>
      <c r="O44" s="239">
        <v>1619.52</v>
      </c>
      <c r="P44" s="239">
        <v>1120.73</v>
      </c>
      <c r="Q44" s="239">
        <v>1576.53</v>
      </c>
      <c r="R44" s="239">
        <v>1297.9100000000001</v>
      </c>
      <c r="S44" s="239">
        <v>2698.5</v>
      </c>
      <c r="T44" s="239">
        <v>931.19</v>
      </c>
      <c r="U44" s="239">
        <v>1716.19</v>
      </c>
      <c r="V44" s="239">
        <v>1042.45</v>
      </c>
      <c r="W44" s="239">
        <v>1394.18</v>
      </c>
      <c r="X44" s="239">
        <v>-199.38</v>
      </c>
      <c r="Y44" s="239">
        <v>1158.8900000000001</v>
      </c>
      <c r="Z44" s="239">
        <v>1278.0899999999999</v>
      </c>
      <c r="AA44" s="239">
        <f t="shared" si="1"/>
        <v>15634.800000000001</v>
      </c>
      <c r="AB44" s="240">
        <f t="shared" si="2"/>
        <v>1.0612283145138225E-3</v>
      </c>
      <c r="AC44" s="140"/>
      <c r="AD44" s="215">
        <v>22360.9643365349</v>
      </c>
      <c r="AE44" s="217">
        <f t="shared" si="3"/>
        <v>1.5289149634020731E-3</v>
      </c>
      <c r="AF44" s="218">
        <f t="shared" si="4"/>
        <v>-6726.1643365348991</v>
      </c>
      <c r="AG44" s="215">
        <v>17096.41</v>
      </c>
      <c r="AH44" s="217">
        <f t="shared" si="5"/>
        <v>1.4358858552611946E-3</v>
      </c>
      <c r="AI44" s="218">
        <f t="shared" si="6"/>
        <v>-1461.6099999999988</v>
      </c>
      <c r="AJ44" s="471">
        <f t="shared" si="7"/>
        <v>0.32450809464508096</v>
      </c>
      <c r="AK44" s="472">
        <f t="shared" si="8"/>
        <v>0.46411299992808014</v>
      </c>
      <c r="AL44" s="473">
        <f t="shared" si="9"/>
        <v>0.35484454130344539</v>
      </c>
      <c r="AM44" s="474" t="str">
        <f t="shared" si="10"/>
        <v>-0.05 pts.</v>
      </c>
      <c r="AN44" s="475" t="str">
        <f t="shared" si="11"/>
        <v>-0.04 pts.</v>
      </c>
      <c r="AO44" s="11"/>
    </row>
    <row r="45" spans="1:41" x14ac:dyDescent="0.25">
      <c r="A45" s="61" t="str">
        <f>IF(_epmOfflineCondition_,"Evdre:Ok",_xll.EVDRE($B$1,A48:B55))</f>
        <v>Evdre:Ok</v>
      </c>
      <c r="B45" s="11" t="s">
        <v>736</v>
      </c>
      <c r="C45" s="11"/>
      <c r="D45" s="11"/>
      <c r="E45" s="11"/>
      <c r="F45" s="11"/>
      <c r="G45" s="11"/>
      <c r="H45" s="88" t="s">
        <v>852</v>
      </c>
      <c r="I45" s="122" t="str">
        <f>IF(_epmOfflineCondition_,"T3",_xll.EVPRO($B$1,$H45,"STYLE"))</f>
        <v>T3</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IF(_epmOfflineCondition_,"Employee Benefits",IF(_xll.EVDES(H45,$B$1)="#NODATA","",_xll.EVDES(H45,$B$1)))</f>
        <v>Employee Benefits</v>
      </c>
      <c r="O45" s="239">
        <v>822.14</v>
      </c>
      <c r="P45" s="239">
        <v>2214.36</v>
      </c>
      <c r="Q45" s="239">
        <v>2112.17</v>
      </c>
      <c r="R45" s="239">
        <v>1903.25</v>
      </c>
      <c r="S45" s="239">
        <v>2109.0700000000002</v>
      </c>
      <c r="T45" s="239">
        <v>2338.34</v>
      </c>
      <c r="U45" s="239">
        <v>1988.29</v>
      </c>
      <c r="V45" s="239">
        <v>2160.0500000000002</v>
      </c>
      <c r="W45" s="239">
        <v>202.93</v>
      </c>
      <c r="X45" s="239">
        <v>3800.85</v>
      </c>
      <c r="Y45" s="239">
        <v>1848.56</v>
      </c>
      <c r="Z45" s="239">
        <v>1795.03</v>
      </c>
      <c r="AA45" s="239">
        <f t="shared" si="1"/>
        <v>23295.039999999997</v>
      </c>
      <c r="AB45" s="240">
        <f t="shared" si="2"/>
        <v>1.5811750732808907E-3</v>
      </c>
      <c r="AC45" s="140"/>
      <c r="AD45" s="215">
        <v>24755.708748006698</v>
      </c>
      <c r="AE45" s="217">
        <f t="shared" si="3"/>
        <v>1.6926539018985913E-3</v>
      </c>
      <c r="AF45" s="218">
        <f t="shared" si="4"/>
        <v>-1460.6687480067012</v>
      </c>
      <c r="AG45" s="215">
        <v>20150.919999999998</v>
      </c>
      <c r="AH45" s="217">
        <f t="shared" si="5"/>
        <v>1.6924267140586773E-3</v>
      </c>
      <c r="AI45" s="218">
        <f t="shared" si="6"/>
        <v>3144.119999999999</v>
      </c>
      <c r="AJ45" s="471">
        <f t="shared" si="7"/>
        <v>0.483500207555002</v>
      </c>
      <c r="AK45" s="472">
        <f t="shared" si="8"/>
        <v>0.51381711805742425</v>
      </c>
      <c r="AL45" s="473">
        <f t="shared" si="9"/>
        <v>0.41824242424242419</v>
      </c>
      <c r="AM45" s="474" t="str">
        <f t="shared" si="10"/>
        <v>-0.01 pts.</v>
      </c>
      <c r="AN45" s="475" t="str">
        <f t="shared" si="11"/>
        <v>-0.01 pts.</v>
      </c>
      <c r="AO45" s="11"/>
    </row>
    <row r="46" spans="1:41" x14ac:dyDescent="0.25">
      <c r="A46" s="11"/>
      <c r="B46" s="11"/>
      <c r="C46" s="11"/>
      <c r="D46" s="11"/>
      <c r="E46" s="11"/>
      <c r="F46" s="11"/>
      <c r="G46" s="11"/>
      <c r="H46" s="88" t="s">
        <v>853</v>
      </c>
      <c r="I46" s="188" t="str">
        <f>IF(_epmOfflineCondition_,"T2",_xll.EVPRO($B$1,$H46,"STYLE"))</f>
        <v>T2</v>
      </c>
      <c r="J46" s="188" t="str">
        <f>IF(_epmOfflineCondition_,"Y",_xll.EVPRO($B$1,$H46,"CALC"))</f>
        <v>Y</v>
      </c>
      <c r="K46" s="189" t="str">
        <f t="shared" si="0"/>
        <v/>
      </c>
      <c r="L46" s="190" t="str">
        <f>IF(_epmOfflineCondition_,"",_xll.EVPRO($B$1,H46,"JDEID"))</f>
        <v/>
      </c>
      <c r="M46" s="190" t="str">
        <f>IF(_epmOfflineCondition_,"",IF(AND(I46="N",J46="N"),_xll.EVPRO($B$1,H46,"PSFTID"),""))</f>
        <v/>
      </c>
      <c r="N46" s="190" t="str">
        <f>IF(_epmOfflineCondition_,"Total Payroll Related",IF(_xll.EVDES(H46,$B$1)="#NODATA","",_xll.EVDES(H46,$B$1)))</f>
        <v>Total Payroll Related</v>
      </c>
      <c r="O46" s="242">
        <v>3703.13</v>
      </c>
      <c r="P46" s="242">
        <v>4591.01</v>
      </c>
      <c r="Q46" s="242">
        <v>4993.87</v>
      </c>
      <c r="R46" s="242">
        <v>4467.45</v>
      </c>
      <c r="S46" s="242">
        <v>6139.61</v>
      </c>
      <c r="T46" s="242">
        <v>4585.05</v>
      </c>
      <c r="U46" s="242">
        <v>5007.6000000000004</v>
      </c>
      <c r="V46" s="242">
        <v>4438.6499999999996</v>
      </c>
      <c r="W46" s="242">
        <v>2185.61</v>
      </c>
      <c r="X46" s="242">
        <v>4551.55</v>
      </c>
      <c r="Y46" s="242">
        <v>4484.28</v>
      </c>
      <c r="Z46" s="242">
        <v>4339.6899999999996</v>
      </c>
      <c r="AA46" s="242">
        <f t="shared" si="1"/>
        <v>53487.500000000007</v>
      </c>
      <c r="AB46" s="243">
        <f t="shared" si="2"/>
        <v>3.6305197042851896E-3</v>
      </c>
      <c r="AC46" s="244"/>
      <c r="AD46" s="242">
        <v>72238.955535427405</v>
      </c>
      <c r="AE46" s="243">
        <f t="shared" si="3"/>
        <v>4.9392869822790075E-3</v>
      </c>
      <c r="AF46" s="245">
        <f t="shared" si="4"/>
        <v>-18751.455535427398</v>
      </c>
      <c r="AG46" s="242">
        <v>51446.2</v>
      </c>
      <c r="AH46" s="243">
        <f t="shared" si="5"/>
        <v>4.3208410939453643E-3</v>
      </c>
      <c r="AI46" s="245">
        <f t="shared" si="6"/>
        <v>2041.3000000000102</v>
      </c>
      <c r="AJ46" s="246">
        <f t="shared" si="7"/>
        <v>1.1101598173515983</v>
      </c>
      <c r="AK46" s="247">
        <f t="shared" si="8"/>
        <v>1.4993556566091202</v>
      </c>
      <c r="AL46" s="249">
        <f t="shared" si="9"/>
        <v>1.0677916147779161</v>
      </c>
      <c r="AM46" s="431" t="str">
        <f t="shared" si="10"/>
        <v>-0.13 pts.</v>
      </c>
      <c r="AN46" s="487" t="str">
        <f t="shared" si="11"/>
        <v>-0.07 pts.</v>
      </c>
      <c r="AO46" s="11"/>
    </row>
    <row r="47" spans="1:41" x14ac:dyDescent="0.25">
      <c r="A47" s="62" t="s">
        <v>0</v>
      </c>
      <c r="B47" s="63" t="s">
        <v>1</v>
      </c>
      <c r="C47" s="11"/>
      <c r="D47" s="11"/>
      <c r="E47" s="11"/>
      <c r="F47" s="11"/>
      <c r="G47" s="11"/>
      <c r="H47" s="88" t="s">
        <v>76</v>
      </c>
      <c r="I47" s="188" t="str">
        <f>IF(_epmOfflineCondition_,"T1",_xll.EVPRO($B$1,$H47,"STYLE"))</f>
        <v>T1</v>
      </c>
      <c r="J47" s="188" t="str">
        <f>IF(_epmOfflineCondition_,"Y",_xll.EVPRO($B$1,$H47,"CALC"))</f>
        <v>Y</v>
      </c>
      <c r="K47" s="189" t="str">
        <f t="shared" si="0"/>
        <v/>
      </c>
      <c r="L47" s="190" t="str">
        <f>IF(_epmOfflineCondition_,"600000",_xll.EVPRO($B$1,H47,"JDEID"))</f>
        <v>600000</v>
      </c>
      <c r="M47" s="190" t="str">
        <f>IF(_epmOfflineCondition_,"",IF(AND(I47="N",J47="N"),_xll.EVPRO($B$1,H47,"PSFTID"),""))</f>
        <v/>
      </c>
      <c r="N47" s="190" t="str">
        <f>IF(_epmOfflineCondition_,"Total Labor &amp; Related Exp",IF(_xll.EVDES(H47,$B$1)="#NODATA","",_xll.EVDES(H47,$B$1)))</f>
        <v>Total Labor &amp; Related Exp</v>
      </c>
      <c r="O47" s="242">
        <v>27871.040000000001</v>
      </c>
      <c r="P47" s="242">
        <v>27549.84</v>
      </c>
      <c r="Q47" s="242">
        <v>27947.11</v>
      </c>
      <c r="R47" s="242">
        <v>33277.129999999997</v>
      </c>
      <c r="S47" s="242">
        <v>28968.05</v>
      </c>
      <c r="T47" s="242">
        <v>33676.18</v>
      </c>
      <c r="U47" s="242">
        <v>31344.21</v>
      </c>
      <c r="V47" s="242">
        <v>29686.66</v>
      </c>
      <c r="W47" s="242">
        <v>14548.76</v>
      </c>
      <c r="X47" s="242">
        <v>31291.62</v>
      </c>
      <c r="Y47" s="242">
        <v>30891.97</v>
      </c>
      <c r="Z47" s="242">
        <v>26339.17</v>
      </c>
      <c r="AA47" s="242">
        <f t="shared" si="1"/>
        <v>343391.73999999993</v>
      </c>
      <c r="AB47" s="243">
        <f t="shared" si="2"/>
        <v>2.3308071574831061E-2</v>
      </c>
      <c r="AC47" s="244"/>
      <c r="AD47" s="242">
        <v>347183.10896085599</v>
      </c>
      <c r="AE47" s="243">
        <f t="shared" si="3"/>
        <v>2.3738397071875167E-2</v>
      </c>
      <c r="AF47" s="245">
        <f t="shared" si="4"/>
        <v>-3791.3689608560526</v>
      </c>
      <c r="AG47" s="242">
        <v>302167.65999999997</v>
      </c>
      <c r="AH47" s="243">
        <f t="shared" si="5"/>
        <v>2.5378326146329778E-2</v>
      </c>
      <c r="AI47" s="245">
        <f t="shared" si="6"/>
        <v>41224.079999999958</v>
      </c>
      <c r="AJ47" s="246">
        <f t="shared" si="7"/>
        <v>7.1272673308426722</v>
      </c>
      <c r="AK47" s="247">
        <f t="shared" si="8"/>
        <v>7.2059590900966377</v>
      </c>
      <c r="AL47" s="249">
        <f t="shared" si="9"/>
        <v>6.2716409298464084</v>
      </c>
      <c r="AM47" s="431" t="str">
        <f t="shared" si="10"/>
        <v>-0.04 pts.</v>
      </c>
      <c r="AN47" s="487" t="str">
        <f t="shared" si="11"/>
        <v>-0.21 pts.</v>
      </c>
      <c r="AO47" s="11"/>
    </row>
    <row r="48" spans="1:41" x14ac:dyDescent="0.25">
      <c r="A48" s="65" t="s">
        <v>2</v>
      </c>
      <c r="B48" s="66" t="str">
        <f>IF(_epmOfflineCondition_,"'POM'!$B$2:$B$10",_xll.EVRNG($B$2:$B$10))</f>
        <v>'POM'!$B$2:$B$10</v>
      </c>
      <c r="C48" s="11"/>
      <c r="D48" s="11"/>
      <c r="E48" s="11"/>
      <c r="F48" s="11"/>
      <c r="G48" s="11"/>
      <c r="H48" s="106"/>
      <c r="I48" s="106"/>
      <c r="J48" s="106"/>
      <c r="K48" s="106"/>
      <c r="L48" s="106"/>
      <c r="M48" s="106"/>
      <c r="N48" s="106"/>
      <c r="O48" s="129"/>
      <c r="P48" s="130"/>
      <c r="Q48" s="130"/>
      <c r="R48" s="130"/>
      <c r="S48" s="130"/>
      <c r="T48" s="130"/>
      <c r="U48" s="130"/>
      <c r="V48" s="130"/>
      <c r="W48" s="130"/>
      <c r="X48" s="130"/>
      <c r="Y48" s="130"/>
      <c r="Z48" s="130"/>
      <c r="AA48" s="130"/>
      <c r="AB48" s="131"/>
      <c r="AC48" s="11"/>
      <c r="AD48" s="129"/>
      <c r="AE48" s="130"/>
      <c r="AF48" s="131"/>
      <c r="AG48" s="129"/>
      <c r="AH48" s="130"/>
      <c r="AI48" s="131"/>
      <c r="AJ48" s="11"/>
      <c r="AK48" s="11"/>
      <c r="AL48" s="11"/>
      <c r="AM48" s="11"/>
      <c r="AN48" s="11"/>
      <c r="AO48" s="11"/>
    </row>
    <row r="49" spans="1:41" x14ac:dyDescent="0.25">
      <c r="A49" s="65" t="s">
        <v>3</v>
      </c>
      <c r="B49" s="66" t="str">
        <f>IF(_epmOfflineCondition_,"'POM'!$O$16:$AN$18",_xll.EVRNG($O$16:$AN$18))</f>
        <v>'POM'!$O$16:$AN$18</v>
      </c>
      <c r="C49" s="11"/>
      <c r="D49" s="11"/>
      <c r="E49" s="11"/>
      <c r="F49" s="11"/>
      <c r="G49" s="11"/>
      <c r="H49" s="11" t="s">
        <v>82</v>
      </c>
      <c r="I49" s="59" t="str">
        <f>IF(_epmOfflineCondition_,"B1",_xll.EVPRO($B$1,$H49,"STYLE"))</f>
        <v>B1</v>
      </c>
      <c r="J49" s="59" t="str">
        <f>IF(_epmOfflineCondition_,"Y",_xll.EVPRO($B$1,$H49,"CALC"))</f>
        <v>Y</v>
      </c>
      <c r="K49" s="11"/>
      <c r="L49" s="11"/>
      <c r="M49" s="11"/>
      <c r="N49" s="105" t="str">
        <f>IF(_epmOfflineCondition_,"Other Expenses",IF(_xll.EVDES(H49,$B$1)="#NODATA","",_xll.EVDES(H49,$B$1)))</f>
        <v>Other Expenses</v>
      </c>
      <c r="O49" s="119"/>
      <c r="P49" s="120"/>
      <c r="Q49" s="120"/>
      <c r="R49" s="120"/>
      <c r="S49" s="120"/>
      <c r="T49" s="120"/>
      <c r="U49" s="120"/>
      <c r="V49" s="120"/>
      <c r="W49" s="120"/>
      <c r="X49" s="120"/>
      <c r="Y49" s="120"/>
      <c r="Z49" s="120"/>
      <c r="AA49" s="120"/>
      <c r="AB49" s="121"/>
      <c r="AC49" s="11"/>
      <c r="AD49" s="119"/>
      <c r="AE49" s="120"/>
      <c r="AF49" s="121"/>
      <c r="AG49" s="119"/>
      <c r="AH49" s="120"/>
      <c r="AI49" s="121"/>
      <c r="AJ49" s="11"/>
      <c r="AK49" s="11"/>
      <c r="AL49" s="11"/>
      <c r="AM49" s="11"/>
      <c r="AN49" s="11"/>
      <c r="AO49" s="11"/>
    </row>
    <row r="50" spans="1:41" x14ac:dyDescent="0.25">
      <c r="A50" s="65" t="s">
        <v>4</v>
      </c>
      <c r="B50" s="66" t="str">
        <f>IF(_epmOfflineCondition_,"'POM'!$H$73:$H$76",_xll.EVRNG(H73:H76))</f>
        <v>'POM'!$H$73:$H$76</v>
      </c>
      <c r="C50" s="11"/>
      <c r="D50" s="11"/>
      <c r="E50" s="11"/>
      <c r="F50" s="11"/>
      <c r="G50" s="11"/>
      <c r="H50" s="88" t="s">
        <v>828</v>
      </c>
      <c r="I50" s="122" t="str">
        <f>IF(_epmOfflineCondition_,"N",_xll.EVPRO($B$1,$H50,"STYLE"))</f>
        <v>N</v>
      </c>
      <c r="J50" s="122" t="str">
        <f>IF(_epmOfflineCondition_,"N",_xll.EVPRO($B$1,$H50,"CALC"))</f>
        <v>N</v>
      </c>
      <c r="K50" s="179" t="str">
        <f t="shared" ref="K50:K72" si="12">IF(AND(I50&gt;="T3"),"&gt;","")</f>
        <v/>
      </c>
      <c r="L50" s="90" t="str">
        <f>IF(_epmOfflineCondition_,"701100",_xll.EVPRO($B$1,H50,"JDEID"))</f>
        <v>701100</v>
      </c>
      <c r="M50" s="90" t="str">
        <f>IF(_epmOfflineCondition_,"690015",IF(AND(I50="N",J50="N"),_xll.EVPRO($B$1,H50,"PSFTID"),""))</f>
        <v>690015</v>
      </c>
      <c r="N50" s="90" t="str">
        <f>IF(_epmOfflineCondition_,"Dues and Subscriptions",IF(_xll.EVDES(H50,$B$1)="#NODATA","",_xll.EVDES(H50,$B$1)))</f>
        <v>Dues and Subscriptions</v>
      </c>
      <c r="O50" s="138"/>
      <c r="P50" s="138"/>
      <c r="Q50" s="138"/>
      <c r="R50" s="138"/>
      <c r="S50" s="138"/>
      <c r="T50" s="138"/>
      <c r="U50" s="138"/>
      <c r="V50" s="138"/>
      <c r="W50" s="138"/>
      <c r="X50" s="138"/>
      <c r="Y50" s="138"/>
      <c r="Z50" s="138"/>
      <c r="AA50" s="231">
        <f t="shared" ref="AA50:AA73" si="13">IF($I50="B1","",SUM(O50:Z50))</f>
        <v>0</v>
      </c>
      <c r="AB50" s="142" t="str">
        <f t="shared" ref="AB50:AB73" si="14">IF(AA50=0,"",IFERROR(AA50/AA$19,""))</f>
        <v/>
      </c>
      <c r="AC50" s="140"/>
      <c r="AD50" s="138"/>
      <c r="AE50" s="142" t="str">
        <f t="shared" ref="AE50:AE73" si="15">IF(AD50=0,"",IFERROR(AD50/AD$19,""))</f>
        <v/>
      </c>
      <c r="AF50" s="141">
        <f t="shared" ref="AF50:AF73" si="16">IF(AND($AA50="",AD50=""),"",$AA50-AD50)</f>
        <v>0</v>
      </c>
      <c r="AG50" s="138">
        <v>250</v>
      </c>
      <c r="AH50" s="142">
        <f t="shared" ref="AH50:AH73" si="17">IF(AG50=0,"",IFERROR(AG50/AG$19,""))</f>
        <v>2.0996891383354675E-5</v>
      </c>
      <c r="AI50" s="141">
        <f t="shared" ref="AI50:AI73" si="18">IF(AND($AA50="",AG50=""),"",$AA50-AG50)</f>
        <v>-250</v>
      </c>
      <c r="AJ50" s="462">
        <f t="shared" ref="AJ50:AJ73" si="19">IFERROR(AA50/AA$20,0)</f>
        <v>0</v>
      </c>
      <c r="AK50" s="463">
        <f t="shared" ref="AK50:AK73" si="20">IFERROR(AD50/AD$20,0)</f>
        <v>0</v>
      </c>
      <c r="AL50" s="464">
        <f t="shared" ref="AL50:AL73" si="21">IFERROR(AG50/AG$20,0)</f>
        <v>5.1888750518887502E-3</v>
      </c>
      <c r="AM50" s="465">
        <f t="shared" ref="AM50:AM73" si="22">+IFERROR(ROUND(($AB50-AE50)*100,2)&amp;" pts.",0)</f>
        <v>0</v>
      </c>
      <c r="AN50" s="466">
        <f t="shared" ref="AN50:AN73" si="23">+IFERROR(ROUND(($AB50-AH50)*100,2)&amp;" pts.",0)</f>
        <v>0</v>
      </c>
      <c r="AO50" s="11"/>
    </row>
    <row r="51" spans="1:41" x14ac:dyDescent="0.25">
      <c r="A51" s="65" t="s">
        <v>5</v>
      </c>
      <c r="B51" s="66"/>
      <c r="C51" s="11"/>
      <c r="D51" s="11"/>
      <c r="E51" s="11"/>
      <c r="F51" s="11"/>
      <c r="G51" s="11"/>
      <c r="H51" s="88" t="s">
        <v>831</v>
      </c>
      <c r="I51" s="122" t="str">
        <f>IF(_epmOfflineCondition_,"T4",_xll.EVPRO($B$1,$H51,"STYLE"))</f>
        <v>T4</v>
      </c>
      <c r="J51" s="122" t="str">
        <f>IF(_epmOfflineCondition_,"Y",_xll.EVPRO($B$1,$H51,"CALC"))</f>
        <v>Y</v>
      </c>
      <c r="K51" s="179" t="str">
        <f t="shared" si="12"/>
        <v>&gt;</v>
      </c>
      <c r="L51" s="90" t="str">
        <f>IF(_epmOfflineCondition_,"701500",_xll.EVPRO($B$1,H51,"JDEID"))</f>
        <v>701500</v>
      </c>
      <c r="M51" s="90" t="str">
        <f>IF(_epmOfflineCondition_,"",IF(AND(I51="N",J51="N"),_xll.EVPRO($B$1,H51,"PSFTID"),""))</f>
        <v/>
      </c>
      <c r="N51" s="90" t="str">
        <f>IF(_epmOfflineCondition_,"Operating Supplies",IF(_xll.EVDES(H51,$B$1)="#NODATA","",_xll.EVDES(H51,$B$1)))</f>
        <v>Operating Supplies</v>
      </c>
      <c r="O51" s="138">
        <v>624.16</v>
      </c>
      <c r="P51" s="138">
        <v>-13.15</v>
      </c>
      <c r="Q51" s="138">
        <v>332.57</v>
      </c>
      <c r="R51" s="138">
        <v>66.680000000000007</v>
      </c>
      <c r="S51" s="138">
        <v>158.38999999999999</v>
      </c>
      <c r="T51" s="138">
        <v>128.13</v>
      </c>
      <c r="U51" s="138">
        <v>1076.52</v>
      </c>
      <c r="V51" s="138">
        <v>88.76</v>
      </c>
      <c r="W51" s="138">
        <v>384.12</v>
      </c>
      <c r="X51" s="138">
        <v>722.1</v>
      </c>
      <c r="Y51" s="138">
        <v>384.13</v>
      </c>
      <c r="Z51" s="138">
        <v>100.3</v>
      </c>
      <c r="AA51" s="231">
        <f t="shared" si="13"/>
        <v>4052.7100000000005</v>
      </c>
      <c r="AB51" s="142">
        <f t="shared" si="14"/>
        <v>2.7508190718866332E-4</v>
      </c>
      <c r="AC51" s="140"/>
      <c r="AD51" s="138">
        <v>3700</v>
      </c>
      <c r="AE51" s="142">
        <f t="shared" si="15"/>
        <v>2.5298485697885999E-4</v>
      </c>
      <c r="AF51" s="141">
        <f t="shared" si="16"/>
        <v>352.71000000000049</v>
      </c>
      <c r="AG51" s="138">
        <v>5616.92</v>
      </c>
      <c r="AH51" s="142">
        <f t="shared" si="17"/>
        <v>4.7175143659597011E-4</v>
      </c>
      <c r="AI51" s="141">
        <f t="shared" si="18"/>
        <v>-1564.2099999999996</v>
      </c>
      <c r="AJ51" s="462">
        <f t="shared" si="19"/>
        <v>8.4116023246160243E-2</v>
      </c>
      <c r="AK51" s="463">
        <f t="shared" si="20"/>
        <v>7.6795350767953505E-2</v>
      </c>
      <c r="AL51" s="464">
        <f t="shared" si="21"/>
        <v>0.11658198422581985</v>
      </c>
      <c r="AM51" s="465" t="str">
        <f t="shared" si="22"/>
        <v>0 pts.</v>
      </c>
      <c r="AN51" s="466" t="str">
        <f t="shared" si="23"/>
        <v>-0.02 pts.</v>
      </c>
      <c r="AO51" s="11"/>
    </row>
    <row r="52" spans="1:41" x14ac:dyDescent="0.25">
      <c r="A52" s="65" t="s">
        <v>6</v>
      </c>
      <c r="B52" s="66"/>
      <c r="C52" s="11"/>
      <c r="D52" s="11"/>
      <c r="E52" s="11"/>
      <c r="F52" s="11"/>
      <c r="G52" s="11"/>
      <c r="H52" s="88" t="s">
        <v>832</v>
      </c>
      <c r="I52" s="122" t="str">
        <f>IF(_epmOfflineCondition_,"T4",_xll.EVPRO($B$1,$H52,"STYLE"))</f>
        <v>T4</v>
      </c>
      <c r="J52" s="122" t="str">
        <f>IF(_epmOfflineCondition_,"Y",_xll.EVPRO($B$1,$H52,"CALC"))</f>
        <v>Y</v>
      </c>
      <c r="K52" s="179" t="str">
        <f t="shared" si="12"/>
        <v>&gt;</v>
      </c>
      <c r="L52" s="90" t="str">
        <f>IF(_epmOfflineCondition_,"",_xll.EVPRO($B$1,H52,"JDEID"))</f>
        <v/>
      </c>
      <c r="M52" s="90" t="str">
        <f>IF(_epmOfflineCondition_,"",IF(AND(I52="N",J52="N"),_xll.EVPRO($B$1,H52,"PSFTID"),""))</f>
        <v/>
      </c>
      <c r="N52" s="90" t="str">
        <f>IF(_epmOfflineCondition_,"Contract Services",IF(_xll.EVDES(H52,$B$1)="#NODATA","",_xll.EVDES(H52,$B$1)))</f>
        <v>Contract Services</v>
      </c>
      <c r="O52" s="138">
        <v>1408.93</v>
      </c>
      <c r="P52" s="138">
        <v>1128.92</v>
      </c>
      <c r="Q52" s="138">
        <v>2415.88</v>
      </c>
      <c r="R52" s="138">
        <v>2467.08</v>
      </c>
      <c r="S52" s="138">
        <v>2468.3200000000002</v>
      </c>
      <c r="T52" s="138">
        <v>2281.11</v>
      </c>
      <c r="U52" s="138">
        <v>2926.36</v>
      </c>
      <c r="V52" s="138">
        <v>2330.75</v>
      </c>
      <c r="W52" s="138">
        <v>1781.64</v>
      </c>
      <c r="X52" s="138">
        <v>1544.13</v>
      </c>
      <c r="Y52" s="138">
        <v>2541.4</v>
      </c>
      <c r="Z52" s="138">
        <v>1183.3399999999999</v>
      </c>
      <c r="AA52" s="231">
        <f t="shared" si="13"/>
        <v>24477.860000000004</v>
      </c>
      <c r="AB52" s="142">
        <f t="shared" si="14"/>
        <v>1.6614602112406502E-3</v>
      </c>
      <c r="AC52" s="140"/>
      <c r="AD52" s="138">
        <v>31496.0366666667</v>
      </c>
      <c r="AE52" s="142">
        <f t="shared" si="15"/>
        <v>2.1535190085182716E-3</v>
      </c>
      <c r="AF52" s="141">
        <f t="shared" si="16"/>
        <v>-7018.1766666666954</v>
      </c>
      <c r="AG52" s="138">
        <v>37189.06</v>
      </c>
      <c r="AH52" s="142">
        <f t="shared" si="17"/>
        <v>3.1234186138762395E-3</v>
      </c>
      <c r="AI52" s="141">
        <f t="shared" si="18"/>
        <v>-12711.199999999993</v>
      </c>
      <c r="AJ52" s="462">
        <f t="shared" si="19"/>
        <v>0.50805022831050239</v>
      </c>
      <c r="AK52" s="463">
        <f t="shared" si="20"/>
        <v>0.65371599557216065</v>
      </c>
      <c r="AL52" s="464">
        <f t="shared" si="21"/>
        <v>0.77187754254877539</v>
      </c>
      <c r="AM52" s="465" t="str">
        <f t="shared" si="22"/>
        <v>-0.05 pts.</v>
      </c>
      <c r="AN52" s="466" t="str">
        <f t="shared" si="23"/>
        <v>-0.15 pts.</v>
      </c>
      <c r="AO52" s="11"/>
    </row>
    <row r="53" spans="1:41" x14ac:dyDescent="0.25">
      <c r="A53" s="65" t="s">
        <v>7</v>
      </c>
      <c r="B53" s="66"/>
      <c r="C53" s="11"/>
      <c r="D53" s="11"/>
      <c r="E53" s="11"/>
      <c r="F53" s="11"/>
      <c r="G53" s="11"/>
      <c r="H53" s="88" t="s">
        <v>833</v>
      </c>
      <c r="I53" s="122" t="str">
        <f>IF(_epmOfflineCondition_,"T4",_xll.EVPRO($B$1,$H53,"STYLE"))</f>
        <v>T4</v>
      </c>
      <c r="J53" s="122" t="str">
        <f>IF(_epmOfflineCondition_,"Y",_xll.EVPRO($B$1,$H53,"CALC"))</f>
        <v>Y</v>
      </c>
      <c r="K53" s="179" t="str">
        <f t="shared" si="12"/>
        <v>&gt;</v>
      </c>
      <c r="L53" s="90" t="str">
        <f>IF(_epmOfflineCondition_,"",_xll.EVPRO($B$1,H53,"JDEID"))</f>
        <v/>
      </c>
      <c r="M53" s="90" t="str">
        <f>IF(_epmOfflineCondition_,"",IF(AND(I53="N",J53="N"),_xll.EVPRO($B$1,H53,"PSFTID"),""))</f>
        <v/>
      </c>
      <c r="N53" s="90" t="str">
        <f>IF(_epmOfflineCondition_,"Travel - Other",IF(_xll.EVDES(H53,$B$1)="#NODATA","",_xll.EVDES(H53,$B$1)))</f>
        <v>Travel - Other</v>
      </c>
      <c r="O53" s="138">
        <v>14.63</v>
      </c>
      <c r="P53" s="138">
        <v>58.97</v>
      </c>
      <c r="Q53" s="138">
        <v>39.71</v>
      </c>
      <c r="R53" s="138">
        <v>38.25</v>
      </c>
      <c r="S53" s="138">
        <v>36.78</v>
      </c>
      <c r="T53" s="138">
        <v>48.61</v>
      </c>
      <c r="U53" s="138">
        <v>268.13</v>
      </c>
      <c r="V53" s="138">
        <v>52.36</v>
      </c>
      <c r="W53" s="138">
        <v>63.88</v>
      </c>
      <c r="X53" s="138">
        <v>67.5</v>
      </c>
      <c r="Y53" s="138">
        <v>16.239999999999998</v>
      </c>
      <c r="Z53" s="138">
        <v>1542.21</v>
      </c>
      <c r="AA53" s="231">
        <f t="shared" si="13"/>
        <v>2247.27</v>
      </c>
      <c r="AB53" s="142">
        <f t="shared" si="14"/>
        <v>1.525357890319977E-4</v>
      </c>
      <c r="AC53" s="140"/>
      <c r="AD53" s="138"/>
      <c r="AE53" s="142" t="str">
        <f t="shared" si="15"/>
        <v/>
      </c>
      <c r="AF53" s="141">
        <f t="shared" si="16"/>
        <v>2247.27</v>
      </c>
      <c r="AG53" s="138">
        <v>165.38</v>
      </c>
      <c r="AH53" s="142">
        <f t="shared" si="17"/>
        <v>1.3889863587916783E-5</v>
      </c>
      <c r="AI53" s="141">
        <f t="shared" si="18"/>
        <v>2081.89</v>
      </c>
      <c r="AJ53" s="462">
        <f t="shared" si="19"/>
        <v>4.6643212951432131E-2</v>
      </c>
      <c r="AK53" s="463">
        <f t="shared" si="20"/>
        <v>0</v>
      </c>
      <c r="AL53" s="464">
        <f t="shared" si="21"/>
        <v>3.432544624325446E-3</v>
      </c>
      <c r="AM53" s="465">
        <f t="shared" si="22"/>
        <v>0</v>
      </c>
      <c r="AN53" s="466" t="str">
        <f t="shared" si="23"/>
        <v>0.01 pts.</v>
      </c>
      <c r="AO53" s="11"/>
    </row>
    <row r="54" spans="1:41" x14ac:dyDescent="0.25">
      <c r="A54" s="65" t="s">
        <v>47</v>
      </c>
      <c r="B54" s="66" t="str">
        <f>IF(_epmOfflineCondition_,"'POM'!$A$59:$B$80",_xll.EVRNG($A$59:$B$80))</f>
        <v>'POM'!$A$59:$B$80</v>
      </c>
      <c r="C54" s="11"/>
      <c r="D54" s="11"/>
      <c r="E54" s="11"/>
      <c r="F54" s="11"/>
      <c r="G54" s="11"/>
      <c r="H54" s="88" t="s">
        <v>834</v>
      </c>
      <c r="I54" s="122" t="str">
        <f>IF(_epmOfflineCondition_,"T4",_xll.EVPRO($B$1,$H54,"STYLE"))</f>
        <v>T4</v>
      </c>
      <c r="J54" s="122" t="str">
        <f>IF(_epmOfflineCondition_,"Y",_xll.EVPRO($B$1,$H54,"CALC"))</f>
        <v>Y</v>
      </c>
      <c r="K54" s="179" t="str">
        <f t="shared" si="12"/>
        <v>&gt;</v>
      </c>
      <c r="L54" s="90" t="str">
        <f>IF(_epmOfflineCondition_,"702900",_xll.EVPRO($B$1,H54,"JDEID"))</f>
        <v>702900</v>
      </c>
      <c r="M54" s="90" t="str">
        <f>IF(_epmOfflineCondition_,"",IF(AND(I54="N",J54="N"),_xll.EVPRO($B$1,H54,"PSFTID"),""))</f>
        <v/>
      </c>
      <c r="N54" s="90" t="str">
        <f>IF(_epmOfflineCondition_,"Travel - Meals &amp; Entertainment",IF(_xll.EVDES(H54,$B$1)="#NODATA","",_xll.EVDES(H54,$B$1)))</f>
        <v>Travel - Meals &amp; Entertainment</v>
      </c>
      <c r="O54" s="138"/>
      <c r="P54" s="138"/>
      <c r="Q54" s="138"/>
      <c r="R54" s="138"/>
      <c r="S54" s="138"/>
      <c r="T54" s="138"/>
      <c r="U54" s="138"/>
      <c r="V54" s="138"/>
      <c r="W54" s="138"/>
      <c r="X54" s="138"/>
      <c r="Y54" s="138"/>
      <c r="Z54" s="138">
        <v>26.44</v>
      </c>
      <c r="AA54" s="231">
        <f t="shared" si="13"/>
        <v>26.44</v>
      </c>
      <c r="AB54" s="142">
        <f t="shared" si="14"/>
        <v>1.794642504908631E-6</v>
      </c>
      <c r="AC54" s="140"/>
      <c r="AD54" s="138"/>
      <c r="AE54" s="142" t="str">
        <f t="shared" si="15"/>
        <v/>
      </c>
      <c r="AF54" s="141">
        <f t="shared" si="16"/>
        <v>26.44</v>
      </c>
      <c r="AG54" s="138">
        <v>9.68</v>
      </c>
      <c r="AH54" s="142">
        <f t="shared" si="17"/>
        <v>8.129996343634929E-7</v>
      </c>
      <c r="AI54" s="141">
        <f t="shared" si="18"/>
        <v>16.760000000000002</v>
      </c>
      <c r="AJ54" s="462">
        <f t="shared" si="19"/>
        <v>5.4877542548775423E-4</v>
      </c>
      <c r="AK54" s="463">
        <f t="shared" si="20"/>
        <v>0</v>
      </c>
      <c r="AL54" s="464">
        <f t="shared" si="21"/>
        <v>2.0091324200913243E-4</v>
      </c>
      <c r="AM54" s="465">
        <f t="shared" si="22"/>
        <v>0</v>
      </c>
      <c r="AN54" s="466" t="str">
        <f t="shared" si="23"/>
        <v>0 pts.</v>
      </c>
      <c r="AO54" s="11"/>
    </row>
    <row r="55" spans="1:41" x14ac:dyDescent="0.25">
      <c r="A55" s="65" t="s">
        <v>8</v>
      </c>
      <c r="B55" s="66"/>
      <c r="C55" s="11"/>
      <c r="D55" s="11"/>
      <c r="E55" s="11"/>
      <c r="F55" s="11"/>
      <c r="G55" s="11"/>
      <c r="H55" s="88" t="s">
        <v>856</v>
      </c>
      <c r="I55" s="122" t="str">
        <f>IF(_epmOfflineCondition_,"N",_xll.EVPRO($B$1,$H55,"STYLE"))</f>
        <v>N</v>
      </c>
      <c r="J55" s="122" t="str">
        <f>IF(_epmOfflineCondition_,"N",_xll.EVPRO($B$1,$H55,"CALC"))</f>
        <v>N</v>
      </c>
      <c r="K55" s="179" t="str">
        <f t="shared" si="12"/>
        <v/>
      </c>
      <c r="L55" s="90" t="str">
        <f>IF(_epmOfflineCondition_,"703200",_xll.EVPRO($B$1,H55,"JDEID"))</f>
        <v>703200</v>
      </c>
      <c r="M55" s="90" t="str">
        <f>IF(_epmOfflineCondition_,"590035",IF(AND(I55="N",J55="N"),_xll.EVPRO($B$1,H55,"PSFTID"),""))</f>
        <v>590035</v>
      </c>
      <c r="N55" s="90" t="str">
        <f>IF(_epmOfflineCondition_,"Uniform Costs",IF(_xll.EVDES(H55,$B$1)="#NODATA","",_xll.EVDES(H55,$B$1)))</f>
        <v>Uniform Costs</v>
      </c>
      <c r="O55" s="138"/>
      <c r="P55" s="138"/>
      <c r="Q55" s="138">
        <v>546.5</v>
      </c>
      <c r="R55" s="138">
        <v>516.34</v>
      </c>
      <c r="S55" s="138"/>
      <c r="T55" s="138"/>
      <c r="U55" s="138">
        <v>538.96</v>
      </c>
      <c r="V55" s="138"/>
      <c r="W55" s="138"/>
      <c r="X55" s="138">
        <v>500</v>
      </c>
      <c r="Y55" s="138">
        <v>120.37</v>
      </c>
      <c r="Z55" s="138">
        <v>83.88</v>
      </c>
      <c r="AA55" s="231">
        <f t="shared" si="13"/>
        <v>2306.0500000000002</v>
      </c>
      <c r="AB55" s="142">
        <f t="shared" si="14"/>
        <v>1.5652554267944586E-4</v>
      </c>
      <c r="AC55" s="140"/>
      <c r="AD55" s="138">
        <v>2066</v>
      </c>
      <c r="AE55" s="142">
        <f t="shared" si="15"/>
        <v>1.4126127419414181E-4</v>
      </c>
      <c r="AF55" s="141">
        <f t="shared" si="16"/>
        <v>240.05000000000018</v>
      </c>
      <c r="AG55" s="138">
        <v>1929.36</v>
      </c>
      <c r="AH55" s="142">
        <f t="shared" si="17"/>
        <v>1.6204224943755667E-4</v>
      </c>
      <c r="AI55" s="141">
        <f t="shared" si="18"/>
        <v>376.69000000000028</v>
      </c>
      <c r="AJ55" s="462">
        <f t="shared" si="19"/>
        <v>4.7863221253632217E-2</v>
      </c>
      <c r="AK55" s="463">
        <f t="shared" si="20"/>
        <v>4.2880863428808633E-2</v>
      </c>
      <c r="AL55" s="464">
        <f t="shared" si="21"/>
        <v>4.0044831880448314E-2</v>
      </c>
      <c r="AM55" s="465" t="str">
        <f t="shared" si="22"/>
        <v>0 pts.</v>
      </c>
      <c r="AN55" s="466" t="str">
        <f t="shared" si="23"/>
        <v>0 pts.</v>
      </c>
      <c r="AO55" s="11"/>
    </row>
    <row r="56" spans="1:41" x14ac:dyDescent="0.25">
      <c r="A56" s="11"/>
      <c r="B56" s="11"/>
      <c r="C56" s="11"/>
      <c r="D56" s="11"/>
      <c r="E56" s="11"/>
      <c r="F56" s="11"/>
      <c r="G56" s="11"/>
      <c r="H56" s="88" t="s">
        <v>875</v>
      </c>
      <c r="I56" s="122" t="str">
        <f>IF(_epmOfflineCondition_,"N",_xll.EVPRO($B$1,$H56,"STYLE"))</f>
        <v>N</v>
      </c>
      <c r="J56" s="122" t="str">
        <f>IF(_epmOfflineCondition_,"N",_xll.EVPRO($B$1,$H56,"CALC"))</f>
        <v>N</v>
      </c>
      <c r="K56" s="179" t="str">
        <f t="shared" si="12"/>
        <v/>
      </c>
      <c r="L56" s="90" t="str">
        <f>IF(_epmOfflineCondition_,"703300",_xll.EVPRO($B$1,H56,"JDEID"))</f>
        <v>703300</v>
      </c>
      <c r="M56" s="90" t="str">
        <f>IF(_epmOfflineCondition_,"590115",IF(AND(I56="N",J56="N"),_xll.EVPRO($B$1,H56,"PSFTID"),""))</f>
        <v>590115</v>
      </c>
      <c r="N56" s="90" t="str">
        <f>IF(_epmOfflineCondition_,"Uniforms Laundry",IF(_xll.EVDES(H56,$B$1)="#NODATA","",_xll.EVDES(H56,$B$1)))</f>
        <v>Uniforms Laundry</v>
      </c>
      <c r="O56" s="138">
        <v>345.6</v>
      </c>
      <c r="P56" s="138">
        <v>417.2</v>
      </c>
      <c r="Q56" s="138">
        <v>304.8</v>
      </c>
      <c r="R56" s="138">
        <v>452.32</v>
      </c>
      <c r="S56" s="138">
        <v>417.54</v>
      </c>
      <c r="T56" s="138">
        <v>481.4</v>
      </c>
      <c r="U56" s="138">
        <v>423.96</v>
      </c>
      <c r="V56" s="138">
        <v>433.43</v>
      </c>
      <c r="W56" s="138">
        <v>427.12</v>
      </c>
      <c r="X56" s="138">
        <v>410</v>
      </c>
      <c r="Y56" s="138">
        <v>558.42999999999995</v>
      </c>
      <c r="Z56" s="138">
        <v>344.4</v>
      </c>
      <c r="AA56" s="231">
        <f t="shared" si="13"/>
        <v>5016.1999999999989</v>
      </c>
      <c r="AB56" s="142">
        <f t="shared" si="14"/>
        <v>3.4047979323459431E-4</v>
      </c>
      <c r="AC56" s="140"/>
      <c r="AD56" s="138">
        <v>4337.0000000004002</v>
      </c>
      <c r="AE56" s="142">
        <f t="shared" si="15"/>
        <v>2.9653927695065324E-4</v>
      </c>
      <c r="AF56" s="141">
        <f t="shared" si="16"/>
        <v>679.19999999959873</v>
      </c>
      <c r="AG56" s="138">
        <v>4443.24</v>
      </c>
      <c r="AH56" s="142">
        <f t="shared" si="17"/>
        <v>3.7317691068070724E-4</v>
      </c>
      <c r="AI56" s="141">
        <f t="shared" si="18"/>
        <v>572.95999999999913</v>
      </c>
      <c r="AJ56" s="462">
        <f t="shared" si="19"/>
        <v>0.10411374014113738</v>
      </c>
      <c r="AK56" s="463">
        <f t="shared" si="20"/>
        <v>9.0016604400174352E-2</v>
      </c>
      <c r="AL56" s="464">
        <f t="shared" si="21"/>
        <v>9.2221668742216684E-2</v>
      </c>
      <c r="AM56" s="465" t="str">
        <f t="shared" si="22"/>
        <v>0 pts.</v>
      </c>
      <c r="AN56" s="466" t="str">
        <f t="shared" si="23"/>
        <v>0 pts.</v>
      </c>
      <c r="AO56" s="11"/>
    </row>
    <row r="57" spans="1:41" x14ac:dyDescent="0.25">
      <c r="A57" s="11"/>
      <c r="B57" s="11"/>
      <c r="C57" s="11"/>
      <c r="D57" s="11"/>
      <c r="E57" s="11"/>
      <c r="F57" s="11"/>
      <c r="G57" s="11"/>
      <c r="H57" s="88" t="s">
        <v>840</v>
      </c>
      <c r="I57" s="122" t="str">
        <f>IF(_epmOfflineCondition_,"N",_xll.EVPRO($B$1,$H57,"STYLE"))</f>
        <v>N</v>
      </c>
      <c r="J57" s="122" t="str">
        <f>IF(_epmOfflineCondition_,"N",_xll.EVPRO($B$1,$H57,"CALC"))</f>
        <v>N</v>
      </c>
      <c r="K57" s="179" t="str">
        <f t="shared" si="12"/>
        <v/>
      </c>
      <c r="L57" s="90" t="str">
        <f>IF(_epmOfflineCondition_,"705500",_xll.EVPRO($B$1,H57,"JDEID"))</f>
        <v>705500</v>
      </c>
      <c r="M57" s="90" t="str">
        <f>IF(_epmOfflineCondition_,"690105",IF(AND(I57="N",J57="N"),_xll.EVPRO($B$1,H57,"PSFTID"),""))</f>
        <v>690105</v>
      </c>
      <c r="N57" s="90" t="str">
        <f>IF(_epmOfflineCondition_,"Licenses &amp; Permits",IF(_xll.EVDES(H57,$B$1)="#NODATA","",_xll.EVDES(H57,$B$1)))</f>
        <v>Licenses &amp; Permits</v>
      </c>
      <c r="O57" s="138"/>
      <c r="P57" s="138"/>
      <c r="Q57" s="138"/>
      <c r="R57" s="138"/>
      <c r="S57" s="138">
        <v>2000</v>
      </c>
      <c r="T57" s="138">
        <v>1120</v>
      </c>
      <c r="U57" s="138"/>
      <c r="V57" s="138">
        <v>265.08</v>
      </c>
      <c r="W57" s="138">
        <v>2300</v>
      </c>
      <c r="X57" s="138">
        <v>-2300</v>
      </c>
      <c r="Y57" s="138"/>
      <c r="Z57" s="138"/>
      <c r="AA57" s="231">
        <f t="shared" si="13"/>
        <v>3385.08</v>
      </c>
      <c r="AB57" s="142">
        <f t="shared" si="14"/>
        <v>2.2976582641891485E-4</v>
      </c>
      <c r="AC57" s="140"/>
      <c r="AD57" s="138">
        <v>7173</v>
      </c>
      <c r="AE57" s="142">
        <f t="shared" si="15"/>
        <v>4.9044875111063852E-4</v>
      </c>
      <c r="AF57" s="141">
        <f t="shared" si="16"/>
        <v>-3787.92</v>
      </c>
      <c r="AG57" s="138">
        <v>8164.08</v>
      </c>
      <c r="AH57" s="142">
        <f t="shared" si="17"/>
        <v>6.8568120402007291E-4</v>
      </c>
      <c r="AI57" s="141">
        <f t="shared" si="18"/>
        <v>-4779</v>
      </c>
      <c r="AJ57" s="462">
        <f t="shared" si="19"/>
        <v>7.0259028642590288E-2</v>
      </c>
      <c r="AK57" s="463">
        <f t="shared" si="20"/>
        <v>0.14887920298879204</v>
      </c>
      <c r="AL57" s="464">
        <f t="shared" si="21"/>
        <v>0.16944956413449563</v>
      </c>
      <c r="AM57" s="465" t="str">
        <f t="shared" si="22"/>
        <v>-0.03 pts.</v>
      </c>
      <c r="AN57" s="466" t="str">
        <f t="shared" si="23"/>
        <v>-0.05 pts.</v>
      </c>
      <c r="AO57" s="11"/>
    </row>
    <row r="58" spans="1:41" x14ac:dyDescent="0.25">
      <c r="A58" s="62" t="s">
        <v>23</v>
      </c>
      <c r="B58" s="63" t="s">
        <v>24</v>
      </c>
      <c r="C58" s="11"/>
      <c r="D58" s="11"/>
      <c r="E58" s="11"/>
      <c r="F58" s="11"/>
      <c r="G58" s="11"/>
      <c r="H58" s="88" t="s">
        <v>895</v>
      </c>
      <c r="I58" s="122" t="str">
        <f>IF(_epmOfflineCondition_,"N",_xll.EVPRO($B$1,$H58,"STYLE"))</f>
        <v>N</v>
      </c>
      <c r="J58" s="122" t="str">
        <f>IF(_epmOfflineCondition_,"N",_xll.EVPRO($B$1,$H58,"CALC"))</f>
        <v>N</v>
      </c>
      <c r="K58" s="179" t="str">
        <f t="shared" si="12"/>
        <v/>
      </c>
      <c r="L58" s="90" t="str">
        <f>IF(_epmOfflineCondition_,"715100",_xll.EVPRO($B$1,H58,"JDEID"))</f>
        <v>715100</v>
      </c>
      <c r="M58" s="90" t="str">
        <f>IF(_epmOfflineCondition_,"691055",IF(AND(I58="N",J58="N"),_xll.EVPRO($B$1,H58,"PSFTID"),""))</f>
        <v>691055</v>
      </c>
      <c r="N58" s="90" t="str">
        <f>IF(_epmOfflineCondition_,"Life/Safety",IF(_xll.EVDES(H58,$B$1)="#NODATA","",_xll.EVDES(H58,$B$1)))</f>
        <v>Life/Safety</v>
      </c>
      <c r="O58" s="138"/>
      <c r="P58" s="138">
        <v>1882.02</v>
      </c>
      <c r="Q58" s="138">
        <v>575</v>
      </c>
      <c r="R58" s="138">
        <v>224.56</v>
      </c>
      <c r="S58" s="138">
        <v>116.08</v>
      </c>
      <c r="T58" s="138">
        <v>1114.5</v>
      </c>
      <c r="U58" s="138">
        <v>318.42</v>
      </c>
      <c r="V58" s="138">
        <v>796.86</v>
      </c>
      <c r="W58" s="138">
        <v>1550.07</v>
      </c>
      <c r="X58" s="138">
        <v>2849.82</v>
      </c>
      <c r="Y58" s="138">
        <v>675.25</v>
      </c>
      <c r="Z58" s="138">
        <v>2639.04</v>
      </c>
      <c r="AA58" s="231">
        <f t="shared" si="13"/>
        <v>12741.619999999999</v>
      </c>
      <c r="AB58" s="142">
        <f t="shared" si="14"/>
        <v>8.6485071230688005E-4</v>
      </c>
      <c r="AC58" s="140"/>
      <c r="AD58" s="138">
        <v>10375</v>
      </c>
      <c r="AE58" s="142">
        <f t="shared" si="15"/>
        <v>7.0938321382585736E-4</v>
      </c>
      <c r="AF58" s="141">
        <f t="shared" si="16"/>
        <v>2366.619999999999</v>
      </c>
      <c r="AG58" s="138">
        <v>7597.05</v>
      </c>
      <c r="AH58" s="142">
        <f t="shared" si="17"/>
        <v>6.3805773473565852E-4</v>
      </c>
      <c r="AI58" s="141">
        <f t="shared" si="18"/>
        <v>5144.5699999999988</v>
      </c>
      <c r="AJ58" s="462">
        <f t="shared" si="19"/>
        <v>0.26445869655458693</v>
      </c>
      <c r="AK58" s="463">
        <f t="shared" si="20"/>
        <v>0.21533831465338316</v>
      </c>
      <c r="AL58" s="464">
        <f t="shared" si="21"/>
        <v>0.15768057285180573</v>
      </c>
      <c r="AM58" s="465" t="str">
        <f t="shared" si="22"/>
        <v>0.02 pts.</v>
      </c>
      <c r="AN58" s="466" t="str">
        <f t="shared" si="23"/>
        <v>0.02 pts.</v>
      </c>
      <c r="AO58" s="11"/>
    </row>
    <row r="59" spans="1:41" x14ac:dyDescent="0.25">
      <c r="A59" s="65" t="s">
        <v>25</v>
      </c>
      <c r="B59" s="66"/>
      <c r="C59" s="11"/>
      <c r="D59" s="11"/>
      <c r="E59" s="11"/>
      <c r="F59" s="11"/>
      <c r="G59" s="11"/>
      <c r="H59" s="88" t="s">
        <v>896</v>
      </c>
      <c r="I59" s="122" t="str">
        <f>IF(_epmOfflineCondition_,"N",_xll.EVPRO($B$1,$H59,"STYLE"))</f>
        <v>N</v>
      </c>
      <c r="J59" s="122" t="str">
        <f>IF(_epmOfflineCondition_,"N",_xll.EVPRO($B$1,$H59,"CALC"))</f>
        <v>N</v>
      </c>
      <c r="K59" s="179" t="str">
        <f t="shared" si="12"/>
        <v/>
      </c>
      <c r="L59" s="90" t="str">
        <f>IF(_epmOfflineCondition_,"715200",_xll.EVPRO($B$1,H59,"JDEID"))</f>
        <v>715200</v>
      </c>
      <c r="M59" s="90" t="str">
        <f>IF(_epmOfflineCondition_,"691095",IF(AND(I59="N",J59="N"),_xll.EVPRO($B$1,H59,"PSFTID"),""))</f>
        <v>691095</v>
      </c>
      <c r="N59" s="90" t="str">
        <f>IF(_epmOfflineCondition_,"Electrical &amp; Mechanical Equipment",IF(_xll.EVDES(H59,$B$1)="#NODATA","",_xll.EVDES(H59,$B$1)))</f>
        <v>Electrical &amp; Mechanical Equipment</v>
      </c>
      <c r="O59" s="138">
        <v>3026</v>
      </c>
      <c r="P59" s="138">
        <v>998.52</v>
      </c>
      <c r="Q59" s="138">
        <v>105.93</v>
      </c>
      <c r="R59" s="138">
        <v>4729.46</v>
      </c>
      <c r="S59" s="138"/>
      <c r="T59" s="138">
        <v>519.11</v>
      </c>
      <c r="U59" s="138">
        <v>5855.88</v>
      </c>
      <c r="V59" s="138">
        <v>370.18</v>
      </c>
      <c r="W59" s="138">
        <v>716.9</v>
      </c>
      <c r="X59" s="138">
        <v>5322.07</v>
      </c>
      <c r="Y59" s="138">
        <v>1300.3699999999999</v>
      </c>
      <c r="Z59" s="138">
        <v>1963.96</v>
      </c>
      <c r="AA59" s="231">
        <f t="shared" si="13"/>
        <v>24908.38</v>
      </c>
      <c r="AB59" s="142">
        <f t="shared" si="14"/>
        <v>1.6906822041004557E-3</v>
      </c>
      <c r="AC59" s="140"/>
      <c r="AD59" s="138">
        <v>19876</v>
      </c>
      <c r="AE59" s="142">
        <f t="shared" si="15"/>
        <v>1.359007301976168E-3</v>
      </c>
      <c r="AF59" s="141">
        <f t="shared" si="16"/>
        <v>5032.380000000001</v>
      </c>
      <c r="AG59" s="138">
        <v>18179.23</v>
      </c>
      <c r="AH59" s="142">
        <f t="shared" si="17"/>
        <v>1.5268292709720911E-3</v>
      </c>
      <c r="AI59" s="141">
        <f t="shared" si="18"/>
        <v>6729.1500000000015</v>
      </c>
      <c r="AJ59" s="462">
        <f t="shared" si="19"/>
        <v>0.51698588625985886</v>
      </c>
      <c r="AK59" s="463">
        <f t="shared" si="20"/>
        <v>0.41253632212536323</v>
      </c>
      <c r="AL59" s="464">
        <f t="shared" si="21"/>
        <v>0.37731901203819013</v>
      </c>
      <c r="AM59" s="465" t="str">
        <f t="shared" si="22"/>
        <v>0.03 pts.</v>
      </c>
      <c r="AN59" s="466" t="str">
        <f t="shared" si="23"/>
        <v>0.02 pts.</v>
      </c>
      <c r="AO59" s="11"/>
    </row>
    <row r="60" spans="1:41" x14ac:dyDescent="0.25">
      <c r="A60" s="65" t="s">
        <v>26</v>
      </c>
      <c r="B60" s="66"/>
      <c r="C60" s="11"/>
      <c r="D60" s="11"/>
      <c r="E60" s="11"/>
      <c r="F60" s="11"/>
      <c r="G60" s="11"/>
      <c r="H60" s="88" t="s">
        <v>897</v>
      </c>
      <c r="I60" s="122" t="str">
        <f>IF(_epmOfflineCondition_,"N",_xll.EVPRO($B$1,$H60,"STYLE"))</f>
        <v>N</v>
      </c>
      <c r="J60" s="122" t="str">
        <f>IF(_epmOfflineCondition_,"N",_xll.EVPRO($B$1,$H60,"CALC"))</f>
        <v>N</v>
      </c>
      <c r="K60" s="179" t="str">
        <f t="shared" si="12"/>
        <v/>
      </c>
      <c r="L60" s="90" t="str">
        <f>IF(_epmOfflineCondition_,"715300",_xll.EVPRO($B$1,H60,"JDEID"))</f>
        <v>715300</v>
      </c>
      <c r="M60" s="90" t="str">
        <f>IF(_epmOfflineCondition_,"690922",IF(AND(I60="N",J60="N"),_xll.EVPRO($B$1,H60,"PSFTID"),""))</f>
        <v>690922</v>
      </c>
      <c r="N60" s="90" t="str">
        <f>IF(_epmOfflineCondition_,"HVAC Equipment",IF(_xll.EVDES(H60,$B$1)="#NODATA","",_xll.EVDES(H60,$B$1)))</f>
        <v>HVAC Equipment</v>
      </c>
      <c r="O60" s="138">
        <v>2171.34</v>
      </c>
      <c r="P60" s="138">
        <v>3737.72</v>
      </c>
      <c r="Q60" s="138">
        <v>2302.15</v>
      </c>
      <c r="R60" s="138">
        <v>2763.7</v>
      </c>
      <c r="S60" s="138">
        <v>4597.51</v>
      </c>
      <c r="T60" s="138">
        <v>775.53</v>
      </c>
      <c r="U60" s="138">
        <v>2738.11</v>
      </c>
      <c r="V60" s="138">
        <v>3646.49</v>
      </c>
      <c r="W60" s="138">
        <v>1823.05</v>
      </c>
      <c r="X60" s="138">
        <v>978.59</v>
      </c>
      <c r="Y60" s="138">
        <v>6491.9</v>
      </c>
      <c r="Z60" s="138"/>
      <c r="AA60" s="231">
        <f t="shared" si="13"/>
        <v>32026.090000000004</v>
      </c>
      <c r="AB60" s="142">
        <f t="shared" si="14"/>
        <v>2.1738041747363566E-3</v>
      </c>
      <c r="AC60" s="140"/>
      <c r="AD60" s="138">
        <v>24800</v>
      </c>
      <c r="AE60" s="142">
        <f t="shared" si="15"/>
        <v>1.6956822846150616E-3</v>
      </c>
      <c r="AF60" s="141">
        <f t="shared" si="16"/>
        <v>7226.0900000000038</v>
      </c>
      <c r="AG60" s="138">
        <v>50709.23</v>
      </c>
      <c r="AH60" s="142">
        <f t="shared" si="17"/>
        <v>4.2589447777742016E-3</v>
      </c>
      <c r="AI60" s="141">
        <f t="shared" si="18"/>
        <v>-18683.14</v>
      </c>
      <c r="AJ60" s="462">
        <f t="shared" si="19"/>
        <v>0.66471751764217524</v>
      </c>
      <c r="AK60" s="463">
        <f t="shared" si="20"/>
        <v>0.51473640514736407</v>
      </c>
      <c r="AL60" s="464">
        <f t="shared" si="21"/>
        <v>1.0524954337899544</v>
      </c>
      <c r="AM60" s="465" t="str">
        <f t="shared" si="22"/>
        <v>0.05 pts.</v>
      </c>
      <c r="AN60" s="466" t="str">
        <f t="shared" si="23"/>
        <v>-0.21 pts.</v>
      </c>
      <c r="AO60" s="11"/>
    </row>
    <row r="61" spans="1:41" x14ac:dyDescent="0.25">
      <c r="A61" s="65" t="s">
        <v>27</v>
      </c>
      <c r="B61" s="66"/>
      <c r="C61" s="11"/>
      <c r="D61" s="11"/>
      <c r="E61" s="11"/>
      <c r="F61" s="11"/>
      <c r="G61" s="11"/>
      <c r="H61" s="88" t="s">
        <v>898</v>
      </c>
      <c r="I61" s="122" t="str">
        <f>IF(_epmOfflineCondition_,"T4",_xll.EVPRO($B$1,$H61,"STYLE"))</f>
        <v>T4</v>
      </c>
      <c r="J61" s="122" t="str">
        <f>IF(_epmOfflineCondition_,"Y",_xll.EVPRO($B$1,$H61,"CALC"))</f>
        <v>Y</v>
      </c>
      <c r="K61" s="179" t="str">
        <f t="shared" si="12"/>
        <v>&gt;</v>
      </c>
      <c r="L61" s="90" t="str">
        <f>IF(_epmOfflineCondition_,"",_xll.EVPRO($B$1,H61,"JDEID"))</f>
        <v/>
      </c>
      <c r="M61" s="90" t="str">
        <f>IF(_epmOfflineCondition_,"",IF(AND(I61="N",J61="N"),_xll.EVPRO($B$1,H61,"PSFTID"),""))</f>
        <v/>
      </c>
      <c r="N61" s="90" t="str">
        <f>IF(_epmOfflineCondition_,"Furniture &amp; Equipment",IF(_xll.EVDES(H61,$B$1)="#NODATA","",_xll.EVDES(H61,$B$1)))</f>
        <v>Furniture &amp; Equipment</v>
      </c>
      <c r="O61" s="138">
        <v>-897.93</v>
      </c>
      <c r="P61" s="138">
        <v>1474.37</v>
      </c>
      <c r="Q61" s="138">
        <v>1356.74</v>
      </c>
      <c r="R61" s="138">
        <v>1956.12</v>
      </c>
      <c r="S61" s="138">
        <v>99.7</v>
      </c>
      <c r="T61" s="138">
        <v>2119.11</v>
      </c>
      <c r="U61" s="138">
        <v>772.48</v>
      </c>
      <c r="V61" s="138"/>
      <c r="W61" s="138">
        <v>1434.86</v>
      </c>
      <c r="X61" s="138">
        <v>447.18</v>
      </c>
      <c r="Y61" s="138">
        <v>70</v>
      </c>
      <c r="Z61" s="138">
        <v>1736.55</v>
      </c>
      <c r="AA61" s="231">
        <f t="shared" si="13"/>
        <v>10569.18</v>
      </c>
      <c r="AB61" s="142">
        <f t="shared" si="14"/>
        <v>7.1739408736876716E-4</v>
      </c>
      <c r="AC61" s="140"/>
      <c r="AD61" s="138">
        <v>7065</v>
      </c>
      <c r="AE61" s="142">
        <f t="shared" si="15"/>
        <v>4.8306432825828265E-4</v>
      </c>
      <c r="AF61" s="141">
        <f t="shared" si="16"/>
        <v>3504.1800000000003</v>
      </c>
      <c r="AG61" s="138">
        <v>9328.6299999999992</v>
      </c>
      <c r="AH61" s="142">
        <f t="shared" si="17"/>
        <v>7.8348892346201556E-4</v>
      </c>
      <c r="AI61" s="141">
        <f t="shared" si="18"/>
        <v>1240.5500000000011</v>
      </c>
      <c r="AJ61" s="462">
        <f t="shared" si="19"/>
        <v>0.21936861768368618</v>
      </c>
      <c r="AK61" s="463">
        <f t="shared" si="20"/>
        <v>0.14663760896637609</v>
      </c>
      <c r="AL61" s="464">
        <f t="shared" si="21"/>
        <v>0.19362038190120381</v>
      </c>
      <c r="AM61" s="465" t="str">
        <f t="shared" si="22"/>
        <v>0.02 pts.</v>
      </c>
      <c r="AN61" s="466" t="str">
        <f t="shared" si="23"/>
        <v>-0.01 pts.</v>
      </c>
      <c r="AO61" s="11"/>
    </row>
    <row r="62" spans="1:41" x14ac:dyDescent="0.25">
      <c r="A62" s="65" t="s">
        <v>28</v>
      </c>
      <c r="B62" s="66"/>
      <c r="C62" s="11"/>
      <c r="D62" s="11"/>
      <c r="E62" s="11"/>
      <c r="F62" s="11"/>
      <c r="G62" s="11"/>
      <c r="H62" s="88" t="s">
        <v>899</v>
      </c>
      <c r="I62" s="122" t="str">
        <f>IF(_epmOfflineCondition_,"N",_xll.EVPRO($B$1,$H62,"STYLE"))</f>
        <v>N</v>
      </c>
      <c r="J62" s="122" t="str">
        <f>IF(_epmOfflineCondition_,"N",_xll.EVPRO($B$1,$H62,"CALC"))</f>
        <v>N</v>
      </c>
      <c r="K62" s="179" t="str">
        <f t="shared" si="12"/>
        <v/>
      </c>
      <c r="L62" s="90" t="str">
        <f>IF(_epmOfflineCondition_,"715600",_xll.EVPRO($B$1,H62,"JDEID"))</f>
        <v>715600</v>
      </c>
      <c r="M62" s="90" t="str">
        <f>IF(_epmOfflineCondition_,"690905",IF(AND(I62="N",J62="N"),_xll.EVPRO($B$1,H62,"PSFTID"),""))</f>
        <v>690905</v>
      </c>
      <c r="N62" s="90" t="str">
        <f>IF(_epmOfflineCondition_,"Building",IF(_xll.EVDES(H62,$B$1)="#NODATA","",_xll.EVDES(H62,$B$1)))</f>
        <v>Building</v>
      </c>
      <c r="O62" s="138">
        <v>688.5</v>
      </c>
      <c r="P62" s="138">
        <v>1831.37</v>
      </c>
      <c r="Q62" s="138">
        <v>512.97</v>
      </c>
      <c r="R62" s="138">
        <v>4222.54</v>
      </c>
      <c r="S62" s="138">
        <v>1400</v>
      </c>
      <c r="T62" s="138">
        <v>3156.54</v>
      </c>
      <c r="U62" s="138">
        <v>1019.47</v>
      </c>
      <c r="V62" s="138">
        <v>2082.4299999999998</v>
      </c>
      <c r="W62" s="138">
        <v>1510.56</v>
      </c>
      <c r="X62" s="138">
        <v>1817.94</v>
      </c>
      <c r="Y62" s="138">
        <v>2001.9</v>
      </c>
      <c r="Z62" s="138">
        <v>2753.39</v>
      </c>
      <c r="AA62" s="231">
        <f t="shared" si="13"/>
        <v>22997.61</v>
      </c>
      <c r="AB62" s="142">
        <f t="shared" si="14"/>
        <v>1.5609867026214743E-3</v>
      </c>
      <c r="AC62" s="140"/>
      <c r="AD62" s="138">
        <v>22684</v>
      </c>
      <c r="AE62" s="142">
        <f t="shared" si="15"/>
        <v>1.5510022961374216E-3</v>
      </c>
      <c r="AF62" s="141">
        <f t="shared" si="16"/>
        <v>313.61000000000058</v>
      </c>
      <c r="AG62" s="138">
        <v>27499.66</v>
      </c>
      <c r="AH62" s="142">
        <f t="shared" si="17"/>
        <v>2.3096294963967329E-3</v>
      </c>
      <c r="AI62" s="141">
        <f t="shared" si="18"/>
        <v>-4502.0499999999993</v>
      </c>
      <c r="AJ62" s="462">
        <f t="shared" si="19"/>
        <v>0.47732689912826898</v>
      </c>
      <c r="AK62" s="463">
        <f t="shared" si="20"/>
        <v>0.47081776670817765</v>
      </c>
      <c r="AL62" s="464">
        <f t="shared" si="21"/>
        <v>0.57076919883769195</v>
      </c>
      <c r="AM62" s="465" t="str">
        <f t="shared" si="22"/>
        <v>0 pts.</v>
      </c>
      <c r="AN62" s="466" t="str">
        <f t="shared" si="23"/>
        <v>-0.07 pts.</v>
      </c>
      <c r="AO62" s="11"/>
    </row>
    <row r="63" spans="1:41" x14ac:dyDescent="0.25">
      <c r="A63" s="65" t="s">
        <v>29</v>
      </c>
      <c r="B63" s="66"/>
      <c r="C63" s="11"/>
      <c r="D63" s="11"/>
      <c r="E63" s="11"/>
      <c r="F63" s="11"/>
      <c r="G63" s="11"/>
      <c r="H63" s="88" t="s">
        <v>900</v>
      </c>
      <c r="I63" s="122" t="str">
        <f>IF(_epmOfflineCondition_,"N",_xll.EVPRO($B$1,$H63,"STYLE"))</f>
        <v>N</v>
      </c>
      <c r="J63" s="122" t="str">
        <f>IF(_epmOfflineCondition_,"N",_xll.EVPRO($B$1,$H63,"CALC"))</f>
        <v>N</v>
      </c>
      <c r="K63" s="179" t="str">
        <f t="shared" si="12"/>
        <v/>
      </c>
      <c r="L63" s="90" t="str">
        <f>IF(_epmOfflineCondition_,"715700",_xll.EVPRO($B$1,H63,"JDEID"))</f>
        <v>715700</v>
      </c>
      <c r="M63" s="90" t="str">
        <f>IF(_epmOfflineCondition_,"690921",IF(AND(I63="N",J63="N"),_xll.EVPRO($B$1,H63,"PSFTID"),""))</f>
        <v>690921</v>
      </c>
      <c r="N63" s="90" t="str">
        <f>IF(_epmOfflineCondition_,"Plumbing",IF(_xll.EVDES(H63,$B$1)="#NODATA","",_xll.EVDES(H63,$B$1)))</f>
        <v>Plumbing</v>
      </c>
      <c r="O63" s="138">
        <v>875.47</v>
      </c>
      <c r="P63" s="138">
        <v>723.76</v>
      </c>
      <c r="Q63" s="138">
        <v>382.62</v>
      </c>
      <c r="R63" s="138">
        <v>1075.72</v>
      </c>
      <c r="S63" s="138">
        <v>130.74</v>
      </c>
      <c r="T63" s="138">
        <v>437</v>
      </c>
      <c r="U63" s="138">
        <v>438.68</v>
      </c>
      <c r="V63" s="138">
        <v>84.25</v>
      </c>
      <c r="W63" s="138">
        <v>25.96</v>
      </c>
      <c r="X63" s="138">
        <v>431.61</v>
      </c>
      <c r="Y63" s="138">
        <v>512.29</v>
      </c>
      <c r="Z63" s="138">
        <v>374.69</v>
      </c>
      <c r="AA63" s="231">
        <f t="shared" si="13"/>
        <v>5492.7899999999991</v>
      </c>
      <c r="AB63" s="142">
        <f t="shared" si="14"/>
        <v>3.7282883526993483E-4</v>
      </c>
      <c r="AC63" s="140"/>
      <c r="AD63" s="138">
        <v>6895</v>
      </c>
      <c r="AE63" s="142">
        <f t="shared" si="15"/>
        <v>4.7144069969438907E-4</v>
      </c>
      <c r="AF63" s="141">
        <f t="shared" si="16"/>
        <v>-1402.2100000000009</v>
      </c>
      <c r="AG63" s="138">
        <v>7841.03</v>
      </c>
      <c r="AH63" s="142">
        <f t="shared" si="17"/>
        <v>6.58549020974502E-4</v>
      </c>
      <c r="AI63" s="141">
        <f t="shared" si="18"/>
        <v>-2348.2400000000007</v>
      </c>
      <c r="AJ63" s="462">
        <f t="shared" si="19"/>
        <v>0.11400560398505602</v>
      </c>
      <c r="AK63" s="463">
        <f t="shared" si="20"/>
        <v>0.14310917393109174</v>
      </c>
      <c r="AL63" s="464">
        <f t="shared" si="21"/>
        <v>0.16274449979244499</v>
      </c>
      <c r="AM63" s="465" t="str">
        <f t="shared" si="22"/>
        <v>-0.01 pts.</v>
      </c>
      <c r="AN63" s="466" t="str">
        <f t="shared" si="23"/>
        <v>-0.03 pts.</v>
      </c>
      <c r="AO63" s="11"/>
    </row>
    <row r="64" spans="1:41" x14ac:dyDescent="0.25">
      <c r="A64" s="65" t="s">
        <v>30</v>
      </c>
      <c r="B64" s="66" t="s">
        <v>78</v>
      </c>
      <c r="C64" s="11"/>
      <c r="D64" s="11"/>
      <c r="E64" s="11"/>
      <c r="F64" s="11"/>
      <c r="G64" s="11"/>
      <c r="H64" s="88" t="s">
        <v>901</v>
      </c>
      <c r="I64" s="122" t="str">
        <f>IF(_epmOfflineCondition_,"N",_xll.EVPRO($B$1,$H64,"STYLE"))</f>
        <v>N</v>
      </c>
      <c r="J64" s="122" t="str">
        <f>IF(_epmOfflineCondition_,"N",_xll.EVPRO($B$1,$H64,"CALC"))</f>
        <v>N</v>
      </c>
      <c r="K64" s="179" t="str">
        <f t="shared" si="12"/>
        <v/>
      </c>
      <c r="L64" s="90" t="str">
        <f>IF(_epmOfflineCondition_,"715800",_xll.EVPRO($B$1,H64,"JDEID"))</f>
        <v>715800</v>
      </c>
      <c r="M64" s="90" t="str">
        <f>IF(_epmOfflineCondition_,"691060",IF(AND(I64="N",J64="N"),_xll.EVPRO($B$1,H64,"PSFTID"),""))</f>
        <v>691060</v>
      </c>
      <c r="N64" s="90" t="str">
        <f>IF(_epmOfflineCondition_,"Floor Covering",IF(_xll.EVDES(H64,$B$1)="#NODATA","",_xll.EVDES(H64,$B$1)))</f>
        <v>Floor Covering</v>
      </c>
      <c r="O64" s="138"/>
      <c r="P64" s="138"/>
      <c r="Q64" s="138"/>
      <c r="R64" s="138"/>
      <c r="S64" s="138"/>
      <c r="T64" s="138"/>
      <c r="U64" s="138"/>
      <c r="V64" s="138"/>
      <c r="W64" s="138"/>
      <c r="X64" s="138"/>
      <c r="Y64" s="138"/>
      <c r="Z64" s="138"/>
      <c r="AA64" s="231">
        <f t="shared" si="13"/>
        <v>0</v>
      </c>
      <c r="AB64" s="142" t="str">
        <f t="shared" si="14"/>
        <v/>
      </c>
      <c r="AC64" s="140"/>
      <c r="AD64" s="138">
        <v>492</v>
      </c>
      <c r="AE64" s="142">
        <f t="shared" si="15"/>
        <v>3.3640148549621385E-5</v>
      </c>
      <c r="AF64" s="141">
        <f t="shared" si="16"/>
        <v>-492</v>
      </c>
      <c r="AG64" s="138">
        <v>492.2</v>
      </c>
      <c r="AH64" s="142">
        <f t="shared" si="17"/>
        <v>4.133867975554868E-5</v>
      </c>
      <c r="AI64" s="141">
        <f t="shared" si="18"/>
        <v>-492.2</v>
      </c>
      <c r="AJ64" s="462">
        <f t="shared" si="19"/>
        <v>0</v>
      </c>
      <c r="AK64" s="463">
        <f t="shared" si="20"/>
        <v>1.0211706102117061E-2</v>
      </c>
      <c r="AL64" s="464">
        <f t="shared" si="21"/>
        <v>1.0215857202158571E-2</v>
      </c>
      <c r="AM64" s="465">
        <f t="shared" si="22"/>
        <v>0</v>
      </c>
      <c r="AN64" s="466">
        <f t="shared" si="23"/>
        <v>0</v>
      </c>
      <c r="AO64" s="11"/>
    </row>
    <row r="65" spans="1:41" x14ac:dyDescent="0.25">
      <c r="A65" s="65" t="s">
        <v>31</v>
      </c>
      <c r="B65" s="66" t="s">
        <v>78</v>
      </c>
      <c r="C65" s="11"/>
      <c r="D65" s="11"/>
      <c r="E65" s="11"/>
      <c r="F65" s="11"/>
      <c r="G65" s="11"/>
      <c r="H65" s="88" t="s">
        <v>902</v>
      </c>
      <c r="I65" s="122" t="str">
        <f>IF(_epmOfflineCondition_,"N",_xll.EVPRO($B$1,$H65,"STYLE"))</f>
        <v>N</v>
      </c>
      <c r="J65" s="122" t="str">
        <f>IF(_epmOfflineCondition_,"N",_xll.EVPRO($B$1,$H65,"CALC"))</f>
        <v>N</v>
      </c>
      <c r="K65" s="179" t="str">
        <f t="shared" si="12"/>
        <v/>
      </c>
      <c r="L65" s="90" t="str">
        <f>IF(_epmOfflineCondition_,"715900",_xll.EVPRO($B$1,H65,"JDEID"))</f>
        <v>715900</v>
      </c>
      <c r="M65" s="90" t="str">
        <f>IF(_epmOfflineCondition_,"690925",IF(AND(I65="N",J65="N"),_xll.EVPRO($B$1,H65,"PSFTID"),""))</f>
        <v>690925</v>
      </c>
      <c r="N65" s="90" t="str">
        <f>IF(_epmOfflineCondition_,"Painting &amp; Wallcovering",IF(_xll.EVDES(H65,$B$1)="#NODATA","",_xll.EVDES(H65,$B$1)))</f>
        <v>Painting &amp; Wallcovering</v>
      </c>
      <c r="O65" s="138"/>
      <c r="P65" s="138">
        <v>1861.99</v>
      </c>
      <c r="Q65" s="138">
        <v>1933.84</v>
      </c>
      <c r="R65" s="138">
        <v>1975.02</v>
      </c>
      <c r="S65" s="138">
        <v>356.05</v>
      </c>
      <c r="T65" s="138">
        <v>1062.99</v>
      </c>
      <c r="U65" s="138">
        <v>1026.03</v>
      </c>
      <c r="V65" s="138">
        <v>1177.18</v>
      </c>
      <c r="W65" s="138">
        <v>1123.54</v>
      </c>
      <c r="X65" s="138">
        <v>1706.13</v>
      </c>
      <c r="Y65" s="138">
        <v>3605.86</v>
      </c>
      <c r="Z65" s="138">
        <v>907.07</v>
      </c>
      <c r="AA65" s="231">
        <f t="shared" si="13"/>
        <v>16735.7</v>
      </c>
      <c r="AB65" s="142">
        <f t="shared" si="14"/>
        <v>1.1359530472541369E-3</v>
      </c>
      <c r="AC65" s="140"/>
      <c r="AD65" s="138">
        <v>10882.6400000004</v>
      </c>
      <c r="AE65" s="142">
        <f t="shared" si="15"/>
        <v>7.440927362033843E-4</v>
      </c>
      <c r="AF65" s="141">
        <f t="shared" si="16"/>
        <v>5853.0599999996011</v>
      </c>
      <c r="AG65" s="138">
        <v>11711.18</v>
      </c>
      <c r="AH65" s="142">
        <f t="shared" si="17"/>
        <v>9.8359349772366247E-4</v>
      </c>
      <c r="AI65" s="141">
        <f t="shared" si="18"/>
        <v>5024.5200000000004</v>
      </c>
      <c r="AJ65" s="462">
        <f t="shared" si="19"/>
        <v>0.34735782482357824</v>
      </c>
      <c r="AK65" s="463">
        <f t="shared" si="20"/>
        <v>0.22587463677875466</v>
      </c>
      <c r="AL65" s="464">
        <f t="shared" si="21"/>
        <v>0.243071398920714</v>
      </c>
      <c r="AM65" s="465" t="str">
        <f t="shared" si="22"/>
        <v>0.04 pts.</v>
      </c>
      <c r="AN65" s="466" t="str">
        <f t="shared" si="23"/>
        <v>0.02 pts.</v>
      </c>
      <c r="AO65" s="11"/>
    </row>
    <row r="66" spans="1:41" x14ac:dyDescent="0.25">
      <c r="A66" s="65" t="s">
        <v>32</v>
      </c>
      <c r="B66" s="66"/>
      <c r="C66" s="11"/>
      <c r="D66" s="11"/>
      <c r="E66" s="11"/>
      <c r="F66" s="11"/>
      <c r="G66" s="11"/>
      <c r="H66" s="88" t="s">
        <v>903</v>
      </c>
      <c r="I66" s="122" t="str">
        <f>IF(_epmOfflineCondition_,"N",_xll.EVPRO($B$1,$H66,"STYLE"))</f>
        <v>N</v>
      </c>
      <c r="J66" s="122" t="str">
        <f>IF(_epmOfflineCondition_,"N",_xll.EVPRO($B$1,$H66,"CALC"))</f>
        <v>N</v>
      </c>
      <c r="K66" s="179" t="str">
        <f t="shared" si="12"/>
        <v/>
      </c>
      <c r="L66" s="90" t="str">
        <f>IF(_epmOfflineCondition_,"716000",_xll.EVPRO($B$1,H66,"JDEID"))</f>
        <v>716000</v>
      </c>
      <c r="M66" s="90" t="str">
        <f>IF(_epmOfflineCondition_,"690910",IF(AND(I66="N",J66="N"),_xll.EVPRO($B$1,H66,"PSFTID"),""))</f>
        <v>690910</v>
      </c>
      <c r="N66" s="90" t="str">
        <f>IF(_epmOfflineCondition_,"Elevators &amp; Escalators",IF(_xll.EVDES(H66,$B$1)="#NODATA","",_xll.EVDES(H66,$B$1)))</f>
        <v>Elevators &amp; Escalators</v>
      </c>
      <c r="O66" s="138">
        <v>3327.43</v>
      </c>
      <c r="P66" s="138">
        <v>3232.71</v>
      </c>
      <c r="Q66" s="138">
        <v>1166.99</v>
      </c>
      <c r="R66" s="138">
        <v>3270.67</v>
      </c>
      <c r="S66" s="138">
        <v>3098.96</v>
      </c>
      <c r="T66" s="138">
        <v>2776.24</v>
      </c>
      <c r="U66" s="138">
        <v>3784.36</v>
      </c>
      <c r="V66" s="138">
        <v>3084.24</v>
      </c>
      <c r="W66" s="138">
        <v>3350.24</v>
      </c>
      <c r="X66" s="138">
        <v>1676.24</v>
      </c>
      <c r="Y66" s="138">
        <v>2361.2399999999998</v>
      </c>
      <c r="Z66" s="138">
        <v>2379.2399999999998</v>
      </c>
      <c r="AA66" s="231">
        <f t="shared" si="13"/>
        <v>33508.559999999998</v>
      </c>
      <c r="AB66" s="142">
        <f t="shared" si="14"/>
        <v>2.2744283681649454E-3</v>
      </c>
      <c r="AC66" s="140"/>
      <c r="AD66" s="138">
        <v>37169</v>
      </c>
      <c r="AE66" s="142">
        <f t="shared" si="15"/>
        <v>2.5414038240668237E-3</v>
      </c>
      <c r="AF66" s="141">
        <f t="shared" si="16"/>
        <v>-3660.4400000000023</v>
      </c>
      <c r="AG66" s="138">
        <v>31295.88</v>
      </c>
      <c r="AH66" s="142">
        <f t="shared" si="17"/>
        <v>2.6284647724260073E-3</v>
      </c>
      <c r="AI66" s="141">
        <f t="shared" si="18"/>
        <v>2212.6799999999967</v>
      </c>
      <c r="AJ66" s="462">
        <f t="shared" si="19"/>
        <v>0.69548692403486922</v>
      </c>
      <c r="AK66" s="463">
        <f t="shared" si="20"/>
        <v>0.77146118721461188</v>
      </c>
      <c r="AL66" s="464">
        <f t="shared" si="21"/>
        <v>0.64956164383561643</v>
      </c>
      <c r="AM66" s="465" t="str">
        <f t="shared" si="22"/>
        <v>-0.03 pts.</v>
      </c>
      <c r="AN66" s="466" t="str">
        <f t="shared" si="23"/>
        <v>-0.04 pts.</v>
      </c>
      <c r="AO66" s="11"/>
    </row>
    <row r="67" spans="1:41" x14ac:dyDescent="0.25">
      <c r="A67" s="65" t="s">
        <v>33</v>
      </c>
      <c r="B67" s="66"/>
      <c r="C67" s="11"/>
      <c r="D67" s="11"/>
      <c r="E67" s="11"/>
      <c r="F67" s="11"/>
      <c r="G67" s="11"/>
      <c r="H67" s="88" t="s">
        <v>904</v>
      </c>
      <c r="I67" s="122" t="str">
        <f>IF(_epmOfflineCondition_,"N",_xll.EVPRO($B$1,$H67,"STYLE"))</f>
        <v>N</v>
      </c>
      <c r="J67" s="122" t="str">
        <f>IF(_epmOfflineCondition_,"N",_xll.EVPRO($B$1,$H67,"CALC"))</f>
        <v>N</v>
      </c>
      <c r="K67" s="179" t="str">
        <f t="shared" si="12"/>
        <v/>
      </c>
      <c r="L67" s="90" t="str">
        <f>IF(_epmOfflineCondition_,"716100",_xll.EVPRO($B$1,H67,"JDEID"))</f>
        <v>716100</v>
      </c>
      <c r="M67" s="90" t="str">
        <f>IF(_epmOfflineCondition_,"690930",IF(AND(I67="N",J67="N"),_xll.EVPRO($B$1,H67,"PSFTID"),""))</f>
        <v>690930</v>
      </c>
      <c r="N67" s="90" t="str">
        <f>IF(_epmOfflineCondition_,"Swimming Pool",IF(_xll.EVDES(H67,$B$1)="#NODATA","",_xll.EVDES(H67,$B$1)))</f>
        <v>Swimming Pool</v>
      </c>
      <c r="O67" s="138">
        <v>720.48</v>
      </c>
      <c r="P67" s="138">
        <v>3822.23</v>
      </c>
      <c r="Q67" s="138">
        <v>3660.5</v>
      </c>
      <c r="R67" s="138">
        <v>4742.2700000000004</v>
      </c>
      <c r="S67" s="138">
        <v>5604.96</v>
      </c>
      <c r="T67" s="138">
        <v>2799.75</v>
      </c>
      <c r="U67" s="138">
        <v>2774.51</v>
      </c>
      <c r="V67" s="138">
        <v>3645</v>
      </c>
      <c r="W67" s="138">
        <v>3042.78</v>
      </c>
      <c r="X67" s="138">
        <v>4826.47</v>
      </c>
      <c r="Y67" s="138">
        <v>1966.97</v>
      </c>
      <c r="Z67" s="138">
        <v>2682.04</v>
      </c>
      <c r="AA67" s="231">
        <f t="shared" si="13"/>
        <v>40287.96</v>
      </c>
      <c r="AB67" s="142">
        <f t="shared" si="14"/>
        <v>2.7345871956149293E-3</v>
      </c>
      <c r="AC67" s="140"/>
      <c r="AD67" s="138">
        <v>31640</v>
      </c>
      <c r="AE67" s="142">
        <f t="shared" si="15"/>
        <v>2.1633623985976027E-3</v>
      </c>
      <c r="AF67" s="141">
        <f t="shared" si="16"/>
        <v>8647.9599999999991</v>
      </c>
      <c r="AG67" s="138">
        <v>30859.27</v>
      </c>
      <c r="AH67" s="142">
        <f t="shared" si="17"/>
        <v>2.5917949614384615E-3</v>
      </c>
      <c r="AI67" s="141">
        <f t="shared" si="18"/>
        <v>9428.6899999999987</v>
      </c>
      <c r="AJ67" s="462">
        <f t="shared" si="19"/>
        <v>0.83619676214196759</v>
      </c>
      <c r="AK67" s="463">
        <f t="shared" si="20"/>
        <v>0.6567040265670403</v>
      </c>
      <c r="AL67" s="464">
        <f t="shared" si="21"/>
        <v>0.64049958488999581</v>
      </c>
      <c r="AM67" s="465" t="str">
        <f t="shared" si="22"/>
        <v>0.06 pts.</v>
      </c>
      <c r="AN67" s="466" t="str">
        <f t="shared" si="23"/>
        <v>0.01 pts.</v>
      </c>
      <c r="AO67" s="11"/>
    </row>
    <row r="68" spans="1:41" x14ac:dyDescent="0.25">
      <c r="A68" s="65" t="s">
        <v>34</v>
      </c>
      <c r="B68" s="66"/>
      <c r="C68" s="11"/>
      <c r="D68" s="11"/>
      <c r="E68" s="11"/>
      <c r="F68" s="11"/>
      <c r="G68" s="11"/>
      <c r="H68" s="88" t="s">
        <v>905</v>
      </c>
      <c r="I68" s="122" t="str">
        <f>IF(_epmOfflineCondition_,"N",_xll.EVPRO($B$1,$H68,"STYLE"))</f>
        <v>N</v>
      </c>
      <c r="J68" s="122" t="str">
        <f>IF(_epmOfflineCondition_,"N",_xll.EVPRO($B$1,$H68,"CALC"))</f>
        <v>N</v>
      </c>
      <c r="K68" s="179" t="str">
        <f t="shared" si="12"/>
        <v/>
      </c>
      <c r="L68" s="90" t="str">
        <f>IF(_epmOfflineCondition_,"716200",_xll.EVPRO($B$1,H68,"JDEID"))</f>
        <v>716200</v>
      </c>
      <c r="M68" s="90" t="str">
        <f>IF(_epmOfflineCondition_,"690915",IF(AND(I68="N",J68="N"),_xll.EVPRO($B$1,H68,"PSFTID"),""))</f>
        <v>690915</v>
      </c>
      <c r="N68" s="90" t="str">
        <f>IF(_epmOfflineCondition_,"Grounds Maint &amp; Landscaping",IF(_xll.EVDES(H68,$B$1)="#NODATA","",_xll.EVDES(H68,$B$1)))</f>
        <v>Grounds Maint &amp; Landscaping</v>
      </c>
      <c r="O68" s="138">
        <v>2717.03</v>
      </c>
      <c r="P68" s="138">
        <v>3850</v>
      </c>
      <c r="Q68" s="138">
        <v>2700</v>
      </c>
      <c r="R68" s="138">
        <v>5003.8599999999997</v>
      </c>
      <c r="S68" s="138">
        <v>2950</v>
      </c>
      <c r="T68" s="138">
        <v>2700</v>
      </c>
      <c r="U68" s="138">
        <v>2948.27</v>
      </c>
      <c r="V68" s="138">
        <v>3075</v>
      </c>
      <c r="W68" s="138">
        <v>2775</v>
      </c>
      <c r="X68" s="138">
        <v>3390</v>
      </c>
      <c r="Y68" s="138">
        <v>3710.54</v>
      </c>
      <c r="Z68" s="138">
        <v>3851.46</v>
      </c>
      <c r="AA68" s="231">
        <f t="shared" si="13"/>
        <v>39671.159999999996</v>
      </c>
      <c r="AB68" s="142">
        <f t="shared" si="14"/>
        <v>2.6927212539724311E-3</v>
      </c>
      <c r="AC68" s="140"/>
      <c r="AD68" s="138">
        <v>36600</v>
      </c>
      <c r="AE68" s="142">
        <f t="shared" si="15"/>
        <v>2.502498855520615E-3</v>
      </c>
      <c r="AF68" s="141">
        <f t="shared" si="16"/>
        <v>3071.1599999999962</v>
      </c>
      <c r="AG68" s="138">
        <v>36891</v>
      </c>
      <c r="AH68" s="142">
        <f t="shared" si="17"/>
        <v>3.0983852800933491E-3</v>
      </c>
      <c r="AI68" s="141">
        <f t="shared" si="18"/>
        <v>2780.1599999999962</v>
      </c>
      <c r="AJ68" s="462">
        <f t="shared" si="19"/>
        <v>0.82339476961394764</v>
      </c>
      <c r="AK68" s="463">
        <f t="shared" si="20"/>
        <v>0.75965130759651311</v>
      </c>
      <c r="AL68" s="464">
        <f t="shared" si="21"/>
        <v>0.76569115815691158</v>
      </c>
      <c r="AM68" s="465" t="str">
        <f t="shared" si="22"/>
        <v>0.02 pts.</v>
      </c>
      <c r="AN68" s="466" t="str">
        <f t="shared" si="23"/>
        <v>-0.04 pts.</v>
      </c>
      <c r="AO68" s="11"/>
    </row>
    <row r="69" spans="1:41" x14ac:dyDescent="0.25">
      <c r="A69" s="65" t="s">
        <v>35</v>
      </c>
      <c r="B69" s="66"/>
      <c r="C69" s="11"/>
      <c r="D69" s="11"/>
      <c r="E69" s="11"/>
      <c r="F69" s="11"/>
      <c r="G69" s="11"/>
      <c r="H69" s="88" t="s">
        <v>906</v>
      </c>
      <c r="I69" s="122" t="str">
        <f>IF(_epmOfflineCondition_,"N",_xll.EVPRO($B$1,$H69,"STYLE"))</f>
        <v>N</v>
      </c>
      <c r="J69" s="122" t="str">
        <f>IF(_epmOfflineCondition_,"N",_xll.EVPRO($B$1,$H69,"CALC"))</f>
        <v>N</v>
      </c>
      <c r="K69" s="179" t="str">
        <f t="shared" si="12"/>
        <v/>
      </c>
      <c r="L69" s="90" t="str">
        <f>IF(_epmOfflineCondition_,"716300",_xll.EVPRO($B$1,H69,"JDEID"))</f>
        <v>716300</v>
      </c>
      <c r="M69" s="90" t="str">
        <f>IF(_epmOfflineCondition_,"691099",IF(AND(I69="N",J69="N"),_xll.EVPRO($B$1,H69,"PSFTID"),""))</f>
        <v>691099</v>
      </c>
      <c r="N69" s="90" t="str">
        <f>IF(_epmOfflineCondition_,"Light Bulbs",IF(_xll.EVDES(H69,$B$1)="#NODATA","",_xll.EVDES(H69,$B$1)))</f>
        <v>Light Bulbs</v>
      </c>
      <c r="O69" s="138">
        <v>769.54</v>
      </c>
      <c r="P69" s="138">
        <v>-308.62</v>
      </c>
      <c r="Q69" s="138">
        <v>892.87</v>
      </c>
      <c r="R69" s="138">
        <v>349.19</v>
      </c>
      <c r="S69" s="138">
        <v>1200.22</v>
      </c>
      <c r="T69" s="138">
        <v>72.75</v>
      </c>
      <c r="U69" s="138">
        <v>111.66</v>
      </c>
      <c r="V69" s="138"/>
      <c r="W69" s="138">
        <v>105.21</v>
      </c>
      <c r="X69" s="138">
        <v>477.99</v>
      </c>
      <c r="Y69" s="138">
        <v>62.04</v>
      </c>
      <c r="Z69" s="138">
        <v>458.54</v>
      </c>
      <c r="AA69" s="231">
        <f t="shared" si="13"/>
        <v>4191.3899999999994</v>
      </c>
      <c r="AB69" s="142">
        <f t="shared" si="14"/>
        <v>2.8449495645419763E-4</v>
      </c>
      <c r="AC69" s="140"/>
      <c r="AD69" s="138">
        <v>2860</v>
      </c>
      <c r="AE69" s="142">
        <f t="shared" si="15"/>
        <v>1.9555045701609178E-4</v>
      </c>
      <c r="AF69" s="141">
        <f t="shared" si="16"/>
        <v>1331.3899999999994</v>
      </c>
      <c r="AG69" s="138">
        <v>3588.73</v>
      </c>
      <c r="AH69" s="142">
        <f t="shared" si="17"/>
        <v>3.0140869605674569E-4</v>
      </c>
      <c r="AI69" s="141">
        <f t="shared" si="18"/>
        <v>602.6599999999994</v>
      </c>
      <c r="AJ69" s="462">
        <f t="shared" si="19"/>
        <v>8.699439601494395E-2</v>
      </c>
      <c r="AK69" s="463">
        <f t="shared" si="20"/>
        <v>5.9360730593607303E-2</v>
      </c>
      <c r="AL69" s="464">
        <f t="shared" si="21"/>
        <v>7.4485886259858858E-2</v>
      </c>
      <c r="AM69" s="465" t="str">
        <f t="shared" si="22"/>
        <v>0.01 pts.</v>
      </c>
      <c r="AN69" s="466" t="str">
        <f t="shared" si="23"/>
        <v>0 pts.</v>
      </c>
      <c r="AO69" s="11"/>
    </row>
    <row r="70" spans="1:41" x14ac:dyDescent="0.25">
      <c r="A70" s="65" t="s">
        <v>36</v>
      </c>
      <c r="B70" s="66"/>
      <c r="C70" s="11"/>
      <c r="D70" s="11"/>
      <c r="E70" s="11"/>
      <c r="F70" s="11"/>
      <c r="G70" s="11"/>
      <c r="H70" s="88" t="s">
        <v>907</v>
      </c>
      <c r="I70" s="122" t="str">
        <f>IF(_epmOfflineCondition_,"N",_xll.EVPRO($B$1,$H70,"STYLE"))</f>
        <v>N</v>
      </c>
      <c r="J70" s="122" t="str">
        <f>IF(_epmOfflineCondition_,"N",_xll.EVPRO($B$1,$H70,"CALC"))</f>
        <v>N</v>
      </c>
      <c r="K70" s="179" t="str">
        <f t="shared" si="12"/>
        <v/>
      </c>
      <c r="L70" s="90" t="str">
        <f>IF(_epmOfflineCondition_,"716400",_xll.EVPRO($B$1,H70,"JDEID"))</f>
        <v>716400</v>
      </c>
      <c r="M70" s="90" t="str">
        <f>IF(_epmOfflineCondition_,"691070",IF(AND(I70="N",J70="N"),_xll.EVPRO($B$1,H70,"PSFTID"),""))</f>
        <v>691070</v>
      </c>
      <c r="N70" s="90" t="str">
        <f>IF(_epmOfflineCondition_,"Engineering Supplies",IF(_xll.EVDES(H70,$B$1)="#NODATA","",_xll.EVDES(H70,$B$1)))</f>
        <v>Engineering Supplies</v>
      </c>
      <c r="O70" s="138">
        <v>954.58</v>
      </c>
      <c r="P70" s="138">
        <v>1827.97</v>
      </c>
      <c r="Q70" s="138">
        <v>278.60000000000002</v>
      </c>
      <c r="R70" s="138">
        <v>503.46</v>
      </c>
      <c r="S70" s="138">
        <v>540.84</v>
      </c>
      <c r="T70" s="138">
        <v>227.72</v>
      </c>
      <c r="U70" s="138">
        <v>1415.52</v>
      </c>
      <c r="V70" s="138">
        <v>589.37</v>
      </c>
      <c r="W70" s="138">
        <v>520.41999999999996</v>
      </c>
      <c r="X70" s="138">
        <v>718.79</v>
      </c>
      <c r="Y70" s="138">
        <v>699.65</v>
      </c>
      <c r="Z70" s="138">
        <v>128.46</v>
      </c>
      <c r="AA70" s="231">
        <f t="shared" si="13"/>
        <v>8405.3799999999992</v>
      </c>
      <c r="AB70" s="142">
        <f t="shared" si="14"/>
        <v>5.7052391141864246E-4</v>
      </c>
      <c r="AC70" s="140"/>
      <c r="AD70" s="138">
        <v>7312.6906570326</v>
      </c>
      <c r="AE70" s="142">
        <f t="shared" si="15"/>
        <v>5.0000000000001031E-4</v>
      </c>
      <c r="AF70" s="141">
        <f t="shared" si="16"/>
        <v>1092.6893429673992</v>
      </c>
      <c r="AG70" s="138">
        <v>6590.88</v>
      </c>
      <c r="AH70" s="142">
        <f t="shared" si="17"/>
        <v>5.5355196592289863E-4</v>
      </c>
      <c r="AI70" s="141">
        <f t="shared" si="18"/>
        <v>1814.4999999999991</v>
      </c>
      <c r="AJ70" s="462">
        <f t="shared" si="19"/>
        <v>0.17445786633457866</v>
      </c>
      <c r="AK70" s="463">
        <f t="shared" si="20"/>
        <v>0.15177855244982566</v>
      </c>
      <c r="AL70" s="464">
        <f t="shared" si="21"/>
        <v>0.13679701120797011</v>
      </c>
      <c r="AM70" s="465" t="str">
        <f t="shared" si="22"/>
        <v>0.01 pts.</v>
      </c>
      <c r="AN70" s="466" t="str">
        <f t="shared" si="23"/>
        <v>0 pts.</v>
      </c>
      <c r="AO70" s="11"/>
    </row>
    <row r="71" spans="1:41" x14ac:dyDescent="0.25">
      <c r="A71" s="65" t="s">
        <v>37</v>
      </c>
      <c r="B71" s="66"/>
      <c r="C71" s="11"/>
      <c r="D71" s="11"/>
      <c r="E71" s="11"/>
      <c r="F71" s="11"/>
      <c r="G71" s="11"/>
      <c r="H71" s="88" t="s">
        <v>908</v>
      </c>
      <c r="I71" s="122" t="str">
        <f>IF(_epmOfflineCondition_,"N",_xll.EVPRO($B$1,$H71,"STYLE"))</f>
        <v>N</v>
      </c>
      <c r="J71" s="122" t="str">
        <f>IF(_epmOfflineCondition_,"N",_xll.EVPRO($B$1,$H71,"CALC"))</f>
        <v>N</v>
      </c>
      <c r="K71" s="179" t="str">
        <f t="shared" si="12"/>
        <v/>
      </c>
      <c r="L71" s="90" t="str">
        <f>IF(_epmOfflineCondition_,"716450",_xll.EVPRO($B$1,H71,"JDEID"))</f>
        <v>716450</v>
      </c>
      <c r="M71" s="90" t="str">
        <f>IF(_epmOfflineCondition_,"691100",IF(AND(I71="N",J71="N"),_xll.EVPRO($B$1,H71,"PSFTID"),""))</f>
        <v>691100</v>
      </c>
      <c r="N71" s="90" t="str">
        <f>IF(_epmOfflineCondition_,"Vehicle Repair",IF(_xll.EVDES(H71,$B$1)="#NODATA","",_xll.EVDES(H71,$B$1)))</f>
        <v>Vehicle Repair</v>
      </c>
      <c r="O71" s="138"/>
      <c r="P71" s="138"/>
      <c r="Q71" s="138"/>
      <c r="R71" s="138"/>
      <c r="S71" s="138"/>
      <c r="T71" s="138"/>
      <c r="U71" s="138"/>
      <c r="V71" s="138"/>
      <c r="W71" s="138">
        <v>17.28</v>
      </c>
      <c r="X71" s="138">
        <v>-17.28</v>
      </c>
      <c r="Y71" s="138"/>
      <c r="Z71" s="138"/>
      <c r="AA71" s="231">
        <f t="shared" si="13"/>
        <v>0</v>
      </c>
      <c r="AB71" s="142" t="str">
        <f t="shared" si="14"/>
        <v/>
      </c>
      <c r="AC71" s="140"/>
      <c r="AD71" s="138"/>
      <c r="AE71" s="142" t="str">
        <f t="shared" si="15"/>
        <v/>
      </c>
      <c r="AF71" s="141">
        <f t="shared" si="16"/>
        <v>0</v>
      </c>
      <c r="AG71" s="138"/>
      <c r="AH71" s="142" t="str">
        <f t="shared" si="17"/>
        <v/>
      </c>
      <c r="AI71" s="141">
        <f t="shared" si="18"/>
        <v>0</v>
      </c>
      <c r="AJ71" s="462">
        <f t="shared" si="19"/>
        <v>0</v>
      </c>
      <c r="AK71" s="463">
        <f t="shared" si="20"/>
        <v>0</v>
      </c>
      <c r="AL71" s="464">
        <f t="shared" si="21"/>
        <v>0</v>
      </c>
      <c r="AM71" s="465">
        <f t="shared" si="22"/>
        <v>0</v>
      </c>
      <c r="AN71" s="466">
        <f t="shared" si="23"/>
        <v>0</v>
      </c>
      <c r="AO71" s="11"/>
    </row>
    <row r="72" spans="1:41" x14ac:dyDescent="0.25">
      <c r="A72" s="65" t="s">
        <v>38</v>
      </c>
      <c r="B72" s="66"/>
      <c r="C72" s="11"/>
      <c r="D72" s="11"/>
      <c r="E72" s="11"/>
      <c r="F72" s="11"/>
      <c r="G72" s="11"/>
      <c r="H72" s="88" t="s">
        <v>909</v>
      </c>
      <c r="I72" s="122" t="str">
        <f>IF(_epmOfflineCondition_,"N",_xll.EVPRO($B$1,$H72,"STYLE"))</f>
        <v>N</v>
      </c>
      <c r="J72" s="122" t="str">
        <f>IF(_epmOfflineCondition_,"N",_xll.EVPRO($B$1,$H72,"CALC"))</f>
        <v>N</v>
      </c>
      <c r="K72" s="179" t="str">
        <f t="shared" si="12"/>
        <v/>
      </c>
      <c r="L72" s="90" t="str">
        <f>IF(_epmOfflineCondition_,"716500",_xll.EVPRO($B$1,H72,"JDEID"))</f>
        <v>716500</v>
      </c>
      <c r="M72" s="90" t="str">
        <f>IF(_epmOfflineCondition_,"691080",IF(AND(I72="N",J72="N"),_xll.EVPRO($B$1,H72,"PSFTID"),""))</f>
        <v>691080</v>
      </c>
      <c r="N72" s="90" t="str">
        <f>IF(_epmOfflineCondition_,"Waste Removal",IF(_xll.EVDES(H72,$B$1)="#NODATA","",_xll.EVDES(H72,$B$1)))</f>
        <v>Waste Removal</v>
      </c>
      <c r="O72" s="138">
        <v>3317.91</v>
      </c>
      <c r="P72" s="138">
        <v>3433.83</v>
      </c>
      <c r="Q72" s="138">
        <v>3361.73</v>
      </c>
      <c r="R72" s="138">
        <v>3432.28</v>
      </c>
      <c r="S72" s="138">
        <v>3495.83</v>
      </c>
      <c r="T72" s="138">
        <v>3548.36</v>
      </c>
      <c r="U72" s="138">
        <v>3534</v>
      </c>
      <c r="V72" s="138">
        <v>3511.17</v>
      </c>
      <c r="W72" s="138">
        <v>4184.59</v>
      </c>
      <c r="X72" s="138">
        <v>3540.74</v>
      </c>
      <c r="Y72" s="138">
        <v>3540.37</v>
      </c>
      <c r="Z72" s="138">
        <v>3539.64</v>
      </c>
      <c r="AA72" s="231">
        <f t="shared" si="13"/>
        <v>42440.450000000004</v>
      </c>
      <c r="AB72" s="142">
        <f t="shared" si="14"/>
        <v>2.8806896935495278E-3</v>
      </c>
      <c r="AC72" s="140"/>
      <c r="AD72" s="138">
        <v>39900</v>
      </c>
      <c r="AE72" s="142">
        <f t="shared" si="15"/>
        <v>2.7281339982314903E-3</v>
      </c>
      <c r="AF72" s="141">
        <f t="shared" si="16"/>
        <v>2540.4500000000044</v>
      </c>
      <c r="AG72" s="138">
        <v>39631.410000000003</v>
      </c>
      <c r="AH72" s="142">
        <f t="shared" si="17"/>
        <v>3.3285456445567851E-3</v>
      </c>
      <c r="AI72" s="141">
        <f t="shared" si="18"/>
        <v>2809.0400000000009</v>
      </c>
      <c r="AJ72" s="462">
        <f t="shared" si="19"/>
        <v>0.88087276878372778</v>
      </c>
      <c r="AK72" s="463">
        <f t="shared" si="20"/>
        <v>0.82814445828144456</v>
      </c>
      <c r="AL72" s="464">
        <f t="shared" si="21"/>
        <v>0.82256973848069748</v>
      </c>
      <c r="AM72" s="465" t="str">
        <f t="shared" si="22"/>
        <v>0.02 pts.</v>
      </c>
      <c r="AN72" s="466" t="str">
        <f t="shared" si="23"/>
        <v>-0.04 pts.</v>
      </c>
      <c r="AO72" s="11"/>
    </row>
    <row r="73" spans="1:41" x14ac:dyDescent="0.25">
      <c r="A73" s="65" t="s">
        <v>39</v>
      </c>
      <c r="B73" s="66"/>
      <c r="C73" s="11"/>
      <c r="D73" s="11"/>
      <c r="E73" s="11"/>
      <c r="F73" s="11"/>
      <c r="G73" s="11"/>
      <c r="H73" s="88" t="s">
        <v>79</v>
      </c>
      <c r="I73" s="136" t="str">
        <f>IF(_epmOfflineCondition_,"T3",_xll.EVPRO($B$1,$H73,"STYLE"))</f>
        <v>T3</v>
      </c>
      <c r="J73" s="136" t="str">
        <f>IF(_epmOfflineCondition_,"Y",_xll.EVPRO($B$1,$H73,"CALC"))</f>
        <v>Y</v>
      </c>
      <c r="K73" s="104"/>
      <c r="L73" s="59"/>
      <c r="M73" s="59"/>
      <c r="N73" s="106" t="str">
        <f>IF(_epmOfflineCondition_,"Total Operations Expense",IF(_xll.EVDES(H73,$B$1)="#NODATA","",_xll.EVDES(H73,$B$1)))</f>
        <v>Total Operations Expense</v>
      </c>
      <c r="O73" s="150">
        <v>20063.669999999998</v>
      </c>
      <c r="P73" s="150">
        <v>29959.81</v>
      </c>
      <c r="Q73" s="150">
        <v>22869.4</v>
      </c>
      <c r="R73" s="150">
        <v>37789.519999999997</v>
      </c>
      <c r="S73" s="150">
        <v>28671.919999999998</v>
      </c>
      <c r="T73" s="150">
        <v>25368.85</v>
      </c>
      <c r="U73" s="150">
        <v>31971.32</v>
      </c>
      <c r="V73" s="150">
        <v>25232.55</v>
      </c>
      <c r="W73" s="150">
        <v>27137.22</v>
      </c>
      <c r="X73" s="150">
        <v>29110.02</v>
      </c>
      <c r="Y73" s="150">
        <v>30618.95</v>
      </c>
      <c r="Z73" s="150">
        <v>26694.65</v>
      </c>
      <c r="AA73" s="150">
        <f t="shared" si="13"/>
        <v>335487.88000000006</v>
      </c>
      <c r="AB73" s="151">
        <f t="shared" si="14"/>
        <v>2.2771588855131857E-2</v>
      </c>
      <c r="AC73" s="140"/>
      <c r="AD73" s="150">
        <v>307323.36732369999</v>
      </c>
      <c r="AE73" s="151">
        <f t="shared" si="15"/>
        <v>2.1013015710445376E-2</v>
      </c>
      <c r="AF73" s="152">
        <f t="shared" si="16"/>
        <v>28164.512676300074</v>
      </c>
      <c r="AG73" s="150">
        <v>339983.1</v>
      </c>
      <c r="AH73" s="151">
        <f t="shared" si="17"/>
        <v>2.855435289150484E-2</v>
      </c>
      <c r="AI73" s="152">
        <f t="shared" si="18"/>
        <v>-4495.2199999999139</v>
      </c>
      <c r="AJ73" s="446">
        <f t="shared" si="19"/>
        <v>6.9632187629721889</v>
      </c>
      <c r="AK73" s="447">
        <f t="shared" si="20"/>
        <v>6.3786502142735575</v>
      </c>
      <c r="AL73" s="448">
        <f t="shared" si="21"/>
        <v>7.0565193026151922</v>
      </c>
      <c r="AM73" s="449" t="str">
        <f t="shared" si="22"/>
        <v>0.18 pts.</v>
      </c>
      <c r="AN73" s="546" t="str">
        <f t="shared" si="23"/>
        <v>-0.58 pts.</v>
      </c>
      <c r="AO73" s="11"/>
    </row>
    <row r="74" spans="1:41" x14ac:dyDescent="0.25">
      <c r="A74" s="65" t="s">
        <v>40</v>
      </c>
      <c r="B74" s="66"/>
      <c r="C74" s="11"/>
      <c r="D74" s="11"/>
      <c r="E74" s="11"/>
      <c r="F74" s="11"/>
      <c r="G74" s="11"/>
      <c r="H74" s="11"/>
      <c r="I74" s="59"/>
      <c r="J74" s="59"/>
      <c r="K74" s="11"/>
      <c r="L74" s="59"/>
      <c r="M74" s="59"/>
      <c r="N74" s="11"/>
      <c r="O74" s="140"/>
      <c r="P74" s="140"/>
      <c r="Q74" s="140"/>
      <c r="R74" s="140"/>
      <c r="S74" s="140"/>
      <c r="T74" s="140"/>
      <c r="U74" s="140"/>
      <c r="V74" s="140"/>
      <c r="W74" s="140"/>
      <c r="X74" s="140"/>
      <c r="Y74" s="140"/>
      <c r="Z74" s="140"/>
      <c r="AA74" s="140"/>
      <c r="AB74" s="140"/>
      <c r="AC74" s="140"/>
      <c r="AD74" s="140"/>
      <c r="AE74" s="140"/>
      <c r="AF74" s="140"/>
      <c r="AG74" s="140"/>
      <c r="AH74" s="140"/>
      <c r="AI74" s="140"/>
      <c r="AJ74" s="140"/>
      <c r="AK74" s="140"/>
      <c r="AL74" s="140"/>
      <c r="AM74" s="140"/>
      <c r="AN74" s="140"/>
      <c r="AO74" s="11"/>
    </row>
    <row r="75" spans="1:41" x14ac:dyDescent="0.25">
      <c r="A75" s="65" t="s">
        <v>41</v>
      </c>
      <c r="B75" s="66"/>
      <c r="C75" s="11"/>
      <c r="D75" s="11"/>
      <c r="E75" s="11"/>
      <c r="F75" s="11"/>
      <c r="G75" s="11"/>
      <c r="H75" s="88" t="s">
        <v>80</v>
      </c>
      <c r="I75" s="136" t="str">
        <f>IF(_epmOfflineCondition_,"T3",_xll.EVPRO($B$1,$H75,"STYLE"))</f>
        <v>T3</v>
      </c>
      <c r="J75" s="136" t="str">
        <f>IF(_epmOfflineCondition_,"Y",_xll.EVPRO($B$1,$H75,"CALC"))</f>
        <v>Y</v>
      </c>
      <c r="K75" s="106"/>
      <c r="L75" s="59"/>
      <c r="M75" s="59"/>
      <c r="N75" s="106" t="str">
        <f>IF(_epmOfflineCondition_,"Total Expenses",IF(_xll.EVDES(H75,$B$1)="#NODATA","",_xll.EVDES(H75,$B$1)))</f>
        <v>Total Expenses</v>
      </c>
      <c r="O75" s="242">
        <v>47934.71</v>
      </c>
      <c r="P75" s="242">
        <v>57509.65</v>
      </c>
      <c r="Q75" s="242">
        <v>50816.51</v>
      </c>
      <c r="R75" s="242">
        <v>71066.649999999994</v>
      </c>
      <c r="S75" s="242">
        <v>57639.97</v>
      </c>
      <c r="T75" s="242">
        <v>59045.03</v>
      </c>
      <c r="U75" s="242">
        <v>63315.53</v>
      </c>
      <c r="V75" s="242">
        <v>54919.21</v>
      </c>
      <c r="W75" s="242">
        <v>41685.980000000003</v>
      </c>
      <c r="X75" s="242">
        <v>60401.64</v>
      </c>
      <c r="Y75" s="242">
        <v>61510.92</v>
      </c>
      <c r="Z75" s="242">
        <v>53033.82</v>
      </c>
      <c r="AA75" s="242">
        <f>IF($I75="B1","",SUM(O75:Z75))</f>
        <v>678879.62</v>
      </c>
      <c r="AB75" s="243">
        <f>IF(AA75=0,"",IFERROR(AA75/AA$19,""))</f>
        <v>4.6079660429962914E-2</v>
      </c>
      <c r="AC75" s="140"/>
      <c r="AD75" s="242">
        <v>654506.47628455702</v>
      </c>
      <c r="AE75" s="243">
        <f>IF(AD75=0,"",IFERROR(AD75/AD$19,""))</f>
        <v>4.4751412782320615E-2</v>
      </c>
      <c r="AF75" s="254">
        <f>IF(AND($AA75="",AD75=""),"",$AA75-AD75)</f>
        <v>24373.143715442973</v>
      </c>
      <c r="AG75" s="255">
        <v>642150.76</v>
      </c>
      <c r="AH75" s="256">
        <f>IF(AG75=0,"",IFERROR(AG75/AG$19,""))</f>
        <v>5.3932679037834622E-2</v>
      </c>
      <c r="AI75" s="254">
        <f>IF(AND($AA75="",AG75=""),"",$AA75-AG75)</f>
        <v>36728.859999999986</v>
      </c>
      <c r="AJ75" s="435">
        <f>IFERROR(AA75/AA$20,0)</f>
        <v>14.09048609381486</v>
      </c>
      <c r="AK75" s="436">
        <f>IFERROR(AD75/AD$20,0)</f>
        <v>13.584609304370217</v>
      </c>
      <c r="AL75" s="437">
        <f>IFERROR(AG75/AG$20,0)</f>
        <v>13.328160232461602</v>
      </c>
      <c r="AM75" s="438" t="str">
        <f>+IFERROR(ROUND(($AB75-AE75)*100,2)&amp;" pts.",0)</f>
        <v>0.13 pts.</v>
      </c>
      <c r="AN75" s="547" t="str">
        <f>+IFERROR(ROUND(($AB75-AH75)*100,2)&amp;" pts.",0)</f>
        <v>-0.79 pts.</v>
      </c>
      <c r="AO75" s="11"/>
    </row>
    <row r="76" spans="1:41" ht="15.75" thickBot="1" x14ac:dyDescent="0.3">
      <c r="A76" s="65" t="s">
        <v>42</v>
      </c>
      <c r="B76" s="66"/>
      <c r="C76" s="11"/>
      <c r="D76" s="11"/>
      <c r="E76" s="11"/>
      <c r="F76" s="11"/>
      <c r="G76" s="11"/>
      <c r="H76" s="88" t="s">
        <v>81</v>
      </c>
      <c r="I76" s="136" t="str">
        <f>IF(_epmOfflineCondition_,"T3",_xll.EVPRO($B$1,$H76,"STYLE"))</f>
        <v>T3</v>
      </c>
      <c r="J76" s="136" t="str">
        <f>IF(_epmOfflineCondition_,"Y",_xll.EVPRO($B$1,$H76,"CALC"))</f>
        <v>Y</v>
      </c>
      <c r="K76" s="106"/>
      <c r="L76" s="59"/>
      <c r="M76" s="59"/>
      <c r="N76" s="106" t="str">
        <f>IF(_epmOfflineCondition_,"Department Profit (Loss)",IF(_xll.EVDES(H76,$B$1)="#NODATA","",_xll.EVDES(H76,$B$1)))</f>
        <v>Department Profit (Loss)</v>
      </c>
      <c r="O76" s="165">
        <v>-47934.71</v>
      </c>
      <c r="P76" s="165">
        <v>-57509.65</v>
      </c>
      <c r="Q76" s="165">
        <v>-50816.51</v>
      </c>
      <c r="R76" s="165">
        <v>-71066.649999999994</v>
      </c>
      <c r="S76" s="165">
        <v>-57639.97</v>
      </c>
      <c r="T76" s="165">
        <v>-59045.03</v>
      </c>
      <c r="U76" s="165">
        <v>-63315.53</v>
      </c>
      <c r="V76" s="165">
        <v>-54919.21</v>
      </c>
      <c r="W76" s="165">
        <v>-41685.980000000003</v>
      </c>
      <c r="X76" s="165">
        <v>-60401.64</v>
      </c>
      <c r="Y76" s="165">
        <v>-61510.92</v>
      </c>
      <c r="Z76" s="165">
        <v>-53033.82</v>
      </c>
      <c r="AA76" s="165">
        <f>IF($I76="B1","",SUM(O76:Z76))</f>
        <v>-678879.62</v>
      </c>
      <c r="AB76" s="166">
        <f>IF(AA76=0,"",IFERROR(AA76/AA$19,""))</f>
        <v>-4.6079660429962914E-2</v>
      </c>
      <c r="AC76" s="140"/>
      <c r="AD76" s="165">
        <v>-654506.47628455702</v>
      </c>
      <c r="AE76" s="166">
        <f>IF(AD76=0,"",IFERROR(AD76/AD$19,""))</f>
        <v>-4.4751412782320615E-2</v>
      </c>
      <c r="AF76" s="167">
        <f>IF(AND($AA76="",AD76=""),"",$AA76-AD76)</f>
        <v>-24373.143715442973</v>
      </c>
      <c r="AG76" s="165">
        <v>-642150.76</v>
      </c>
      <c r="AH76" s="166">
        <f>IF(AG76=0,"",IFERROR(AG76/AG$19,""))</f>
        <v>-5.3932679037834622E-2</v>
      </c>
      <c r="AI76" s="167">
        <f>IF(AND($AA76="",AG76=""),"",$AA76-AG76)</f>
        <v>-36728.859999999986</v>
      </c>
      <c r="AJ76" s="452">
        <f>IFERROR(AA76/AA$20,0)</f>
        <v>-14.09048609381486</v>
      </c>
      <c r="AK76" s="453">
        <f>IFERROR(AD76/AD$20,0)</f>
        <v>-13.584609304370217</v>
      </c>
      <c r="AL76" s="454">
        <f>IFERROR(AG76/AG$20,0)</f>
        <v>-13.328160232461602</v>
      </c>
      <c r="AM76" s="455" t="str">
        <f>+IFERROR(ROUND(($AB76-AE76)*100,2)&amp;" pts.",0)</f>
        <v>-0.13 pts.</v>
      </c>
      <c r="AN76" s="548" t="str">
        <f>+IFERROR(ROUND(($AB76-AH76)*100,2)&amp;" pts.",0)</f>
        <v>0.79 pts.</v>
      </c>
      <c r="AO76" s="11"/>
    </row>
    <row r="77" spans="1:41" ht="15.75" thickTop="1" x14ac:dyDescent="0.25">
      <c r="A77" s="65" t="s">
        <v>43</v>
      </c>
      <c r="B77" s="66"/>
      <c r="C77" s="11"/>
      <c r="D77" s="11"/>
      <c r="E77" s="11"/>
      <c r="F77" s="11"/>
      <c r="G77" s="11"/>
      <c r="H77" s="11"/>
      <c r="I77" s="59"/>
      <c r="J77" s="59"/>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65" t="s">
        <v>44</v>
      </c>
      <c r="B78" s="66"/>
      <c r="C78" s="11"/>
      <c r="D78" s="11"/>
      <c r="E78" s="11"/>
      <c r="F78" s="11"/>
      <c r="G78" s="11"/>
      <c r="H78" s="11"/>
      <c r="I78" s="59"/>
      <c r="J78" s="59"/>
      <c r="K78" s="11"/>
      <c r="L78" s="59"/>
      <c r="M78" s="59"/>
      <c r="N78" s="104" t="str">
        <f>N75&amp;" - Check"</f>
        <v>Total Expenses - Check</v>
      </c>
      <c r="O78" s="209">
        <f t="shared" ref="O78:AA78" si="24">SUMIF($H$33:$H$76,"600000",O$33:O$76)+SUMIF($H$33:$H$76,"700000",O$33:O$76)-SUMIF($H$33:$H$76,"TOTDEPTEXP",O$33:O$76)</f>
        <v>0</v>
      </c>
      <c r="P78" s="209">
        <f t="shared" si="24"/>
        <v>0</v>
      </c>
      <c r="Q78" s="209">
        <f t="shared" si="24"/>
        <v>0</v>
      </c>
      <c r="R78" s="209">
        <f t="shared" si="24"/>
        <v>0</v>
      </c>
      <c r="S78" s="209">
        <f t="shared" si="24"/>
        <v>0</v>
      </c>
      <c r="T78" s="209">
        <f t="shared" si="24"/>
        <v>0</v>
      </c>
      <c r="U78" s="209">
        <f t="shared" si="24"/>
        <v>0</v>
      </c>
      <c r="V78" s="209">
        <f t="shared" si="24"/>
        <v>0</v>
      </c>
      <c r="W78" s="209">
        <f t="shared" si="24"/>
        <v>0</v>
      </c>
      <c r="X78" s="209">
        <f t="shared" si="24"/>
        <v>0</v>
      </c>
      <c r="Y78" s="209">
        <f t="shared" si="24"/>
        <v>0</v>
      </c>
      <c r="Z78" s="209">
        <f t="shared" si="24"/>
        <v>0</v>
      </c>
      <c r="AA78" s="209">
        <f t="shared" si="24"/>
        <v>0</v>
      </c>
      <c r="AB78" s="100"/>
      <c r="AC78" s="11"/>
      <c r="AD78" s="209">
        <f>SUMIF($H$33:$H$76,"600000",AD$33:AD$76)+SUMIF($H$33:$H$76,"700000",AD$33:AD$76)-SUMIF($H$33:$H$76,"TOTDEPTEXP",AD$33:AD$76)</f>
        <v>-1.0477378964424133E-9</v>
      </c>
      <c r="AE78" s="100"/>
      <c r="AF78" s="91"/>
      <c r="AG78" s="209">
        <f>SUMIF($H$33:$H$76,"600000",AG$33:AG$76)+SUMIF($H$33:$H$76,"700000",AG$33:AG$76)-SUMIF($H$33:$H$76,"TOTDEPTEXP",AG$33:AG$76)</f>
        <v>0</v>
      </c>
      <c r="AH78" s="100"/>
      <c r="AI78" s="91"/>
      <c r="AJ78" s="11"/>
      <c r="AK78" s="11"/>
      <c r="AL78" s="11"/>
      <c r="AM78" s="11"/>
      <c r="AN78" s="11"/>
      <c r="AO78" s="11"/>
    </row>
    <row r="79" spans="1:41" x14ac:dyDescent="0.25">
      <c r="A79" s="65" t="s">
        <v>45</v>
      </c>
      <c r="B79" s="66"/>
      <c r="C79" s="11"/>
      <c r="D79" s="11"/>
      <c r="E79" s="11"/>
      <c r="F79" s="11"/>
      <c r="G79" s="11"/>
      <c r="H79" s="11"/>
      <c r="I79" s="59"/>
      <c r="J79" s="59"/>
      <c r="K79" s="11"/>
      <c r="L79" s="59"/>
      <c r="M79" s="59"/>
      <c r="N79" s="104" t="str">
        <f>N76&amp;" - Check"</f>
        <v>Department Profit (Loss) - Check</v>
      </c>
      <c r="O79" s="209">
        <f t="shared" ref="O79:AA79" si="25">SUMIF($H$33:$H$76,"TOTDEPTEXP",O$33:O$76)+SUMIF($H$33:$H$76,"TOTDEPTPL",O$33:O$76)</f>
        <v>0</v>
      </c>
      <c r="P79" s="209">
        <f t="shared" si="25"/>
        <v>0</v>
      </c>
      <c r="Q79" s="209">
        <f t="shared" si="25"/>
        <v>0</v>
      </c>
      <c r="R79" s="209">
        <f t="shared" si="25"/>
        <v>0</v>
      </c>
      <c r="S79" s="209">
        <f t="shared" si="25"/>
        <v>0</v>
      </c>
      <c r="T79" s="209">
        <f t="shared" si="25"/>
        <v>0</v>
      </c>
      <c r="U79" s="209">
        <f t="shared" si="25"/>
        <v>0</v>
      </c>
      <c r="V79" s="209">
        <f t="shared" si="25"/>
        <v>0</v>
      </c>
      <c r="W79" s="209">
        <f t="shared" si="25"/>
        <v>0</v>
      </c>
      <c r="X79" s="209">
        <f t="shared" si="25"/>
        <v>0</v>
      </c>
      <c r="Y79" s="209">
        <f t="shared" si="25"/>
        <v>0</v>
      </c>
      <c r="Z79" s="209">
        <f t="shared" si="25"/>
        <v>0</v>
      </c>
      <c r="AA79" s="209">
        <f t="shared" si="25"/>
        <v>0</v>
      </c>
      <c r="AB79" s="100"/>
      <c r="AC79" s="11"/>
      <c r="AD79" s="209">
        <f>SUMIF($H$33:$H$76,"TOTDEPTEXP",AD$33:AD$76)+SUMIF($H$33:$H$76,"TOTDEPTPL",AD$33:AD$76)</f>
        <v>0</v>
      </c>
      <c r="AE79" s="100"/>
      <c r="AF79" s="91"/>
      <c r="AG79" s="209">
        <f>SUMIF($H$33:$H$76,"TOTDEPTEXP",AG$33:AG$76)+SUMIF($H$33:$H$76,"TOTDEPTPL",AG$33:AG$76)</f>
        <v>0</v>
      </c>
      <c r="AH79" s="100"/>
      <c r="AI79" s="91"/>
      <c r="AJ79" s="11"/>
      <c r="AK79" s="11"/>
      <c r="AL79" s="11"/>
      <c r="AM79" s="11"/>
      <c r="AN79" s="11"/>
      <c r="AO79" s="11"/>
    </row>
    <row r="80" spans="1:41" x14ac:dyDescent="0.25">
      <c r="A80" s="65" t="s">
        <v>46</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11"/>
      <c r="B81" s="11"/>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11"/>
      <c r="B82" s="11"/>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11"/>
      <c r="B83" s="11"/>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11"/>
      <c r="B84" s="11"/>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11"/>
      <c r="B85" s="11"/>
      <c r="C85" s="11"/>
      <c r="D85" s="11"/>
      <c r="E85" s="11"/>
      <c r="F85" s="11"/>
      <c r="G85" s="11"/>
      <c r="H85" s="11"/>
      <c r="I85" s="59"/>
      <c r="J85" s="59"/>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11"/>
      <c r="B101" s="11"/>
      <c r="C101" s="11"/>
      <c r="D101" s="11"/>
      <c r="E101" s="11"/>
      <c r="F101" s="11"/>
      <c r="G101" s="11"/>
      <c r="H101" s="59"/>
      <c r="I101" s="59"/>
      <c r="J101" s="11"/>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11"/>
      <c r="B102" s="11"/>
      <c r="C102" s="11"/>
      <c r="D102" s="11"/>
      <c r="E102" s="11"/>
      <c r="F102" s="11"/>
      <c r="G102" s="11"/>
      <c r="H102" s="59"/>
      <c r="I102" s="59"/>
      <c r="J102" s="11"/>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row r="103" spans="1:41" x14ac:dyDescent="0.25">
      <c r="A103" s="11"/>
      <c r="B103" s="11"/>
      <c r="C103" s="11"/>
      <c r="D103" s="11"/>
      <c r="E103" s="11"/>
      <c r="F103" s="11"/>
      <c r="G103" s="11"/>
      <c r="H103" s="59"/>
      <c r="I103" s="59"/>
      <c r="J103" s="11"/>
      <c r="K103" s="11"/>
      <c r="L103" s="59"/>
      <c r="M103" s="59"/>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row>
    <row r="104" spans="1:41" x14ac:dyDescent="0.25">
      <c r="A104" s="11"/>
      <c r="B104" s="11"/>
      <c r="C104" s="11"/>
      <c r="D104" s="11"/>
      <c r="E104" s="11"/>
      <c r="F104" s="11"/>
      <c r="G104" s="11"/>
      <c r="H104" s="59"/>
      <c r="I104" s="59"/>
      <c r="J104" s="11"/>
      <c r="K104" s="11"/>
      <c r="L104" s="59"/>
      <c r="M104" s="59"/>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row>
    <row r="105" spans="1:41" x14ac:dyDescent="0.25">
      <c r="A105" s="11"/>
      <c r="B105" s="11"/>
      <c r="C105" s="11"/>
      <c r="D105" s="11"/>
      <c r="E105" s="11"/>
      <c r="F105" s="11"/>
      <c r="G105" s="11"/>
      <c r="H105" s="59"/>
      <c r="I105" s="59"/>
      <c r="J105" s="11"/>
      <c r="K105" s="11"/>
      <c r="L105" s="59"/>
      <c r="M105" s="59"/>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row>
    <row r="106" spans="1:41" x14ac:dyDescent="0.25">
      <c r="A106" s="11"/>
      <c r="B106" s="11"/>
      <c r="C106" s="11"/>
      <c r="D106" s="11"/>
      <c r="E106" s="11"/>
      <c r="F106" s="11"/>
      <c r="G106" s="11"/>
      <c r="H106" s="59"/>
      <c r="I106" s="59"/>
      <c r="J106" s="11"/>
      <c r="K106" s="11"/>
      <c r="L106" s="59"/>
      <c r="M106" s="59"/>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row>
    <row r="107" spans="1:41" x14ac:dyDescent="0.25">
      <c r="A107" s="11"/>
      <c r="B107" s="11"/>
      <c r="C107" s="11"/>
      <c r="D107" s="11"/>
      <c r="E107" s="11"/>
      <c r="F107" s="11"/>
      <c r="G107" s="11"/>
      <c r="H107" s="59"/>
      <c r="I107" s="59"/>
      <c r="J107" s="11"/>
      <c r="K107" s="11"/>
      <c r="L107" s="59"/>
      <c r="M107" s="59"/>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row>
    <row r="108" spans="1:41" x14ac:dyDescent="0.25">
      <c r="A108" s="11"/>
      <c r="B108" s="11"/>
      <c r="C108" s="11"/>
      <c r="D108" s="11"/>
      <c r="E108" s="11"/>
      <c r="F108" s="11"/>
      <c r="G108" s="11"/>
      <c r="H108" s="59"/>
      <c r="I108" s="59"/>
      <c r="J108" s="11"/>
      <c r="K108" s="11"/>
      <c r="L108" s="59"/>
      <c r="M108" s="59"/>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row>
  </sheetData>
  <sheetProtection algorithmName="SHA-512" hashValue="X7wqkRXkKCnHMOcetXvOhyNwNv17yzYwoSs5hi1T2842w5ieZYV+rkZSGivfj66IPOf4tSNG8yxF0c78Qm7U4Q==" saltValue="VeXDtetJ91aRFA68x0bBLQ==" spinCount="100000" sheet="1" scenarios="1"/>
  <mergeCells count="2">
    <mergeCell ref="AD31:AE31"/>
    <mergeCell ref="AG31:AH31"/>
  </mergeCells>
  <dataValidations disablePrompts="1" count="2">
    <dataValidation type="list" allowBlank="1" sqref="B28" xr:uid="{00000000-0002-0000-2A00-000000000000}">
      <formula1>"ACCOUNT,BUSINESSUNIT,CATEGORY,DATASRC,DEPARTMENT,INTCO,MEASURES,RPTCURRENCY,TIME"</formula1>
    </dataValidation>
    <dataValidation type="list" allowBlank="1" sqref="B29" xr:uid="{00000000-0002-0000-2A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58374"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58374" r:id="rId7" name="FPMExcelClientSheetOptionstb1"/>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7">
    <pageSetUpPr fitToPage="1"/>
  </sheetPr>
  <dimension ref="A1:AO6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514</v>
      </c>
      <c r="C6" s="11" t="str">
        <f>IF(_epmOfflineCondition_,"Utilities",_xll.EVDES(B6,$B$1))</f>
        <v>Utilities</v>
      </c>
      <c r="D6" s="11"/>
      <c r="E6" s="58" t="str">
        <f>IF(_epmOfflineCondition_,"D_EC",_xll.EVPRO($B$1,$B$6,$F$6))</f>
        <v>D_EC</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IF(_epmOfflineCondition_,"'EC'!$B$2:$B$10",_xll.EVRNG($B$2:$B$10))</f>
        <v>'EC'!$B$2:$B$10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IF(_epmOfflineCondition_,"'EC'!$O$16:$AN$18",_xll.EVRNG($O$16:$AN$18))</f>
        <v>'EC'!$O$16:$AN$18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IF(_epmOfflineCondition_,"'EC'!$H$34:$H$36",_xll.EVRNG(H34:H36))</f>
        <v>'EC'!$H$34:$H$36</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IF(_epmOfflineCondition_,48180,_xll.EVGTS($B$1,1,$B$3,$B$5,$B$7,$B$9,AG$16,AG$17,AG$18,$G$20,$H$20))</f>
        <v>48180</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IF(_epmOfflineCondition_,"'EC'!$A$37:$B$58",_xll.EVRNG($A$37:$B$58))</f>
        <v>'EC'!$A$37:$B$58</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IF(_epmOfflineCondition_,"Utilities Department",IF(_xll.EVDES(B6,$B$1)="#NODATA","",_xll.EVDES(B6,$B$1)&amp;" Department"))</f>
        <v>Utilities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515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05"/>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548</v>
      </c>
      <c r="I33" s="59" t="str">
        <f>IF(_epmOfflineCondition_,"B1",_xll.EVPRO($B$1,$H33,"STYLE"))</f>
        <v>B1</v>
      </c>
      <c r="J33" s="59" t="str">
        <f>IF(_epmOfflineCondition_,"Y",_xll.EVPRO($B$1,$H33,"CALC"))</f>
        <v>Y</v>
      </c>
      <c r="K33" s="11"/>
      <c r="L33" s="11"/>
      <c r="M33" s="11"/>
      <c r="N33" s="105" t="str">
        <f>IF(_epmOfflineCondition_,"Utilities",IF(_xll.EVDES(H33,$B$1)="#NODATA","",_xll.EVDES(H33,$B$1)))</f>
        <v>Utilities</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25">
      <c r="A34" s="11"/>
      <c r="B34" s="11"/>
      <c r="C34" s="11"/>
      <c r="D34" s="11"/>
      <c r="E34" s="11"/>
      <c r="F34" s="11"/>
      <c r="G34" s="11"/>
      <c r="H34" s="88" t="s">
        <v>864</v>
      </c>
      <c r="I34" s="122" t="str">
        <f>IF(_epmOfflineCondition_,"N",_xll.EVPRO($B$1,$H34,"STYLE"))</f>
        <v>N</v>
      </c>
      <c r="J34" s="122" t="str">
        <f>IF(_epmOfflineCondition_,"N",_xll.EVPRO($B$1,$H34,"CALC"))</f>
        <v>N</v>
      </c>
      <c r="K34" s="179" t="str">
        <f>IF(AND(I34&gt;="T3"),"&gt;","")</f>
        <v/>
      </c>
      <c r="L34" s="90" t="str">
        <f>IF(_epmOfflineCondition_,"717100",_xll.EVPRO($B$1,H34,"JDEID"))</f>
        <v>717100</v>
      </c>
      <c r="M34" s="90" t="str">
        <f>IF(_epmOfflineCondition_,"690800",IF(AND(I34="N",J34="N"),_xll.EVPRO($B$1,H34,"PSFTID"),""))</f>
        <v>690800</v>
      </c>
      <c r="N34" s="90" t="str">
        <f>IF(_epmOfflineCondition_,"Electricity",IF(_xll.EVDES(H34,$B$1)="#NODATA","",_xll.EVDES(H34,$B$1)))</f>
        <v>Electricity</v>
      </c>
      <c r="O34" s="138">
        <v>15652.44</v>
      </c>
      <c r="P34" s="138">
        <v>6488.17</v>
      </c>
      <c r="Q34" s="138">
        <v>11853.98</v>
      </c>
      <c r="R34" s="138">
        <v>13541.47</v>
      </c>
      <c r="S34" s="138">
        <v>12582.68</v>
      </c>
      <c r="T34" s="138">
        <v>13585.69</v>
      </c>
      <c r="U34" s="138">
        <v>16222.94</v>
      </c>
      <c r="V34" s="138">
        <v>16254.69</v>
      </c>
      <c r="W34" s="138">
        <v>15373.69</v>
      </c>
      <c r="X34" s="138">
        <v>12139.52</v>
      </c>
      <c r="Y34" s="138">
        <v>11839.97</v>
      </c>
      <c r="Z34" s="138">
        <v>13385.23</v>
      </c>
      <c r="AA34" s="231">
        <f>IF($I34="B1","",SUM(O34:Z34))</f>
        <v>158920.47</v>
      </c>
      <c r="AB34" s="142">
        <f>IF(AA34=0,"",IFERROR(AA34/AA$19,""))</f>
        <v>1.0786892222468114E-2</v>
      </c>
      <c r="AC34" s="140"/>
      <c r="AD34" s="138">
        <v>145294</v>
      </c>
      <c r="AE34" s="142">
        <f>IF(AD34=0,"",IFERROR(AD34/AD$19,""))</f>
        <v>9.9343734621314822E-3</v>
      </c>
      <c r="AF34" s="141">
        <f>IF(AND($AA34="",AD34=""),"",$AA34-AD34)</f>
        <v>13626.470000000001</v>
      </c>
      <c r="AG34" s="138">
        <v>131870.73000000001</v>
      </c>
      <c r="AH34" s="142">
        <f>IF(AG34=0,"",IFERROR(AG34/AG$19,""))</f>
        <v>1.1075501577814763E-2</v>
      </c>
      <c r="AI34" s="141">
        <f>IF(AND($AA34="",AG34=""),"",$AA34-AG34)</f>
        <v>27049.739999999991</v>
      </c>
      <c r="AJ34" s="462">
        <f>IFERROR(AA34/AA$20,0)</f>
        <v>3.2984738480697384</v>
      </c>
      <c r="AK34" s="463">
        <f>IFERROR(AD34/AD$20,0)</f>
        <v>3.0156496471564966</v>
      </c>
      <c r="AL34" s="464">
        <f>IFERROR(AG34/AG$20,0)</f>
        <v>2.7370429638854299</v>
      </c>
      <c r="AM34" s="465" t="str">
        <f>+IFERROR(ROUND(($AB34-AE34)*100,2)&amp;" pts.",0)</f>
        <v>0.09 pts.</v>
      </c>
      <c r="AN34" s="466" t="str">
        <f>+IFERROR(ROUND(($AB34-AH34)*100,2)&amp;" pts.",0)</f>
        <v>-0.03 pts.</v>
      </c>
      <c r="AO34" s="11"/>
    </row>
    <row r="35" spans="1:41" x14ac:dyDescent="0.25">
      <c r="A35" s="11"/>
      <c r="B35" s="11"/>
      <c r="C35" s="208"/>
      <c r="D35" s="11"/>
      <c r="E35" s="11"/>
      <c r="F35" s="11"/>
      <c r="G35" s="11"/>
      <c r="H35" s="88" t="s">
        <v>865</v>
      </c>
      <c r="I35" s="122" t="str">
        <f>IF(_epmOfflineCondition_,"N",_xll.EVPRO($B$1,$H35,"STYLE"))</f>
        <v>N</v>
      </c>
      <c r="J35" s="122" t="str">
        <f>IF(_epmOfflineCondition_,"N",_xll.EVPRO($B$1,$H35,"CALC"))</f>
        <v>N</v>
      </c>
      <c r="K35" s="179" t="str">
        <f>IF(AND(I35&gt;="T3"),"&gt;","")</f>
        <v/>
      </c>
      <c r="L35" s="90" t="str">
        <f>IF(_epmOfflineCondition_,"717200",_xll.EVPRO($B$1,H35,"JDEID"))</f>
        <v>717200</v>
      </c>
      <c r="M35" s="90" t="str">
        <f>IF(_epmOfflineCondition_,"690805",IF(AND(I35="N",J35="N"),_xll.EVPRO($B$1,H35,"PSFTID"),""))</f>
        <v>690805</v>
      </c>
      <c r="N35" s="90" t="str">
        <f>IF(_epmOfflineCondition_,"Gas",IF(_xll.EVDES(H35,$B$1)="#NODATA","",_xll.EVDES(H35,$B$1)))</f>
        <v>Gas</v>
      </c>
      <c r="O35" s="138">
        <v>-57.01</v>
      </c>
      <c r="P35" s="138">
        <v>2081.12</v>
      </c>
      <c r="Q35" s="138">
        <v>2142.15</v>
      </c>
      <c r="R35" s="138">
        <v>3315.58</v>
      </c>
      <c r="S35" s="138">
        <v>1602.2</v>
      </c>
      <c r="T35" s="138">
        <v>1608.85</v>
      </c>
      <c r="U35" s="138">
        <v>2007.37</v>
      </c>
      <c r="V35" s="138">
        <v>987.83</v>
      </c>
      <c r="W35" s="138">
        <v>2738.02</v>
      </c>
      <c r="X35" s="138">
        <v>1054.8699999999999</v>
      </c>
      <c r="Y35" s="138">
        <v>2471.38</v>
      </c>
      <c r="Z35" s="138">
        <v>475.77</v>
      </c>
      <c r="AA35" s="231">
        <f>IF($I35="B1","",SUM(O35:Z35))</f>
        <v>20428.13</v>
      </c>
      <c r="AB35" s="142">
        <f>IF(AA35=0,"",IFERROR(AA35/AA$19,""))</f>
        <v>1.3865805746520103E-3</v>
      </c>
      <c r="AC35" s="140"/>
      <c r="AD35" s="138">
        <v>29556.0000000004</v>
      </c>
      <c r="AE35" s="142">
        <f>IF(AD35=0,"",IFERROR(AD35/AD$19,""))</f>
        <v>2.0208703872614288E-3</v>
      </c>
      <c r="AF35" s="141">
        <f>IF(AND($AA35="",AD35=""),"",$AA35-AD35)</f>
        <v>-9127.8700000003992</v>
      </c>
      <c r="AG35" s="138">
        <v>32465.73</v>
      </c>
      <c r="AH35" s="142">
        <f>IF(AG35=0,"",IFERROR(AG35/AG$19,""))</f>
        <v>2.7267176259652775E-3</v>
      </c>
      <c r="AI35" s="141">
        <f>IF(AND($AA35="",AG35=""),"",$AA35-AG35)</f>
        <v>-12037.599999999999</v>
      </c>
      <c r="AJ35" s="462">
        <f>IFERROR(AA35/AA$20,0)</f>
        <v>0.42399605645496058</v>
      </c>
      <c r="AK35" s="463">
        <f>IFERROR(AD35/AD$20,0)</f>
        <v>0.61344956413450391</v>
      </c>
      <c r="AL35" s="464">
        <f>IFERROR(AG35/AG$20,0)</f>
        <v>0.67384246575342466</v>
      </c>
      <c r="AM35" s="465" t="str">
        <f>+IFERROR(ROUND(($AB35-AE35)*100,2)&amp;" pts.",0)</f>
        <v>-0.06 pts.</v>
      </c>
      <c r="AN35" s="466" t="str">
        <f>+IFERROR(ROUND(($AB35-AH35)*100,2)&amp;" pts.",0)</f>
        <v>-0.13 pts.</v>
      </c>
      <c r="AO35" s="11"/>
    </row>
    <row r="36" spans="1:41" x14ac:dyDescent="0.25">
      <c r="A36" s="62" t="s">
        <v>23</v>
      </c>
      <c r="B36" s="63" t="s">
        <v>24</v>
      </c>
      <c r="C36" s="11"/>
      <c r="D36" s="11"/>
      <c r="E36" s="11"/>
      <c r="F36" s="11"/>
      <c r="G36" s="11"/>
      <c r="H36" s="88" t="s">
        <v>866</v>
      </c>
      <c r="I36" s="122" t="str">
        <f>IF(_epmOfflineCondition_,"T5",_xll.EVPRO($B$1,$H36,"STYLE"))</f>
        <v>T5</v>
      </c>
      <c r="J36" s="122" t="str">
        <f>IF(_epmOfflineCondition_,"Y",_xll.EVPRO($B$1,$H36,"CALC"))</f>
        <v>Y</v>
      </c>
      <c r="K36" s="179" t="str">
        <f>IF(AND(I36&gt;="T3"),"&gt;","")</f>
        <v>&gt;</v>
      </c>
      <c r="L36" s="90" t="str">
        <f>IF(_epmOfflineCondition_,"",_xll.EVPRO($B$1,H36,"JDEID"))</f>
        <v/>
      </c>
      <c r="M36" s="90" t="str">
        <f>IF(_epmOfflineCondition_,"",IF(AND(I36="N",J36="N"),_xll.EVPRO($B$1,H36,"PSFTID"),""))</f>
        <v/>
      </c>
      <c r="N36" s="90" t="str">
        <f>IF(_epmOfflineCondition_,"Water / Sewer",IF(_xll.EVDES(H36,$B$1)="#NODATA","",_xll.EVDES(H36,$B$1)))</f>
        <v>Water / Sewer</v>
      </c>
      <c r="O36" s="138">
        <v>1952.09</v>
      </c>
      <c r="P36" s="138">
        <v>1975.16</v>
      </c>
      <c r="Q36" s="138">
        <v>2239.8200000000002</v>
      </c>
      <c r="R36" s="138">
        <v>2254.8200000000002</v>
      </c>
      <c r="S36" s="138">
        <v>1988.32</v>
      </c>
      <c r="T36" s="138">
        <v>2131.61</v>
      </c>
      <c r="U36" s="138">
        <v>1725.51</v>
      </c>
      <c r="V36" s="138">
        <v>2357.98</v>
      </c>
      <c r="W36" s="138">
        <v>1363.6</v>
      </c>
      <c r="X36" s="138">
        <v>2255.04</v>
      </c>
      <c r="Y36" s="138">
        <v>2192.27</v>
      </c>
      <c r="Z36" s="138">
        <v>2253.62</v>
      </c>
      <c r="AA36" s="231">
        <f>IF($I36="B1","",SUM(O36:Z36))</f>
        <v>24689.84</v>
      </c>
      <c r="AB36" s="142">
        <f>IF(AA36=0,"",IFERROR(AA36/AA$19,""))</f>
        <v>1.6758485742584461E-3</v>
      </c>
      <c r="AC36" s="140"/>
      <c r="AD36" s="138">
        <v>30813</v>
      </c>
      <c r="AE36" s="142">
        <f>IF(AD36=0,"",IFERROR(AD36/AD$19,""))</f>
        <v>2.1068168643485442E-3</v>
      </c>
      <c r="AF36" s="141">
        <f>IF(AND($AA36="",AD36=""),"",$AA36-AD36)</f>
        <v>-6123.16</v>
      </c>
      <c r="AG36" s="138">
        <v>25488.89</v>
      </c>
      <c r="AH36" s="142">
        <f>IF(AG36=0,"",IFERROR(AG36/AG$19,""))</f>
        <v>2.1407498192491004E-3</v>
      </c>
      <c r="AI36" s="141">
        <f>IF(AND($AA36="",AG36=""),"",$AA36-AG36)</f>
        <v>-799.04999999999927</v>
      </c>
      <c r="AJ36" s="462">
        <f>IFERROR(AA36/AA$20,0)</f>
        <v>0.51244997924449975</v>
      </c>
      <c r="AK36" s="463">
        <f>IFERROR(AD36/AD$20,0)</f>
        <v>0.6395392278953923</v>
      </c>
      <c r="AL36" s="464">
        <f>IFERROR(AG36/AG$20,0)</f>
        <v>0.52903466168534663</v>
      </c>
      <c r="AM36" s="465" t="str">
        <f>+IFERROR(ROUND(($AB36-AE36)*100,2)&amp;" pts.",0)</f>
        <v>-0.04 pts.</v>
      </c>
      <c r="AN36" s="466" t="str">
        <f>+IFERROR(ROUND(($AB36-AH36)*100,2)&amp;" pts.",0)</f>
        <v>-0.05 pts.</v>
      </c>
      <c r="AO36" s="11"/>
    </row>
    <row r="37" spans="1:41" x14ac:dyDescent="0.25">
      <c r="A37" s="65" t="s">
        <v>25</v>
      </c>
      <c r="B37" s="66"/>
      <c r="C37" s="11"/>
      <c r="D37" s="11"/>
      <c r="E37" s="11"/>
      <c r="F37" s="11"/>
      <c r="G37" s="11"/>
      <c r="H37" s="88" t="s">
        <v>79</v>
      </c>
      <c r="I37" s="136" t="str">
        <f>IF(_epmOfflineCondition_,"T3",_xll.EVPRO($B$1,$H37,"STYLE"))</f>
        <v>T3</v>
      </c>
      <c r="J37" s="136" t="str">
        <f>IF(_epmOfflineCondition_,"Y",_xll.EVPRO($B$1,$H37,"CALC"))</f>
        <v>Y</v>
      </c>
      <c r="K37" s="104"/>
      <c r="L37" s="59"/>
      <c r="M37" s="59"/>
      <c r="N37" s="106" t="str">
        <f>IF(_epmOfflineCondition_,"Total Operations Expense",IF(_xll.EVDES(H37,$B$1)="#NODATA","",_xll.EVDES(H37,$B$1)))</f>
        <v>Total Operations Expense</v>
      </c>
      <c r="O37" s="112">
        <f t="shared" ref="O37:Z37" si="0">SUM(O34:O36)</f>
        <v>17547.52</v>
      </c>
      <c r="P37" s="112">
        <f t="shared" si="0"/>
        <v>10544.45</v>
      </c>
      <c r="Q37" s="112">
        <f t="shared" si="0"/>
        <v>16235.949999999999</v>
      </c>
      <c r="R37" s="112">
        <f t="shared" si="0"/>
        <v>19111.87</v>
      </c>
      <c r="S37" s="112">
        <f t="shared" si="0"/>
        <v>16173.2</v>
      </c>
      <c r="T37" s="112">
        <f t="shared" si="0"/>
        <v>17326.150000000001</v>
      </c>
      <c r="U37" s="112">
        <f t="shared" si="0"/>
        <v>19955.82</v>
      </c>
      <c r="V37" s="112">
        <f t="shared" si="0"/>
        <v>19600.5</v>
      </c>
      <c r="W37" s="112">
        <f t="shared" si="0"/>
        <v>19475.309999999998</v>
      </c>
      <c r="X37" s="112">
        <f t="shared" si="0"/>
        <v>15449.43</v>
      </c>
      <c r="Y37" s="112">
        <f t="shared" si="0"/>
        <v>16503.62</v>
      </c>
      <c r="Z37" s="112">
        <f t="shared" si="0"/>
        <v>16114.619999999999</v>
      </c>
      <c r="AA37" s="112">
        <f>IF($I37="B1","",SUM(O37:Z37))</f>
        <v>204038.43999999997</v>
      </c>
      <c r="AB37" s="113">
        <f>IF(AA37=0,"",IFERROR(AA37/AA$19,""))</f>
        <v>1.3849321371378568E-2</v>
      </c>
      <c r="AC37" s="11"/>
      <c r="AD37" s="112">
        <f>SUM(AD34:AD36)</f>
        <v>205663.00000000041</v>
      </c>
      <c r="AE37" s="113">
        <f>IF(AD37=0,"",IFERROR(AD37/AD$19,""))</f>
        <v>1.4062060713741456E-2</v>
      </c>
      <c r="AF37" s="114">
        <f>IF(AND($AA37="",AD37=""),"",$AA37-AD37)</f>
        <v>-1624.5600000004342</v>
      </c>
      <c r="AG37" s="112">
        <f>SUM(AG34:AG36)</f>
        <v>189825.35000000003</v>
      </c>
      <c r="AH37" s="113">
        <f>IF(AG37=0,"",IFERROR(AG37/AG$19,""))</f>
        <v>1.5942969023029142E-2</v>
      </c>
      <c r="AI37" s="114">
        <f>IF(AND($AA37="",AG37=""),"",$AA37-AG37)</f>
        <v>14213.089999999938</v>
      </c>
      <c r="AJ37" s="415">
        <f>IFERROR(AA37/AA$20,0)</f>
        <v>4.2349198837691979</v>
      </c>
      <c r="AK37" s="416">
        <f>IFERROR(AD37/AD$20,0)</f>
        <v>4.2686384391863932</v>
      </c>
      <c r="AL37" s="417">
        <f>IFERROR(AG37/AG$20,0)</f>
        <v>3.9399200913242018</v>
      </c>
      <c r="AM37" s="418" t="str">
        <f>+IFERROR(ROUND(($AB37-AE37)*100,2)&amp;" pts.",0)</f>
        <v>-0.02 pts.</v>
      </c>
      <c r="AN37" s="543" t="str">
        <f>+IFERROR(ROUND(($AB37-AH37)*100,2)&amp;" pts.",0)</f>
        <v>-0.21 pts.</v>
      </c>
      <c r="AO37" s="11"/>
    </row>
    <row r="38" spans="1:41" x14ac:dyDescent="0.25">
      <c r="A38" s="65" t="s">
        <v>26</v>
      </c>
      <c r="B38" s="66"/>
      <c r="C38" s="11"/>
      <c r="D38" s="11"/>
      <c r="E38" s="11"/>
      <c r="F38" s="11"/>
      <c r="G38" s="11"/>
      <c r="H38" s="11"/>
      <c r="I38" s="59"/>
      <c r="J38" s="59"/>
      <c r="K38" s="11"/>
      <c r="L38" s="59"/>
      <c r="M38" s="59"/>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row>
    <row r="39" spans="1:41" x14ac:dyDescent="0.25">
      <c r="A39" s="65" t="s">
        <v>27</v>
      </c>
      <c r="B39" s="66"/>
      <c r="C39" s="11"/>
      <c r="D39" s="11"/>
      <c r="E39" s="11"/>
      <c r="F39" s="11"/>
      <c r="G39" s="11"/>
      <c r="H39" s="88" t="s">
        <v>79</v>
      </c>
      <c r="I39" s="59"/>
      <c r="J39" s="59"/>
      <c r="K39" s="11"/>
      <c r="L39" s="59"/>
      <c r="M39" s="59"/>
      <c r="N39" s="104" t="str">
        <f>N37&amp;" - Check"</f>
        <v>Total Operations Expense - Check</v>
      </c>
      <c r="O39" s="209">
        <f>IF(_epmOfflineCondition_,0,_xll.EVGTS($B$1,1,$B$3,$B$5,$B$7,$B$9,O$16,O$17,O$18,$B$6,$H39)-O37)</f>
        <v>0</v>
      </c>
      <c r="P39" s="209">
        <f>IF(_epmOfflineCondition_,0,_xll.EVGTS($B$1,1,$B$3,$B$5,$B$7,$B$9,P$16,P$17,P$18,$B$6,$H39)-P37)</f>
        <v>0</v>
      </c>
      <c r="Q39" s="209">
        <f>IF(_epmOfflineCondition_,0,_xll.EVGTS($B$1,1,$B$3,$B$5,$B$7,$B$9,Q$16,Q$17,Q$18,$B$6,$H39)-Q37)</f>
        <v>0</v>
      </c>
      <c r="R39" s="209">
        <f>IF(_epmOfflineCondition_,0,_xll.EVGTS($B$1,1,$B$3,$B$5,$B$7,$B$9,R$16,R$17,R$18,$B$6,$H39)-R37)</f>
        <v>0</v>
      </c>
      <c r="S39" s="209">
        <f>IF(_epmOfflineCondition_,0,_xll.EVGTS($B$1,1,$B$3,$B$5,$B$7,$B$9,S$16,S$17,S$18,$B$6,$H39)-S37)</f>
        <v>0</v>
      </c>
      <c r="T39" s="209">
        <f>IF(_epmOfflineCondition_,0,_xll.EVGTS($B$1,1,$B$3,$B$5,$B$7,$B$9,T$16,T$17,T$18,$B$6,$H39)-T37)</f>
        <v>0</v>
      </c>
      <c r="U39" s="209">
        <f>IF(_epmOfflineCondition_,0,_xll.EVGTS($B$1,1,$B$3,$B$5,$B$7,$B$9,U$16,U$17,U$18,$B$6,$H39)-U37)</f>
        <v>0</v>
      </c>
      <c r="V39" s="209">
        <f>IF(_epmOfflineCondition_,0,_xll.EVGTS($B$1,1,$B$3,$B$5,$B$7,$B$9,V$16,V$17,V$18,$B$6,$H39)-V37)</f>
        <v>0</v>
      </c>
      <c r="W39" s="209">
        <f>IF(_epmOfflineCondition_,0,_xll.EVGTS($B$1,1,$B$3,$B$5,$B$7,$B$9,W$16,W$17,W$18,$B$6,$H39)-W37)</f>
        <v>0</v>
      </c>
      <c r="X39" s="209">
        <f>IF(_epmOfflineCondition_,0,_xll.EVGTS($B$1,1,$B$3,$B$5,$B$7,$B$9,X$16,X$17,X$18,$B$6,$H39)-X37)</f>
        <v>0</v>
      </c>
      <c r="Y39" s="209">
        <f>IF(_epmOfflineCondition_,0,_xll.EVGTS($B$1,1,$B$3,$B$5,$B$7,$B$9,Y$16,Y$17,Y$18,$B$6,$H39)-Y37)</f>
        <v>0</v>
      </c>
      <c r="Z39" s="209">
        <f>IF(_epmOfflineCondition_,0,_xll.EVGTS($B$1,1,$B$3,$B$5,$B$7,$B$9,Z$16,Z$17,Z$18,$B$6,$H39)-Z37)</f>
        <v>0</v>
      </c>
      <c r="AA39" s="209">
        <f>SUM(O39:Z39)</f>
        <v>0</v>
      </c>
      <c r="AB39" s="100"/>
      <c r="AC39" s="11"/>
      <c r="AD39" s="209">
        <f>IF(_epmOfflineCondition_,5.82076609134674E-10,_xll.EVGTS($B$1,1,$B$3,$B$5,$B$7,$B$9,AD$16,AD$17,AD$18,$B$6,$H39)-AD37)</f>
        <v>5.8207660913467397E-10</v>
      </c>
      <c r="AE39" s="100"/>
      <c r="AF39" s="91"/>
      <c r="AG39" s="209">
        <f>IF(_epmOfflineCondition_,0,_xll.EVGTS($B$1,1,$B$3,$B$5,$B$7,$B$9,AG$16,AG$17,AG$18,$B$6,$H39)-AG37)</f>
        <v>0</v>
      </c>
      <c r="AH39" s="100"/>
      <c r="AI39" s="91"/>
      <c r="AJ39" s="11"/>
      <c r="AK39" s="11"/>
      <c r="AL39" s="11"/>
      <c r="AM39" s="11"/>
      <c r="AN39" s="11"/>
      <c r="AO39" s="11"/>
    </row>
    <row r="40" spans="1:41" x14ac:dyDescent="0.25">
      <c r="A40" s="65" t="s">
        <v>28</v>
      </c>
      <c r="B40" s="66"/>
      <c r="C40" s="11"/>
      <c r="D40" s="11"/>
      <c r="E40" s="11"/>
      <c r="F40" s="11"/>
      <c r="G40" s="11"/>
      <c r="H40" s="11"/>
      <c r="I40" s="59"/>
      <c r="J40" s="59"/>
      <c r="K40" s="11"/>
      <c r="L40" s="59"/>
      <c r="M40" s="59"/>
      <c r="N40" s="59"/>
      <c r="O40" s="59"/>
      <c r="P40" s="59"/>
      <c r="Q40" s="59"/>
      <c r="R40" s="59"/>
      <c r="S40" s="59"/>
      <c r="T40" s="59"/>
      <c r="U40" s="59"/>
      <c r="V40" s="59"/>
      <c r="W40" s="59"/>
      <c r="X40" s="59"/>
      <c r="Y40" s="59"/>
      <c r="Z40" s="59"/>
      <c r="AA40" s="59"/>
      <c r="AB40" s="59"/>
      <c r="AC40" s="11"/>
      <c r="AD40" s="59"/>
      <c r="AE40" s="59"/>
      <c r="AF40" s="59"/>
      <c r="AG40" s="59"/>
      <c r="AH40" s="59"/>
      <c r="AI40" s="59"/>
      <c r="AJ40" s="11"/>
      <c r="AK40" s="11"/>
      <c r="AL40" s="11"/>
      <c r="AM40" s="11"/>
      <c r="AN40" s="11"/>
      <c r="AO40" s="11"/>
    </row>
    <row r="41" spans="1:41" x14ac:dyDescent="0.25">
      <c r="A41" s="65" t="s">
        <v>29</v>
      </c>
      <c r="B41" s="66"/>
      <c r="C41" s="11"/>
      <c r="D41" s="11"/>
      <c r="E41" s="11"/>
      <c r="F41" s="11"/>
      <c r="G41" s="11"/>
      <c r="H41" s="11"/>
      <c r="I41" s="59"/>
      <c r="J41" s="59"/>
      <c r="K41" s="11"/>
      <c r="L41" s="59"/>
      <c r="M41" s="59"/>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row>
    <row r="42" spans="1:41" x14ac:dyDescent="0.25">
      <c r="A42" s="65" t="s">
        <v>30</v>
      </c>
      <c r="B42" s="66" t="s">
        <v>78</v>
      </c>
      <c r="C42" s="11"/>
      <c r="D42" s="11"/>
      <c r="E42" s="11"/>
      <c r="F42" s="11"/>
      <c r="G42" s="11"/>
      <c r="H42" s="11"/>
      <c r="I42" s="59"/>
      <c r="J42" s="59"/>
      <c r="K42" s="11"/>
      <c r="L42" s="59"/>
      <c r="M42" s="59"/>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row>
    <row r="43" spans="1:41" x14ac:dyDescent="0.25">
      <c r="A43" s="65" t="s">
        <v>31</v>
      </c>
      <c r="B43" s="66" t="s">
        <v>78</v>
      </c>
      <c r="C43" s="11"/>
      <c r="D43" s="11"/>
      <c r="E43" s="11"/>
      <c r="F43" s="11"/>
      <c r="G43" s="11"/>
      <c r="H43" s="11"/>
      <c r="I43" s="59"/>
      <c r="J43" s="59"/>
      <c r="K43" s="11"/>
      <c r="L43" s="59"/>
      <c r="M43" s="59"/>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row>
    <row r="44" spans="1:41" x14ac:dyDescent="0.25">
      <c r="A44" s="65" t="s">
        <v>32</v>
      </c>
      <c r="B44" s="66"/>
      <c r="C44" s="11"/>
      <c r="D44" s="11"/>
      <c r="E44" s="11"/>
      <c r="F44" s="11"/>
      <c r="G44" s="11"/>
      <c r="H44" s="11"/>
      <c r="I44" s="59"/>
      <c r="J44" s="59"/>
      <c r="K44" s="11"/>
      <c r="L44" s="59"/>
      <c r="M44" s="59"/>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row>
    <row r="45" spans="1:41" x14ac:dyDescent="0.25">
      <c r="A45" s="65" t="s">
        <v>33</v>
      </c>
      <c r="B45" s="66"/>
      <c r="C45" s="11"/>
      <c r="D45" s="11"/>
      <c r="E45" s="11"/>
      <c r="F45" s="11"/>
      <c r="G45" s="11"/>
      <c r="H45" s="11"/>
      <c r="I45" s="59"/>
      <c r="J45" s="59"/>
      <c r="K45" s="11"/>
      <c r="L45" s="59"/>
      <c r="M45" s="59"/>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row>
    <row r="46" spans="1:41" x14ac:dyDescent="0.25">
      <c r="A46" s="65" t="s">
        <v>34</v>
      </c>
      <c r="B46" s="66"/>
      <c r="C46" s="11"/>
      <c r="D46" s="11"/>
      <c r="E46" s="11"/>
      <c r="F46" s="11"/>
      <c r="G46" s="11"/>
      <c r="H46" s="11"/>
      <c r="I46" s="59"/>
      <c r="J46" s="59"/>
      <c r="K46" s="11"/>
      <c r="L46" s="59"/>
      <c r="M46" s="59"/>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row>
    <row r="47" spans="1:41" x14ac:dyDescent="0.25">
      <c r="A47" s="65" t="s">
        <v>35</v>
      </c>
      <c r="B47" s="66"/>
      <c r="C47" s="11"/>
      <c r="D47" s="11"/>
      <c r="E47" s="11"/>
      <c r="F47" s="11"/>
      <c r="G47" s="11"/>
      <c r="H47" s="59"/>
      <c r="I47" s="59"/>
      <c r="J47" s="11"/>
      <c r="K47" s="11"/>
      <c r="L47" s="59"/>
      <c r="M47" s="59"/>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row>
    <row r="48" spans="1:41" x14ac:dyDescent="0.25">
      <c r="A48" s="65" t="s">
        <v>36</v>
      </c>
      <c r="B48" s="66"/>
      <c r="C48" s="11"/>
      <c r="D48" s="11"/>
      <c r="E48" s="11"/>
      <c r="F48" s="11"/>
      <c r="G48" s="11"/>
      <c r="H48" s="59"/>
      <c r="I48" s="59"/>
      <c r="J48" s="11"/>
      <c r="K48" s="11"/>
      <c r="L48" s="59"/>
      <c r="M48" s="59"/>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row>
    <row r="49" spans="1:41" x14ac:dyDescent="0.25">
      <c r="A49" s="65" t="s">
        <v>37</v>
      </c>
      <c r="B49" s="66"/>
      <c r="C49" s="11"/>
      <c r="D49" s="11"/>
      <c r="E49" s="11"/>
      <c r="F49" s="11"/>
      <c r="G49" s="11"/>
      <c r="H49" s="59"/>
      <c r="I49" s="59"/>
      <c r="J49" s="11"/>
      <c r="K49" s="11"/>
      <c r="L49" s="59"/>
      <c r="M49" s="59"/>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25">
      <c r="A50" s="65" t="s">
        <v>38</v>
      </c>
      <c r="B50" s="66"/>
      <c r="C50" s="11"/>
      <c r="D50" s="11"/>
      <c r="E50" s="11"/>
      <c r="F50" s="11"/>
      <c r="G50" s="11"/>
      <c r="H50" s="59"/>
      <c r="I50" s="59"/>
      <c r="J50" s="11"/>
      <c r="K50" s="11"/>
      <c r="L50" s="59"/>
      <c r="M50" s="59"/>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row>
    <row r="51" spans="1:41" x14ac:dyDescent="0.25">
      <c r="A51" s="65" t="s">
        <v>39</v>
      </c>
      <c r="B51" s="66"/>
      <c r="C51" s="11"/>
      <c r="D51" s="11"/>
      <c r="E51" s="11"/>
      <c r="F51" s="11"/>
      <c r="G51" s="11"/>
      <c r="H51" s="59"/>
      <c r="I51" s="59"/>
      <c r="J51" s="11"/>
      <c r="K51" s="11"/>
      <c r="L51" s="59"/>
      <c r="M51" s="59"/>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x14ac:dyDescent="0.25">
      <c r="A52" s="65" t="s">
        <v>40</v>
      </c>
      <c r="B52" s="66"/>
      <c r="C52" s="11"/>
      <c r="D52" s="11"/>
      <c r="E52" s="11"/>
      <c r="F52" s="11"/>
      <c r="G52" s="11"/>
      <c r="H52" s="59"/>
      <c r="I52" s="59"/>
      <c r="J52" s="11"/>
      <c r="K52" s="11"/>
      <c r="L52" s="59"/>
      <c r="M52" s="59"/>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row>
    <row r="53" spans="1:41" x14ac:dyDescent="0.25">
      <c r="A53" s="65" t="s">
        <v>41</v>
      </c>
      <c r="B53" s="66"/>
      <c r="C53" s="11"/>
      <c r="D53" s="11"/>
      <c r="E53" s="11"/>
      <c r="F53" s="11"/>
      <c r="G53" s="11"/>
      <c r="H53" s="59"/>
      <c r="I53" s="59"/>
      <c r="J53" s="11"/>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25">
      <c r="A54" s="65" t="s">
        <v>42</v>
      </c>
      <c r="B54" s="66"/>
      <c r="C54" s="11"/>
      <c r="D54" s="11"/>
      <c r="E54" s="11"/>
      <c r="F54" s="11"/>
      <c r="G54" s="11"/>
      <c r="H54" s="59"/>
      <c r="I54" s="59"/>
      <c r="J54" s="11"/>
      <c r="K54" s="11"/>
      <c r="L54" s="59"/>
      <c r="M54" s="59"/>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x14ac:dyDescent="0.25">
      <c r="A55" s="65" t="s">
        <v>43</v>
      </c>
      <c r="B55" s="66"/>
      <c r="C55" s="11"/>
      <c r="D55" s="11"/>
      <c r="E55" s="11"/>
      <c r="F55" s="11"/>
      <c r="G55" s="11"/>
      <c r="H55" s="59"/>
      <c r="I55" s="59"/>
      <c r="J55" s="11"/>
      <c r="K55" s="11"/>
      <c r="L55" s="59"/>
      <c r="M55" s="59"/>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25">
      <c r="A56" s="65" t="s">
        <v>44</v>
      </c>
      <c r="B56" s="66"/>
      <c r="C56" s="11"/>
      <c r="D56" s="11"/>
      <c r="E56" s="11"/>
      <c r="F56" s="11"/>
      <c r="G56" s="11"/>
      <c r="H56" s="59"/>
      <c r="I56" s="59"/>
      <c r="J56" s="11"/>
      <c r="K56" s="11"/>
      <c r="L56" s="59"/>
      <c r="M56" s="59"/>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row>
    <row r="57" spans="1:41" x14ac:dyDescent="0.25">
      <c r="A57" s="65" t="s">
        <v>45</v>
      </c>
      <c r="B57" s="66"/>
      <c r="C57" s="11"/>
      <c r="D57" s="11"/>
      <c r="E57" s="11"/>
      <c r="F57" s="11"/>
      <c r="G57" s="11"/>
      <c r="H57" s="59"/>
      <c r="I57" s="59"/>
      <c r="J57" s="11"/>
      <c r="K57" s="11"/>
      <c r="L57" s="59"/>
      <c r="M57" s="59"/>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25">
      <c r="A58" s="65" t="s">
        <v>46</v>
      </c>
      <c r="B58" s="66"/>
      <c r="C58" s="11"/>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25">
      <c r="A59" s="11"/>
      <c r="B59" s="11"/>
      <c r="C59" s="11"/>
      <c r="D59" s="11"/>
      <c r="E59" s="11"/>
      <c r="F59" s="11"/>
      <c r="G59" s="11"/>
      <c r="H59" s="59"/>
      <c r="I59" s="59"/>
      <c r="J59" s="11"/>
      <c r="K59" s="11"/>
      <c r="L59" s="59"/>
      <c r="M59" s="59"/>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25">
      <c r="A60" s="11"/>
      <c r="B60" s="11"/>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25">
      <c r="A61" s="11"/>
      <c r="B61" s="11"/>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25">
      <c r="A62" s="11"/>
      <c r="B62" s="11"/>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25">
      <c r="A63" s="11"/>
      <c r="B63" s="11"/>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25">
      <c r="A64" s="11"/>
      <c r="B64" s="11"/>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2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2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25">
      <c r="A67" s="11"/>
      <c r="B67" s="11"/>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25">
      <c r="A68" s="11"/>
      <c r="B68" s="11"/>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11"/>
      <c r="B69" s="11"/>
      <c r="C69" s="11"/>
      <c r="D69" s="11"/>
      <c r="E69" s="11"/>
      <c r="F69" s="11"/>
      <c r="G69" s="11"/>
      <c r="H69" s="59"/>
      <c r="I69" s="59"/>
      <c r="J69" s="11"/>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sheetData>
  <sheetProtection algorithmName="SHA-512" hashValue="3MNkl/ezYvxM2f9jHbGgLRCwjMSsa3AfeUD9zaMAioPQEPIkp1lv7SZ5VsMxqQ8T8yZ4JvECZ2YUk5egv/AkuA==" saltValue="Ya5prBF1biMZ+atP8Y1bUQ==" spinCount="100000" sheet="1" scenarios="1"/>
  <mergeCells count="2">
    <mergeCell ref="AD31:AE31"/>
    <mergeCell ref="AG31:AH31"/>
  </mergeCells>
  <dataValidations disablePrompts="1" count="2">
    <dataValidation type="list" allowBlank="1" sqref="B28" xr:uid="{00000000-0002-0000-2B00-000000000000}">
      <formula1>"ACCOUNT,BUSINESSUNIT,CATEGORY,DATASRC,DEPARTMENT,INTCO,MEASURES,RPTCURRENCY,TIME"</formula1>
    </dataValidation>
    <dataValidation type="list" allowBlank="1" sqref="B29" xr:uid="{00000000-0002-0000-2B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0419"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60419" r:id="rId7" name="FPMExcelClientSheetOptionstb1"/>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8">
    <pageSetUpPr fitToPage="1"/>
  </sheetPr>
  <dimension ref="A1:AO68"/>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516</v>
      </c>
      <c r="C6" s="11" t="str">
        <f>IF(_epmOfflineCondition_,"Management Fees",_xll.EVDES(B6,$B$1))</f>
        <v>Management Fees</v>
      </c>
      <c r="D6" s="11"/>
      <c r="E6" s="58" t="str">
        <f>IF(_epmOfflineCondition_,"D1179",_xll.EVPRO($B$1,$B$6,$F$6))</f>
        <v>D1179</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IF(_epmOfflineCondition_,"'Mgt_Fees'!$B$2:$B$10",_xll.EVRNG($B$2:$B$10))</f>
        <v>'Mgt_Fees'!$B$2:$B$10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IF(_epmOfflineCondition_,"'Mgt_Fees'!$O$16:$AN$18",_xll.EVRNG($O$16:$AN$18))</f>
        <v>'Mgt_Fees'!$O$16:$AN$18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IF(_epmOfflineCondition_,"'Mgt_Fees'!$H$34:$H$35",_xll.EVRNG(H34:H35))</f>
        <v>'Mgt_Fees'!$H$34:$H$35</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IF(_epmOfflineCondition_,48180,_xll.EVGTS($B$1,1,$B$3,$B$5,$B$7,$B$9,AG$16,AG$17,AG$18,$G$20,$H$20))</f>
        <v>48180</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IF(_epmOfflineCondition_,"'Mgt_Fees'!$A$37:$B$58",_xll.EVRNG($A$37:$B$58))</f>
        <v>'Mgt_Fees'!$A$37:$B$58</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IF(_epmOfflineCondition_,"Management Fees Department",IF(_xll.EVDES(B6,$B$1)="#NODATA","",_xll.EVDES(B6,$B$1)&amp;" Department"))</f>
        <v>Management Fees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517</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05"/>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518</v>
      </c>
      <c r="I33" s="59" t="str">
        <f>IF(_epmOfflineCondition_,"B1",_xll.EVPRO($B$1,$H33,"STYLE"))</f>
        <v>B1</v>
      </c>
      <c r="J33" s="59" t="str">
        <f>IF(_epmOfflineCondition_,"Y",_xll.EVPRO($B$1,$H33,"CALC"))</f>
        <v>Y</v>
      </c>
      <c r="K33" s="11"/>
      <c r="L33" s="11"/>
      <c r="M33" s="11"/>
      <c r="N33" s="105" t="str">
        <f>IF(_epmOfflineCondition_,"Management Fees",IF(_xll.EVDES(H33,$B$1)="#NODATA","",_xll.EVDES(H33,$B$1)))</f>
        <v>Management Fees</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25">
      <c r="A34" s="11"/>
      <c r="B34" s="11"/>
      <c r="C34" s="11"/>
      <c r="D34" s="11"/>
      <c r="E34" s="11"/>
      <c r="F34" s="11"/>
      <c r="G34" s="11"/>
      <c r="H34" s="88" t="s">
        <v>893</v>
      </c>
      <c r="I34" s="122" t="str">
        <f>IF(_epmOfflineCondition_,"N",_xll.EVPRO($B$1,$H34,"STYLE"))</f>
        <v>N</v>
      </c>
      <c r="J34" s="122" t="str">
        <f>IF(_epmOfflineCondition_,"N",_xll.EVPRO($B$1,$H34,"CALC"))</f>
        <v>N</v>
      </c>
      <c r="K34" s="179" t="str">
        <f>IF(AND(I34&gt;="T3"),"&gt;","")</f>
        <v/>
      </c>
      <c r="L34" s="90" t="str">
        <f>IF(_epmOfflineCondition_,"731010",_xll.EVPRO($B$1,H34,"JDEID"))</f>
        <v>731010</v>
      </c>
      <c r="M34" s="90" t="str">
        <f>IF(_epmOfflineCondition_,"790180",IF(AND(I34="N",J34="N"),_xll.EVPRO($B$1,H34,"PSFTID"),""))</f>
        <v>790180</v>
      </c>
      <c r="N34" s="90" t="str">
        <f>IF(_epmOfflineCondition_,"Base Management Fees",IF(_xll.EVDES(H34,$B$1)="#NODATA","",_xll.EVDES(H34,$B$1)))</f>
        <v>Base Management Fees</v>
      </c>
      <c r="O34" s="138">
        <v>52049.120000000003</v>
      </c>
      <c r="P34" s="138">
        <v>47893.5</v>
      </c>
      <c r="Q34" s="138">
        <v>53508.480000000003</v>
      </c>
      <c r="R34" s="138">
        <v>52877.47</v>
      </c>
      <c r="S34" s="138">
        <v>46796.98</v>
      </c>
      <c r="T34" s="138">
        <v>29500</v>
      </c>
      <c r="U34" s="138">
        <v>34409.599999999999</v>
      </c>
      <c r="V34" s="138">
        <v>27342.99</v>
      </c>
      <c r="W34" s="138">
        <v>21409.22</v>
      </c>
      <c r="X34" s="138">
        <v>26877.56</v>
      </c>
      <c r="Y34" s="138">
        <v>37917.160000000003</v>
      </c>
      <c r="Z34" s="138">
        <v>50147.15</v>
      </c>
      <c r="AA34" s="138">
        <f>IF($I34="B1","",SUM(O34:Z34))</f>
        <v>480729.23</v>
      </c>
      <c r="AB34" s="142">
        <f>IF(AA34=0,"",IFERROR(AA34/AA$19,""))</f>
        <v>3.2629996577533939E-2</v>
      </c>
      <c r="AC34" s="140"/>
      <c r="AD34" s="138">
        <v>470004.49825350201</v>
      </c>
      <c r="AE34" s="142">
        <f>IF(AD34=0,"",IFERROR(AD34/AD$19,""))</f>
        <v>3.2136221829752176E-2</v>
      </c>
      <c r="AF34" s="141">
        <f>IF(AND($AA34="",AD34=""),"",$AA34-AD34)</f>
        <v>10724.731746497971</v>
      </c>
      <c r="AG34" s="138">
        <v>370108.84</v>
      </c>
      <c r="AH34" s="142">
        <f>IF(AG34=0,"",IFERROR(AG34/AG$19,""))</f>
        <v>3.1084540453997576E-2</v>
      </c>
      <c r="AI34" s="141">
        <f>IF(AND($AA34="",AG34=""),"",$AA34-AG34)</f>
        <v>110620.38999999996</v>
      </c>
      <c r="AJ34" s="462">
        <f>IFERROR(AA34/AA$20,0)</f>
        <v>9.9777756330427554</v>
      </c>
      <c r="AK34" s="463">
        <f>IFERROR(AD34/AD$20,0)</f>
        <v>9.7551784610523455</v>
      </c>
      <c r="AL34" s="464">
        <f>IFERROR(AG34/AG$20,0)</f>
        <v>7.6817941054379419</v>
      </c>
      <c r="AM34" s="465" t="str">
        <f>+IFERROR(ROUND(($AB34-AE34)*100,2)&amp;" pts.",0)</f>
        <v>0.05 pts.</v>
      </c>
      <c r="AN34" s="466" t="str">
        <f>+IFERROR(ROUND(($AB34-AH34)*100,2)&amp;" pts.",0)</f>
        <v>0.15 pts.</v>
      </c>
      <c r="AO34" s="11"/>
    </row>
    <row r="35" spans="1:41" hidden="1" x14ac:dyDescent="0.25">
      <c r="A35" s="11"/>
      <c r="B35" s="11"/>
      <c r="C35" s="208"/>
      <c r="D35" s="11"/>
      <c r="E35" s="11"/>
      <c r="F35" s="11"/>
      <c r="G35" s="11"/>
      <c r="H35" s="88"/>
      <c r="I35" s="122" t="str">
        <f>IF(_epmOfflineCondition_,"",_xll.EVPRO($B$1,$H35,"STYLE"))</f>
        <v/>
      </c>
      <c r="J35" s="122" t="str">
        <f>IF(_epmOfflineCondition_,"",_xll.EVPRO($B$1,$H35,"CALC"))</f>
        <v/>
      </c>
      <c r="K35" s="179" t="str">
        <f>IF(AND(I35&gt;="T3"),"&gt;","")</f>
        <v/>
      </c>
      <c r="L35" s="90" t="str">
        <f>IF(_epmOfflineCondition_,"",_xll.EVPRO($B$1,H35,"JDEID"))</f>
        <v/>
      </c>
      <c r="M35" s="90" t="str">
        <f>IF(_epmOfflineCondition_,"",IF(AND(I35="N",J35="N"),_xll.EVPRO($B$1,H35,"PSFTID"),""))</f>
        <v/>
      </c>
      <c r="N35" s="90" t="str">
        <f>IF(_epmOfflineCondition_,"",IF(_xll.EVDES(H35,$B$1)="#NODATA","",_xll.EVDES(H35,$B$1)))</f>
        <v/>
      </c>
      <c r="O35" s="138"/>
      <c r="P35" s="138"/>
      <c r="Q35" s="138"/>
      <c r="R35" s="138"/>
      <c r="S35" s="138"/>
      <c r="T35" s="138"/>
      <c r="U35" s="138"/>
      <c r="V35" s="138"/>
      <c r="W35" s="138"/>
      <c r="X35" s="138"/>
      <c r="Y35" s="138"/>
      <c r="Z35" s="138"/>
      <c r="AA35" s="138">
        <f>IF($I35="B1","",SUM(O35:Z35))</f>
        <v>0</v>
      </c>
      <c r="AB35" s="142" t="str">
        <f>IF(AA35=0,"",IFERROR(AA35/AA$19,""))</f>
        <v/>
      </c>
      <c r="AC35" s="140"/>
      <c r="AD35" s="138"/>
      <c r="AE35" s="142" t="str">
        <f>IF(AD35=0,"",IFERROR(AD35/AD$19,""))</f>
        <v/>
      </c>
      <c r="AF35" s="141">
        <f>IF(AND($AA35="",AD35=""),"",$AA35-AD35)</f>
        <v>0</v>
      </c>
      <c r="AG35" s="138"/>
      <c r="AH35" s="142" t="str">
        <f>IF(AG35=0,"",IFERROR(AG35/AG$19,""))</f>
        <v/>
      </c>
      <c r="AI35" s="141">
        <f>IF(AND($AA35="",AG35=""),"",$AA35-AG35)</f>
        <v>0</v>
      </c>
      <c r="AJ35" s="462">
        <f>IFERROR(AA35/AA$20,0)</f>
        <v>0</v>
      </c>
      <c r="AK35" s="463">
        <f>IFERROR(AD35/AD$20,0)</f>
        <v>0</v>
      </c>
      <c r="AL35" s="464">
        <f>IFERROR(AG35/AG$20,0)</f>
        <v>0</v>
      </c>
      <c r="AM35" s="465">
        <f>+IFERROR(ROUND(($AB35-AE35)*100,2)&amp;" pts.",0)</f>
        <v>0</v>
      </c>
      <c r="AN35" s="466">
        <f>+IFERROR(ROUND(($AB35-AH35)*100,2)&amp;" pts.",0)</f>
        <v>0</v>
      </c>
      <c r="AO35" s="11"/>
    </row>
    <row r="36" spans="1:41" x14ac:dyDescent="0.25">
      <c r="A36" s="62" t="s">
        <v>23</v>
      </c>
      <c r="B36" s="63" t="s">
        <v>24</v>
      </c>
      <c r="C36" s="11"/>
      <c r="D36" s="11"/>
      <c r="E36" s="11"/>
      <c r="F36" s="11"/>
      <c r="G36" s="11"/>
      <c r="H36" s="88" t="s">
        <v>79</v>
      </c>
      <c r="I36" s="136" t="str">
        <f>IF(_epmOfflineCondition_,"T3",_xll.EVPRO($B$1,$H36,"STYLE"))</f>
        <v>T3</v>
      </c>
      <c r="J36" s="136" t="str">
        <f>IF(_epmOfflineCondition_,"Y",_xll.EVPRO($B$1,$H36,"CALC"))</f>
        <v>Y</v>
      </c>
      <c r="K36" s="104"/>
      <c r="L36" s="59"/>
      <c r="M36" s="59"/>
      <c r="N36" s="106" t="str">
        <f>IF(_epmOfflineCondition_,"Total Operations Expense",IF(_xll.EVDES(H36,$B$1)="#NODATA","",_xll.EVDES(H36,$B$1)))</f>
        <v>Total Operations Expense</v>
      </c>
      <c r="O36" s="112">
        <f t="shared" ref="O36:Z36" si="0">SUM(O34:O35)</f>
        <v>52049.120000000003</v>
      </c>
      <c r="P36" s="112">
        <f t="shared" si="0"/>
        <v>47893.5</v>
      </c>
      <c r="Q36" s="112">
        <f t="shared" si="0"/>
        <v>53508.480000000003</v>
      </c>
      <c r="R36" s="112">
        <f t="shared" si="0"/>
        <v>52877.47</v>
      </c>
      <c r="S36" s="112">
        <f t="shared" si="0"/>
        <v>46796.98</v>
      </c>
      <c r="T36" s="112">
        <f t="shared" si="0"/>
        <v>29500</v>
      </c>
      <c r="U36" s="112">
        <f t="shared" si="0"/>
        <v>34409.599999999999</v>
      </c>
      <c r="V36" s="112">
        <f t="shared" si="0"/>
        <v>27342.99</v>
      </c>
      <c r="W36" s="112">
        <f t="shared" si="0"/>
        <v>21409.22</v>
      </c>
      <c r="X36" s="112">
        <f t="shared" si="0"/>
        <v>26877.56</v>
      </c>
      <c r="Y36" s="112">
        <f t="shared" si="0"/>
        <v>37917.160000000003</v>
      </c>
      <c r="Z36" s="112">
        <f t="shared" si="0"/>
        <v>50147.15</v>
      </c>
      <c r="AA36" s="112">
        <f>IF($I36="B1","",SUM(O36:Z36))</f>
        <v>480729.23</v>
      </c>
      <c r="AB36" s="113">
        <f>IF(AA36=0,"",IFERROR(AA36/AA$19,""))</f>
        <v>3.2629996577533939E-2</v>
      </c>
      <c r="AC36" s="11"/>
      <c r="AD36" s="112">
        <f>SUM(AD34:AD35)</f>
        <v>470004.49825350201</v>
      </c>
      <c r="AE36" s="113">
        <f>IF(AD36=0,"",IFERROR(AD36/AD$19,""))</f>
        <v>3.2136221829752176E-2</v>
      </c>
      <c r="AF36" s="114">
        <f>IF(AND($AA36="",AD36=""),"",$AA36-AD36)</f>
        <v>10724.731746497971</v>
      </c>
      <c r="AG36" s="112">
        <f>SUM(AG34:AG35)</f>
        <v>370108.84</v>
      </c>
      <c r="AH36" s="113">
        <f>IF(AG36=0,"",IFERROR(AG36/AG$19,""))</f>
        <v>3.1084540453997576E-2</v>
      </c>
      <c r="AI36" s="114">
        <f>IF(AND($AA36="",AG36=""),"",$AA36-AG36)</f>
        <v>110620.38999999996</v>
      </c>
      <c r="AJ36" s="415">
        <f>IFERROR(AA36/AA$20,0)</f>
        <v>9.9777756330427554</v>
      </c>
      <c r="AK36" s="416">
        <f>IFERROR(AD36/AD$20,0)</f>
        <v>9.7551784610523455</v>
      </c>
      <c r="AL36" s="417">
        <f>IFERROR(AG36/AG$20,0)</f>
        <v>7.6817941054379419</v>
      </c>
      <c r="AM36" s="418" t="str">
        <f>+IFERROR(ROUND(($AB36-AE36)*100,2)&amp;" pts.",0)</f>
        <v>0.05 pts.</v>
      </c>
      <c r="AN36" s="543" t="str">
        <f>+IFERROR(ROUND(($AB36-AH36)*100,2)&amp;" pts.",0)</f>
        <v>0.15 pts.</v>
      </c>
      <c r="AO36" s="11"/>
    </row>
    <row r="37" spans="1:41" x14ac:dyDescent="0.25">
      <c r="A37" s="65" t="s">
        <v>25</v>
      </c>
      <c r="B37" s="66"/>
      <c r="C37" s="11"/>
      <c r="D37" s="11"/>
      <c r="E37" s="11"/>
      <c r="F37" s="11"/>
      <c r="G37" s="11"/>
      <c r="H37" s="11"/>
      <c r="I37" s="59"/>
      <c r="J37" s="59"/>
      <c r="K37" s="11"/>
      <c r="L37" s="59"/>
      <c r="M37" s="59"/>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row>
    <row r="38" spans="1:41" x14ac:dyDescent="0.25">
      <c r="A38" s="65" t="s">
        <v>26</v>
      </c>
      <c r="B38" s="66"/>
      <c r="C38" s="11"/>
      <c r="D38" s="11"/>
      <c r="E38" s="11"/>
      <c r="F38" s="11"/>
      <c r="G38" s="11"/>
      <c r="H38" s="88" t="s">
        <v>79</v>
      </c>
      <c r="I38" s="59"/>
      <c r="J38" s="59"/>
      <c r="K38" s="11"/>
      <c r="L38" s="59"/>
      <c r="M38" s="59"/>
      <c r="N38" s="104" t="str">
        <f>N36&amp;" - Check"</f>
        <v>Total Operations Expense - Check</v>
      </c>
      <c r="O38" s="209">
        <f>IF(_epmOfflineCondition_,0,_xll.EVGTS($B$1,1,$B$3,$B$5,$B$7,$B$9,O$16,O$17,O$18,$B$6,$H38)-O36)</f>
        <v>0</v>
      </c>
      <c r="P38" s="209">
        <f>IF(_epmOfflineCondition_,0,_xll.EVGTS($B$1,1,$B$3,$B$5,$B$7,$B$9,P$16,P$17,P$18,$B$6,$H38)-P36)</f>
        <v>0</v>
      </c>
      <c r="Q38" s="209">
        <f>IF(_epmOfflineCondition_,0,_xll.EVGTS($B$1,1,$B$3,$B$5,$B$7,$B$9,Q$16,Q$17,Q$18,$B$6,$H38)-Q36)</f>
        <v>0</v>
      </c>
      <c r="R38" s="209">
        <f>IF(_epmOfflineCondition_,0,_xll.EVGTS($B$1,1,$B$3,$B$5,$B$7,$B$9,R$16,R$17,R$18,$B$6,$H38)-R36)</f>
        <v>0</v>
      </c>
      <c r="S38" s="209">
        <f>IF(_epmOfflineCondition_,0,_xll.EVGTS($B$1,1,$B$3,$B$5,$B$7,$B$9,S$16,S$17,S$18,$B$6,$H38)-S36)</f>
        <v>0</v>
      </c>
      <c r="T38" s="209">
        <f>IF(_epmOfflineCondition_,0,_xll.EVGTS($B$1,1,$B$3,$B$5,$B$7,$B$9,T$16,T$17,T$18,$B$6,$H38)-T36)</f>
        <v>0</v>
      </c>
      <c r="U38" s="209">
        <f>IF(_epmOfflineCondition_,0,_xll.EVGTS($B$1,1,$B$3,$B$5,$B$7,$B$9,U$16,U$17,U$18,$B$6,$H38)-U36)</f>
        <v>0</v>
      </c>
      <c r="V38" s="209">
        <f>IF(_epmOfflineCondition_,0,_xll.EVGTS($B$1,1,$B$3,$B$5,$B$7,$B$9,V$16,V$17,V$18,$B$6,$H38)-V36)</f>
        <v>0</v>
      </c>
      <c r="W38" s="209">
        <f>IF(_epmOfflineCondition_,0,_xll.EVGTS($B$1,1,$B$3,$B$5,$B$7,$B$9,W$16,W$17,W$18,$B$6,$H38)-W36)</f>
        <v>0</v>
      </c>
      <c r="X38" s="209">
        <f>IF(_epmOfflineCondition_,0,_xll.EVGTS($B$1,1,$B$3,$B$5,$B$7,$B$9,X$16,X$17,X$18,$B$6,$H38)-X36)</f>
        <v>0</v>
      </c>
      <c r="Y38" s="209">
        <f>IF(_epmOfflineCondition_,0,_xll.EVGTS($B$1,1,$B$3,$B$5,$B$7,$B$9,Y$16,Y$17,Y$18,$B$6,$H38)-Y36)</f>
        <v>0</v>
      </c>
      <c r="Z38" s="209">
        <f>IF(_epmOfflineCondition_,0,_xll.EVGTS($B$1,1,$B$3,$B$5,$B$7,$B$9,Z$16,Z$17,Z$18,$B$6,$H38)-Z36)</f>
        <v>0</v>
      </c>
      <c r="AA38" s="209">
        <f>IF($I38="B1","",SUM(O38:Z38))</f>
        <v>0</v>
      </c>
      <c r="AB38" s="100"/>
      <c r="AC38" s="11"/>
      <c r="AD38" s="209">
        <f>IF(_epmOfflineCondition_,0,_xll.EVGTS($B$1,1,$B$3,$B$5,$B$7,$B$9,AD$16,AD$17,AD$18,$B$6,$H38)-AD36)</f>
        <v>0</v>
      </c>
      <c r="AE38" s="100"/>
      <c r="AF38" s="91"/>
      <c r="AG38" s="209">
        <f>IF(_epmOfflineCondition_,0,_xll.EVGTS($B$1,1,$B$3,$B$5,$B$7,$B$9,AG$16,AG$17,AG$18,$B$6,$H38)-AG36)</f>
        <v>0</v>
      </c>
      <c r="AH38" s="100"/>
      <c r="AI38" s="91"/>
      <c r="AJ38" s="11"/>
      <c r="AK38" s="11"/>
      <c r="AL38" s="11"/>
      <c r="AM38" s="11"/>
      <c r="AN38" s="11"/>
      <c r="AO38" s="11"/>
    </row>
    <row r="39" spans="1:41" x14ac:dyDescent="0.25">
      <c r="A39" s="65" t="s">
        <v>27</v>
      </c>
      <c r="B39" s="66"/>
      <c r="C39" s="11"/>
      <c r="D39" s="11"/>
      <c r="E39" s="11"/>
      <c r="F39" s="11"/>
      <c r="G39" s="11"/>
      <c r="H39" s="11"/>
      <c r="I39" s="59"/>
      <c r="J39" s="59"/>
      <c r="K39" s="11"/>
      <c r="L39" s="59"/>
      <c r="M39" s="59"/>
      <c r="N39" s="59"/>
      <c r="O39" s="59"/>
      <c r="P39" s="59"/>
      <c r="Q39" s="59"/>
      <c r="R39" s="59"/>
      <c r="S39" s="59"/>
      <c r="T39" s="59"/>
      <c r="U39" s="59"/>
      <c r="V39" s="59"/>
      <c r="W39" s="59"/>
      <c r="X39" s="59"/>
      <c r="Y39" s="59"/>
      <c r="Z39" s="59"/>
      <c r="AA39" s="59"/>
      <c r="AB39" s="59"/>
      <c r="AC39" s="11"/>
      <c r="AD39" s="59"/>
      <c r="AE39" s="59"/>
      <c r="AF39" s="59"/>
      <c r="AG39" s="59"/>
      <c r="AH39" s="59"/>
      <c r="AI39" s="59"/>
      <c r="AJ39" s="11"/>
      <c r="AK39" s="11"/>
      <c r="AL39" s="11"/>
      <c r="AM39" s="11"/>
      <c r="AN39" s="11"/>
      <c r="AO39" s="11"/>
    </row>
    <row r="40" spans="1:41" x14ac:dyDescent="0.25">
      <c r="A40" s="65" t="s">
        <v>28</v>
      </c>
      <c r="B40" s="66"/>
      <c r="C40" s="11"/>
      <c r="D40" s="11"/>
      <c r="E40" s="11"/>
      <c r="F40" s="11"/>
      <c r="G40" s="11"/>
      <c r="H40" s="11"/>
      <c r="I40" s="59"/>
      <c r="J40" s="59"/>
      <c r="K40" s="11"/>
      <c r="L40" s="59"/>
      <c r="M40" s="59"/>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row>
    <row r="41" spans="1:41" x14ac:dyDescent="0.25">
      <c r="A41" s="65" t="s">
        <v>29</v>
      </c>
      <c r="B41" s="66"/>
      <c r="C41" s="11"/>
      <c r="D41" s="11"/>
      <c r="E41" s="11"/>
      <c r="F41" s="11"/>
      <c r="G41" s="11"/>
      <c r="H41" s="11"/>
      <c r="I41" s="59"/>
      <c r="J41" s="59"/>
      <c r="K41" s="11"/>
      <c r="L41" s="59"/>
      <c r="M41" s="59"/>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row>
    <row r="42" spans="1:41" x14ac:dyDescent="0.25">
      <c r="A42" s="65" t="s">
        <v>30</v>
      </c>
      <c r="B42" s="66" t="s">
        <v>78</v>
      </c>
      <c r="C42" s="11"/>
      <c r="D42" s="11"/>
      <c r="E42" s="11"/>
      <c r="F42" s="11"/>
      <c r="G42" s="11"/>
      <c r="H42" s="11"/>
      <c r="I42" s="59"/>
      <c r="J42" s="59"/>
      <c r="K42" s="11"/>
      <c r="L42" s="59"/>
      <c r="M42" s="59"/>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row>
    <row r="43" spans="1:41" x14ac:dyDescent="0.25">
      <c r="A43" s="65" t="s">
        <v>31</v>
      </c>
      <c r="B43" s="66" t="s">
        <v>78</v>
      </c>
      <c r="C43" s="11"/>
      <c r="D43" s="11"/>
      <c r="E43" s="11"/>
      <c r="F43" s="11"/>
      <c r="G43" s="11"/>
      <c r="H43" s="11"/>
      <c r="I43" s="59"/>
      <c r="J43" s="59"/>
      <c r="K43" s="11"/>
      <c r="L43" s="59"/>
      <c r="M43" s="59"/>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row>
    <row r="44" spans="1:41" x14ac:dyDescent="0.25">
      <c r="A44" s="65" t="s">
        <v>32</v>
      </c>
      <c r="B44" s="66"/>
      <c r="C44" s="11"/>
      <c r="D44" s="11"/>
      <c r="E44" s="11"/>
      <c r="F44" s="11"/>
      <c r="G44" s="11"/>
      <c r="H44" s="11"/>
      <c r="I44" s="59"/>
      <c r="J44" s="59"/>
      <c r="K44" s="11"/>
      <c r="L44" s="59"/>
      <c r="M44" s="59"/>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row>
    <row r="45" spans="1:41" x14ac:dyDescent="0.25">
      <c r="A45" s="65" t="s">
        <v>33</v>
      </c>
      <c r="B45" s="66"/>
      <c r="C45" s="11"/>
      <c r="D45" s="11"/>
      <c r="E45" s="11"/>
      <c r="F45" s="11"/>
      <c r="G45" s="11"/>
      <c r="H45" s="11"/>
      <c r="I45" s="59"/>
      <c r="J45" s="59"/>
      <c r="K45" s="11"/>
      <c r="L45" s="59"/>
      <c r="M45" s="59"/>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row>
    <row r="46" spans="1:41" x14ac:dyDescent="0.25">
      <c r="A46" s="65" t="s">
        <v>34</v>
      </c>
      <c r="B46" s="66"/>
      <c r="C46" s="11"/>
      <c r="D46" s="11"/>
      <c r="E46" s="11"/>
      <c r="F46" s="11"/>
      <c r="G46" s="11"/>
      <c r="H46" s="59"/>
      <c r="I46" s="59"/>
      <c r="J46" s="11"/>
      <c r="K46" s="11"/>
      <c r="L46" s="59"/>
      <c r="M46" s="59"/>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row>
    <row r="47" spans="1:41" x14ac:dyDescent="0.25">
      <c r="A47" s="65" t="s">
        <v>35</v>
      </c>
      <c r="B47" s="66"/>
      <c r="C47" s="11"/>
      <c r="D47" s="11"/>
      <c r="E47" s="11"/>
      <c r="F47" s="11"/>
      <c r="G47" s="11"/>
      <c r="H47" s="59"/>
      <c r="I47" s="59"/>
      <c r="J47" s="11"/>
      <c r="K47" s="11"/>
      <c r="L47" s="59"/>
      <c r="M47" s="59"/>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row>
    <row r="48" spans="1:41" x14ac:dyDescent="0.25">
      <c r="A48" s="65" t="s">
        <v>36</v>
      </c>
      <c r="B48" s="66"/>
      <c r="C48" s="11"/>
      <c r="D48" s="11"/>
      <c r="E48" s="11"/>
      <c r="F48" s="11"/>
      <c r="G48" s="11"/>
      <c r="H48" s="59"/>
      <c r="I48" s="59"/>
      <c r="J48" s="11"/>
      <c r="K48" s="11"/>
      <c r="L48" s="59"/>
      <c r="M48" s="59"/>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row>
    <row r="49" spans="1:41" x14ac:dyDescent="0.25">
      <c r="A49" s="65" t="s">
        <v>37</v>
      </c>
      <c r="B49" s="66"/>
      <c r="C49" s="11"/>
      <c r="D49" s="11"/>
      <c r="E49" s="11"/>
      <c r="F49" s="11"/>
      <c r="G49" s="11"/>
      <c r="H49" s="59"/>
      <c r="I49" s="59"/>
      <c r="J49" s="11"/>
      <c r="K49" s="11"/>
      <c r="L49" s="59"/>
      <c r="M49" s="59"/>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25">
      <c r="A50" s="65" t="s">
        <v>38</v>
      </c>
      <c r="B50" s="66"/>
      <c r="C50" s="11"/>
      <c r="D50" s="11"/>
      <c r="E50" s="11"/>
      <c r="F50" s="11"/>
      <c r="G50" s="11"/>
      <c r="H50" s="59"/>
      <c r="I50" s="59"/>
      <c r="J50" s="11"/>
      <c r="K50" s="11"/>
      <c r="L50" s="59"/>
      <c r="M50" s="59"/>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row>
    <row r="51" spans="1:41" x14ac:dyDescent="0.25">
      <c r="A51" s="65" t="s">
        <v>39</v>
      </c>
      <c r="B51" s="66"/>
      <c r="C51" s="11"/>
      <c r="D51" s="11"/>
      <c r="E51" s="11"/>
      <c r="F51" s="11"/>
      <c r="G51" s="11"/>
      <c r="H51" s="59"/>
      <c r="I51" s="59"/>
      <c r="J51" s="11"/>
      <c r="K51" s="11"/>
      <c r="L51" s="59"/>
      <c r="M51" s="59"/>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row>
    <row r="52" spans="1:41" x14ac:dyDescent="0.25">
      <c r="A52" s="65" t="s">
        <v>40</v>
      </c>
      <c r="B52" s="66"/>
      <c r="C52" s="11"/>
      <c r="D52" s="11"/>
      <c r="E52" s="11"/>
      <c r="F52" s="11"/>
      <c r="G52" s="11"/>
      <c r="H52" s="59"/>
      <c r="I52" s="59"/>
      <c r="J52" s="11"/>
      <c r="K52" s="11"/>
      <c r="L52" s="59"/>
      <c r="M52" s="59"/>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row>
    <row r="53" spans="1:41" x14ac:dyDescent="0.25">
      <c r="A53" s="65" t="s">
        <v>41</v>
      </c>
      <c r="B53" s="66"/>
      <c r="C53" s="11"/>
      <c r="D53" s="11"/>
      <c r="E53" s="11"/>
      <c r="F53" s="11"/>
      <c r="G53" s="11"/>
      <c r="H53" s="59"/>
      <c r="I53" s="59"/>
      <c r="J53" s="11"/>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25">
      <c r="A54" s="65" t="s">
        <v>42</v>
      </c>
      <c r="B54" s="66"/>
      <c r="C54" s="11"/>
      <c r="D54" s="11"/>
      <c r="E54" s="11"/>
      <c r="F54" s="11"/>
      <c r="G54" s="11"/>
      <c r="H54" s="59"/>
      <c r="I54" s="59"/>
      <c r="J54" s="11"/>
      <c r="K54" s="11"/>
      <c r="L54" s="59"/>
      <c r="M54" s="59"/>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x14ac:dyDescent="0.25">
      <c r="A55" s="65" t="s">
        <v>43</v>
      </c>
      <c r="B55" s="66"/>
      <c r="C55" s="11"/>
      <c r="D55" s="11"/>
      <c r="E55" s="11"/>
      <c r="F55" s="11"/>
      <c r="G55" s="11"/>
      <c r="H55" s="59"/>
      <c r="I55" s="59"/>
      <c r="J55" s="11"/>
      <c r="K55" s="11"/>
      <c r="L55" s="59"/>
      <c r="M55" s="59"/>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row>
    <row r="56" spans="1:41" x14ac:dyDescent="0.25">
      <c r="A56" s="65" t="s">
        <v>44</v>
      </c>
      <c r="B56" s="66"/>
      <c r="C56" s="11"/>
      <c r="D56" s="11"/>
      <c r="E56" s="11"/>
      <c r="F56" s="11"/>
      <c r="G56" s="11"/>
      <c r="H56" s="59"/>
      <c r="I56" s="59"/>
      <c r="J56" s="11"/>
      <c r="K56" s="11"/>
      <c r="L56" s="59"/>
      <c r="M56" s="59"/>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row>
    <row r="57" spans="1:41" x14ac:dyDescent="0.25">
      <c r="A57" s="65" t="s">
        <v>45</v>
      </c>
      <c r="B57" s="66"/>
      <c r="C57" s="11"/>
      <c r="D57" s="11"/>
      <c r="E57" s="11"/>
      <c r="F57" s="11"/>
      <c r="G57" s="11"/>
      <c r="H57" s="59"/>
      <c r="I57" s="59"/>
      <c r="J57" s="11"/>
      <c r="K57" s="11"/>
      <c r="L57" s="59"/>
      <c r="M57" s="59"/>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row>
    <row r="58" spans="1:41" x14ac:dyDescent="0.25">
      <c r="A58" s="65" t="s">
        <v>46</v>
      </c>
      <c r="B58" s="66"/>
      <c r="C58" s="11"/>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x14ac:dyDescent="0.25">
      <c r="A59" s="11"/>
      <c r="B59" s="11"/>
      <c r="C59" s="11"/>
      <c r="D59" s="11"/>
      <c r="E59" s="11"/>
      <c r="F59" s="11"/>
      <c r="G59" s="11"/>
      <c r="H59" s="59"/>
      <c r="I59" s="59"/>
      <c r="J59" s="11"/>
      <c r="K59" s="11"/>
      <c r="L59" s="59"/>
      <c r="M59" s="59"/>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row>
    <row r="60" spans="1:41" x14ac:dyDescent="0.25">
      <c r="A60" s="11"/>
      <c r="B60" s="11"/>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25">
      <c r="A61" s="11"/>
      <c r="B61" s="11"/>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25">
      <c r="A62" s="11"/>
      <c r="B62" s="11"/>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25">
      <c r="A63" s="11"/>
      <c r="B63" s="11"/>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25">
      <c r="A64" s="11"/>
      <c r="B64" s="11"/>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2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2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25">
      <c r="A67" s="11"/>
      <c r="B67" s="11"/>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25">
      <c r="A68" s="11"/>
      <c r="B68" s="11"/>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sheetData>
  <sheetProtection algorithmName="SHA-512" hashValue="MVgyh4gYJgDWdfBSzxXi5AaGGcklBVm4JIHLzSSyIdkBzTifKyS4Lge5CH5XCbVtou2ZgN/rH8tIjBtqg+qT3w==" saltValue="N/Njd5mZIODbNkd3iCz0JQ==" spinCount="100000" sheet="1" scenarios="1"/>
  <mergeCells count="2">
    <mergeCell ref="AD31:AE31"/>
    <mergeCell ref="AG31:AH31"/>
  </mergeCells>
  <dataValidations disablePrompts="1" count="2">
    <dataValidation type="list" allowBlank="1" sqref="B29" xr:uid="{00000000-0002-0000-2C00-000000000000}">
      <formula1>"SELF,ALL,BAS,DEP,BASMEMBERS,MEMBERS,NOEXPAND,GDEP"</formula1>
    </dataValidation>
    <dataValidation type="list" allowBlank="1" sqref="B28" xr:uid="{00000000-0002-0000-2C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1443"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61443" r:id="rId7" name="FPMExcelClientSheetOptionstb1"/>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9">
    <pageSetUpPr fitToPage="1"/>
  </sheetPr>
  <dimension ref="A1:AO100"/>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40.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519</v>
      </c>
      <c r="C6" s="11" t="str">
        <f>IF(_epmOfflineCondition_,"Non-Operating Income &amp; Expenses",_xll.EVDES(B6,$B$1))</f>
        <v>Non-Operating Income &amp; Expenses</v>
      </c>
      <c r="D6" s="11"/>
      <c r="E6" s="58" t="str">
        <f>IF(_epmOfflineCondition_,"",_xll.EVPRO($B$1,$B$6,$F$6))</f>
        <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IF(_epmOfflineCondition_,"'Non_Op'!$B$2:$B$10",_xll.EVRNG($B$2:$B$10))</f>
        <v>'Non_Op'!$B$2:$B$10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IF(_epmOfflineCondition_,"'Non_Op'!$O$16:$AN$18",_xll.EVRNG($O$16:$AN$18))</f>
        <v>'Non_Op'!$O$16:$AN$18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IF(_epmOfflineCondition_,"'Non_Op'!$H$34:$H$65",_xll.EVRNG(H34:H65))</f>
        <v>'Non_Op'!$H$34:$H$65</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583</v>
      </c>
      <c r="H20" s="67" t="s">
        <v>584</v>
      </c>
      <c r="I20" s="68" t="str">
        <f>IF(_epmOfflineCondition_,"T1",_xll.EVPRO($B$1,$H20,"STYLE"))</f>
        <v>T1</v>
      </c>
      <c r="J20" s="68" t="str">
        <f>IF(_epmOfflineCondition_,"Y",_xll.EVPRO($B$1,$H20,"CALC"))</f>
        <v>Y</v>
      </c>
      <c r="K20" s="67"/>
      <c r="L20" s="68"/>
      <c r="M20" s="68"/>
      <c r="N20" s="67" t="str">
        <f>IF(_epmOfflineCondition_,"Net Income-Development &amp; Renovation Projects",IF(_xll.EVDES(H20,$B$1)="#NODATA","",_xll.EVDES(H20,$B$1))&amp;"-"&amp;_xll.EVDES(G20))</f>
        <v>Net Income-Development &amp; Renovation Projects</v>
      </c>
      <c r="O20" s="69">
        <f>IF(_epmOfflineCondition_,0,_xll.EVGTS($B$1,1,$B$3,$B$5,$B$7,$B$9,O$16,O$17,O$18,$G$20,$H$20))</f>
        <v>0</v>
      </c>
      <c r="P20" s="69">
        <f>IF(_epmOfflineCondition_,0,_xll.EVGTS($B$1,1,$B$3,$B$5,$B$7,$B$9,P$16,P$17,P$18,$G$20,$H$20))</f>
        <v>0</v>
      </c>
      <c r="Q20" s="69">
        <f>IF(_epmOfflineCondition_,0,_xll.EVGTS($B$1,1,$B$3,$B$5,$B$7,$B$9,Q$16,Q$17,Q$18,$G$20,$H$20))</f>
        <v>0</v>
      </c>
      <c r="R20" s="69">
        <f>IF(_epmOfflineCondition_,0,_xll.EVGTS($B$1,1,$B$3,$B$5,$B$7,$B$9,R$16,R$17,R$18,$G$20,$H$20))</f>
        <v>0</v>
      </c>
      <c r="S20" s="69">
        <f>IF(_epmOfflineCondition_,0,_xll.EVGTS($B$1,1,$B$3,$B$5,$B$7,$B$9,S$16,S$17,S$18,$G$20,$H$20))</f>
        <v>0</v>
      </c>
      <c r="T20" s="69">
        <f>IF(_epmOfflineCondition_,0,_xll.EVGTS($B$1,1,$B$3,$B$5,$B$7,$B$9,T$16,T$17,T$18,$G$20,$H$20))</f>
        <v>0</v>
      </c>
      <c r="U20" s="69">
        <f>IF(_epmOfflineCondition_,0,_xll.EVGTS($B$1,1,$B$3,$B$5,$B$7,$B$9,U$16,U$17,U$18,$G$20,$H$20))</f>
        <v>0</v>
      </c>
      <c r="V20" s="69">
        <f>IF(_epmOfflineCondition_,0,_xll.EVGTS($B$1,1,$B$3,$B$5,$B$7,$B$9,V$16,V$17,V$18,$G$20,$H$20))</f>
        <v>0</v>
      </c>
      <c r="W20" s="69">
        <f>IF(_epmOfflineCondition_,0,_xll.EVGTS($B$1,1,$B$3,$B$5,$B$7,$B$9,W$16,W$17,W$18,$G$20,$H$20))</f>
        <v>0</v>
      </c>
      <c r="X20" s="69">
        <f>IF(_epmOfflineCondition_,0,_xll.EVGTS($B$1,1,$B$3,$B$5,$B$7,$B$9,X$16,X$17,X$18,$G$20,$H$20))</f>
        <v>0</v>
      </c>
      <c r="Y20" s="69">
        <f>IF(_epmOfflineCondition_,0,_xll.EVGTS($B$1,1,$B$3,$B$5,$B$7,$B$9,Y$16,Y$17,Y$18,$G$20,$H$20))</f>
        <v>0</v>
      </c>
      <c r="Z20" s="69">
        <f>IF(_epmOfflineCondition_,0,_xll.EVGTS($B$1,1,$B$3,$B$5,$B$7,$B$9,Z$16,Z$17,Z$18,$G$20,$H$20))</f>
        <v>0</v>
      </c>
      <c r="AA20" s="69">
        <f>SUM(O20:Z20)</f>
        <v>0</v>
      </c>
      <c r="AB20" s="67"/>
      <c r="AC20" s="67"/>
      <c r="AD20" s="69">
        <f>IF(_epmOfflineCondition_,0,_xll.EVGTS($B$1,1,$B$3,$B$5,$B$7,$B$9,AD$16,AD$17,AD$18,$G$20,$H$20))</f>
        <v>0</v>
      </c>
      <c r="AE20" s="67"/>
      <c r="AF20" s="67"/>
      <c r="AG20" s="69">
        <f>IF(_epmOfflineCondition_,0,_xll.EVGTS($B$1,1,$B$3,$B$5,$B$7,$B$9,AG$16,AG$17,AG$18,$G$20,$H$20))</f>
        <v>0</v>
      </c>
      <c r="AH20" s="67"/>
      <c r="AI20" s="67"/>
      <c r="AJ20" s="11"/>
      <c r="AK20" s="11"/>
      <c r="AL20" s="11"/>
      <c r="AM20" s="11"/>
      <c r="AN20" s="11"/>
      <c r="AO20" s="11"/>
    </row>
    <row r="21" spans="1:41" hidden="1" outlineLevel="1" x14ac:dyDescent="0.25">
      <c r="A21" s="65" t="s">
        <v>6</v>
      </c>
      <c r="B21" s="66"/>
      <c r="C21" s="11"/>
      <c r="D21" s="11"/>
      <c r="E21" s="11"/>
      <c r="F21" s="11"/>
      <c r="G21" s="67" t="s">
        <v>749</v>
      </c>
      <c r="H21" s="67">
        <v>904100</v>
      </c>
      <c r="I21" s="68"/>
      <c r="J21" s="68"/>
      <c r="K21" s="67"/>
      <c r="L21" s="68"/>
      <c r="M21" s="68"/>
      <c r="N21" s="67" t="str">
        <f>IF(_epmOfflineCondition_,"Available rooms",_xll.EVDES(H21))</f>
        <v>Available rooms</v>
      </c>
      <c r="O21" s="69">
        <f>IF(_epmOfflineCondition_,4092,_xll.EVGTS($B$1,1,$B$3,$B$5,$B$7,$B$9,O$16,O$17,O$18,$G$21,$H$21))</f>
        <v>4092</v>
      </c>
      <c r="P21" s="69">
        <f>IF(_epmOfflineCondition_,3696,_xll.EVGTS($B$1,1,$B$3,$B$5,$B$7,$B$9,P$16,P$17,P$18,$G$21,$H$21))</f>
        <v>3696</v>
      </c>
      <c r="Q21" s="69">
        <f>IF(_epmOfflineCondition_,4092,_xll.EVGTS($B$1,1,$B$3,$B$5,$B$7,$B$9,Q$16,Q$17,Q$18,$G$21,$H$21))</f>
        <v>4092</v>
      </c>
      <c r="R21" s="69">
        <f>IF(_epmOfflineCondition_,3960,_xll.EVGTS($B$1,1,$B$3,$B$5,$B$7,$B$9,R$16,R$17,R$18,$G$21,$H$21))</f>
        <v>3960</v>
      </c>
      <c r="S21" s="69">
        <f>IF(_epmOfflineCondition_,4092,_xll.EVGTS($B$1,1,$B$3,$B$5,$B$7,$B$9,S$16,S$17,S$18,$G$21,$H$21))</f>
        <v>4092</v>
      </c>
      <c r="T21" s="69">
        <f>IF(_epmOfflineCondition_,3960,_xll.EVGTS($B$1,1,$B$3,$B$5,$B$7,$B$9,T$16,T$17,T$18,$G$21,$H$21))</f>
        <v>3960</v>
      </c>
      <c r="U21" s="69">
        <f>IF(_epmOfflineCondition_,4092,_xll.EVGTS($B$1,1,$B$3,$B$5,$B$7,$B$9,U$16,U$17,U$18,$G$21,$H$21))</f>
        <v>4092</v>
      </c>
      <c r="V21" s="69">
        <f>IF(_epmOfflineCondition_,4092,_xll.EVGTS($B$1,1,$B$3,$B$5,$B$7,$B$9,V$16,V$17,V$18,$G$21,$H$21))</f>
        <v>4092</v>
      </c>
      <c r="W21" s="69">
        <f>IF(_epmOfflineCondition_,3960,_xll.EVGTS($B$1,1,$B$3,$B$5,$B$7,$B$9,W$16,W$17,W$18,$G$21,$H$21))</f>
        <v>3960</v>
      </c>
      <c r="X21" s="69">
        <f>IF(_epmOfflineCondition_,4092,_xll.EVGTS($B$1,1,$B$3,$B$5,$B$7,$B$9,X$16,X$17,X$18,$G$21,$H$21))</f>
        <v>4092</v>
      </c>
      <c r="Y21" s="69">
        <f>IF(_epmOfflineCondition_,3960,_xll.EVGTS($B$1,1,$B$3,$B$5,$B$7,$B$9,Y$16,Y$17,Y$18,$G$21,$H$21))</f>
        <v>3960</v>
      </c>
      <c r="Z21" s="69">
        <f>IF(_epmOfflineCondition_,4092,_xll.EVGTS($B$1,1,$B$3,$B$5,$B$7,$B$9,Z$16,Z$17,Z$18,$G$21,$H$21))</f>
        <v>4092</v>
      </c>
      <c r="AA21" s="69">
        <f>SUM(O21:Z21)</f>
        <v>48180</v>
      </c>
      <c r="AB21" s="67"/>
      <c r="AC21" s="67"/>
      <c r="AD21" s="69">
        <f>IF(_epmOfflineCondition_,48180,_xll.EVGTS($B$1,1,$B$3,$B$5,$B$7,$B$9,AD$16,AD$17,AD$18,$G$21,$H$21))</f>
        <v>48180</v>
      </c>
      <c r="AE21" s="67"/>
      <c r="AF21" s="67"/>
      <c r="AG21" s="69">
        <f>IF(_epmOfflineCondition_,48180,_xll.EVGTS($B$1,1,$B$3,$B$5,$B$7,$B$9,AG$16,AG$17,AG$18,$G$21,$H$21))</f>
        <v>48180</v>
      </c>
      <c r="AH21" s="67"/>
      <c r="AI21" s="67"/>
      <c r="AJ21" s="11"/>
      <c r="AK21" s="11"/>
      <c r="AL21" s="11"/>
      <c r="AM21" s="11"/>
      <c r="AN21" s="11"/>
      <c r="AO21" s="11"/>
    </row>
    <row r="22" spans="1:41" hidden="1" outlineLevel="1" x14ac:dyDescent="0.25">
      <c r="A22" s="65" t="s">
        <v>7</v>
      </c>
      <c r="B22" s="66" t="str">
        <f>IF(_epmOfflineCondition_,"'Non_Op'!$A$36:$F$41",_xll.EVRNG(A36:F41))</f>
        <v>'Non_Op'!$A$36:$F$41</v>
      </c>
      <c r="C22" s="11"/>
      <c r="D22" s="11"/>
      <c r="E22" s="11"/>
      <c r="F22" s="11"/>
      <c r="G22" s="53" t="s">
        <v>589</v>
      </c>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IF(_epmOfflineCondition_,"'Non_Op'!$A$45:$B$66",_xll.EVRNG($A$45:$B$66))</f>
        <v>'Non_Op'!$A$45:$B$66</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IF(_epmOfflineCondition_,"Non-Operating Income &amp; Expenses Department",IF(_xll.EVDES(B6,$B$1)="#NODATA","",_xll.EVDES(B6,$B$1)&amp;" Department"))</f>
        <v>Non-Operating Income &amp; Expenses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549</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05"/>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544</v>
      </c>
      <c r="I33" s="59" t="str">
        <f>IF(_epmOfflineCondition_,"B1",_xll.EVPRO($B$1,$H33,"STYLE"))</f>
        <v>B1</v>
      </c>
      <c r="J33" s="59" t="str">
        <f>IF(_epmOfflineCondition_,"Y",_xll.EVPRO($B$1,$H33,"CALC"))</f>
        <v>Y</v>
      </c>
      <c r="K33" s="11"/>
      <c r="L33" s="11"/>
      <c r="M33" s="11"/>
      <c r="N33" s="105" t="str">
        <f>IF(_epmOfflineCondition_,"Income",IF(_xll.EVDES(H33,$B$1)="#NODATA","",_xll.EVDES(H33,$B$1)))</f>
        <v>Income</v>
      </c>
      <c r="O33" s="119"/>
      <c r="P33" s="120"/>
      <c r="Q33" s="120"/>
      <c r="R33" s="120"/>
      <c r="S33" s="120"/>
      <c r="T33" s="120"/>
      <c r="U33" s="120"/>
      <c r="V33" s="120"/>
      <c r="W33" s="120"/>
      <c r="X33" s="120"/>
      <c r="Y33" s="120"/>
      <c r="Z33" s="120"/>
      <c r="AA33" s="120"/>
      <c r="AB33" s="121"/>
      <c r="AC33" s="11"/>
      <c r="AD33" s="119"/>
      <c r="AE33" s="120"/>
      <c r="AF33" s="121"/>
      <c r="AG33" s="119"/>
      <c r="AH33" s="120"/>
      <c r="AI33" s="121"/>
      <c r="AJ33" s="11"/>
      <c r="AK33" s="11"/>
      <c r="AL33" s="11"/>
      <c r="AM33" s="11"/>
      <c r="AN33" s="11"/>
      <c r="AO33" s="11"/>
    </row>
    <row r="34" spans="1:41" x14ac:dyDescent="0.25">
      <c r="A34" s="11"/>
      <c r="B34" s="11"/>
      <c r="C34" s="11"/>
      <c r="D34" s="11"/>
      <c r="E34" s="11"/>
      <c r="F34" s="11"/>
      <c r="G34" s="11"/>
      <c r="H34" s="88" t="s">
        <v>522</v>
      </c>
      <c r="I34" s="122" t="str">
        <f>IF(_epmOfflineCondition_,"N",_xll.EVPRO($B$1,$H34,"STYLE"))</f>
        <v>N</v>
      </c>
      <c r="J34" s="122" t="str">
        <f>IF(_epmOfflineCondition_,"N",_xll.EVPRO($B$1,$H34,"CALC"))</f>
        <v>N</v>
      </c>
      <c r="K34" s="179" t="str">
        <f t="shared" ref="K34:K65" si="0">IF(AND(I34&gt;="T4"),"&gt;","")</f>
        <v/>
      </c>
      <c r="L34" s="90" t="str">
        <f>IF(_epmOfflineCondition_,"804100",_xll.EVPRO($B$1,H34,"JDEID"))</f>
        <v>804100</v>
      </c>
      <c r="M34" s="90" t="str">
        <f>IF(_epmOfflineCondition_,"790300",IF(AND(I34="N",J34="N"),_xll.EVPRO($B$1,H34,"PSFTID"),""))</f>
        <v>790300</v>
      </c>
      <c r="N34" s="90" t="str">
        <f>IF(_epmOfflineCondition_,"Cost Recovery Income (CAM)",IF(_xll.EVDES(H34,$B$1)="#NODATA","",_xll.EVDES(H34,$B$1)))</f>
        <v>Cost Recovery Income (CAM)</v>
      </c>
      <c r="O34" s="138"/>
      <c r="P34" s="138"/>
      <c r="Q34" s="138"/>
      <c r="R34" s="138"/>
      <c r="S34" s="138"/>
      <c r="T34" s="138"/>
      <c r="U34" s="138"/>
      <c r="V34" s="138"/>
      <c r="W34" s="138"/>
      <c r="X34" s="138"/>
      <c r="Y34" s="138"/>
      <c r="Z34" s="138"/>
      <c r="AA34" s="138">
        <f t="shared" ref="AA34:AA68" si="1">IF($I34="B1","",SUM(O34:Z34))</f>
        <v>0</v>
      </c>
      <c r="AB34" s="142" t="str">
        <f t="shared" ref="AB34:AB68" si="2">IF(AA34=0,"",IFERROR(AA34/AA$19,""))</f>
        <v/>
      </c>
      <c r="AC34" s="140"/>
      <c r="AD34" s="138"/>
      <c r="AE34" s="142" t="str">
        <f t="shared" ref="AE34:AE68" si="3">IF(AD34=0,"",IFERROR(AD34/AD$19,""))</f>
        <v/>
      </c>
      <c r="AF34" s="141">
        <f t="shared" ref="AF34:AF68" si="4">IF(AND($AA34="",AD34=""),"",$AA34-AD34)</f>
        <v>0</v>
      </c>
      <c r="AG34" s="138"/>
      <c r="AH34" s="142" t="str">
        <f t="shared" ref="AH34:AH68" si="5">IF(AG34=0,"",IFERROR(AG34/AG$19,""))</f>
        <v/>
      </c>
      <c r="AI34" s="141">
        <f t="shared" ref="AI34:AI68" si="6">IF(AND($AA34="",AG34=""),"",$AA34-AG34)</f>
        <v>0</v>
      </c>
      <c r="AJ34" s="462">
        <f t="shared" ref="AJ34:AJ68" si="7">IFERROR(AA34/AA$21,0)</f>
        <v>0</v>
      </c>
      <c r="AK34" s="463">
        <f t="shared" ref="AK34:AK68" si="8">IFERROR(AD34/AD$21,0)</f>
        <v>0</v>
      </c>
      <c r="AL34" s="464">
        <f t="shared" ref="AL34:AL68" si="9">IFERROR(AG34/AG$21,0)</f>
        <v>0</v>
      </c>
      <c r="AM34" s="465">
        <f t="shared" ref="AM34:AM68" si="10">+IFERROR(ROUND(($AB34-AE34)*100,2)&amp;" pts.",0)</f>
        <v>0</v>
      </c>
      <c r="AN34" s="466">
        <f t="shared" ref="AN34:AN68" si="11">+IFERROR(ROUND(($AB34-AH34)*100,2)&amp;" pts.",0)</f>
        <v>0</v>
      </c>
      <c r="AO34" s="11"/>
    </row>
    <row r="35" spans="1:41" x14ac:dyDescent="0.25">
      <c r="A35" s="97" t="s">
        <v>92</v>
      </c>
      <c r="B35" s="98" t="s">
        <v>93</v>
      </c>
      <c r="C35" s="98" t="s">
        <v>94</v>
      </c>
      <c r="D35" s="98" t="s">
        <v>95</v>
      </c>
      <c r="E35" s="98" t="s">
        <v>96</v>
      </c>
      <c r="F35" s="99" t="s">
        <v>97</v>
      </c>
      <c r="G35" s="11"/>
      <c r="H35" s="88" t="s">
        <v>523</v>
      </c>
      <c r="I35" s="122" t="str">
        <f>IF(_epmOfflineCondition_,"N",_xll.EVPRO($B$1,$H35,"STYLE"))</f>
        <v>N</v>
      </c>
      <c r="J35" s="122" t="str">
        <f>IF(_epmOfflineCondition_,"N",_xll.EVPRO($B$1,$H35,"CALC"))</f>
        <v>N</v>
      </c>
      <c r="K35" s="179" t="str">
        <f t="shared" si="0"/>
        <v/>
      </c>
      <c r="L35" s="90" t="str">
        <f>IF(_epmOfflineCondition_,"804110",_xll.EVPRO($B$1,H35,"JDEID"))</f>
        <v>804110</v>
      </c>
      <c r="M35" s="90" t="str">
        <f>IF(_epmOfflineCondition_,"890040",IF(AND(I35="N",J35="N"),_xll.EVPRO($B$1,H35,"PSFTID"),""))</f>
        <v>890040</v>
      </c>
      <c r="N35" s="90" t="str">
        <f>IF(_epmOfflineCondition_,"Interest Income (Restricted &amp; FF&amp;E Accts)",IF(_xll.EVDES(H35,$B$1)="#NODATA","",_xll.EVDES(H35,$B$1)))</f>
        <v>Interest Income (Restricted &amp; FF&amp;E Accts)</v>
      </c>
      <c r="O35" s="138"/>
      <c r="P35" s="138"/>
      <c r="Q35" s="138"/>
      <c r="R35" s="138"/>
      <c r="S35" s="138"/>
      <c r="T35" s="138"/>
      <c r="U35" s="138"/>
      <c r="V35" s="138"/>
      <c r="W35" s="138"/>
      <c r="X35" s="138"/>
      <c r="Y35" s="138"/>
      <c r="Z35" s="138"/>
      <c r="AA35" s="138">
        <f t="shared" si="1"/>
        <v>0</v>
      </c>
      <c r="AB35" s="142" t="str">
        <f t="shared" si="2"/>
        <v/>
      </c>
      <c r="AC35" s="140"/>
      <c r="AD35" s="138"/>
      <c r="AE35" s="142" t="str">
        <f t="shared" si="3"/>
        <v/>
      </c>
      <c r="AF35" s="141">
        <f t="shared" si="4"/>
        <v>0</v>
      </c>
      <c r="AG35" s="138"/>
      <c r="AH35" s="142" t="str">
        <f t="shared" si="5"/>
        <v/>
      </c>
      <c r="AI35" s="141">
        <f t="shared" si="6"/>
        <v>0</v>
      </c>
      <c r="AJ35" s="462">
        <f t="shared" si="7"/>
        <v>0</v>
      </c>
      <c r="AK35" s="463">
        <f t="shared" si="8"/>
        <v>0</v>
      </c>
      <c r="AL35" s="464">
        <f t="shared" si="9"/>
        <v>0</v>
      </c>
      <c r="AM35" s="465">
        <f t="shared" si="10"/>
        <v>0</v>
      </c>
      <c r="AN35" s="466">
        <f t="shared" si="11"/>
        <v>0</v>
      </c>
      <c r="AO35" s="11"/>
    </row>
    <row r="36" spans="1:41" x14ac:dyDescent="0.25">
      <c r="A36" s="11"/>
      <c r="B36" s="11"/>
      <c r="C36" s="11"/>
      <c r="D36" s="11"/>
      <c r="E36" s="11"/>
      <c r="F36" s="11"/>
      <c r="G36" s="11"/>
      <c r="H36" s="88" t="s">
        <v>524</v>
      </c>
      <c r="I36" s="122" t="str">
        <f>IF(_epmOfflineCondition_,"N",_xll.EVPRO($B$1,$H36,"STYLE"))</f>
        <v>N</v>
      </c>
      <c r="J36" s="122" t="str">
        <f>IF(_epmOfflineCondition_,"N",_xll.EVPRO($B$1,$H36,"CALC"))</f>
        <v>N</v>
      </c>
      <c r="K36" s="179" t="str">
        <f t="shared" si="0"/>
        <v/>
      </c>
      <c r="L36" s="90" t="str">
        <f>IF(_epmOfflineCondition_,"804120",_xll.EVPRO($B$1,H36,"JDEID"))</f>
        <v>804120</v>
      </c>
      <c r="M36" s="90" t="str">
        <f>IF(_epmOfflineCondition_,"890309",IF(AND(I36="N",J36="N"),_xll.EVPRO($B$1,H36,"PSFTID"),""))</f>
        <v>890309</v>
      </c>
      <c r="N36" s="90" t="str">
        <f>IF(_epmOfflineCondition_,"Other Income",IF(_xll.EVDES(H36,$B$1)="#NODATA","",_xll.EVDES(H36,$B$1)))</f>
        <v>Other Income</v>
      </c>
      <c r="O36" s="215"/>
      <c r="P36" s="215"/>
      <c r="Q36" s="215"/>
      <c r="R36" s="215"/>
      <c r="S36" s="215"/>
      <c r="T36" s="215"/>
      <c r="U36" s="215"/>
      <c r="V36" s="215"/>
      <c r="W36" s="215"/>
      <c r="X36" s="215"/>
      <c r="Y36" s="215"/>
      <c r="Z36" s="215"/>
      <c r="AA36" s="215">
        <f t="shared" si="1"/>
        <v>0</v>
      </c>
      <c r="AB36" s="217" t="str">
        <f t="shared" si="2"/>
        <v/>
      </c>
      <c r="AC36" s="140"/>
      <c r="AD36" s="215"/>
      <c r="AE36" s="217" t="str">
        <f t="shared" si="3"/>
        <v/>
      </c>
      <c r="AF36" s="218">
        <f t="shared" si="4"/>
        <v>0</v>
      </c>
      <c r="AG36" s="215"/>
      <c r="AH36" s="217" t="str">
        <f t="shared" si="5"/>
        <v/>
      </c>
      <c r="AI36" s="218">
        <f t="shared" si="6"/>
        <v>0</v>
      </c>
      <c r="AJ36" s="471">
        <f t="shared" si="7"/>
        <v>0</v>
      </c>
      <c r="AK36" s="472">
        <f t="shared" si="8"/>
        <v>0</v>
      </c>
      <c r="AL36" s="473">
        <f t="shared" si="9"/>
        <v>0</v>
      </c>
      <c r="AM36" s="474">
        <f t="shared" si="10"/>
        <v>0</v>
      </c>
      <c r="AN36" s="475">
        <f t="shared" si="11"/>
        <v>0</v>
      </c>
      <c r="AO36" s="11"/>
    </row>
    <row r="37" spans="1:41" x14ac:dyDescent="0.25">
      <c r="A37" s="11" t="s">
        <v>100</v>
      </c>
      <c r="B37" s="11"/>
      <c r="C37" s="105" t="s">
        <v>101</v>
      </c>
      <c r="D37" s="11" t="s">
        <v>551</v>
      </c>
      <c r="E37" s="11"/>
      <c r="F37" s="11" t="s">
        <v>98</v>
      </c>
      <c r="G37" s="11"/>
      <c r="H37" s="88" t="s">
        <v>525</v>
      </c>
      <c r="I37" s="188" t="str">
        <f>IF(_epmOfflineCondition_,"T3",_xll.EVPRO($B$1,$H37,"STYLE"))</f>
        <v>T3</v>
      </c>
      <c r="J37" s="188" t="str">
        <f>IF(_epmOfflineCondition_,"Y",_xll.EVPRO($B$1,$H37,"CALC"))</f>
        <v>Y</v>
      </c>
      <c r="K37" s="189" t="str">
        <f t="shared" si="0"/>
        <v/>
      </c>
      <c r="L37" s="190" t="str">
        <f>IF(_epmOfflineCondition_,"804000",_xll.EVPRO($B$1,H37,"JDEID"))</f>
        <v>804000</v>
      </c>
      <c r="M37" s="190" t="str">
        <f>IF(_epmOfflineCondition_,"",IF(AND(I37="N",J37="N"),_xll.EVPRO($B$1,H37,"PSFTID"),""))</f>
        <v/>
      </c>
      <c r="N37" s="190" t="str">
        <f>IF(_epmOfflineCondition_,"Total Income ",IF(_xll.EVDES(H37,$B$1)="#NODATA","",_xll.EVDES(H37,$B$1)))</f>
        <v xml:space="preserve">Total Income </v>
      </c>
      <c r="O37" s="150"/>
      <c r="P37" s="150"/>
      <c r="Q37" s="150"/>
      <c r="R37" s="150"/>
      <c r="S37" s="150"/>
      <c r="T37" s="150"/>
      <c r="U37" s="150"/>
      <c r="V37" s="150"/>
      <c r="W37" s="150"/>
      <c r="X37" s="150"/>
      <c r="Y37" s="150"/>
      <c r="Z37" s="150"/>
      <c r="AA37" s="150">
        <f t="shared" si="1"/>
        <v>0</v>
      </c>
      <c r="AB37" s="151" t="str">
        <f t="shared" si="2"/>
        <v/>
      </c>
      <c r="AC37" s="244"/>
      <c r="AD37" s="150"/>
      <c r="AE37" s="151" t="str">
        <f t="shared" si="3"/>
        <v/>
      </c>
      <c r="AF37" s="152">
        <f t="shared" si="4"/>
        <v>0</v>
      </c>
      <c r="AG37" s="150"/>
      <c r="AH37" s="151" t="str">
        <f t="shared" si="5"/>
        <v/>
      </c>
      <c r="AI37" s="152">
        <f t="shared" si="6"/>
        <v>0</v>
      </c>
      <c r="AJ37" s="250">
        <f t="shared" si="7"/>
        <v>0</v>
      </c>
      <c r="AK37" s="251">
        <f t="shared" si="8"/>
        <v>0</v>
      </c>
      <c r="AL37" s="253">
        <f t="shared" si="9"/>
        <v>0</v>
      </c>
      <c r="AM37" s="433">
        <f t="shared" si="10"/>
        <v>0</v>
      </c>
      <c r="AN37" s="614">
        <f t="shared" si="11"/>
        <v>0</v>
      </c>
      <c r="AO37" s="11"/>
    </row>
    <row r="38" spans="1:41" x14ac:dyDescent="0.25">
      <c r="A38" s="11" t="s">
        <v>105</v>
      </c>
      <c r="B38" s="11"/>
      <c r="C38" s="104" t="s">
        <v>101</v>
      </c>
      <c r="D38" s="11" t="s">
        <v>106</v>
      </c>
      <c r="E38" s="11"/>
      <c r="F38" s="11" t="s">
        <v>98</v>
      </c>
      <c r="G38" s="11"/>
      <c r="H38" s="88" t="s">
        <v>547</v>
      </c>
      <c r="I38" s="607" t="str">
        <f>IF(_epmOfflineCondition_,"B1",_xll.EVPRO($B$1,$H38,"STYLE"))</f>
        <v>B1</v>
      </c>
      <c r="J38" s="607" t="str">
        <f>IF(_epmOfflineCondition_,"Y",_xll.EVPRO($B$1,$H38,"CALC"))</f>
        <v>Y</v>
      </c>
      <c r="K38" s="608" t="str">
        <f t="shared" si="0"/>
        <v/>
      </c>
      <c r="L38" s="608" t="str">
        <f>IF(_epmOfflineCondition_,"",_xll.EVPRO($B$1,H38,"JDEID"))</f>
        <v/>
      </c>
      <c r="M38" s="608" t="str">
        <f>IF(_epmOfflineCondition_,"",IF(AND(I38="N",J38="N"),_xll.EVPRO($B$1,H38,"PSFTID"),""))</f>
        <v/>
      </c>
      <c r="N38" s="608" t="str">
        <f>IF(_epmOfflineCondition_,"Rent",IF(_xll.EVDES(H38,$B$1)="#NODATA","",_xll.EVDES(H38,$B$1)))</f>
        <v>Rent</v>
      </c>
      <c r="O38" s="138"/>
      <c r="P38" s="138"/>
      <c r="Q38" s="138"/>
      <c r="R38" s="138"/>
      <c r="S38" s="138"/>
      <c r="T38" s="138"/>
      <c r="U38" s="138"/>
      <c r="V38" s="138"/>
      <c r="W38" s="138"/>
      <c r="X38" s="138"/>
      <c r="Y38" s="138"/>
      <c r="Z38" s="138"/>
      <c r="AA38" s="138" t="str">
        <f t="shared" si="1"/>
        <v/>
      </c>
      <c r="AB38" s="142" t="str">
        <f t="shared" si="2"/>
        <v/>
      </c>
      <c r="AC38" s="140"/>
      <c r="AD38" s="138"/>
      <c r="AE38" s="142" t="str">
        <f t="shared" si="3"/>
        <v/>
      </c>
      <c r="AF38" s="141" t="str">
        <f t="shared" si="4"/>
        <v/>
      </c>
      <c r="AG38" s="138"/>
      <c r="AH38" s="142" t="str">
        <f t="shared" si="5"/>
        <v/>
      </c>
      <c r="AI38" s="141" t="str">
        <f t="shared" si="6"/>
        <v/>
      </c>
      <c r="AJ38" s="462">
        <f t="shared" si="7"/>
        <v>0</v>
      </c>
      <c r="AK38" s="463">
        <f t="shared" si="8"/>
        <v>0</v>
      </c>
      <c r="AL38" s="464">
        <f t="shared" si="9"/>
        <v>0</v>
      </c>
      <c r="AM38" s="465">
        <f t="shared" si="10"/>
        <v>0</v>
      </c>
      <c r="AN38" s="466">
        <f t="shared" si="11"/>
        <v>0</v>
      </c>
      <c r="AO38" s="11"/>
    </row>
    <row r="39" spans="1:41" x14ac:dyDescent="0.25">
      <c r="A39" s="11" t="s">
        <v>102</v>
      </c>
      <c r="B39" s="11"/>
      <c r="C39" s="104" t="s">
        <v>101</v>
      </c>
      <c r="D39" s="11" t="s">
        <v>106</v>
      </c>
      <c r="E39" s="11"/>
      <c r="F39" s="11" t="s">
        <v>98</v>
      </c>
      <c r="G39" s="11"/>
      <c r="H39" s="88" t="s">
        <v>526</v>
      </c>
      <c r="I39" s="122" t="str">
        <f>IF(_epmOfflineCondition_,"T4",_xll.EVPRO($B$1,$H39,"STYLE"))</f>
        <v>T4</v>
      </c>
      <c r="J39" s="122" t="str">
        <f>IF(_epmOfflineCondition_,"Y",_xll.EVPRO($B$1,$H39,"CALC"))</f>
        <v>Y</v>
      </c>
      <c r="K39" s="179" t="str">
        <f t="shared" si="0"/>
        <v>&gt;</v>
      </c>
      <c r="L39" s="90" t="str">
        <f>IF(_epmOfflineCondition_,"",_xll.EVPRO($B$1,H39,"JDEID"))</f>
        <v/>
      </c>
      <c r="M39" s="90" t="str">
        <f>IF(_epmOfflineCondition_,"",IF(AND(I39="N",J39="N"),_xll.EVPRO($B$1,H39,"PSFTID"),""))</f>
        <v/>
      </c>
      <c r="N39" s="90" t="str">
        <f>IF(_epmOfflineCondition_,"Land &amp; Buildings",IF(_xll.EVDES(H39,$B$1)="#NODATA","",_xll.EVDES(H39,$B$1)))</f>
        <v>Land &amp; Buildings</v>
      </c>
      <c r="O39" s="138"/>
      <c r="P39" s="138"/>
      <c r="Q39" s="138"/>
      <c r="R39" s="138"/>
      <c r="S39" s="138"/>
      <c r="T39" s="138"/>
      <c r="U39" s="138"/>
      <c r="V39" s="138"/>
      <c r="W39" s="138"/>
      <c r="X39" s="138"/>
      <c r="Y39" s="138"/>
      <c r="Z39" s="138"/>
      <c r="AA39" s="138">
        <f t="shared" si="1"/>
        <v>0</v>
      </c>
      <c r="AB39" s="142" t="str">
        <f t="shared" si="2"/>
        <v/>
      </c>
      <c r="AC39" s="140"/>
      <c r="AD39" s="138"/>
      <c r="AE39" s="142" t="str">
        <f t="shared" si="3"/>
        <v/>
      </c>
      <c r="AF39" s="141">
        <f t="shared" si="4"/>
        <v>0</v>
      </c>
      <c r="AG39" s="138">
        <v>0</v>
      </c>
      <c r="AH39" s="142" t="str">
        <f t="shared" si="5"/>
        <v/>
      </c>
      <c r="AI39" s="141">
        <f t="shared" si="6"/>
        <v>0</v>
      </c>
      <c r="AJ39" s="462">
        <f t="shared" si="7"/>
        <v>0</v>
      </c>
      <c r="AK39" s="463">
        <f t="shared" si="8"/>
        <v>0</v>
      </c>
      <c r="AL39" s="464">
        <f t="shared" si="9"/>
        <v>0</v>
      </c>
      <c r="AM39" s="465">
        <f t="shared" si="10"/>
        <v>0</v>
      </c>
      <c r="AN39" s="466">
        <f t="shared" si="11"/>
        <v>0</v>
      </c>
      <c r="AO39" s="11"/>
    </row>
    <row r="40" spans="1:41" x14ac:dyDescent="0.25">
      <c r="A40" s="11" t="s">
        <v>108</v>
      </c>
      <c r="B40" s="11"/>
      <c r="C40" s="106" t="s">
        <v>101</v>
      </c>
      <c r="D40" s="11" t="s">
        <v>106</v>
      </c>
      <c r="E40" s="11"/>
      <c r="F40" s="11" t="s">
        <v>98</v>
      </c>
      <c r="G40" s="11"/>
      <c r="H40" s="88" t="s">
        <v>527</v>
      </c>
      <c r="I40" s="122" t="str">
        <f>IF(_epmOfflineCondition_,"T4",_xll.EVPRO($B$1,$H40,"STYLE"))</f>
        <v>T4</v>
      </c>
      <c r="J40" s="122" t="str">
        <f>IF(_epmOfflineCondition_,"Y",_xll.EVPRO($B$1,$H40,"CALC"))</f>
        <v>Y</v>
      </c>
      <c r="K40" s="179" t="str">
        <f t="shared" si="0"/>
        <v>&gt;</v>
      </c>
      <c r="L40" s="90" t="str">
        <f>IF(_epmOfflineCondition_,"",_xll.EVPRO($B$1,H40,"JDEID"))</f>
        <v/>
      </c>
      <c r="M40" s="90" t="str">
        <f>IF(_epmOfflineCondition_,"",IF(AND(I40="N",J40="N"),_xll.EVPRO($B$1,H40,"PSFTID"),""))</f>
        <v/>
      </c>
      <c r="N40" s="90" t="str">
        <f>IF(_epmOfflineCondition_,"Other Property &amp; Equipment",IF(_xll.EVDES(H40,$B$1)="#NODATA","",_xll.EVDES(H40,$B$1)))</f>
        <v>Other Property &amp; Equipment</v>
      </c>
      <c r="O40" s="215">
        <v>743.81</v>
      </c>
      <c r="P40" s="215">
        <v>1522.35</v>
      </c>
      <c r="Q40" s="215">
        <v>1703.45</v>
      </c>
      <c r="R40" s="215">
        <v>887.71</v>
      </c>
      <c r="S40" s="215">
        <v>2051.56</v>
      </c>
      <c r="T40" s="215">
        <v>2177.39</v>
      </c>
      <c r="U40" s="215">
        <v>1264.1500000000001</v>
      </c>
      <c r="V40" s="215">
        <v>1751.19</v>
      </c>
      <c r="W40" s="215">
        <v>623.38</v>
      </c>
      <c r="X40" s="215">
        <v>1382.23</v>
      </c>
      <c r="Y40" s="215">
        <v>1798.74</v>
      </c>
      <c r="Z40" s="215">
        <v>2196.06</v>
      </c>
      <c r="AA40" s="215">
        <f t="shared" si="1"/>
        <v>18102.019999999997</v>
      </c>
      <c r="AB40" s="217">
        <f t="shared" si="2"/>
        <v>1.2286934386046191E-3</v>
      </c>
      <c r="AC40" s="140"/>
      <c r="AD40" s="215">
        <v>13040</v>
      </c>
      <c r="AE40" s="217">
        <f t="shared" si="3"/>
        <v>8.9160068513630662E-4</v>
      </c>
      <c r="AF40" s="218">
        <f t="shared" si="4"/>
        <v>5062.0199999999968</v>
      </c>
      <c r="AG40" s="215">
        <v>14804.99</v>
      </c>
      <c r="AH40" s="217">
        <f t="shared" si="5"/>
        <v>1.2434350678466083E-3</v>
      </c>
      <c r="AI40" s="218">
        <f t="shared" si="6"/>
        <v>3297.029999999997</v>
      </c>
      <c r="AJ40" s="471">
        <f t="shared" si="7"/>
        <v>0.37571647986716472</v>
      </c>
      <c r="AK40" s="472">
        <f t="shared" si="8"/>
        <v>0.27065172270651722</v>
      </c>
      <c r="AL40" s="473">
        <f t="shared" si="9"/>
        <v>0.30728497301784974</v>
      </c>
      <c r="AM40" s="474" t="str">
        <f t="shared" si="10"/>
        <v>0.03 pts.</v>
      </c>
      <c r="AN40" s="475" t="str">
        <f t="shared" si="11"/>
        <v>0 pts.</v>
      </c>
      <c r="AO40" s="11"/>
    </row>
    <row r="41" spans="1:41" x14ac:dyDescent="0.25">
      <c r="A41" s="11" t="s">
        <v>108</v>
      </c>
      <c r="B41" s="11"/>
      <c r="C41" s="109" t="s">
        <v>101</v>
      </c>
      <c r="D41" s="11" t="s">
        <v>107</v>
      </c>
      <c r="E41" s="11"/>
      <c r="F41" s="11" t="s">
        <v>99</v>
      </c>
      <c r="G41" s="11"/>
      <c r="H41" s="88" t="s">
        <v>520</v>
      </c>
      <c r="I41" s="188" t="str">
        <f>IF(_epmOfflineCondition_,"T3",_xll.EVPRO($B$1,$H41,"STYLE"))</f>
        <v>T3</v>
      </c>
      <c r="J41" s="188" t="str">
        <f>IF(_epmOfflineCondition_,"Y",_xll.EVPRO($B$1,$H41,"CALC"))</f>
        <v>Y</v>
      </c>
      <c r="K41" s="189" t="str">
        <f t="shared" si="0"/>
        <v/>
      </c>
      <c r="L41" s="190" t="str">
        <f>IF(_epmOfflineCondition_,"",_xll.EVPRO($B$1,H41,"JDEID"))</f>
        <v/>
      </c>
      <c r="M41" s="190" t="str">
        <f>IF(_epmOfflineCondition_,"",IF(AND(I41="N",J41="N"),_xll.EVPRO($B$1,H41,"PSFTID"),""))</f>
        <v/>
      </c>
      <c r="N41" s="190" t="str">
        <f>IF(_epmOfflineCondition_,"Total Rent",IF(_xll.EVDES(H41,$B$1)="#NODATA","",_xll.EVDES(H41,$B$1)))</f>
        <v>Total Rent</v>
      </c>
      <c r="O41" s="150">
        <v>743.81</v>
      </c>
      <c r="P41" s="150">
        <v>1522.35</v>
      </c>
      <c r="Q41" s="150">
        <v>1703.45</v>
      </c>
      <c r="R41" s="150">
        <v>887.71</v>
      </c>
      <c r="S41" s="150">
        <v>2051.56</v>
      </c>
      <c r="T41" s="150">
        <v>2177.39</v>
      </c>
      <c r="U41" s="150">
        <v>1264.1500000000001</v>
      </c>
      <c r="V41" s="150">
        <v>1751.19</v>
      </c>
      <c r="W41" s="150">
        <v>623.38</v>
      </c>
      <c r="X41" s="150">
        <v>1382.23</v>
      </c>
      <c r="Y41" s="150">
        <v>1798.74</v>
      </c>
      <c r="Z41" s="150">
        <v>2196.06</v>
      </c>
      <c r="AA41" s="150">
        <f t="shared" si="1"/>
        <v>18102.019999999997</v>
      </c>
      <c r="AB41" s="151">
        <f t="shared" si="2"/>
        <v>1.2286934386046191E-3</v>
      </c>
      <c r="AC41" s="244"/>
      <c r="AD41" s="150">
        <v>13040</v>
      </c>
      <c r="AE41" s="151">
        <f t="shared" si="3"/>
        <v>8.9160068513630662E-4</v>
      </c>
      <c r="AF41" s="152">
        <f t="shared" si="4"/>
        <v>5062.0199999999968</v>
      </c>
      <c r="AG41" s="150">
        <v>14804.99</v>
      </c>
      <c r="AH41" s="151">
        <f t="shared" si="5"/>
        <v>1.2434350678466083E-3</v>
      </c>
      <c r="AI41" s="152">
        <f t="shared" si="6"/>
        <v>3297.029999999997</v>
      </c>
      <c r="AJ41" s="250">
        <f t="shared" si="7"/>
        <v>0.37571647986716472</v>
      </c>
      <c r="AK41" s="251">
        <f t="shared" si="8"/>
        <v>0.27065172270651722</v>
      </c>
      <c r="AL41" s="253">
        <f t="shared" si="9"/>
        <v>0.30728497301784974</v>
      </c>
      <c r="AM41" s="433" t="str">
        <f t="shared" si="10"/>
        <v>0.03 pts.</v>
      </c>
      <c r="AN41" s="614" t="str">
        <f t="shared" si="11"/>
        <v>0 pts.</v>
      </c>
      <c r="AO41" s="11"/>
    </row>
    <row r="42" spans="1:41" x14ac:dyDescent="0.25">
      <c r="A42" s="11"/>
      <c r="B42" s="11"/>
      <c r="C42" s="11"/>
      <c r="D42" s="11"/>
      <c r="E42" s="11"/>
      <c r="F42" s="11"/>
      <c r="G42" s="11"/>
      <c r="H42" s="88" t="s">
        <v>546</v>
      </c>
      <c r="I42" s="607" t="str">
        <f>IF(_epmOfflineCondition_,"B1",_xll.EVPRO($B$1,$H42,"STYLE"))</f>
        <v>B1</v>
      </c>
      <c r="J42" s="607" t="str">
        <f>IF(_epmOfflineCondition_,"Y",_xll.EVPRO($B$1,$H42,"CALC"))</f>
        <v>Y</v>
      </c>
      <c r="K42" s="608" t="str">
        <f t="shared" si="0"/>
        <v/>
      </c>
      <c r="L42" s="608" t="str">
        <f>IF(_epmOfflineCondition_,"",_xll.EVPRO($B$1,H42,"JDEID"))</f>
        <v/>
      </c>
      <c r="M42" s="608" t="str">
        <f>IF(_epmOfflineCondition_,"",IF(AND(I42="N",J42="N"),_xll.EVPRO($B$1,H42,"PSFTID"),""))</f>
        <v/>
      </c>
      <c r="N42" s="608" t="str">
        <f>IF(_epmOfflineCondition_,"Property &amp; Other Taxes",IF(_xll.EVDES(H42,$B$1)="#NODATA","",_xll.EVDES(H42,$B$1)))</f>
        <v>Property &amp; Other Taxes</v>
      </c>
      <c r="O42" s="138"/>
      <c r="P42" s="138"/>
      <c r="Q42" s="138"/>
      <c r="R42" s="138"/>
      <c r="S42" s="138"/>
      <c r="T42" s="138"/>
      <c r="U42" s="138"/>
      <c r="V42" s="138"/>
      <c r="W42" s="138"/>
      <c r="X42" s="138"/>
      <c r="Y42" s="138"/>
      <c r="Z42" s="138"/>
      <c r="AA42" s="138" t="str">
        <f t="shared" si="1"/>
        <v/>
      </c>
      <c r="AB42" s="142" t="str">
        <f t="shared" si="2"/>
        <v/>
      </c>
      <c r="AC42" s="140"/>
      <c r="AD42" s="138"/>
      <c r="AE42" s="142" t="str">
        <f t="shared" si="3"/>
        <v/>
      </c>
      <c r="AF42" s="141" t="str">
        <f t="shared" si="4"/>
        <v/>
      </c>
      <c r="AG42" s="138"/>
      <c r="AH42" s="142" t="str">
        <f t="shared" si="5"/>
        <v/>
      </c>
      <c r="AI42" s="141" t="str">
        <f t="shared" si="6"/>
        <v/>
      </c>
      <c r="AJ42" s="462">
        <f t="shared" si="7"/>
        <v>0</v>
      </c>
      <c r="AK42" s="463">
        <f t="shared" si="8"/>
        <v>0</v>
      </c>
      <c r="AL42" s="464">
        <f t="shared" si="9"/>
        <v>0</v>
      </c>
      <c r="AM42" s="465">
        <f t="shared" si="10"/>
        <v>0</v>
      </c>
      <c r="AN42" s="466">
        <f t="shared" si="11"/>
        <v>0</v>
      </c>
      <c r="AO42" s="11"/>
    </row>
    <row r="43" spans="1:41" x14ac:dyDescent="0.25">
      <c r="A43" s="11"/>
      <c r="B43" s="11"/>
      <c r="C43" s="208"/>
      <c r="D43" s="11"/>
      <c r="E43" s="11"/>
      <c r="F43" s="11"/>
      <c r="G43" s="11"/>
      <c r="H43" s="88" t="s">
        <v>528</v>
      </c>
      <c r="I43" s="122" t="str">
        <f>IF(_epmOfflineCondition_,"N",_xll.EVPRO($B$1,$H43,"STYLE"))</f>
        <v>N</v>
      </c>
      <c r="J43" s="122" t="str">
        <f>IF(_epmOfflineCondition_,"N",_xll.EVPRO($B$1,$H43,"CALC"))</f>
        <v>N</v>
      </c>
      <c r="K43" s="179" t="str">
        <f t="shared" si="0"/>
        <v/>
      </c>
      <c r="L43" s="90" t="str">
        <f>IF(_epmOfflineCondition_,"752100",_xll.EVPRO($B$1,H43,"JDEID"))</f>
        <v>752100</v>
      </c>
      <c r="M43" s="90" t="str">
        <f>IF(_epmOfflineCondition_,"790145",IF(AND(I43="N",J43="N"),_xll.EVPRO($B$1,H43,"PSFTID"),""))</f>
        <v>790145</v>
      </c>
      <c r="N43" s="90" t="str">
        <f>IF(_epmOfflineCondition_,"Real Estate Taxes",IF(_xll.EVDES(H43,$B$1)="#NODATA","",_xll.EVDES(H43,$B$1)))</f>
        <v>Real Estate Taxes</v>
      </c>
      <c r="O43" s="138">
        <v>30981.61</v>
      </c>
      <c r="P43" s="138">
        <v>30981.61</v>
      </c>
      <c r="Q43" s="138">
        <v>30981.61</v>
      </c>
      <c r="R43" s="138">
        <v>30981.61</v>
      </c>
      <c r="S43" s="138">
        <v>30981.61</v>
      </c>
      <c r="T43" s="138">
        <v>30981.61</v>
      </c>
      <c r="U43" s="138">
        <v>30981.61</v>
      </c>
      <c r="V43" s="138">
        <v>30981.61</v>
      </c>
      <c r="W43" s="138">
        <v>30981.61</v>
      </c>
      <c r="X43" s="138">
        <v>30981.61</v>
      </c>
      <c r="Y43" s="138">
        <v>30981.61</v>
      </c>
      <c r="Z43" s="138">
        <v>30981.61</v>
      </c>
      <c r="AA43" s="138">
        <f t="shared" si="1"/>
        <v>371779.31999999989</v>
      </c>
      <c r="AB43" s="142">
        <f t="shared" si="2"/>
        <v>2.5234908098261243E-2</v>
      </c>
      <c r="AC43" s="140"/>
      <c r="AD43" s="138">
        <v>373638.22</v>
      </c>
      <c r="AE43" s="142">
        <f t="shared" si="3"/>
        <v>2.5547246391496168E-2</v>
      </c>
      <c r="AF43" s="141">
        <f t="shared" si="4"/>
        <v>-1858.9000000000815</v>
      </c>
      <c r="AG43" s="138">
        <v>372202.92</v>
      </c>
      <c r="AH43" s="142">
        <f t="shared" si="5"/>
        <v>3.1260417135229791E-2</v>
      </c>
      <c r="AI43" s="141">
        <f t="shared" si="6"/>
        <v>-423.60000000009313</v>
      </c>
      <c r="AJ43" s="462">
        <f t="shared" si="7"/>
        <v>7.7164657534246555</v>
      </c>
      <c r="AK43" s="463">
        <f t="shared" si="8"/>
        <v>7.7550481527604811</v>
      </c>
      <c r="AL43" s="464">
        <f t="shared" si="9"/>
        <v>7.7252577833125775</v>
      </c>
      <c r="AM43" s="465" t="str">
        <f t="shared" si="10"/>
        <v>-0.03 pts.</v>
      </c>
      <c r="AN43" s="466" t="str">
        <f t="shared" si="11"/>
        <v>-0.6 pts.</v>
      </c>
      <c r="AO43" s="11"/>
    </row>
    <row r="44" spans="1:41" x14ac:dyDescent="0.25">
      <c r="A44" s="62" t="s">
        <v>23</v>
      </c>
      <c r="B44" s="63" t="s">
        <v>24</v>
      </c>
      <c r="C44" s="11"/>
      <c r="D44" s="11"/>
      <c r="E44" s="11"/>
      <c r="F44" s="11"/>
      <c r="G44" s="11"/>
      <c r="H44" s="185" t="s">
        <v>529</v>
      </c>
      <c r="I44" s="122" t="str">
        <f>IF(_epmOfflineCondition_,"N",_xll.EVPRO($B$1,$H44,"STYLE"))</f>
        <v>N</v>
      </c>
      <c r="J44" s="122" t="str">
        <f>IF(_epmOfflineCondition_,"N",_xll.EVPRO($B$1,$H44,"CALC"))</f>
        <v>N</v>
      </c>
      <c r="K44" s="179" t="str">
        <f t="shared" si="0"/>
        <v/>
      </c>
      <c r="L44" s="90" t="str">
        <f>IF(_epmOfflineCondition_,"752200",_xll.EVPRO($B$1,H44,"JDEID"))</f>
        <v>752200</v>
      </c>
      <c r="M44" s="90" t="str">
        <f>IF(_epmOfflineCondition_,"790150",IF(AND(I44="N",J44="N"),_xll.EVPRO($B$1,H44,"PSFTID"),""))</f>
        <v>790150</v>
      </c>
      <c r="N44" s="90" t="str">
        <f>IF(_epmOfflineCondition_,"Personal Property Taxes",IF(_xll.EVDES(H44,$B$1)="#NODATA","",_xll.EVDES(H44,$B$1)))</f>
        <v>Personal Property Taxes</v>
      </c>
      <c r="O44" s="138">
        <v>7882.27</v>
      </c>
      <c r="P44" s="138">
        <v>7882.27</v>
      </c>
      <c r="Q44" s="138">
        <v>7882.27</v>
      </c>
      <c r="R44" s="138">
        <v>7882.27</v>
      </c>
      <c r="S44" s="138">
        <v>7882.27</v>
      </c>
      <c r="T44" s="138">
        <v>7882.27</v>
      </c>
      <c r="U44" s="138">
        <v>7882.27</v>
      </c>
      <c r="V44" s="138">
        <v>7882.27</v>
      </c>
      <c r="W44" s="138">
        <v>7882.27</v>
      </c>
      <c r="X44" s="138">
        <v>7882.27</v>
      </c>
      <c r="Y44" s="138">
        <v>7882.27</v>
      </c>
      <c r="Z44" s="138">
        <v>7882.27</v>
      </c>
      <c r="AA44" s="138">
        <f t="shared" si="1"/>
        <v>94587.240000000034</v>
      </c>
      <c r="AB44" s="142">
        <f t="shared" si="2"/>
        <v>6.4202073118757152E-3</v>
      </c>
      <c r="AC44" s="140"/>
      <c r="AD44" s="138">
        <v>95060.221666666999</v>
      </c>
      <c r="AE44" s="142">
        <f t="shared" si="3"/>
        <v>6.4996747520866156E-3</v>
      </c>
      <c r="AF44" s="141">
        <f t="shared" si="4"/>
        <v>-472.98166666696488</v>
      </c>
      <c r="AG44" s="138">
        <v>108124.54</v>
      </c>
      <c r="AH44" s="142">
        <f t="shared" si="5"/>
        <v>9.0811168890207496E-3</v>
      </c>
      <c r="AI44" s="141">
        <f t="shared" si="6"/>
        <v>-13537.299999999959</v>
      </c>
      <c r="AJ44" s="462">
        <f t="shared" si="7"/>
        <v>1.9632054794520555</v>
      </c>
      <c r="AK44" s="463">
        <f t="shared" si="8"/>
        <v>1.9730224505327314</v>
      </c>
      <c r="AL44" s="464">
        <f t="shared" si="9"/>
        <v>2.244178912411789</v>
      </c>
      <c r="AM44" s="465" t="str">
        <f t="shared" si="10"/>
        <v>-0.01 pts.</v>
      </c>
      <c r="AN44" s="466" t="str">
        <f t="shared" si="11"/>
        <v>-0.27 pts.</v>
      </c>
      <c r="AO44" s="11"/>
    </row>
    <row r="45" spans="1:41" x14ac:dyDescent="0.25">
      <c r="A45" s="65" t="s">
        <v>25</v>
      </c>
      <c r="B45" s="66"/>
      <c r="C45" s="11"/>
      <c r="D45" s="11"/>
      <c r="E45" s="11"/>
      <c r="F45" s="11"/>
      <c r="G45" s="11"/>
      <c r="H45" s="185" t="s">
        <v>530</v>
      </c>
      <c r="I45" s="122" t="str">
        <f>IF(_epmOfflineCondition_,"N",_xll.EVPRO($B$1,$H45,"STYLE"))</f>
        <v>N</v>
      </c>
      <c r="J45" s="122" t="str">
        <f>IF(_epmOfflineCondition_,"N",_xll.EVPRO($B$1,$H45,"CALC"))</f>
        <v>N</v>
      </c>
      <c r="K45" s="179" t="str">
        <f t="shared" si="0"/>
        <v/>
      </c>
      <c r="L45" s="90" t="str">
        <f>IF(_epmOfflineCondition_,"752300",_xll.EVPRO($B$1,H45,"JDEID"))</f>
        <v>752300</v>
      </c>
      <c r="M45" s="90" t="str">
        <f>IF(_epmOfflineCondition_,"790160",IF(AND(I45="N",J45="N"),_xll.EVPRO($B$1,H45,"PSFTID"),""))</f>
        <v>790160</v>
      </c>
      <c r="N45" s="90" t="str">
        <f>IF(_epmOfflineCondition_,"Business &amp; Occupation Taxes",IF(_xll.EVDES(H45,$B$1)="#NODATA","",_xll.EVDES(H45,$B$1)))</f>
        <v>Business &amp; Occupation Taxes</v>
      </c>
      <c r="O45" s="138"/>
      <c r="P45" s="138"/>
      <c r="Q45" s="138"/>
      <c r="R45" s="138">
        <v>16589.2</v>
      </c>
      <c r="S45" s="138"/>
      <c r="T45" s="138"/>
      <c r="U45" s="138"/>
      <c r="V45" s="138"/>
      <c r="W45" s="138"/>
      <c r="X45" s="138"/>
      <c r="Y45" s="138"/>
      <c r="Z45" s="138"/>
      <c r="AA45" s="138">
        <f t="shared" si="1"/>
        <v>16589.2</v>
      </c>
      <c r="AB45" s="142">
        <f t="shared" si="2"/>
        <v>1.1260092073536408E-3</v>
      </c>
      <c r="AC45" s="140"/>
      <c r="AD45" s="138">
        <v>20019</v>
      </c>
      <c r="AE45" s="142">
        <f t="shared" si="3"/>
        <v>1.3687848248269724E-3</v>
      </c>
      <c r="AF45" s="141">
        <f t="shared" si="4"/>
        <v>-3429.7999999999993</v>
      </c>
      <c r="AG45" s="138">
        <v>17233.13</v>
      </c>
      <c r="AH45" s="142">
        <f t="shared" si="5"/>
        <v>1.4473686352209237E-3</v>
      </c>
      <c r="AI45" s="141">
        <f t="shared" si="6"/>
        <v>-643.93000000000029</v>
      </c>
      <c r="AJ45" s="462">
        <f t="shared" si="7"/>
        <v>0.34431714404317143</v>
      </c>
      <c r="AK45" s="463">
        <f t="shared" si="8"/>
        <v>0.41550435865504359</v>
      </c>
      <c r="AL45" s="464">
        <f t="shared" si="9"/>
        <v>0.35768223329182236</v>
      </c>
      <c r="AM45" s="465" t="str">
        <f t="shared" si="10"/>
        <v>-0.02 pts.</v>
      </c>
      <c r="AN45" s="466" t="str">
        <f t="shared" si="11"/>
        <v>-0.03 pts.</v>
      </c>
      <c r="AO45" s="11"/>
    </row>
    <row r="46" spans="1:41" x14ac:dyDescent="0.25">
      <c r="A46" s="65" t="s">
        <v>26</v>
      </c>
      <c r="B46" s="66"/>
      <c r="C46" s="11"/>
      <c r="D46" s="11"/>
      <c r="E46" s="11"/>
      <c r="F46" s="11"/>
      <c r="G46" s="11"/>
      <c r="H46" s="185" t="s">
        <v>531</v>
      </c>
      <c r="I46" s="122" t="str">
        <f>IF(_epmOfflineCondition_,"N",_xll.EVPRO($B$1,$H46,"STYLE"))</f>
        <v>N</v>
      </c>
      <c r="J46" s="122" t="str">
        <f>IF(_epmOfflineCondition_,"N",_xll.EVPRO($B$1,$H46,"CALC"))</f>
        <v>N</v>
      </c>
      <c r="K46" s="179" t="str">
        <f t="shared" si="0"/>
        <v/>
      </c>
      <c r="L46" s="90" t="str">
        <f>IF(_epmOfflineCondition_,"752400",_xll.EVPRO($B$1,H46,"JDEID"))</f>
        <v>752400</v>
      </c>
      <c r="M46" s="90" t="str">
        <f>IF(_epmOfflineCondition_,"790160",IF(AND(I46="N",J46="N"),_xll.EVPRO($B$1,H46,"PSFTID"),""))</f>
        <v>790160</v>
      </c>
      <c r="N46" s="90" t="str">
        <f>IF(_epmOfflineCondition_,"Other Taxes &amp; Assesments",IF(_xll.EVDES(H46,$B$1)="#NODATA","",_xll.EVDES(H46,$B$1)))</f>
        <v>Other Taxes &amp; Assesments</v>
      </c>
      <c r="O46" s="138"/>
      <c r="P46" s="138"/>
      <c r="Q46" s="138"/>
      <c r="R46" s="138"/>
      <c r="S46" s="138"/>
      <c r="T46" s="138"/>
      <c r="U46" s="138"/>
      <c r="V46" s="138"/>
      <c r="W46" s="138"/>
      <c r="X46" s="138"/>
      <c r="Y46" s="138"/>
      <c r="Z46" s="138"/>
      <c r="AA46" s="138">
        <f t="shared" si="1"/>
        <v>0</v>
      </c>
      <c r="AB46" s="142" t="str">
        <f t="shared" si="2"/>
        <v/>
      </c>
      <c r="AC46" s="140"/>
      <c r="AD46" s="138"/>
      <c r="AE46" s="142" t="str">
        <f t="shared" si="3"/>
        <v/>
      </c>
      <c r="AF46" s="141">
        <f t="shared" si="4"/>
        <v>0</v>
      </c>
      <c r="AG46" s="138"/>
      <c r="AH46" s="142" t="str">
        <f t="shared" si="5"/>
        <v/>
      </c>
      <c r="AI46" s="141">
        <f t="shared" si="6"/>
        <v>0</v>
      </c>
      <c r="AJ46" s="462">
        <f t="shared" si="7"/>
        <v>0</v>
      </c>
      <c r="AK46" s="463">
        <f t="shared" si="8"/>
        <v>0</v>
      </c>
      <c r="AL46" s="464">
        <f t="shared" si="9"/>
        <v>0</v>
      </c>
      <c r="AM46" s="465">
        <f t="shared" si="10"/>
        <v>0</v>
      </c>
      <c r="AN46" s="466">
        <f t="shared" si="11"/>
        <v>0</v>
      </c>
      <c r="AO46" s="11"/>
    </row>
    <row r="47" spans="1:41" x14ac:dyDescent="0.25">
      <c r="A47" s="65" t="s">
        <v>27</v>
      </c>
      <c r="B47" s="66"/>
      <c r="C47" s="11"/>
      <c r="D47" s="11"/>
      <c r="E47" s="11"/>
      <c r="F47" s="11"/>
      <c r="G47" s="11"/>
      <c r="H47" s="185" t="s">
        <v>825</v>
      </c>
      <c r="I47" s="122" t="str">
        <f>IF(_epmOfflineCondition_,"N",_xll.EVPRO($B$1,$H47,"STYLE"))</f>
        <v>N</v>
      </c>
      <c r="J47" s="122" t="str">
        <f>IF(_epmOfflineCondition_,"N",_xll.EVPRO($B$1,$H47,"CALC"))</f>
        <v>N</v>
      </c>
      <c r="K47" s="179" t="str">
        <f t="shared" si="0"/>
        <v/>
      </c>
      <c r="L47" s="90" t="str">
        <f>IF(_epmOfflineCondition_,"752500",_xll.EVPRO($B$1,H47,"JDEID"))</f>
        <v>752500</v>
      </c>
      <c r="M47" s="90" t="str">
        <f>IF(_epmOfflineCondition_,"790162",IF(AND(I47="N",J47="N"),_xll.EVPRO($B$1,H47,"PSFTID"),""))</f>
        <v>790162</v>
      </c>
      <c r="N47" s="90" t="str">
        <f>IF(_epmOfflineCondition_,"Tax Penalties",IF(_xll.EVDES(H47,$B$1)="#NODATA","",_xll.EVDES(H47,$B$1)))</f>
        <v>Tax Penalties</v>
      </c>
      <c r="O47" s="215"/>
      <c r="P47" s="215"/>
      <c r="Q47" s="215"/>
      <c r="R47" s="215"/>
      <c r="S47" s="215"/>
      <c r="T47" s="215"/>
      <c r="U47" s="215"/>
      <c r="V47" s="215"/>
      <c r="W47" s="215"/>
      <c r="X47" s="215"/>
      <c r="Y47" s="215"/>
      <c r="Z47" s="215"/>
      <c r="AA47" s="215">
        <f t="shared" si="1"/>
        <v>0</v>
      </c>
      <c r="AB47" s="217" t="str">
        <f t="shared" si="2"/>
        <v/>
      </c>
      <c r="AC47" s="140"/>
      <c r="AD47" s="215"/>
      <c r="AE47" s="217" t="str">
        <f t="shared" si="3"/>
        <v/>
      </c>
      <c r="AF47" s="218">
        <f t="shared" si="4"/>
        <v>0</v>
      </c>
      <c r="AG47" s="215"/>
      <c r="AH47" s="217" t="str">
        <f t="shared" si="5"/>
        <v/>
      </c>
      <c r="AI47" s="218">
        <f t="shared" si="6"/>
        <v>0</v>
      </c>
      <c r="AJ47" s="471">
        <f t="shared" si="7"/>
        <v>0</v>
      </c>
      <c r="AK47" s="472">
        <f t="shared" si="8"/>
        <v>0</v>
      </c>
      <c r="AL47" s="473">
        <f t="shared" si="9"/>
        <v>0</v>
      </c>
      <c r="AM47" s="474">
        <f t="shared" si="10"/>
        <v>0</v>
      </c>
      <c r="AN47" s="475">
        <f t="shared" si="11"/>
        <v>0</v>
      </c>
      <c r="AO47" s="11"/>
    </row>
    <row r="48" spans="1:41" x14ac:dyDescent="0.25">
      <c r="A48" s="65" t="s">
        <v>28</v>
      </c>
      <c r="B48" s="66"/>
      <c r="C48" s="11"/>
      <c r="D48" s="11"/>
      <c r="E48" s="11"/>
      <c r="F48" s="11"/>
      <c r="G48" s="11"/>
      <c r="H48" s="88" t="s">
        <v>521</v>
      </c>
      <c r="I48" s="188" t="str">
        <f>IF(_epmOfflineCondition_,"T3",_xll.EVPRO($B$1,$H48,"STYLE"))</f>
        <v>T3</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IF(_epmOfflineCondition_,"Total Property &amp; Other Taxes",IF(_xll.EVDES(H48,$B$1)="#NODATA","",_xll.EVDES(H48,$B$1)))</f>
        <v>Total Property &amp; Other Taxes</v>
      </c>
      <c r="O48" s="150">
        <v>38863.879999999997</v>
      </c>
      <c r="P48" s="150">
        <v>38863.879999999997</v>
      </c>
      <c r="Q48" s="150">
        <v>38863.879999999997</v>
      </c>
      <c r="R48" s="150">
        <v>55453.08</v>
      </c>
      <c r="S48" s="150">
        <v>38863.879999999997</v>
      </c>
      <c r="T48" s="150">
        <v>38863.879999999997</v>
      </c>
      <c r="U48" s="150">
        <v>38863.879999999997</v>
      </c>
      <c r="V48" s="150">
        <v>38863.879999999997</v>
      </c>
      <c r="W48" s="150">
        <v>38863.879999999997</v>
      </c>
      <c r="X48" s="150">
        <v>38863.879999999997</v>
      </c>
      <c r="Y48" s="150">
        <v>38863.879999999997</v>
      </c>
      <c r="Z48" s="150">
        <v>38863.879999999997</v>
      </c>
      <c r="AA48" s="150">
        <f t="shared" si="1"/>
        <v>482955.76</v>
      </c>
      <c r="AB48" s="151">
        <f t="shared" si="2"/>
        <v>3.2781124617490609E-2</v>
      </c>
      <c r="AC48" s="244"/>
      <c r="AD48" s="150">
        <v>488717.441666667</v>
      </c>
      <c r="AE48" s="151">
        <f t="shared" si="3"/>
        <v>3.3415705968409759E-2</v>
      </c>
      <c r="AF48" s="152">
        <f t="shared" si="4"/>
        <v>-5761.6816666669911</v>
      </c>
      <c r="AG48" s="150">
        <v>497560.59</v>
      </c>
      <c r="AH48" s="151">
        <f t="shared" si="5"/>
        <v>4.1788902659471473E-2</v>
      </c>
      <c r="AI48" s="152">
        <f t="shared" si="6"/>
        <v>-14604.830000000016</v>
      </c>
      <c r="AJ48" s="250">
        <f t="shared" si="7"/>
        <v>10.023988376919885</v>
      </c>
      <c r="AK48" s="251">
        <f t="shared" si="8"/>
        <v>10.143574961948257</v>
      </c>
      <c r="AL48" s="253">
        <f t="shared" si="9"/>
        <v>10.327118929016191</v>
      </c>
      <c r="AM48" s="433" t="str">
        <f t="shared" si="10"/>
        <v>-0.06 pts.</v>
      </c>
      <c r="AN48" s="614" t="str">
        <f t="shared" si="11"/>
        <v>-0.9 pts.</v>
      </c>
      <c r="AO48" s="11"/>
    </row>
    <row r="49" spans="1:41" x14ac:dyDescent="0.25">
      <c r="A49" s="65" t="s">
        <v>29</v>
      </c>
      <c r="B49" s="66"/>
      <c r="C49" s="11"/>
      <c r="D49" s="11"/>
      <c r="E49" s="11"/>
      <c r="F49" s="11"/>
      <c r="G49" s="11"/>
      <c r="H49" s="185" t="s">
        <v>550</v>
      </c>
      <c r="I49" s="607" t="str">
        <f>IF(_epmOfflineCondition_,"B1",_xll.EVPRO($B$1,$H49,"STYLE"))</f>
        <v>B1</v>
      </c>
      <c r="J49" s="607" t="str">
        <f>IF(_epmOfflineCondition_,"Y",_xll.EVPRO($B$1,$H49,"CALC"))</f>
        <v>Y</v>
      </c>
      <c r="K49" s="608" t="str">
        <f t="shared" si="0"/>
        <v/>
      </c>
      <c r="L49" s="608" t="str">
        <f>IF(_epmOfflineCondition_,"",_xll.EVPRO($B$1,H49,"JDEID"))</f>
        <v/>
      </c>
      <c r="M49" s="608" t="str">
        <f>IF(_epmOfflineCondition_,"",IF(AND(I49="N",J49="N"),_xll.EVPRO($B$1,H49,"PSFTID"),""))</f>
        <v/>
      </c>
      <c r="N49" s="608" t="str">
        <f>IF(_epmOfflineCondition_,"Insurance",IF(_xll.EVDES(H49,$B$1)="#NODATA","",_xll.EVDES(H49,$B$1)))</f>
        <v>Insurance</v>
      </c>
      <c r="O49" s="138"/>
      <c r="P49" s="138"/>
      <c r="Q49" s="138"/>
      <c r="R49" s="138"/>
      <c r="S49" s="138"/>
      <c r="T49" s="138"/>
      <c r="U49" s="138"/>
      <c r="V49" s="138"/>
      <c r="W49" s="138"/>
      <c r="X49" s="138"/>
      <c r="Y49" s="138"/>
      <c r="Z49" s="138"/>
      <c r="AA49" s="138" t="str">
        <f t="shared" si="1"/>
        <v/>
      </c>
      <c r="AB49" s="142" t="str">
        <f t="shared" si="2"/>
        <v/>
      </c>
      <c r="AC49" s="140"/>
      <c r="AD49" s="138"/>
      <c r="AE49" s="142" t="str">
        <f t="shared" si="3"/>
        <v/>
      </c>
      <c r="AF49" s="141" t="str">
        <f t="shared" si="4"/>
        <v/>
      </c>
      <c r="AG49" s="138"/>
      <c r="AH49" s="142" t="str">
        <f t="shared" si="5"/>
        <v/>
      </c>
      <c r="AI49" s="141" t="str">
        <f t="shared" si="6"/>
        <v/>
      </c>
      <c r="AJ49" s="462">
        <f t="shared" si="7"/>
        <v>0</v>
      </c>
      <c r="AK49" s="463">
        <f t="shared" si="8"/>
        <v>0</v>
      </c>
      <c r="AL49" s="464">
        <f t="shared" si="9"/>
        <v>0</v>
      </c>
      <c r="AM49" s="465">
        <f t="shared" si="10"/>
        <v>0</v>
      </c>
      <c r="AN49" s="466">
        <f t="shared" si="11"/>
        <v>0</v>
      </c>
      <c r="AO49" s="11"/>
    </row>
    <row r="50" spans="1:41" x14ac:dyDescent="0.25">
      <c r="A50" s="65" t="s">
        <v>30</v>
      </c>
      <c r="B50" s="66" t="s">
        <v>78</v>
      </c>
      <c r="C50" s="11"/>
      <c r="D50" s="11"/>
      <c r="E50" s="11"/>
      <c r="F50" s="11"/>
      <c r="G50" s="11"/>
      <c r="H50" s="185" t="s">
        <v>532</v>
      </c>
      <c r="I50" s="122" t="str">
        <f>IF(_epmOfflineCondition_,"T4",_xll.EVPRO($B$1,$H50,"STYLE"))</f>
        <v>T4</v>
      </c>
      <c r="J50" s="122" t="str">
        <f>IF(_epmOfflineCondition_,"Y",_xll.EVPRO($B$1,$H50,"CALC"))</f>
        <v>Y</v>
      </c>
      <c r="K50" s="179" t="str">
        <f t="shared" si="0"/>
        <v>&gt;</v>
      </c>
      <c r="L50" s="90" t="str">
        <f>IF(_epmOfflineCondition_,"751100",_xll.EVPRO($B$1,H50,"JDEID"))</f>
        <v>751100</v>
      </c>
      <c r="M50" s="90" t="str">
        <f>IF(_epmOfflineCondition_,"",IF(AND(I50="N",J50="N"),_xll.EVPRO($B$1,H50,"PSFTID"),""))</f>
        <v/>
      </c>
      <c r="N50" s="90" t="str">
        <f>IF(_epmOfflineCondition_,"Earthquake - Insurance",IF(_xll.EVDES(H50,$B$1)="#NODATA","",_xll.EVDES(H50,$B$1)))</f>
        <v>Earthquake - Insurance</v>
      </c>
      <c r="O50" s="138"/>
      <c r="P50" s="138"/>
      <c r="Q50" s="138"/>
      <c r="R50" s="138"/>
      <c r="S50" s="138"/>
      <c r="T50" s="138"/>
      <c r="U50" s="138"/>
      <c r="V50" s="138"/>
      <c r="W50" s="138"/>
      <c r="X50" s="138"/>
      <c r="Y50" s="138"/>
      <c r="Z50" s="138"/>
      <c r="AA50" s="138">
        <f t="shared" si="1"/>
        <v>0</v>
      </c>
      <c r="AB50" s="142" t="str">
        <f t="shared" si="2"/>
        <v/>
      </c>
      <c r="AC50" s="140"/>
      <c r="AD50" s="138"/>
      <c r="AE50" s="142" t="str">
        <f t="shared" si="3"/>
        <v/>
      </c>
      <c r="AF50" s="141">
        <f t="shared" si="4"/>
        <v>0</v>
      </c>
      <c r="AG50" s="138"/>
      <c r="AH50" s="142" t="str">
        <f t="shared" si="5"/>
        <v/>
      </c>
      <c r="AI50" s="141">
        <f t="shared" si="6"/>
        <v>0</v>
      </c>
      <c r="AJ50" s="462">
        <f t="shared" si="7"/>
        <v>0</v>
      </c>
      <c r="AK50" s="463">
        <f t="shared" si="8"/>
        <v>0</v>
      </c>
      <c r="AL50" s="464">
        <f t="shared" si="9"/>
        <v>0</v>
      </c>
      <c r="AM50" s="465">
        <f t="shared" si="10"/>
        <v>0</v>
      </c>
      <c r="AN50" s="466">
        <f t="shared" si="11"/>
        <v>0</v>
      </c>
      <c r="AO50" s="11"/>
    </row>
    <row r="51" spans="1:41" x14ac:dyDescent="0.25">
      <c r="A51" s="65" t="s">
        <v>31</v>
      </c>
      <c r="B51" s="66" t="s">
        <v>78</v>
      </c>
      <c r="C51" s="11"/>
      <c r="D51" s="11"/>
      <c r="E51" s="11"/>
      <c r="F51" s="11"/>
      <c r="G51" s="11"/>
      <c r="H51" s="185" t="s">
        <v>533</v>
      </c>
      <c r="I51" s="122" t="str">
        <f>IF(_epmOfflineCondition_,"T4",_xll.EVPRO($B$1,$H51,"STYLE"))</f>
        <v>T4</v>
      </c>
      <c r="J51" s="122" t="str">
        <f>IF(_epmOfflineCondition_,"Y",_xll.EVPRO($B$1,$H51,"CALC"))</f>
        <v>Y</v>
      </c>
      <c r="K51" s="179" t="str">
        <f t="shared" si="0"/>
        <v>&gt;</v>
      </c>
      <c r="L51" s="90" t="str">
        <f>IF(_epmOfflineCondition_,"751200",_xll.EVPRO($B$1,H51,"JDEID"))</f>
        <v>751200</v>
      </c>
      <c r="M51" s="90" t="str">
        <f>IF(_epmOfflineCondition_,"",IF(AND(I51="N",J51="N"),_xll.EVPRO($B$1,H51,"PSFTID"),""))</f>
        <v/>
      </c>
      <c r="N51" s="90" t="str">
        <f>IF(_epmOfflineCondition_,"Property Insurance",IF(_xll.EVDES(H51,$B$1)="#NODATA","",_xll.EVDES(H51,$B$1)))</f>
        <v>Property Insurance</v>
      </c>
      <c r="O51" s="138">
        <v>62880.73</v>
      </c>
      <c r="P51" s="138">
        <v>62880.73</v>
      </c>
      <c r="Q51" s="138">
        <v>62880.73</v>
      </c>
      <c r="R51" s="138">
        <v>62880.73</v>
      </c>
      <c r="S51" s="138">
        <v>62880.73</v>
      </c>
      <c r="T51" s="138">
        <v>62880.73</v>
      </c>
      <c r="U51" s="138">
        <v>62880.78</v>
      </c>
      <c r="V51" s="138">
        <v>97457.12</v>
      </c>
      <c r="W51" s="138">
        <v>97457.06</v>
      </c>
      <c r="X51" s="138">
        <v>97457.06</v>
      </c>
      <c r="Y51" s="138">
        <v>97457.06</v>
      </c>
      <c r="Z51" s="138">
        <v>97457.06</v>
      </c>
      <c r="AA51" s="138">
        <f t="shared" si="1"/>
        <v>927450.52000000025</v>
      </c>
      <c r="AB51" s="142">
        <f t="shared" si="2"/>
        <v>6.2951668849909714E-2</v>
      </c>
      <c r="AC51" s="140"/>
      <c r="AD51" s="138">
        <v>744900</v>
      </c>
      <c r="AE51" s="142">
        <f t="shared" si="3"/>
        <v>5.0932005395554814E-2</v>
      </c>
      <c r="AF51" s="141">
        <f t="shared" si="4"/>
        <v>182550.52000000025</v>
      </c>
      <c r="AG51" s="138">
        <v>731544.72</v>
      </c>
      <c r="AH51" s="142">
        <f t="shared" si="5"/>
        <v>6.1440660111626424E-2</v>
      </c>
      <c r="AI51" s="141">
        <f t="shared" si="6"/>
        <v>195905.80000000028</v>
      </c>
      <c r="AJ51" s="462">
        <f t="shared" si="7"/>
        <v>19.249699460357</v>
      </c>
      <c r="AK51" s="463">
        <f t="shared" si="8"/>
        <v>15.46077210460772</v>
      </c>
      <c r="AL51" s="464">
        <f t="shared" si="9"/>
        <v>15.183576587795764</v>
      </c>
      <c r="AM51" s="465" t="str">
        <f t="shared" si="10"/>
        <v>1.2 pts.</v>
      </c>
      <c r="AN51" s="466" t="str">
        <f t="shared" si="11"/>
        <v>0.15 pts.</v>
      </c>
      <c r="AO51" s="11"/>
    </row>
    <row r="52" spans="1:41" x14ac:dyDescent="0.25">
      <c r="A52" s="65" t="s">
        <v>32</v>
      </c>
      <c r="B52" s="66"/>
      <c r="C52" s="11"/>
      <c r="D52" s="11"/>
      <c r="E52" s="11"/>
      <c r="F52" s="11"/>
      <c r="G52" s="11"/>
      <c r="H52" s="88" t="s">
        <v>534</v>
      </c>
      <c r="I52" s="122" t="str">
        <f>IF(_epmOfflineCondition_,"T4",_xll.EVPRO($B$1,$H52,"STYLE"))</f>
        <v>T4</v>
      </c>
      <c r="J52" s="122" t="str">
        <f>IF(_epmOfflineCondition_,"Y",_xll.EVPRO($B$1,$H52,"CALC"))</f>
        <v>Y</v>
      </c>
      <c r="K52" s="179" t="str">
        <f t="shared" si="0"/>
        <v>&gt;</v>
      </c>
      <c r="L52" s="90" t="str">
        <f>IF(_epmOfflineCondition_,"751300",_xll.EVPRO($B$1,H52,"JDEID"))</f>
        <v>751300</v>
      </c>
      <c r="M52" s="90" t="str">
        <f>IF(_epmOfflineCondition_,"",IF(AND(I52="N",J52="N"),_xll.EVPRO($B$1,H52,"PSFTID"),""))</f>
        <v/>
      </c>
      <c r="N52" s="90" t="str">
        <f>IF(_epmOfflineCondition_,"Liability Insurance",IF(_xll.EVDES(H52,$B$1)="#NODATA","",_xll.EVDES(H52,$B$1)))</f>
        <v>Liability Insurance</v>
      </c>
      <c r="O52" s="138">
        <v>4567.8900000000003</v>
      </c>
      <c r="P52" s="138">
        <v>1882.41</v>
      </c>
      <c r="Q52" s="138">
        <v>4567.8900000000003</v>
      </c>
      <c r="R52" s="138">
        <v>4567.8900000000003</v>
      </c>
      <c r="S52" s="138">
        <v>4567.8900000000003</v>
      </c>
      <c r="T52" s="138">
        <v>4785.04</v>
      </c>
      <c r="U52" s="138">
        <v>4567.8900000000003</v>
      </c>
      <c r="V52" s="138">
        <v>4567.8900000000003</v>
      </c>
      <c r="W52" s="138">
        <v>-3064.35</v>
      </c>
      <c r="X52" s="138">
        <v>2659.83</v>
      </c>
      <c r="Y52" s="138">
        <v>4659.99</v>
      </c>
      <c r="Z52" s="138">
        <v>2659.91</v>
      </c>
      <c r="AA52" s="138">
        <f t="shared" si="1"/>
        <v>40990.17</v>
      </c>
      <c r="AB52" s="142">
        <f t="shared" si="2"/>
        <v>2.7822504298574361E-3</v>
      </c>
      <c r="AC52" s="140"/>
      <c r="AD52" s="138">
        <v>53760</v>
      </c>
      <c r="AE52" s="142">
        <f t="shared" si="3"/>
        <v>3.6758015976171656E-3</v>
      </c>
      <c r="AF52" s="141">
        <f t="shared" si="4"/>
        <v>-12769.830000000002</v>
      </c>
      <c r="AG52" s="138">
        <v>50855.44</v>
      </c>
      <c r="AH52" s="142">
        <f t="shared" si="5"/>
        <v>4.2712245997308428E-3</v>
      </c>
      <c r="AI52" s="141">
        <f t="shared" si="6"/>
        <v>-9865.2700000000041</v>
      </c>
      <c r="AJ52" s="462">
        <f t="shared" si="7"/>
        <v>0.85077148194271479</v>
      </c>
      <c r="AK52" s="463">
        <f t="shared" si="8"/>
        <v>1.1158156911581569</v>
      </c>
      <c r="AL52" s="464">
        <f t="shared" si="9"/>
        <v>1.0555300954753011</v>
      </c>
      <c r="AM52" s="465" t="str">
        <f t="shared" si="10"/>
        <v>-0.09 pts.</v>
      </c>
      <c r="AN52" s="466" t="str">
        <f t="shared" si="11"/>
        <v>-0.15 pts.</v>
      </c>
      <c r="AO52" s="11"/>
    </row>
    <row r="53" spans="1:41" x14ac:dyDescent="0.25">
      <c r="A53" s="65" t="s">
        <v>33</v>
      </c>
      <c r="B53" s="66"/>
      <c r="C53" s="11"/>
      <c r="D53" s="11"/>
      <c r="E53" s="11"/>
      <c r="F53" s="11"/>
      <c r="G53" s="11"/>
      <c r="H53" s="88" t="s">
        <v>535</v>
      </c>
      <c r="I53" s="122" t="str">
        <f>IF(_epmOfflineCondition_,"T4",_xll.EVPRO($B$1,$H53,"STYLE"))</f>
        <v>T4</v>
      </c>
      <c r="J53" s="122" t="str">
        <f>IF(_epmOfflineCondition_,"Y",_xll.EVPRO($B$1,$H53,"CALC"))</f>
        <v>Y</v>
      </c>
      <c r="K53" s="179" t="str">
        <f t="shared" si="0"/>
        <v>&gt;</v>
      </c>
      <c r="L53" s="90" t="str">
        <f>IF(_epmOfflineCondition_,"751400",_xll.EVPRO($B$1,H53,"JDEID"))</f>
        <v>751400</v>
      </c>
      <c r="M53" s="90" t="str">
        <f>IF(_epmOfflineCondition_,"",IF(AND(I53="N",J53="N"),_xll.EVPRO($B$1,H53,"PSFTID"),""))</f>
        <v/>
      </c>
      <c r="N53" s="90" t="str">
        <f>IF(_epmOfflineCondition_,"Flood Insurance",IF(_xll.EVDES(H53,$B$1)="#NODATA","",_xll.EVDES(H53,$B$1)))</f>
        <v>Flood Insurance</v>
      </c>
      <c r="O53" s="138">
        <v>2337.4</v>
      </c>
      <c r="P53" s="138">
        <v>948.38</v>
      </c>
      <c r="Q53" s="138">
        <v>2812.57</v>
      </c>
      <c r="R53" s="138">
        <v>2812.57</v>
      </c>
      <c r="S53" s="138">
        <v>2812.57</v>
      </c>
      <c r="T53" s="138">
        <v>2911.41</v>
      </c>
      <c r="U53" s="138">
        <v>2911.41</v>
      </c>
      <c r="V53" s="138">
        <v>2934.53</v>
      </c>
      <c r="W53" s="138">
        <v>3094.82</v>
      </c>
      <c r="X53" s="138">
        <v>3094.74</v>
      </c>
      <c r="Y53" s="138">
        <v>3094.74</v>
      </c>
      <c r="Z53" s="138">
        <v>3094.74</v>
      </c>
      <c r="AA53" s="138">
        <f t="shared" si="1"/>
        <v>32859.87999999999</v>
      </c>
      <c r="AB53" s="142">
        <f t="shared" si="2"/>
        <v>2.2303985383584344E-3</v>
      </c>
      <c r="AC53" s="140"/>
      <c r="AD53" s="138">
        <v>41398.879999999997</v>
      </c>
      <c r="AE53" s="142">
        <f t="shared" si="3"/>
        <v>2.8306188475364829E-3</v>
      </c>
      <c r="AF53" s="141">
        <f t="shared" si="4"/>
        <v>-8539.0000000000073</v>
      </c>
      <c r="AG53" s="138">
        <v>40622.089999999997</v>
      </c>
      <c r="AH53" s="142">
        <f t="shared" si="5"/>
        <v>3.4117504459794321E-3</v>
      </c>
      <c r="AI53" s="141">
        <f t="shared" si="6"/>
        <v>-7762.2100000000064</v>
      </c>
      <c r="AJ53" s="462">
        <f t="shared" si="7"/>
        <v>0.68202324616023224</v>
      </c>
      <c r="AK53" s="463">
        <f t="shared" si="8"/>
        <v>0.85925446243254455</v>
      </c>
      <c r="AL53" s="464">
        <f t="shared" si="9"/>
        <v>0.84313179742631794</v>
      </c>
      <c r="AM53" s="465" t="str">
        <f t="shared" si="10"/>
        <v>-0.06 pts.</v>
      </c>
      <c r="AN53" s="466" t="str">
        <f t="shared" si="11"/>
        <v>-0.12 pts.</v>
      </c>
      <c r="AO53" s="11"/>
    </row>
    <row r="54" spans="1:41" x14ac:dyDescent="0.25">
      <c r="A54" s="65" t="s">
        <v>34</v>
      </c>
      <c r="B54" s="66"/>
      <c r="C54" s="11"/>
      <c r="D54" s="11"/>
      <c r="E54" s="11"/>
      <c r="F54" s="11"/>
      <c r="G54" s="11"/>
      <c r="H54" s="88" t="s">
        <v>536</v>
      </c>
      <c r="I54" s="122" t="str">
        <f>IF(_epmOfflineCondition_,"T4",_xll.EVPRO($B$1,$H54,"STYLE"))</f>
        <v>T4</v>
      </c>
      <c r="J54" s="122" t="str">
        <f>IF(_epmOfflineCondition_,"Y",_xll.EVPRO($B$1,$H54,"CALC"))</f>
        <v>Y</v>
      </c>
      <c r="K54" s="179" t="str">
        <f t="shared" si="0"/>
        <v>&gt;</v>
      </c>
      <c r="L54" s="90" t="str">
        <f>IF(_epmOfflineCondition_,"751500",_xll.EVPRO($B$1,H54,"JDEID"))</f>
        <v>751500</v>
      </c>
      <c r="M54" s="90" t="str">
        <f>IF(_epmOfflineCondition_,"",IF(AND(I54="N",J54="N"),_xll.EVPRO($B$1,H54,"PSFTID"),""))</f>
        <v/>
      </c>
      <c r="N54" s="90" t="str">
        <f>IF(_epmOfflineCondition_,"Other Insurance",IF(_xll.EVDES(H54,$B$1)="#NODATA","",_xll.EVDES(H54,$B$1)))</f>
        <v>Other Insurance</v>
      </c>
      <c r="O54" s="215">
        <v>711.45</v>
      </c>
      <c r="P54" s="215">
        <v>290.42</v>
      </c>
      <c r="Q54" s="215">
        <v>711.45</v>
      </c>
      <c r="R54" s="215">
        <v>711.45</v>
      </c>
      <c r="S54" s="215">
        <v>711.45</v>
      </c>
      <c r="T54" s="215">
        <v>787.71</v>
      </c>
      <c r="U54" s="215">
        <v>711.45</v>
      </c>
      <c r="V54" s="215">
        <v>1408.05</v>
      </c>
      <c r="W54" s="215">
        <v>2701.65</v>
      </c>
      <c r="X54" s="215">
        <v>1731.44</v>
      </c>
      <c r="Y54" s="215">
        <v>1731.46</v>
      </c>
      <c r="Z54" s="215">
        <v>1731.45</v>
      </c>
      <c r="AA54" s="215">
        <f t="shared" si="1"/>
        <v>13939.43</v>
      </c>
      <c r="AB54" s="217">
        <f t="shared" si="2"/>
        <v>9.4615331211038271E-4</v>
      </c>
      <c r="AC54" s="140"/>
      <c r="AD54" s="215">
        <v>9429</v>
      </c>
      <c r="AE54" s="217">
        <f t="shared" si="3"/>
        <v>6.4470113958207324E-4</v>
      </c>
      <c r="AF54" s="218">
        <f t="shared" si="4"/>
        <v>4510.43</v>
      </c>
      <c r="AG54" s="215">
        <v>8721.84</v>
      </c>
      <c r="AH54" s="217">
        <f t="shared" si="5"/>
        <v>7.3252610857199249E-4</v>
      </c>
      <c r="AI54" s="218">
        <f t="shared" si="6"/>
        <v>5217.59</v>
      </c>
      <c r="AJ54" s="471">
        <f t="shared" si="7"/>
        <v>0.28931984225819846</v>
      </c>
      <c r="AK54" s="472">
        <f t="shared" si="8"/>
        <v>0.1957036114570361</v>
      </c>
      <c r="AL54" s="473">
        <f t="shared" si="9"/>
        <v>0.18102615193026153</v>
      </c>
      <c r="AM54" s="474" t="str">
        <f t="shared" si="10"/>
        <v>0.03 pts.</v>
      </c>
      <c r="AN54" s="475" t="str">
        <f t="shared" si="11"/>
        <v>0.02 pts.</v>
      </c>
      <c r="AO54" s="11"/>
    </row>
    <row r="55" spans="1:41" x14ac:dyDescent="0.25">
      <c r="A55" s="65" t="s">
        <v>35</v>
      </c>
      <c r="B55" s="66"/>
      <c r="C55" s="11"/>
      <c r="D55" s="11"/>
      <c r="E55" s="11"/>
      <c r="F55" s="11"/>
      <c r="G55" s="11"/>
      <c r="H55" s="88" t="s">
        <v>537</v>
      </c>
      <c r="I55" s="188" t="str">
        <f>IF(_epmOfflineCondition_,"T3",_xll.EVPRO($B$1,$H55,"STYLE"))</f>
        <v>T3</v>
      </c>
      <c r="J55" s="188" t="str">
        <f>IF(_epmOfflineCondition_,"Y",_xll.EVPRO($B$1,$H55,"CALC"))</f>
        <v>Y</v>
      </c>
      <c r="K55" s="189" t="str">
        <f t="shared" si="0"/>
        <v/>
      </c>
      <c r="L55" s="190" t="str">
        <f>IF(_epmOfflineCondition_,"751000",_xll.EVPRO($B$1,H55,"JDEID"))</f>
        <v>751000</v>
      </c>
      <c r="M55" s="190" t="str">
        <f>IF(_epmOfflineCondition_,"",IF(AND(I55="N",J55="N"),_xll.EVPRO($B$1,H55,"PSFTID"),""))</f>
        <v/>
      </c>
      <c r="N55" s="190" t="str">
        <f>IF(_epmOfflineCondition_,"Total Insurance",IF(_xll.EVDES(H55,$B$1)="#NODATA","",_xll.EVDES(H55,$B$1)))</f>
        <v>Total Insurance</v>
      </c>
      <c r="O55" s="150">
        <v>70497.47</v>
      </c>
      <c r="P55" s="150">
        <v>66001.94</v>
      </c>
      <c r="Q55" s="150">
        <v>70972.639999999999</v>
      </c>
      <c r="R55" s="150">
        <v>70972.639999999999</v>
      </c>
      <c r="S55" s="150">
        <v>70972.639999999999</v>
      </c>
      <c r="T55" s="150">
        <v>71364.89</v>
      </c>
      <c r="U55" s="150">
        <v>71071.53</v>
      </c>
      <c r="V55" s="150">
        <v>106367.59</v>
      </c>
      <c r="W55" s="150">
        <v>100189.18</v>
      </c>
      <c r="X55" s="150">
        <v>104943.07</v>
      </c>
      <c r="Y55" s="150">
        <v>106943.25</v>
      </c>
      <c r="Z55" s="150">
        <v>104943.16</v>
      </c>
      <c r="AA55" s="150">
        <f t="shared" si="1"/>
        <v>1015240.0000000001</v>
      </c>
      <c r="AB55" s="151">
        <f t="shared" si="2"/>
        <v>6.8910471130235962E-2</v>
      </c>
      <c r="AC55" s="244"/>
      <c r="AD55" s="150">
        <v>849487.88</v>
      </c>
      <c r="AE55" s="151">
        <f t="shared" si="3"/>
        <v>5.8083126980290535E-2</v>
      </c>
      <c r="AF55" s="152">
        <f t="shared" si="4"/>
        <v>165752.12000000011</v>
      </c>
      <c r="AG55" s="150">
        <v>831744.09</v>
      </c>
      <c r="AH55" s="151">
        <f t="shared" si="5"/>
        <v>6.9856161265908698E-2</v>
      </c>
      <c r="AI55" s="152">
        <f t="shared" si="6"/>
        <v>183495.91000000015</v>
      </c>
      <c r="AJ55" s="250">
        <f t="shared" si="7"/>
        <v>21.071814030718144</v>
      </c>
      <c r="AK55" s="251">
        <f t="shared" si="8"/>
        <v>17.631545869655458</v>
      </c>
      <c r="AL55" s="253">
        <f t="shared" si="9"/>
        <v>17.263264632627646</v>
      </c>
      <c r="AM55" s="433" t="str">
        <f t="shared" si="10"/>
        <v>1.08 pts.</v>
      </c>
      <c r="AN55" s="614" t="str">
        <f t="shared" si="11"/>
        <v>-0.09 pts.</v>
      </c>
      <c r="AO55" s="11"/>
    </row>
    <row r="56" spans="1:41" x14ac:dyDescent="0.25">
      <c r="A56" s="65" t="s">
        <v>36</v>
      </c>
      <c r="B56" s="66"/>
      <c r="C56" s="11"/>
      <c r="D56" s="11"/>
      <c r="E56" s="11"/>
      <c r="F56" s="11"/>
      <c r="G56" s="11"/>
      <c r="H56" s="88" t="s">
        <v>545</v>
      </c>
      <c r="I56" s="607" t="str">
        <f>IF(_epmOfflineCondition_,"B1",_xll.EVPRO($B$1,$H56,"STYLE"))</f>
        <v>B1</v>
      </c>
      <c r="J56" s="607" t="str">
        <f>IF(_epmOfflineCondition_,"Y",_xll.EVPRO($B$1,$H56,"CALC"))</f>
        <v>Y</v>
      </c>
      <c r="K56" s="608" t="str">
        <f t="shared" si="0"/>
        <v/>
      </c>
      <c r="L56" s="608" t="str">
        <f>IF(_epmOfflineCondition_,"",_xll.EVPRO($B$1,H56,"JDEID"))</f>
        <v/>
      </c>
      <c r="M56" s="608" t="str">
        <f>IF(_epmOfflineCondition_,"",IF(AND(I56="N",J56="N"),_xll.EVPRO($B$1,H56,"PSFTID"),""))</f>
        <v/>
      </c>
      <c r="N56" s="608" t="str">
        <f>IF(_epmOfflineCondition_,"Other",IF(_xll.EVDES(H56,$B$1)="#NODATA","",_xll.EVDES(H56,$B$1)))</f>
        <v>Other</v>
      </c>
      <c r="O56" s="138"/>
      <c r="P56" s="138"/>
      <c r="Q56" s="138"/>
      <c r="R56" s="138"/>
      <c r="S56" s="138"/>
      <c r="T56" s="138"/>
      <c r="U56" s="138"/>
      <c r="V56" s="138"/>
      <c r="W56" s="138"/>
      <c r="X56" s="138"/>
      <c r="Y56" s="138"/>
      <c r="Z56" s="138"/>
      <c r="AA56" s="138" t="str">
        <f t="shared" si="1"/>
        <v/>
      </c>
      <c r="AB56" s="142" t="str">
        <f t="shared" si="2"/>
        <v/>
      </c>
      <c r="AC56" s="140"/>
      <c r="AD56" s="138"/>
      <c r="AE56" s="142" t="str">
        <f t="shared" si="3"/>
        <v/>
      </c>
      <c r="AF56" s="141" t="str">
        <f t="shared" si="4"/>
        <v/>
      </c>
      <c r="AG56" s="138"/>
      <c r="AH56" s="142" t="str">
        <f t="shared" si="5"/>
        <v/>
      </c>
      <c r="AI56" s="141" t="str">
        <f t="shared" si="6"/>
        <v/>
      </c>
      <c r="AJ56" s="462">
        <f t="shared" si="7"/>
        <v>0</v>
      </c>
      <c r="AK56" s="463">
        <f t="shared" si="8"/>
        <v>0</v>
      </c>
      <c r="AL56" s="464">
        <f t="shared" si="9"/>
        <v>0</v>
      </c>
      <c r="AM56" s="465">
        <f t="shared" si="10"/>
        <v>0</v>
      </c>
      <c r="AN56" s="466">
        <f t="shared" si="11"/>
        <v>0</v>
      </c>
      <c r="AO56" s="11"/>
    </row>
    <row r="57" spans="1:41" x14ac:dyDescent="0.25">
      <c r="A57" s="65" t="s">
        <v>37</v>
      </c>
      <c r="B57" s="66"/>
      <c r="C57" s="11"/>
      <c r="D57" s="11"/>
      <c r="E57" s="11"/>
      <c r="F57" s="11"/>
      <c r="G57" s="11"/>
      <c r="H57" s="88" t="s">
        <v>538</v>
      </c>
      <c r="I57" s="122" t="str">
        <f>IF(_epmOfflineCondition_,"N",_xll.EVPRO($B$1,$H57,"STYLE"))</f>
        <v>N</v>
      </c>
      <c r="J57" s="122" t="str">
        <f>IF(_epmOfflineCondition_,"N",_xll.EVPRO($B$1,$H57,"CALC"))</f>
        <v>N</v>
      </c>
      <c r="K57" s="179" t="str">
        <f t="shared" si="0"/>
        <v/>
      </c>
      <c r="L57" s="90" t="str">
        <f>IF(_epmOfflineCondition_,"801290",_xll.EVPRO($B$1,H57,"JDEID"))</f>
        <v>801290</v>
      </c>
      <c r="M57" s="90" t="str">
        <f>IF(_epmOfflineCondition_,"690850",IF(AND(I57="N",J57="N"),_xll.EVPRO($B$1,H57,"PSFTID"),""))</f>
        <v>690850</v>
      </c>
      <c r="N57" s="90" t="str">
        <f>IF(_epmOfflineCondition_,"Cost Recovery Expense (CAM)",IF(_xll.EVDES(H57,$B$1)="#NODATA","",_xll.EVDES(H57,$B$1)))</f>
        <v>Cost Recovery Expense (CAM)</v>
      </c>
      <c r="O57" s="138"/>
      <c r="P57" s="138"/>
      <c r="Q57" s="138"/>
      <c r="R57" s="138"/>
      <c r="S57" s="138"/>
      <c r="T57" s="138"/>
      <c r="U57" s="138"/>
      <c r="V57" s="138"/>
      <c r="W57" s="138"/>
      <c r="X57" s="138"/>
      <c r="Y57" s="138"/>
      <c r="Z57" s="138"/>
      <c r="AA57" s="138">
        <f t="shared" si="1"/>
        <v>0</v>
      </c>
      <c r="AB57" s="142" t="str">
        <f t="shared" si="2"/>
        <v/>
      </c>
      <c r="AC57" s="140"/>
      <c r="AD57" s="138"/>
      <c r="AE57" s="142" t="str">
        <f t="shared" si="3"/>
        <v/>
      </c>
      <c r="AF57" s="141">
        <f t="shared" si="4"/>
        <v>0</v>
      </c>
      <c r="AG57" s="138"/>
      <c r="AH57" s="142" t="str">
        <f t="shared" si="5"/>
        <v/>
      </c>
      <c r="AI57" s="141">
        <f t="shared" si="6"/>
        <v>0</v>
      </c>
      <c r="AJ57" s="462">
        <f t="shared" si="7"/>
        <v>0</v>
      </c>
      <c r="AK57" s="463">
        <f t="shared" si="8"/>
        <v>0</v>
      </c>
      <c r="AL57" s="464">
        <f t="shared" si="9"/>
        <v>0</v>
      </c>
      <c r="AM57" s="465">
        <f t="shared" si="10"/>
        <v>0</v>
      </c>
      <c r="AN57" s="466">
        <f t="shared" si="11"/>
        <v>0</v>
      </c>
      <c r="AO57" s="11"/>
    </row>
    <row r="58" spans="1:41" x14ac:dyDescent="0.25">
      <c r="A58" s="65" t="s">
        <v>38</v>
      </c>
      <c r="B58" s="66"/>
      <c r="C58" s="11"/>
      <c r="D58" s="11"/>
      <c r="E58" s="11"/>
      <c r="F58" s="11"/>
      <c r="G58" s="11"/>
      <c r="H58" s="88" t="s">
        <v>539</v>
      </c>
      <c r="I58" s="122" t="str">
        <f>IF(_epmOfflineCondition_,"N",_xll.EVPRO($B$1,$H58,"STYLE"))</f>
        <v>N</v>
      </c>
      <c r="J58" s="122" t="str">
        <f>IF(_epmOfflineCondition_,"N",_xll.EVPRO($B$1,$H58,"CALC"))</f>
        <v>N</v>
      </c>
      <c r="K58" s="179" t="str">
        <f t="shared" si="0"/>
        <v/>
      </c>
      <c r="L58" s="90" t="str">
        <f>IF(_epmOfflineCondition_,"801300",_xll.EVPRO($B$1,H58,"JDEID"))</f>
        <v>801300</v>
      </c>
      <c r="M58" s="90" t="str">
        <f>IF(_epmOfflineCondition_,"790095",IF(AND(I58="N",J58="N"),_xll.EVPRO($B$1,H58,"PSFTID"),""))</f>
        <v>790095</v>
      </c>
      <c r="N58" s="90" t="str">
        <f>IF(_epmOfflineCondition_,"Gain/Loss on Fixed Assets",IF(_xll.EVDES(H58,$B$1)="#NODATA","",_xll.EVDES(H58,$B$1)))</f>
        <v>Gain/Loss on Fixed Assets</v>
      </c>
      <c r="O58" s="138"/>
      <c r="P58" s="138"/>
      <c r="Q58" s="138"/>
      <c r="R58" s="138"/>
      <c r="S58" s="138"/>
      <c r="T58" s="138"/>
      <c r="U58" s="138"/>
      <c r="V58" s="138"/>
      <c r="W58" s="138"/>
      <c r="X58" s="138"/>
      <c r="Y58" s="138"/>
      <c r="Z58" s="138"/>
      <c r="AA58" s="138">
        <f t="shared" si="1"/>
        <v>0</v>
      </c>
      <c r="AB58" s="142" t="str">
        <f t="shared" si="2"/>
        <v/>
      </c>
      <c r="AC58" s="140"/>
      <c r="AD58" s="138"/>
      <c r="AE58" s="142" t="str">
        <f t="shared" si="3"/>
        <v/>
      </c>
      <c r="AF58" s="141">
        <f t="shared" si="4"/>
        <v>0</v>
      </c>
      <c r="AG58" s="138"/>
      <c r="AH58" s="142" t="str">
        <f t="shared" si="5"/>
        <v/>
      </c>
      <c r="AI58" s="141">
        <f t="shared" si="6"/>
        <v>0</v>
      </c>
      <c r="AJ58" s="462">
        <f t="shared" si="7"/>
        <v>0</v>
      </c>
      <c r="AK58" s="463">
        <f t="shared" si="8"/>
        <v>0</v>
      </c>
      <c r="AL58" s="464">
        <f t="shared" si="9"/>
        <v>0</v>
      </c>
      <c r="AM58" s="465">
        <f t="shared" si="10"/>
        <v>0</v>
      </c>
      <c r="AN58" s="466">
        <f t="shared" si="11"/>
        <v>0</v>
      </c>
      <c r="AO58" s="11"/>
    </row>
    <row r="59" spans="1:41" x14ac:dyDescent="0.25">
      <c r="A59" s="65" t="s">
        <v>39</v>
      </c>
      <c r="B59" s="66"/>
      <c r="C59" s="11"/>
      <c r="D59" s="11"/>
      <c r="E59" s="11"/>
      <c r="F59" s="11"/>
      <c r="G59" s="11"/>
      <c r="H59" s="88" t="s">
        <v>786</v>
      </c>
      <c r="I59" s="122" t="str">
        <f>IF(_epmOfflineCondition_,"N",_xll.EVPRO($B$1,$H59,"STYLE"))</f>
        <v>N</v>
      </c>
      <c r="J59" s="122" t="str">
        <f>IF(_epmOfflineCondition_,"N",_xll.EVPRO($B$1,$H59,"CALC"))</f>
        <v>N</v>
      </c>
      <c r="K59" s="179" t="str">
        <f t="shared" si="0"/>
        <v/>
      </c>
      <c r="L59" s="90" t="str">
        <f>IF(_epmOfflineCondition_,"801310",_xll.EVPRO($B$1,H59,"JDEID"))</f>
        <v>801310</v>
      </c>
      <c r="M59" s="90" t="str">
        <f>IF(_epmOfflineCondition_,"790083",IF(AND(I59="N",J59="N"),_xll.EVPRO($B$1,H59,"PSFTID"),""))</f>
        <v>790083</v>
      </c>
      <c r="N59" s="90" t="str">
        <f>IF(_epmOfflineCondition_,"Lease Asset Impairment",IF(_xll.EVDES(H59,$B$1)="#NODATA","",_xll.EVDES(H59,$B$1)))</f>
        <v>Lease Asset Impairment</v>
      </c>
      <c r="O59" s="138"/>
      <c r="P59" s="138"/>
      <c r="Q59" s="138"/>
      <c r="R59" s="138"/>
      <c r="S59" s="138"/>
      <c r="T59" s="138"/>
      <c r="U59" s="138"/>
      <c r="V59" s="138"/>
      <c r="W59" s="138"/>
      <c r="X59" s="138"/>
      <c r="Y59" s="138"/>
      <c r="Z59" s="138"/>
      <c r="AA59" s="138">
        <f t="shared" si="1"/>
        <v>0</v>
      </c>
      <c r="AB59" s="142" t="str">
        <f t="shared" si="2"/>
        <v/>
      </c>
      <c r="AC59" s="140"/>
      <c r="AD59" s="138"/>
      <c r="AE59" s="142" t="str">
        <f t="shared" si="3"/>
        <v/>
      </c>
      <c r="AF59" s="141">
        <f t="shared" si="4"/>
        <v>0</v>
      </c>
      <c r="AG59" s="138"/>
      <c r="AH59" s="142" t="str">
        <f t="shared" si="5"/>
        <v/>
      </c>
      <c r="AI59" s="141">
        <f t="shared" si="6"/>
        <v>0</v>
      </c>
      <c r="AJ59" s="462">
        <f t="shared" si="7"/>
        <v>0</v>
      </c>
      <c r="AK59" s="463">
        <f t="shared" si="8"/>
        <v>0</v>
      </c>
      <c r="AL59" s="464">
        <f t="shared" si="9"/>
        <v>0</v>
      </c>
      <c r="AM59" s="465">
        <f t="shared" si="10"/>
        <v>0</v>
      </c>
      <c r="AN59" s="466">
        <f t="shared" si="11"/>
        <v>0</v>
      </c>
      <c r="AO59" s="11"/>
    </row>
    <row r="60" spans="1:41" x14ac:dyDescent="0.25">
      <c r="A60" s="65" t="s">
        <v>40</v>
      </c>
      <c r="B60" s="66"/>
      <c r="C60" s="11"/>
      <c r="D60" s="11"/>
      <c r="E60" s="11"/>
      <c r="F60" s="11"/>
      <c r="G60" s="11"/>
      <c r="H60" s="88" t="s">
        <v>894</v>
      </c>
      <c r="I60" s="122" t="str">
        <f>IF(_epmOfflineCondition_,"N",_xll.EVPRO($B$1,$H60,"STYLE"))</f>
        <v>N</v>
      </c>
      <c r="J60" s="122" t="str">
        <f>IF(_epmOfflineCondition_,"N",_xll.EVPRO($B$1,$H60,"CALC"))</f>
        <v>N</v>
      </c>
      <c r="K60" s="179" t="str">
        <f t="shared" si="0"/>
        <v/>
      </c>
      <c r="L60" s="90" t="str">
        <f>IF(_epmOfflineCondition_,"801314",_xll.EVPRO($B$1,H60,"JDEID"))</f>
        <v>801314</v>
      </c>
      <c r="M60" s="90" t="str">
        <f>IF(_epmOfflineCondition_,"790081",IF(AND(I60="N",J60="N"),_xll.EVPRO($B$1,H60,"PSFTID"),""))</f>
        <v>790081</v>
      </c>
      <c r="N60" s="90" t="str">
        <f>IF(_epmOfflineCondition_,"Gain/Loss Disposal - Property Lease",IF(_xll.EVDES(H60,$B$1)="#NODATA","",_xll.EVDES(H60,$B$1)))</f>
        <v>Gain/Loss Disposal - Property Lease</v>
      </c>
      <c r="O60" s="138"/>
      <c r="P60" s="138"/>
      <c r="Q60" s="138"/>
      <c r="R60" s="138"/>
      <c r="S60" s="138"/>
      <c r="T60" s="138"/>
      <c r="U60" s="138"/>
      <c r="V60" s="138"/>
      <c r="W60" s="138"/>
      <c r="X60" s="138"/>
      <c r="Y60" s="138"/>
      <c r="Z60" s="138"/>
      <c r="AA60" s="138">
        <f t="shared" si="1"/>
        <v>0</v>
      </c>
      <c r="AB60" s="142" t="str">
        <f t="shared" si="2"/>
        <v/>
      </c>
      <c r="AC60" s="140"/>
      <c r="AD60" s="138"/>
      <c r="AE60" s="142" t="str">
        <f t="shared" si="3"/>
        <v/>
      </c>
      <c r="AF60" s="141">
        <f t="shared" si="4"/>
        <v>0</v>
      </c>
      <c r="AG60" s="138"/>
      <c r="AH60" s="142" t="str">
        <f t="shared" si="5"/>
        <v/>
      </c>
      <c r="AI60" s="141">
        <f t="shared" si="6"/>
        <v>0</v>
      </c>
      <c r="AJ60" s="462">
        <f t="shared" si="7"/>
        <v>0</v>
      </c>
      <c r="AK60" s="463">
        <f t="shared" si="8"/>
        <v>0</v>
      </c>
      <c r="AL60" s="464">
        <f t="shared" si="9"/>
        <v>0</v>
      </c>
      <c r="AM60" s="465">
        <f t="shared" si="10"/>
        <v>0</v>
      </c>
      <c r="AN60" s="466">
        <f t="shared" si="11"/>
        <v>0</v>
      </c>
      <c r="AO60" s="11"/>
    </row>
    <row r="61" spans="1:41" x14ac:dyDescent="0.25">
      <c r="A61" s="65" t="s">
        <v>41</v>
      </c>
      <c r="B61" s="66"/>
      <c r="C61" s="11"/>
      <c r="D61" s="11"/>
      <c r="E61" s="11"/>
      <c r="F61" s="11"/>
      <c r="G61" s="11"/>
      <c r="H61" s="88" t="s">
        <v>801</v>
      </c>
      <c r="I61" s="122" t="str">
        <f>IF(_epmOfflineCondition_,"N",_xll.EVPRO($B$1,$H61,"STYLE"))</f>
        <v>N</v>
      </c>
      <c r="J61" s="122" t="str">
        <f>IF(_epmOfflineCondition_,"N",_xll.EVPRO($B$1,$H61,"CALC"))</f>
        <v>N</v>
      </c>
      <c r="K61" s="179" t="str">
        <f t="shared" si="0"/>
        <v/>
      </c>
      <c r="L61" s="90" t="str">
        <f>IF(_epmOfflineCondition_,"801315",_xll.EVPRO($B$1,H61,"JDEID"))</f>
        <v>801315</v>
      </c>
      <c r="M61" s="90" t="str">
        <f>IF(_epmOfflineCondition_,"790082",IF(AND(I61="N",J61="N"),_xll.EVPRO($B$1,H61,"PSFTID"),""))</f>
        <v>790082</v>
      </c>
      <c r="N61" s="90" t="str">
        <f>IF(_epmOfflineCondition_,"Gain/Loss Disposal - Other Lease",IF(_xll.EVDES(H61,$B$1)="#NODATA","",_xll.EVDES(H61,$B$1)))</f>
        <v>Gain/Loss Disposal - Other Lease</v>
      </c>
      <c r="O61" s="138"/>
      <c r="P61" s="138"/>
      <c r="Q61" s="138"/>
      <c r="R61" s="138"/>
      <c r="S61" s="138"/>
      <c r="T61" s="138"/>
      <c r="U61" s="138"/>
      <c r="V61" s="138"/>
      <c r="W61" s="138"/>
      <c r="X61" s="138"/>
      <c r="Y61" s="138"/>
      <c r="Z61" s="138"/>
      <c r="AA61" s="138">
        <f t="shared" si="1"/>
        <v>0</v>
      </c>
      <c r="AB61" s="142" t="str">
        <f t="shared" si="2"/>
        <v/>
      </c>
      <c r="AC61" s="140"/>
      <c r="AD61" s="138"/>
      <c r="AE61" s="142" t="str">
        <f t="shared" si="3"/>
        <v/>
      </c>
      <c r="AF61" s="141">
        <f t="shared" si="4"/>
        <v>0</v>
      </c>
      <c r="AG61" s="138"/>
      <c r="AH61" s="142" t="str">
        <f t="shared" si="5"/>
        <v/>
      </c>
      <c r="AI61" s="141">
        <f t="shared" si="6"/>
        <v>0</v>
      </c>
      <c r="AJ61" s="462">
        <f t="shared" si="7"/>
        <v>0</v>
      </c>
      <c r="AK61" s="463">
        <f t="shared" si="8"/>
        <v>0</v>
      </c>
      <c r="AL61" s="464">
        <f t="shared" si="9"/>
        <v>0</v>
      </c>
      <c r="AM61" s="465">
        <f t="shared" si="10"/>
        <v>0</v>
      </c>
      <c r="AN61" s="466">
        <f t="shared" si="11"/>
        <v>0</v>
      </c>
      <c r="AO61" s="11"/>
    </row>
    <row r="62" spans="1:41" x14ac:dyDescent="0.25">
      <c r="A62" s="65" t="s">
        <v>42</v>
      </c>
      <c r="B62" s="66"/>
      <c r="C62" s="11"/>
      <c r="D62" s="11"/>
      <c r="E62" s="11"/>
      <c r="F62" s="11"/>
      <c r="G62" s="11"/>
      <c r="H62" s="88" t="s">
        <v>769</v>
      </c>
      <c r="I62" s="122" t="str">
        <f>IF(_epmOfflineCondition_,"T4",_xll.EVPRO($B$1,$H62,"STYLE"))</f>
        <v>T4</v>
      </c>
      <c r="J62" s="122" t="str">
        <f>IF(_epmOfflineCondition_,"Y",_xll.EVPRO($B$1,$H62,"CALC"))</f>
        <v>Y</v>
      </c>
      <c r="K62" s="179" t="str">
        <f t="shared" si="0"/>
        <v>&gt;</v>
      </c>
      <c r="L62" s="90" t="str">
        <f>IF(_epmOfflineCondition_,"",_xll.EVPRO($B$1,H62,"JDEID"))</f>
        <v/>
      </c>
      <c r="M62" s="90" t="str">
        <f>IF(_epmOfflineCondition_,"",IF(AND(I62="N",J62="N"),_xll.EVPRO($B$1,H62,"PSFTID"),""))</f>
        <v/>
      </c>
      <c r="N62" s="90" t="str">
        <f>IF(_epmOfflineCondition_,"Owner's Expense",IF(_xll.EVDES(H62,$B$1)="#NODATA","",_xll.EVDES(H62,$B$1)))</f>
        <v>Owner's Expense</v>
      </c>
      <c r="O62" s="138"/>
      <c r="P62" s="138"/>
      <c r="Q62" s="138"/>
      <c r="R62" s="138"/>
      <c r="S62" s="138"/>
      <c r="T62" s="138"/>
      <c r="U62" s="138"/>
      <c r="V62" s="138"/>
      <c r="W62" s="138"/>
      <c r="X62" s="138"/>
      <c r="Y62" s="138"/>
      <c r="Z62" s="138"/>
      <c r="AA62" s="138">
        <f t="shared" si="1"/>
        <v>0</v>
      </c>
      <c r="AB62" s="142" t="str">
        <f t="shared" si="2"/>
        <v/>
      </c>
      <c r="AC62" s="140"/>
      <c r="AD62" s="138"/>
      <c r="AE62" s="142" t="str">
        <f t="shared" si="3"/>
        <v/>
      </c>
      <c r="AF62" s="141">
        <f t="shared" si="4"/>
        <v>0</v>
      </c>
      <c r="AG62" s="138"/>
      <c r="AH62" s="142" t="str">
        <f t="shared" si="5"/>
        <v/>
      </c>
      <c r="AI62" s="141">
        <f t="shared" si="6"/>
        <v>0</v>
      </c>
      <c r="AJ62" s="462">
        <f t="shared" si="7"/>
        <v>0</v>
      </c>
      <c r="AK62" s="463">
        <f t="shared" si="8"/>
        <v>0</v>
      </c>
      <c r="AL62" s="464">
        <f t="shared" si="9"/>
        <v>0</v>
      </c>
      <c r="AM62" s="465">
        <f t="shared" si="10"/>
        <v>0</v>
      </c>
      <c r="AN62" s="466">
        <f t="shared" si="11"/>
        <v>0</v>
      </c>
      <c r="AO62" s="11"/>
    </row>
    <row r="63" spans="1:41" x14ac:dyDescent="0.25">
      <c r="A63" s="65" t="s">
        <v>43</v>
      </c>
      <c r="B63" s="66"/>
      <c r="C63" s="11"/>
      <c r="D63" s="11"/>
      <c r="E63" s="11"/>
      <c r="F63" s="11"/>
      <c r="G63" s="11"/>
      <c r="H63" s="88" t="s">
        <v>540</v>
      </c>
      <c r="I63" s="122" t="str">
        <f>IF(_epmOfflineCondition_,"N",_xll.EVPRO($B$1,$H63,"STYLE"))</f>
        <v>N</v>
      </c>
      <c r="J63" s="122" t="str">
        <f>IF(_epmOfflineCondition_,"N",_xll.EVPRO($B$1,$H63,"CALC"))</f>
        <v>N</v>
      </c>
      <c r="K63" s="179" t="str">
        <f t="shared" si="0"/>
        <v/>
      </c>
      <c r="L63" s="90" t="str">
        <f>IF(_epmOfflineCondition_,"801360",_xll.EVPRO($B$1,H63,"JDEID"))</f>
        <v>801360</v>
      </c>
      <c r="M63" s="90" t="str">
        <f>IF(_epmOfflineCondition_,"890125",IF(AND(I63="N",J63="N"),_xll.EVPRO($B$1,H63,"PSFTID"),""))</f>
        <v>890125</v>
      </c>
      <c r="N63" s="90" t="str">
        <f>IF(_epmOfflineCondition_,"Unrealized Foreign Exchange Gain/Loss",IF(_xll.EVDES(H63,$B$1)="#NODATA","",_xll.EVDES(H63,$B$1)))</f>
        <v>Unrealized Foreign Exchange Gain/Loss</v>
      </c>
      <c r="O63" s="138"/>
      <c r="P63" s="138"/>
      <c r="Q63" s="138"/>
      <c r="R63" s="138"/>
      <c r="S63" s="138"/>
      <c r="T63" s="138"/>
      <c r="U63" s="138"/>
      <c r="V63" s="138"/>
      <c r="W63" s="138"/>
      <c r="X63" s="138"/>
      <c r="Y63" s="138"/>
      <c r="Z63" s="138"/>
      <c r="AA63" s="138">
        <f t="shared" si="1"/>
        <v>0</v>
      </c>
      <c r="AB63" s="142" t="str">
        <f t="shared" si="2"/>
        <v/>
      </c>
      <c r="AC63" s="140"/>
      <c r="AD63" s="138"/>
      <c r="AE63" s="142" t="str">
        <f t="shared" si="3"/>
        <v/>
      </c>
      <c r="AF63" s="141">
        <f t="shared" si="4"/>
        <v>0</v>
      </c>
      <c r="AG63" s="138"/>
      <c r="AH63" s="142" t="str">
        <f t="shared" si="5"/>
        <v/>
      </c>
      <c r="AI63" s="141">
        <f t="shared" si="6"/>
        <v>0</v>
      </c>
      <c r="AJ63" s="462">
        <f t="shared" si="7"/>
        <v>0</v>
      </c>
      <c r="AK63" s="463">
        <f t="shared" si="8"/>
        <v>0</v>
      </c>
      <c r="AL63" s="464">
        <f t="shared" si="9"/>
        <v>0</v>
      </c>
      <c r="AM63" s="465">
        <f t="shared" si="10"/>
        <v>0</v>
      </c>
      <c r="AN63" s="466">
        <f t="shared" si="11"/>
        <v>0</v>
      </c>
      <c r="AO63" s="11"/>
    </row>
    <row r="64" spans="1:41" x14ac:dyDescent="0.25">
      <c r="A64" s="65" t="s">
        <v>44</v>
      </c>
      <c r="B64" s="66"/>
      <c r="C64" s="11"/>
      <c r="D64" s="11"/>
      <c r="E64" s="11"/>
      <c r="F64" s="11"/>
      <c r="G64" s="11"/>
      <c r="H64" s="88" t="s">
        <v>541</v>
      </c>
      <c r="I64" s="122" t="str">
        <f>IF(_epmOfflineCondition_,"T4",_xll.EVPRO($B$1,$H64,"STYLE"))</f>
        <v>T4</v>
      </c>
      <c r="J64" s="122" t="str">
        <f>IF(_epmOfflineCondition_,"Y",_xll.EVPRO($B$1,$H64,"CALC"))</f>
        <v>Y</v>
      </c>
      <c r="K64" s="179" t="str">
        <f t="shared" si="0"/>
        <v>&gt;</v>
      </c>
      <c r="L64" s="90" t="str">
        <f>IF(_epmOfflineCondition_,"",_xll.EVPRO($B$1,H64,"JDEID"))</f>
        <v/>
      </c>
      <c r="M64" s="90" t="str">
        <f>IF(_epmOfflineCondition_,"",IF(AND(I64="N",J64="N"),_xll.EVPRO($B$1,H64,"PSFTID"),""))</f>
        <v/>
      </c>
      <c r="N64" s="90" t="str">
        <f>IF(_epmOfflineCondition_,"Miscellaneous Other",IF(_xll.EVDES(H64,$B$1)="#NODATA","",_xll.EVDES(H64,$B$1)))</f>
        <v>Miscellaneous Other</v>
      </c>
      <c r="O64" s="215"/>
      <c r="P64" s="215"/>
      <c r="Q64" s="215"/>
      <c r="R64" s="215"/>
      <c r="S64" s="215"/>
      <c r="T64" s="215"/>
      <c r="U64" s="215"/>
      <c r="V64" s="215"/>
      <c r="W64" s="215"/>
      <c r="X64" s="215"/>
      <c r="Y64" s="215"/>
      <c r="Z64" s="215"/>
      <c r="AA64" s="215">
        <f t="shared" si="1"/>
        <v>0</v>
      </c>
      <c r="AB64" s="217" t="str">
        <f t="shared" si="2"/>
        <v/>
      </c>
      <c r="AC64" s="140"/>
      <c r="AD64" s="215"/>
      <c r="AE64" s="217" t="str">
        <f t="shared" si="3"/>
        <v/>
      </c>
      <c r="AF64" s="218">
        <f t="shared" si="4"/>
        <v>0</v>
      </c>
      <c r="AG64" s="215"/>
      <c r="AH64" s="217" t="str">
        <f t="shared" si="5"/>
        <v/>
      </c>
      <c r="AI64" s="218">
        <f t="shared" si="6"/>
        <v>0</v>
      </c>
      <c r="AJ64" s="471">
        <f t="shared" si="7"/>
        <v>0</v>
      </c>
      <c r="AK64" s="472">
        <f t="shared" si="8"/>
        <v>0</v>
      </c>
      <c r="AL64" s="473">
        <f t="shared" si="9"/>
        <v>0</v>
      </c>
      <c r="AM64" s="474">
        <f t="shared" si="10"/>
        <v>0</v>
      </c>
      <c r="AN64" s="475">
        <f t="shared" si="11"/>
        <v>0</v>
      </c>
      <c r="AO64" s="11"/>
    </row>
    <row r="65" spans="1:41" x14ac:dyDescent="0.25">
      <c r="A65" s="65" t="s">
        <v>45</v>
      </c>
      <c r="B65" s="66"/>
      <c r="C65" s="11"/>
      <c r="D65" s="11"/>
      <c r="E65" s="11"/>
      <c r="F65" s="11"/>
      <c r="G65" s="11"/>
      <c r="H65" s="88" t="s">
        <v>542</v>
      </c>
      <c r="I65" s="188" t="str">
        <f>IF(_epmOfflineCondition_,"T3",_xll.EVPRO($B$1,$H65,"STYLE"))</f>
        <v>T3</v>
      </c>
      <c r="J65" s="188" t="str">
        <f>IF(_epmOfflineCondition_,"Y",_xll.EVPRO($B$1,$H65,"CALC"))</f>
        <v>Y</v>
      </c>
      <c r="K65" s="189" t="str">
        <f t="shared" si="0"/>
        <v/>
      </c>
      <c r="L65" s="190" t="str">
        <f>IF(_epmOfflineCondition_,"801000",_xll.EVPRO($B$1,H65,"JDEID"))</f>
        <v>801000</v>
      </c>
      <c r="M65" s="190" t="str">
        <f>IF(_epmOfflineCondition_,"",IF(AND(I65="N",J65="N"),_xll.EVPRO($B$1,H65,"PSFTID"),""))</f>
        <v/>
      </c>
      <c r="N65" s="190" t="str">
        <f>IF(_epmOfflineCondition_,"Total Other",IF(_xll.EVDES(H65,$B$1)="#NODATA","",_xll.EVDES(H65,$B$1)))</f>
        <v>Total Other</v>
      </c>
      <c r="O65" s="150"/>
      <c r="P65" s="150"/>
      <c r="Q65" s="150"/>
      <c r="R65" s="150"/>
      <c r="S65" s="150"/>
      <c r="T65" s="150"/>
      <c r="U65" s="150"/>
      <c r="V65" s="150"/>
      <c r="W65" s="150"/>
      <c r="X65" s="150"/>
      <c r="Y65" s="150"/>
      <c r="Z65" s="150"/>
      <c r="AA65" s="150">
        <f t="shared" si="1"/>
        <v>0</v>
      </c>
      <c r="AB65" s="151" t="str">
        <f t="shared" si="2"/>
        <v/>
      </c>
      <c r="AC65" s="244"/>
      <c r="AD65" s="150"/>
      <c r="AE65" s="151" t="str">
        <f t="shared" si="3"/>
        <v/>
      </c>
      <c r="AF65" s="152">
        <f t="shared" si="4"/>
        <v>0</v>
      </c>
      <c r="AG65" s="150"/>
      <c r="AH65" s="151" t="str">
        <f t="shared" si="5"/>
        <v/>
      </c>
      <c r="AI65" s="152">
        <f t="shared" si="6"/>
        <v>0</v>
      </c>
      <c r="AJ65" s="250">
        <f t="shared" si="7"/>
        <v>0</v>
      </c>
      <c r="AK65" s="251">
        <f t="shared" si="8"/>
        <v>0</v>
      </c>
      <c r="AL65" s="253">
        <f t="shared" si="9"/>
        <v>0</v>
      </c>
      <c r="AM65" s="433">
        <f t="shared" si="10"/>
        <v>0</v>
      </c>
      <c r="AN65" s="614">
        <f t="shared" si="11"/>
        <v>0</v>
      </c>
      <c r="AO65" s="11"/>
    </row>
    <row r="66" spans="1:41" x14ac:dyDescent="0.25">
      <c r="A66" s="65" t="s">
        <v>46</v>
      </c>
      <c r="B66" s="66"/>
      <c r="C66" s="11"/>
      <c r="D66" s="11"/>
      <c r="E66" s="11"/>
      <c r="F66" s="11"/>
      <c r="G66" s="11"/>
      <c r="H66" s="88"/>
      <c r="I66" s="89"/>
      <c r="J66" s="89"/>
      <c r="K66" s="265"/>
      <c r="L66" s="106"/>
      <c r="M66" s="106"/>
      <c r="N66" s="90" t="str">
        <f>N20</f>
        <v>Net Income-Development &amp; Renovation Projects</v>
      </c>
      <c r="O66" s="91">
        <f t="shared" ref="O66:Z66" si="12">O$20</f>
        <v>0</v>
      </c>
      <c r="P66" s="91">
        <f t="shared" si="12"/>
        <v>0</v>
      </c>
      <c r="Q66" s="91">
        <f t="shared" si="12"/>
        <v>0</v>
      </c>
      <c r="R66" s="91">
        <f t="shared" si="12"/>
        <v>0</v>
      </c>
      <c r="S66" s="91">
        <f t="shared" si="12"/>
        <v>0</v>
      </c>
      <c r="T66" s="91">
        <f t="shared" si="12"/>
        <v>0</v>
      </c>
      <c r="U66" s="91">
        <f t="shared" si="12"/>
        <v>0</v>
      </c>
      <c r="V66" s="91">
        <f t="shared" si="12"/>
        <v>0</v>
      </c>
      <c r="W66" s="91">
        <f t="shared" si="12"/>
        <v>0</v>
      </c>
      <c r="X66" s="91">
        <f t="shared" si="12"/>
        <v>0</v>
      </c>
      <c r="Y66" s="91">
        <f t="shared" si="12"/>
        <v>0</v>
      </c>
      <c r="Z66" s="91">
        <f t="shared" si="12"/>
        <v>0</v>
      </c>
      <c r="AA66" s="91">
        <f t="shared" si="1"/>
        <v>0</v>
      </c>
      <c r="AB66" s="100" t="str">
        <f t="shared" si="2"/>
        <v/>
      </c>
      <c r="AC66" s="11"/>
      <c r="AD66" s="91">
        <f>AD$20</f>
        <v>0</v>
      </c>
      <c r="AE66" s="100" t="str">
        <f t="shared" si="3"/>
        <v/>
      </c>
      <c r="AF66" s="92">
        <f t="shared" si="4"/>
        <v>0</v>
      </c>
      <c r="AG66" s="91">
        <f>AG$20</f>
        <v>0</v>
      </c>
      <c r="AH66" s="100" t="str">
        <f t="shared" si="5"/>
        <v/>
      </c>
      <c r="AI66" s="92">
        <f t="shared" si="6"/>
        <v>0</v>
      </c>
      <c r="AJ66" s="402">
        <f t="shared" si="7"/>
        <v>0</v>
      </c>
      <c r="AK66" s="403">
        <f t="shared" si="8"/>
        <v>0</v>
      </c>
      <c r="AL66" s="404">
        <f t="shared" si="9"/>
        <v>0</v>
      </c>
      <c r="AM66" s="405">
        <f t="shared" si="10"/>
        <v>0</v>
      </c>
      <c r="AN66" s="406">
        <f t="shared" si="11"/>
        <v>0</v>
      </c>
      <c r="AO66" s="11"/>
    </row>
    <row r="67" spans="1:41" x14ac:dyDescent="0.25">
      <c r="A67" s="11"/>
      <c r="B67" s="11"/>
      <c r="C67" s="11"/>
      <c r="D67" s="11"/>
      <c r="E67" s="11"/>
      <c r="F67" s="11"/>
      <c r="G67" s="11"/>
      <c r="H67" s="88"/>
      <c r="I67" s="89"/>
      <c r="J67" s="89"/>
      <c r="K67" s="265"/>
      <c r="L67" s="106"/>
      <c r="M67" s="106"/>
      <c r="N67" s="106" t="s">
        <v>588</v>
      </c>
      <c r="O67" s="112">
        <f t="shared" ref="O67:Z67" si="13">O65-O66</f>
        <v>0</v>
      </c>
      <c r="P67" s="112">
        <f t="shared" si="13"/>
        <v>0</v>
      </c>
      <c r="Q67" s="112">
        <f t="shared" si="13"/>
        <v>0</v>
      </c>
      <c r="R67" s="112">
        <f t="shared" si="13"/>
        <v>0</v>
      </c>
      <c r="S67" s="112">
        <f t="shared" si="13"/>
        <v>0</v>
      </c>
      <c r="T67" s="112">
        <f t="shared" si="13"/>
        <v>0</v>
      </c>
      <c r="U67" s="112">
        <f t="shared" si="13"/>
        <v>0</v>
      </c>
      <c r="V67" s="112">
        <f t="shared" si="13"/>
        <v>0</v>
      </c>
      <c r="W67" s="112">
        <f t="shared" si="13"/>
        <v>0</v>
      </c>
      <c r="X67" s="112">
        <f t="shared" si="13"/>
        <v>0</v>
      </c>
      <c r="Y67" s="112">
        <f t="shared" si="13"/>
        <v>0</v>
      </c>
      <c r="Z67" s="112">
        <f t="shared" si="13"/>
        <v>0</v>
      </c>
      <c r="AA67" s="112">
        <f t="shared" si="1"/>
        <v>0</v>
      </c>
      <c r="AB67" s="113" t="str">
        <f t="shared" si="2"/>
        <v/>
      </c>
      <c r="AC67" s="11"/>
      <c r="AD67" s="112">
        <f>AD65-AD66</f>
        <v>0</v>
      </c>
      <c r="AE67" s="113" t="str">
        <f t="shared" si="3"/>
        <v/>
      </c>
      <c r="AF67" s="114">
        <f t="shared" si="4"/>
        <v>0</v>
      </c>
      <c r="AG67" s="112">
        <f>AG65-AG66</f>
        <v>0</v>
      </c>
      <c r="AH67" s="113" t="str">
        <f t="shared" si="5"/>
        <v/>
      </c>
      <c r="AI67" s="114">
        <f t="shared" si="6"/>
        <v>0</v>
      </c>
      <c r="AJ67" s="388">
        <f t="shared" si="7"/>
        <v>0</v>
      </c>
      <c r="AK67" s="389">
        <f t="shared" si="8"/>
        <v>0</v>
      </c>
      <c r="AL67" s="390">
        <f t="shared" si="9"/>
        <v>0</v>
      </c>
      <c r="AM67" s="391">
        <f t="shared" si="10"/>
        <v>0</v>
      </c>
      <c r="AN67" s="544">
        <f t="shared" si="11"/>
        <v>0</v>
      </c>
      <c r="AO67" s="11"/>
    </row>
    <row r="68" spans="1:41" x14ac:dyDescent="0.25">
      <c r="A68" s="11"/>
      <c r="B68" s="11"/>
      <c r="C68" s="11"/>
      <c r="D68" s="11"/>
      <c r="E68" s="11"/>
      <c r="F68" s="11"/>
      <c r="G68" s="11"/>
      <c r="H68" s="88" t="s">
        <v>543</v>
      </c>
      <c r="I68" s="136" t="str">
        <f>IF(_epmOfflineCondition_,"T2",_xll.EVPRO($B$1,$H68,"STYLE"))</f>
        <v>T2</v>
      </c>
      <c r="J68" s="136" t="str">
        <f>IF(_epmOfflineCondition_,"Y",_xll.EVPRO($B$1,$H68,"CALC"))</f>
        <v>Y</v>
      </c>
      <c r="K68" s="104"/>
      <c r="L68" s="59"/>
      <c r="M68" s="59"/>
      <c r="N68" s="106" t="str">
        <f>IF(_epmOfflineCondition_,"Total Non-Operating Income &amp; Expense",IF(_xll.EVDES(H68,$B$1)="#NODATA","",_xll.EVDES(H68,$B$1)))</f>
        <v>Total Non-Operating Income &amp; Expense</v>
      </c>
      <c r="O68" s="112">
        <f t="shared" ref="O68:Z68" si="14">O39+O43+O49+O56+O65-O66</f>
        <v>30981.61</v>
      </c>
      <c r="P68" s="112">
        <f t="shared" si="14"/>
        <v>30981.61</v>
      </c>
      <c r="Q68" s="112">
        <f t="shared" si="14"/>
        <v>30981.61</v>
      </c>
      <c r="R68" s="112">
        <f t="shared" si="14"/>
        <v>30981.61</v>
      </c>
      <c r="S68" s="112">
        <f t="shared" si="14"/>
        <v>30981.61</v>
      </c>
      <c r="T68" s="112">
        <f t="shared" si="14"/>
        <v>30981.61</v>
      </c>
      <c r="U68" s="112">
        <f t="shared" si="14"/>
        <v>30981.61</v>
      </c>
      <c r="V68" s="112">
        <f t="shared" si="14"/>
        <v>30981.61</v>
      </c>
      <c r="W68" s="112">
        <f t="shared" si="14"/>
        <v>30981.61</v>
      </c>
      <c r="X68" s="112">
        <f t="shared" si="14"/>
        <v>30981.61</v>
      </c>
      <c r="Y68" s="112">
        <f t="shared" si="14"/>
        <v>30981.61</v>
      </c>
      <c r="Z68" s="112">
        <f t="shared" si="14"/>
        <v>30981.61</v>
      </c>
      <c r="AA68" s="112">
        <f t="shared" si="1"/>
        <v>371779.31999999989</v>
      </c>
      <c r="AB68" s="113">
        <f t="shared" si="2"/>
        <v>2.5234908098261243E-2</v>
      </c>
      <c r="AC68" s="11"/>
      <c r="AD68" s="112">
        <f>AD39+AD43+AD49+AD56+AD65-AD66</f>
        <v>373638.22</v>
      </c>
      <c r="AE68" s="113">
        <f t="shared" si="3"/>
        <v>2.5547246391496168E-2</v>
      </c>
      <c r="AF68" s="114">
        <f t="shared" si="4"/>
        <v>-1858.9000000000815</v>
      </c>
      <c r="AG68" s="112">
        <f>AG39+AG43+AG49+AG56+AG65-AG66</f>
        <v>372202.92</v>
      </c>
      <c r="AH68" s="113">
        <f t="shared" si="5"/>
        <v>3.1260417135229791E-2</v>
      </c>
      <c r="AI68" s="114">
        <f t="shared" si="6"/>
        <v>-423.60000000009313</v>
      </c>
      <c r="AJ68" s="609">
        <f t="shared" si="7"/>
        <v>7.7164657534246555</v>
      </c>
      <c r="AK68" s="610">
        <f t="shared" si="8"/>
        <v>7.7550481527604811</v>
      </c>
      <c r="AL68" s="611">
        <f t="shared" si="9"/>
        <v>7.7252577833125775</v>
      </c>
      <c r="AM68" s="612" t="str">
        <f t="shared" si="10"/>
        <v>-0.03 pts.</v>
      </c>
      <c r="AN68" s="613" t="str">
        <f t="shared" si="11"/>
        <v>-0.6 pts.</v>
      </c>
      <c r="AO68" s="11"/>
    </row>
    <row r="69" spans="1:41" x14ac:dyDescent="0.25">
      <c r="A69" s="11"/>
      <c r="B69" s="11"/>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25">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25">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11"/>
      <c r="B73" s="11"/>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25">
      <c r="A74" s="11"/>
      <c r="B74" s="11"/>
      <c r="C74" s="11"/>
      <c r="D74" s="11"/>
      <c r="E74" s="11"/>
      <c r="F74" s="11"/>
      <c r="G74" s="11"/>
      <c r="H74" s="11"/>
      <c r="I74" s="59"/>
      <c r="J74" s="59"/>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25">
      <c r="A75" s="11"/>
      <c r="B75" s="11"/>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11"/>
      <c r="B76" s="11"/>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25">
      <c r="A77" s="11"/>
      <c r="B77" s="11"/>
      <c r="C77" s="11"/>
      <c r="D77" s="11"/>
      <c r="E77" s="11"/>
      <c r="F77" s="11"/>
      <c r="G77" s="11"/>
      <c r="H77" s="11"/>
      <c r="I77" s="59"/>
      <c r="J77" s="59"/>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11"/>
      <c r="B79" s="11"/>
      <c r="C79" s="11"/>
      <c r="D79" s="11"/>
      <c r="E79" s="11"/>
      <c r="F79" s="11"/>
      <c r="G79" s="11"/>
      <c r="H79" s="59"/>
      <c r="I79" s="59"/>
      <c r="J79" s="11"/>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11"/>
      <c r="B80" s="11"/>
      <c r="C80" s="11"/>
      <c r="D80" s="11"/>
      <c r="E80" s="11"/>
      <c r="F80" s="11"/>
      <c r="G80" s="11"/>
      <c r="H80" s="59"/>
      <c r="I80" s="59"/>
      <c r="J80" s="11"/>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11"/>
      <c r="B81" s="11"/>
      <c r="C81" s="11"/>
      <c r="D81" s="11"/>
      <c r="E81" s="11"/>
      <c r="F81" s="11"/>
      <c r="G81" s="11"/>
      <c r="H81" s="59"/>
      <c r="I81" s="59"/>
      <c r="J81" s="11"/>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11"/>
      <c r="B82" s="11"/>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11"/>
      <c r="B83" s="11"/>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11"/>
      <c r="B84" s="11"/>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11"/>
      <c r="B97" s="11"/>
      <c r="C97" s="11"/>
      <c r="D97" s="11"/>
      <c r="E97" s="11"/>
      <c r="F97" s="11"/>
      <c r="G97" s="11"/>
      <c r="H97" s="59"/>
      <c r="I97" s="59"/>
      <c r="J97" s="11"/>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11"/>
      <c r="B98" s="11"/>
      <c r="C98" s="11"/>
      <c r="D98" s="11"/>
      <c r="E98" s="11"/>
      <c r="F98" s="11"/>
      <c r="G98" s="11"/>
      <c r="H98" s="59"/>
      <c r="I98" s="59"/>
      <c r="J98" s="11"/>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11"/>
      <c r="B99" s="11"/>
      <c r="C99" s="11"/>
      <c r="D99" s="11"/>
      <c r="E99" s="11"/>
      <c r="F99" s="11"/>
      <c r="G99" s="11"/>
      <c r="H99" s="59"/>
      <c r="I99" s="59"/>
      <c r="J99" s="11"/>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11"/>
      <c r="B100" s="11"/>
      <c r="C100" s="11"/>
      <c r="D100" s="11"/>
      <c r="E100" s="11"/>
      <c r="F100" s="11"/>
      <c r="G100" s="11"/>
      <c r="H100" s="59"/>
      <c r="I100" s="59"/>
      <c r="J100" s="11"/>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sheetData>
  <sheetProtection algorithmName="SHA-512" hashValue="HscFCltYgrQvXz6eD5S8bsa3eFp2vTOm2RfgwqHdXnbrmFORr+7RVNp0FCPeTeJlz+Q2FVZ4089+4HE/0I08jA==" saltValue="wwEOL0SHki/QlQCO0UfIyw==" spinCount="100000" sheet="1" scenarios="1"/>
  <mergeCells count="2">
    <mergeCell ref="AD31:AE31"/>
    <mergeCell ref="AG31:AH31"/>
  </mergeCells>
  <dataValidations disablePrompts="1" count="2">
    <dataValidation type="list" allowBlank="1" sqref="B28" xr:uid="{00000000-0002-0000-2D00-000000000000}">
      <formula1>"ACCOUNT,BUSINESSUNIT,CATEGORY,DATASRC,DEPARTMENT,INTCO,MEASURES,RPTCURRENCY,TIME"</formula1>
    </dataValidation>
    <dataValidation type="list" allowBlank="1" sqref="B29" xr:uid="{00000000-0002-0000-2D00-000001000000}">
      <formula1>"SELF,ALL,BAS,DEP,BASMEMBERS,MEMBERS,NOEXPAND,GDEP"</formula1>
    </dataValidation>
  </dataValidations>
  <pageMargins left="0.25" right="0.25" top="0.5" bottom="0.5" header="0.3" footer="0.3"/>
  <pageSetup scale="49"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2467"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62467" r:id="rId7" name="FPMExcelClientSheetOptionstb1"/>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0">
    <pageSetUpPr fitToPage="1"/>
  </sheetPr>
  <dimension ref="A1:AO102"/>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554</v>
      </c>
      <c r="C2" s="11" t="str">
        <f>IF(_epmOfflineCondition_,"POD Allocation Out Account",_xll.EVDES(B2,$B$1))</f>
        <v>POD Allocation Out Account</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552</v>
      </c>
      <c r="C6" s="11" t="str">
        <f>IF(_epmOfflineCondition_,"House Laundry",_xll.EVDES(B6,$B$1))</f>
        <v>House Laundry</v>
      </c>
      <c r="D6" s="11"/>
      <c r="E6" s="58" t="str">
        <f>IF(_epmOfflineCondition_,"D1228",_xll.EVPRO($B$1,$B$6,$F$6))</f>
        <v>D1228</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IF(_epmOfflineCondition_,"'Laundry'!$B$2:$B$10",_xll.EVRNG($B$2:$B$10))</f>
        <v>'Laundry'!$B$2:$B$10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IF(_epmOfflineCondition_,"'Laundry'!$O$16:$AN$18",_xll.EVRNG($O$16:$AN$18))</f>
        <v>'Laundry'!$O$16:$AN$18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IF(_epmOfflineCondition_,"'Laundry'!$H$35:$H$36,'Laundry'!$H$38:$H$39,'Laundry'!$H$42:$H$43",_xll.EVRNG(H35:H36,H38:H39,H42:H43))</f>
        <v>'Laundry'!$H$35:$H$36,'Laundry'!$H$38:$H$39,'Laundry'!$H$42:$H$43</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IF(_epmOfflineCondition_,48180,_xll.EVGTS($B$1,1,$B$3,$B$5,$B$7,$B$9,AG$16,AG$17,AG$18,$G$20,$H$20))</f>
        <v>48180</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IF(_epmOfflineCondition_,"'Laundry'!$A$36:$F$42",_xll.EVRNG(A36:F42))</f>
        <v>'Laundry'!$A$36:$F$42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IF(_epmOfflineCondition_,"'Laundry'!$A$81:$B$102",_xll.EVRNG($A$81:$B$102))</f>
        <v>'Laundry'!$A$81:$B$102</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IF(_epmOfflineCondition_,"House Laundry Department",IF(_xll.EVDES(B6,$B$1)="#NODATA","",_xll.EVDES(B6,$B$1)&amp;" Department"))</f>
        <v>House Laundry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746</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11" t="s">
        <v>73</v>
      </c>
      <c r="I33" s="59" t="str">
        <f>IF(_epmOfflineCondition_,"B1",_xll.EVPRO($B$1,$H33,"STYLE"))</f>
        <v>B1</v>
      </c>
      <c r="J33" s="59" t="str">
        <f>IF(_epmOfflineCondition_,"Y",_xll.EVPRO($B$1,$H33,"CALC"))</f>
        <v>Y</v>
      </c>
      <c r="K33" s="11"/>
      <c r="L33" s="59"/>
      <c r="M33" s="59"/>
      <c r="N33" s="105" t="str">
        <f>IF(_epmOfflineCondition_,"Labor &amp; Related Expenses",IF(_xll.EVDES(H33,$B$1)="#NODATA","",_xll.EVDES(H33,$B$1)))</f>
        <v>Labor &amp;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25">
      <c r="A34" s="11"/>
      <c r="B34" s="11"/>
      <c r="C34" s="11"/>
      <c r="D34" s="11"/>
      <c r="E34" s="11"/>
      <c r="F34" s="11"/>
      <c r="G34" s="11"/>
      <c r="H34" s="11" t="s">
        <v>74</v>
      </c>
      <c r="I34" s="59" t="str">
        <f>IF(_epmOfflineCondition_,"B1",_xll.EVPRO($B$1,$H34,"STYLE"))</f>
        <v>B1</v>
      </c>
      <c r="J34" s="59" t="str">
        <f>IF(_epmOfflineCondition_,"Y",_xll.EVPRO($B$1,$H34,"CALC"))</f>
        <v>Y</v>
      </c>
      <c r="K34" s="11"/>
      <c r="L34" s="59"/>
      <c r="M34" s="59"/>
      <c r="N34" s="53" t="str">
        <f>IF(_epmOfflineCondition_,"Salaries &amp; Wages",IF(_xll.EVDES(H34,$B$1)="#NODATA","",_xll.EVDES(H34,$B$1)))</f>
        <v>Salaries &amp; Wages</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hidden="1" x14ac:dyDescent="0.25">
      <c r="A35" s="97" t="s">
        <v>92</v>
      </c>
      <c r="B35" s="98" t="s">
        <v>93</v>
      </c>
      <c r="C35" s="98" t="s">
        <v>94</v>
      </c>
      <c r="D35" s="98" t="s">
        <v>95</v>
      </c>
      <c r="E35" s="98" t="s">
        <v>96</v>
      </c>
      <c r="F35" s="99" t="s">
        <v>97</v>
      </c>
      <c r="G35" s="11"/>
      <c r="H35" s="88" t="s">
        <v>667</v>
      </c>
      <c r="I35" s="122" t="str">
        <f>IF(_epmOfflineCondition_,"",_xll.EVPRO($B$1,$H35,"STYLE"))</f>
        <v/>
      </c>
      <c r="J35" s="122" t="str">
        <f>IF(_epmOfflineCondition_,"",_xll.EVPRO($B$1,$H35,"CALC"))</f>
        <v/>
      </c>
      <c r="K35" s="179" t="str">
        <f>IF(AND(I35&gt;="T3"),"&gt;","")</f>
        <v/>
      </c>
      <c r="L35" s="90" t="str">
        <f>IF(_epmOfflineCondition_,"",_xll.EVPRO($B$1,H35,"JDEID"))</f>
        <v/>
      </c>
      <c r="M35" s="90" t="str">
        <f>IF(_epmOfflineCondition_,"",IF(AND(I35="N",J35="N"),_xll.EVPRO($B$1,H35,"PSFTID"),""))</f>
        <v/>
      </c>
      <c r="N35" s="90" t="str">
        <f>IF(_epmOfflineCondition_,"",IF(_xll.EVDES(H35,$B$1)="#NODATA","",_xll.EVDES(H35,$B$1)))</f>
        <v/>
      </c>
      <c r="O35" s="239"/>
      <c r="P35" s="239"/>
      <c r="Q35" s="239"/>
      <c r="R35" s="239"/>
      <c r="S35" s="239"/>
      <c r="T35" s="239"/>
      <c r="U35" s="239"/>
      <c r="V35" s="239"/>
      <c r="W35" s="239"/>
      <c r="X35" s="239"/>
      <c r="Y35" s="239"/>
      <c r="Z35" s="239"/>
      <c r="AA35" s="215">
        <f>IF($I35="B1","",SUM(O35:Z35))</f>
        <v>0</v>
      </c>
      <c r="AB35" s="240" t="str">
        <f>IF(AA35=0,"",IFERROR(AA35/AA$19,""))</f>
        <v/>
      </c>
      <c r="AC35" s="140"/>
      <c r="AD35" s="215"/>
      <c r="AE35" s="217" t="str">
        <f>IF(AD35=0,"",IFERROR(AD35/AD$19,""))</f>
        <v/>
      </c>
      <c r="AF35" s="218">
        <f>IF(AND($AA35="",AD35=""),"",$AA35-AD35)</f>
        <v>0</v>
      </c>
      <c r="AG35" s="215"/>
      <c r="AH35" s="217" t="str">
        <f>IF(AG35=0,"",IFERROR(AG35/AG$19,""))</f>
        <v/>
      </c>
      <c r="AI35" s="218">
        <f>IF(AND($AA35="",AG35=""),"",$AA35-AG35)</f>
        <v>0</v>
      </c>
      <c r="AJ35" s="462">
        <f>IFERROR(AA35/AA$20,0)</f>
        <v>0</v>
      </c>
      <c r="AK35" s="463">
        <f>IFERROR(AD35/AD$20,0)</f>
        <v>0</v>
      </c>
      <c r="AL35" s="464">
        <f>IFERROR(AG35/AG$20,0)</f>
        <v>0</v>
      </c>
      <c r="AM35" s="465">
        <f>+IFERROR(ROUND(($AB35-AE35)*100,2)&amp;" pts.",0)</f>
        <v>0</v>
      </c>
      <c r="AN35" s="466">
        <f>+IFERROR(ROUND(($AB35-AH35)*100,2)&amp;" pts.",0)</f>
        <v>0</v>
      </c>
      <c r="AO35" s="11"/>
    </row>
    <row r="36" spans="1:41" hidden="1" x14ac:dyDescent="0.25">
      <c r="A36" s="11"/>
      <c r="B36" s="11"/>
      <c r="C36" s="11"/>
      <c r="D36" s="11"/>
      <c r="E36" s="11"/>
      <c r="F36" s="11"/>
      <c r="G36" s="11"/>
      <c r="H36" s="88"/>
      <c r="I36" s="122" t="str">
        <f>IF(_epmOfflineCondition_,"",_xll.EVPRO($B$1,$H36,"STYLE"))</f>
        <v/>
      </c>
      <c r="J36" s="122" t="str">
        <f>IF(_epmOfflineCondition_,"",_xll.EVPRO($B$1,$H36,"CALC"))</f>
        <v/>
      </c>
      <c r="K36" s="179" t="str">
        <f>IF(AND(I36&gt;="T3"),"&gt;","")</f>
        <v/>
      </c>
      <c r="L36" s="90" t="str">
        <f>IF(_epmOfflineCondition_,"",_xll.EVPRO($B$1,H36,"JDEID"))</f>
        <v/>
      </c>
      <c r="M36" s="90" t="str">
        <f>IF(_epmOfflineCondition_,"",IF(AND(I36="N",J36="N"),_xll.EVPRO($B$1,H36,"PSFTID"),""))</f>
        <v/>
      </c>
      <c r="N36" s="90" t="str">
        <f>IF(_epmOfflineCondition_,"",IF(_xll.EVDES(H36,$B$1)="#NODATA","",_xll.EVDES(H36,$B$1)))</f>
        <v/>
      </c>
      <c r="O36" s="239"/>
      <c r="P36" s="239"/>
      <c r="Q36" s="239"/>
      <c r="R36" s="239"/>
      <c r="S36" s="239"/>
      <c r="T36" s="239"/>
      <c r="U36" s="239"/>
      <c r="V36" s="239"/>
      <c r="W36" s="239"/>
      <c r="X36" s="239"/>
      <c r="Y36" s="239"/>
      <c r="Z36" s="239"/>
      <c r="AA36" s="215">
        <f>IF($I36="B1","",SUM(O36:Z36))</f>
        <v>0</v>
      </c>
      <c r="AB36" s="240" t="str">
        <f>IF(AA36=0,"",IFERROR(AA36/AA$19,""))</f>
        <v/>
      </c>
      <c r="AC36" s="140"/>
      <c r="AD36" s="215"/>
      <c r="AE36" s="217" t="str">
        <f>IF(AD36=0,"",IFERROR(AD36/AD$19,""))</f>
        <v/>
      </c>
      <c r="AF36" s="218">
        <f>IF(AND($AA36="",AD36=""),"",$AA36-AD36)</f>
        <v>0</v>
      </c>
      <c r="AG36" s="215"/>
      <c r="AH36" s="217" t="str">
        <f>IF(AG36=0,"",IFERROR(AG36/AG$19,""))</f>
        <v/>
      </c>
      <c r="AI36" s="218">
        <f>IF(AND($AA36="",AG36=""),"",$AA36-AG36)</f>
        <v>0</v>
      </c>
      <c r="AJ36" s="462">
        <f>IFERROR(AA36/AA$20,0)</f>
        <v>0</v>
      </c>
      <c r="AK36" s="463">
        <f>IFERROR(AD36/AD$20,0)</f>
        <v>0</v>
      </c>
      <c r="AL36" s="464">
        <f>IFERROR(AG36/AG$20,0)</f>
        <v>0</v>
      </c>
      <c r="AM36" s="465">
        <f>+IFERROR(ROUND(($AB36-AE36)*100,2)&amp;" pts.",0)</f>
        <v>0</v>
      </c>
      <c r="AN36" s="466">
        <f>+IFERROR(ROUND(($AB36-AH36)*100,2)&amp;" pts.",0)</f>
        <v>0</v>
      </c>
      <c r="AO36" s="11"/>
    </row>
    <row r="37" spans="1:41" x14ac:dyDescent="0.25">
      <c r="A37" s="11" t="s">
        <v>108</v>
      </c>
      <c r="B37" s="11"/>
      <c r="C37" s="104" t="s">
        <v>101</v>
      </c>
      <c r="D37" s="11" t="s">
        <v>106</v>
      </c>
      <c r="E37" s="11"/>
      <c r="F37" s="11" t="s">
        <v>98</v>
      </c>
      <c r="G37" s="11"/>
      <c r="H37" s="88" t="s">
        <v>75</v>
      </c>
      <c r="I37" s="89" t="str">
        <f>IF(_epmOfflineCondition_,"B1",_xll.EVPRO($B$1,$H37,"STYLE"))</f>
        <v>B1</v>
      </c>
      <c r="J37" s="89" t="str">
        <f>IF(_epmOfflineCondition_,"Y",_xll.EVPRO($B$1,$H37,"CALC"))</f>
        <v>Y</v>
      </c>
      <c r="K37" s="265" t="str">
        <f>IF(AND(I37&gt;="T3"),"&gt;","")</f>
        <v/>
      </c>
      <c r="L37" s="106" t="str">
        <f>IF(_epmOfflineCondition_,"",_xll.EVPRO($B$1,H37,"JDEID"))</f>
        <v/>
      </c>
      <c r="M37" s="90" t="str">
        <f>IF(_epmOfflineCondition_,"",IF(AND(I37="N",J37="N"),_xll.EVPRO($B$1,H37,"PSFTID"),""))</f>
        <v/>
      </c>
      <c r="N37" s="106" t="str">
        <f>IF(_epmOfflineCondition_,"Non-Management",IF(_xll.EVDES(H37,$B$1)="#NODATA","",_xll.EVDES(H37,$B$1)))</f>
        <v>Non-Management</v>
      </c>
      <c r="O37" s="197"/>
      <c r="P37" s="197"/>
      <c r="Q37" s="197"/>
      <c r="R37" s="197"/>
      <c r="S37" s="197"/>
      <c r="T37" s="197"/>
      <c r="U37" s="197"/>
      <c r="V37" s="197"/>
      <c r="W37" s="197"/>
      <c r="X37" s="197"/>
      <c r="Y37" s="197"/>
      <c r="Z37" s="197"/>
      <c r="AA37" s="91" t="str">
        <f>IF($I37="B1","",SUM(O37:Z37))</f>
        <v/>
      </c>
      <c r="AB37" s="198" t="str">
        <f>IF(AA37=0,"",IFERROR(AA37/AA$19,""))</f>
        <v/>
      </c>
      <c r="AC37" s="11"/>
      <c r="AD37" s="91"/>
      <c r="AE37" s="100" t="str">
        <f>IF(AD37=0,"",IFERROR(AD37/AD$19,""))</f>
        <v/>
      </c>
      <c r="AF37" s="92" t="str">
        <f>IF(AND($AA37="",AD37=""),"",$AA37-AD37)</f>
        <v/>
      </c>
      <c r="AG37" s="91"/>
      <c r="AH37" s="100" t="str">
        <f>IF(AG37=0,"",IFERROR(AG37/AG$19,""))</f>
        <v/>
      </c>
      <c r="AI37" s="92" t="str">
        <f>IF(AND($AA37="",AG37=""),"",$AA37-AG37)</f>
        <v/>
      </c>
      <c r="AJ37" s="397">
        <f>IFERROR(AA37/AA$20,0)</f>
        <v>0</v>
      </c>
      <c r="AK37" s="398">
        <f>IFERROR(AD37/AD$20,0)</f>
        <v>0</v>
      </c>
      <c r="AL37" s="399">
        <f>IFERROR(AG37/AG$20,0)</f>
        <v>0</v>
      </c>
      <c r="AM37" s="400">
        <f>+IFERROR(ROUND(($AB37-AE37)*100,2)&amp;" pts.",0)</f>
        <v>0</v>
      </c>
      <c r="AN37" s="401">
        <f>+IFERROR(ROUND(($AB37-AH37)*100,2)&amp;" pts.",0)</f>
        <v>0</v>
      </c>
      <c r="AO37" s="11"/>
    </row>
    <row r="38" spans="1:41" hidden="1" x14ac:dyDescent="0.25">
      <c r="A38" s="11" t="s">
        <v>100</v>
      </c>
      <c r="B38" s="11"/>
      <c r="C38" s="53" t="s">
        <v>101</v>
      </c>
      <c r="D38" s="11" t="s">
        <v>106</v>
      </c>
      <c r="E38" s="11"/>
      <c r="F38" s="11" t="s">
        <v>98</v>
      </c>
      <c r="G38" s="11"/>
      <c r="H38" s="88" t="s">
        <v>667</v>
      </c>
      <c r="I38" s="122" t="str">
        <f>IF(_epmOfflineCondition_,"",_xll.EVPRO($B$1,$H38,"STYLE"))</f>
        <v/>
      </c>
      <c r="J38" s="122" t="str">
        <f>IF(_epmOfflineCondition_,"",_xll.EVPRO($B$1,$H38,"CALC"))</f>
        <v/>
      </c>
      <c r="K38" s="179" t="str">
        <f>IF(AND(I38&gt;="T3"),"&gt;","")</f>
        <v/>
      </c>
      <c r="L38" s="90" t="str">
        <f>IF(_epmOfflineCondition_,"",_xll.EVPRO($B$1,H38,"JDEID"))</f>
        <v/>
      </c>
      <c r="M38" s="90" t="str">
        <f>IF(_epmOfflineCondition_,"",IF(AND(I38="N",J38="N"),_xll.EVPRO($B$1,H38,"PSFTID"),""))</f>
        <v/>
      </c>
      <c r="N38" s="90" t="str">
        <f>IF(_epmOfflineCondition_,"",IF(_xll.EVDES(H38,$B$1)="#NODATA","",_xll.EVDES(H38,$B$1)))</f>
        <v/>
      </c>
      <c r="O38" s="239"/>
      <c r="P38" s="239"/>
      <c r="Q38" s="239"/>
      <c r="R38" s="239"/>
      <c r="S38" s="239"/>
      <c r="T38" s="239"/>
      <c r="U38" s="239"/>
      <c r="V38" s="239"/>
      <c r="W38" s="239"/>
      <c r="X38" s="239"/>
      <c r="Y38" s="239"/>
      <c r="Z38" s="239"/>
      <c r="AA38" s="215">
        <f>IF($I38="B1","",SUM(O38:Z38))</f>
        <v>0</v>
      </c>
      <c r="AB38" s="240" t="str">
        <f>IF(AA38=0,"",IFERROR(AA38/AA$19,""))</f>
        <v/>
      </c>
      <c r="AC38" s="140"/>
      <c r="AD38" s="215"/>
      <c r="AE38" s="217" t="str">
        <f>IF(AD38=0,"",IFERROR(AD38/AD$19,""))</f>
        <v/>
      </c>
      <c r="AF38" s="218">
        <f>IF(AND($AA38="",AD38=""),"",$AA38-AD38)</f>
        <v>0</v>
      </c>
      <c r="AG38" s="215"/>
      <c r="AH38" s="217" t="str">
        <f>IF(AG38=0,"",IFERROR(AG38/AG$19,""))</f>
        <v/>
      </c>
      <c r="AI38" s="218">
        <f>IF(AND($AA38="",AG38=""),"",$AA38-AG38)</f>
        <v>0</v>
      </c>
      <c r="AJ38" s="471">
        <f>IFERROR(AA38/AA$20,0)</f>
        <v>0</v>
      </c>
      <c r="AK38" s="472">
        <f>IFERROR(AD38/AD$20,0)</f>
        <v>0</v>
      </c>
      <c r="AL38" s="473">
        <f>IFERROR(AG38/AG$20,0)</f>
        <v>0</v>
      </c>
      <c r="AM38" s="474">
        <f>+IFERROR(ROUND(($AB38-AE38)*100,2)&amp;" pts.",0)</f>
        <v>0</v>
      </c>
      <c r="AN38" s="475">
        <f>+IFERROR(ROUND(($AB38-AH38)*100,2)&amp;" pts.",0)</f>
        <v>0</v>
      </c>
      <c r="AO38" s="11"/>
    </row>
    <row r="39" spans="1:41" hidden="1" x14ac:dyDescent="0.25">
      <c r="A39" s="11" t="s">
        <v>109</v>
      </c>
      <c r="B39" s="11"/>
      <c r="C39" s="106" t="s">
        <v>101</v>
      </c>
      <c r="D39" s="11" t="s">
        <v>106</v>
      </c>
      <c r="E39" s="11"/>
      <c r="F39" s="11" t="s">
        <v>98</v>
      </c>
      <c r="G39" s="11"/>
      <c r="H39" s="88"/>
      <c r="I39" s="122" t="str">
        <f>IF(_epmOfflineCondition_,"",_xll.EVPRO($B$1,$H39,"STYLE"))</f>
        <v/>
      </c>
      <c r="J39" s="122" t="str">
        <f>IF(_epmOfflineCondition_,"",_xll.EVPRO($B$1,$H39,"CALC"))</f>
        <v/>
      </c>
      <c r="K39" s="179" t="str">
        <f>IF(AND(I39&gt;="T3"),"&gt;","")</f>
        <v/>
      </c>
      <c r="L39" s="90" t="str">
        <f>IF(_epmOfflineCondition_,"",_xll.EVPRO($B$1,H39,"JDEID"))</f>
        <v/>
      </c>
      <c r="M39" s="90" t="str">
        <f>IF(_epmOfflineCondition_,"",IF(AND(I39="N",J39="N"),_xll.EVPRO($B$1,H39,"PSFTID"),""))</f>
        <v/>
      </c>
      <c r="N39" s="90" t="str">
        <f>IF(_epmOfflineCondition_,"",IF(_xll.EVDES(H39,$B$1)="#NODATA","",_xll.EVDES(H39,$B$1)))</f>
        <v/>
      </c>
      <c r="O39" s="239"/>
      <c r="P39" s="239"/>
      <c r="Q39" s="239"/>
      <c r="R39" s="239"/>
      <c r="S39" s="239"/>
      <c r="T39" s="239"/>
      <c r="U39" s="239"/>
      <c r="V39" s="239"/>
      <c r="W39" s="239"/>
      <c r="X39" s="239"/>
      <c r="Y39" s="239"/>
      <c r="Z39" s="239"/>
      <c r="AA39" s="215">
        <f>IF($I39="B1","",SUM(O39:Z39))</f>
        <v>0</v>
      </c>
      <c r="AB39" s="240" t="str">
        <f>IF(AA39=0,"",IFERROR(AA39/AA$19,""))</f>
        <v/>
      </c>
      <c r="AC39" s="140"/>
      <c r="AD39" s="215"/>
      <c r="AE39" s="217" t="str">
        <f>IF(AD39=0,"",IFERROR(AD39/AD$19,""))</f>
        <v/>
      </c>
      <c r="AF39" s="218">
        <f>IF(AND($AA39="",AD39=""),"",$AA39-AD39)</f>
        <v>0</v>
      </c>
      <c r="AG39" s="215"/>
      <c r="AH39" s="217" t="str">
        <f>IF(AG39=0,"",IFERROR(AG39/AG$19,""))</f>
        <v/>
      </c>
      <c r="AI39" s="218">
        <f>IF(AND($AA39="",AG39=""),"",$AA39-AG39)</f>
        <v>0</v>
      </c>
      <c r="AJ39" s="471">
        <f>IFERROR(AA39/AA$20,0)</f>
        <v>0</v>
      </c>
      <c r="AK39" s="472">
        <f>IFERROR(AD39/AD$20,0)</f>
        <v>0</v>
      </c>
      <c r="AL39" s="473">
        <f>IFERROR(AG39/AG$20,0)</f>
        <v>0</v>
      </c>
      <c r="AM39" s="474">
        <f>+IFERROR(ROUND(($AB39-AE39)*100,2)&amp;" pts.",0)</f>
        <v>0</v>
      </c>
      <c r="AN39" s="475">
        <f>+IFERROR(ROUND(($AB39-AH39)*100,2)&amp;" pts.",0)</f>
        <v>0</v>
      </c>
      <c r="AO39" s="11"/>
    </row>
    <row r="40" spans="1:41" x14ac:dyDescent="0.25">
      <c r="A40" s="11" t="s">
        <v>109</v>
      </c>
      <c r="B40" s="11"/>
      <c r="C40" s="196" t="s">
        <v>101</v>
      </c>
      <c r="D40" s="11" t="s">
        <v>107</v>
      </c>
      <c r="E40" s="11"/>
      <c r="F40" s="11" t="s">
        <v>99</v>
      </c>
      <c r="G40" s="11"/>
      <c r="H40" s="106"/>
      <c r="I40" s="106"/>
      <c r="J40" s="106"/>
      <c r="K40" s="106"/>
      <c r="L40" s="106"/>
      <c r="M40" s="106"/>
      <c r="N40" s="106"/>
      <c r="O40" s="129"/>
      <c r="P40" s="130"/>
      <c r="Q40" s="130"/>
      <c r="R40" s="130"/>
      <c r="S40" s="130"/>
      <c r="T40" s="130"/>
      <c r="U40" s="130"/>
      <c r="V40" s="130"/>
      <c r="W40" s="130"/>
      <c r="X40" s="130"/>
      <c r="Y40" s="130"/>
      <c r="Z40" s="130"/>
      <c r="AA40" s="130"/>
      <c r="AB40" s="131"/>
      <c r="AC40" s="11"/>
      <c r="AD40" s="129"/>
      <c r="AE40" s="130"/>
      <c r="AF40" s="131"/>
      <c r="AG40" s="129"/>
      <c r="AH40" s="130"/>
      <c r="AI40" s="131"/>
      <c r="AJ40" s="11"/>
      <c r="AK40" s="11"/>
      <c r="AL40" s="11"/>
      <c r="AM40" s="11"/>
      <c r="AN40" s="11"/>
      <c r="AO40" s="11"/>
    </row>
    <row r="41" spans="1:41" x14ac:dyDescent="0.25">
      <c r="A41" s="11" t="s">
        <v>110</v>
      </c>
      <c r="B41" s="11"/>
      <c r="C41" s="106" t="s">
        <v>101</v>
      </c>
      <c r="D41" s="11" t="s">
        <v>106</v>
      </c>
      <c r="E41" s="11"/>
      <c r="F41" s="11" t="s">
        <v>98</v>
      </c>
      <c r="G41" s="11"/>
      <c r="H41" s="11" t="s">
        <v>82</v>
      </c>
      <c r="I41" s="59" t="str">
        <f>IF(_epmOfflineCondition_,"B1",_xll.EVPRO($B$1,$H41,"STYLE"))</f>
        <v>B1</v>
      </c>
      <c r="J41" s="59" t="str">
        <f>IF(_epmOfflineCondition_,"Y",_xll.EVPRO($B$1,$H41,"CALC"))</f>
        <v>Y</v>
      </c>
      <c r="K41" s="11"/>
      <c r="L41" s="11"/>
      <c r="M41" s="11"/>
      <c r="N41" s="105" t="str">
        <f>IF(_epmOfflineCondition_,"Other Expenses",IF(_xll.EVDES(H41,$B$1)="#NODATA","",_xll.EVDES(H41,$B$1)))</f>
        <v>Other Expenses</v>
      </c>
      <c r="O41" s="119"/>
      <c r="P41" s="120"/>
      <c r="Q41" s="120"/>
      <c r="R41" s="120"/>
      <c r="S41" s="120"/>
      <c r="T41" s="120"/>
      <c r="U41" s="120"/>
      <c r="V41" s="120"/>
      <c r="W41" s="120"/>
      <c r="X41" s="120"/>
      <c r="Y41" s="120"/>
      <c r="Z41" s="120"/>
      <c r="AA41" s="120"/>
      <c r="AB41" s="121"/>
      <c r="AC41" s="11"/>
      <c r="AD41" s="119"/>
      <c r="AE41" s="120"/>
      <c r="AF41" s="121"/>
      <c r="AG41" s="119"/>
      <c r="AH41" s="120"/>
      <c r="AI41" s="121"/>
      <c r="AJ41" s="11"/>
      <c r="AK41" s="11"/>
      <c r="AL41" s="11"/>
      <c r="AM41" s="11"/>
      <c r="AN41" s="11"/>
      <c r="AO41" s="11"/>
    </row>
    <row r="42" spans="1:41" hidden="1" x14ac:dyDescent="0.25">
      <c r="A42" s="11" t="s">
        <v>110</v>
      </c>
      <c r="B42" s="11"/>
      <c r="C42" s="109" t="s">
        <v>101</v>
      </c>
      <c r="D42" s="11" t="s">
        <v>107</v>
      </c>
      <c r="E42" s="11"/>
      <c r="F42" s="11" t="s">
        <v>99</v>
      </c>
      <c r="G42" s="11"/>
      <c r="H42" s="88" t="s">
        <v>667</v>
      </c>
      <c r="I42" s="122" t="str">
        <f>IF(_epmOfflineCondition_,"",_xll.EVPRO($B$1,$H42,"STYLE"))</f>
        <v/>
      </c>
      <c r="J42" s="122" t="str">
        <f>IF(_epmOfflineCondition_,"",_xll.EVPRO($B$1,$H42,"CALC"))</f>
        <v/>
      </c>
      <c r="K42" s="179" t="str">
        <f>IF(AND(I42&gt;="T3"),"&gt;","")</f>
        <v/>
      </c>
      <c r="L42" s="90" t="str">
        <f>IF(_epmOfflineCondition_,"",_xll.EVPRO($B$1,H42,"JDEID"))</f>
        <v/>
      </c>
      <c r="M42" s="90" t="str">
        <f>IF(_epmOfflineCondition_,"",IF(AND(I42="N",J42="N"),_xll.EVPRO($B$1,H42,"PSFTID"),""))</f>
        <v/>
      </c>
      <c r="N42" s="90" t="str">
        <f>IF(_epmOfflineCondition_,"",IF(_xll.EVDES(H42,$B$1)="#NODATA","",_xll.EVDES(H42,$B$1)))</f>
        <v/>
      </c>
      <c r="O42" s="138"/>
      <c r="P42" s="138"/>
      <c r="Q42" s="138"/>
      <c r="R42" s="138"/>
      <c r="S42" s="138"/>
      <c r="T42" s="138"/>
      <c r="U42" s="138"/>
      <c r="V42" s="138"/>
      <c r="W42" s="138"/>
      <c r="X42" s="138"/>
      <c r="Y42" s="138"/>
      <c r="Z42" s="138"/>
      <c r="AA42" s="138">
        <f>IF($I42="B1","",SUM(O42:Z42))</f>
        <v>0</v>
      </c>
      <c r="AB42" s="142" t="str">
        <f>IF(AA42=0,"",IFERROR(AA42/AA$19,""))</f>
        <v/>
      </c>
      <c r="AC42" s="140"/>
      <c r="AD42" s="138"/>
      <c r="AE42" s="142" t="str">
        <f>IF(AD42=0,"",IFERROR(AD42/AD$19,""))</f>
        <v/>
      </c>
      <c r="AF42" s="141">
        <f>IF(AND($AA42="",AD42=""),"",$AA42-AD42)</f>
        <v>0</v>
      </c>
      <c r="AG42" s="138"/>
      <c r="AH42" s="142" t="str">
        <f>IF(AG42=0,"",IFERROR(AG42/AG$19,""))</f>
        <v/>
      </c>
      <c r="AI42" s="141">
        <f>IF(AND($AA42="",AG42=""),"",$AA42-AG42)</f>
        <v>0</v>
      </c>
      <c r="AJ42" s="462">
        <f>IFERROR(AA42/AA$20,0)</f>
        <v>0</v>
      </c>
      <c r="AK42" s="463">
        <f>IFERROR(AD42/AD$20,0)</f>
        <v>0</v>
      </c>
      <c r="AL42" s="464">
        <f>IFERROR(AG42/AG$20,0)</f>
        <v>0</v>
      </c>
      <c r="AM42" s="465">
        <f>+IFERROR(ROUND(($AB42-AE42)*100,2)&amp;" pts.",0)</f>
        <v>0</v>
      </c>
      <c r="AN42" s="466">
        <f>+IFERROR(ROUND(($AB42-AH42)*100,2)&amp;" pts.",0)</f>
        <v>0</v>
      </c>
      <c r="AO42" s="11"/>
    </row>
    <row r="43" spans="1:41" hidden="1" x14ac:dyDescent="0.25">
      <c r="A43" s="11"/>
      <c r="B43" s="11"/>
      <c r="C43" s="208"/>
      <c r="D43" s="11"/>
      <c r="E43" s="11"/>
      <c r="F43" s="11"/>
      <c r="G43" s="11"/>
      <c r="H43" s="88"/>
      <c r="I43" s="122" t="str">
        <f>IF(_epmOfflineCondition_,"",_xll.EVPRO($B$1,$H43,"STYLE"))</f>
        <v/>
      </c>
      <c r="J43" s="122" t="str">
        <f>IF(_epmOfflineCondition_,"",_xll.EVPRO($B$1,$H43,"CALC"))</f>
        <v/>
      </c>
      <c r="K43" s="179" t="str">
        <f>IF(AND(I43&gt;="T3"),"&gt;","")</f>
        <v/>
      </c>
      <c r="L43" s="90" t="str">
        <f>IF(_epmOfflineCondition_,"",_xll.EVPRO($B$1,H43,"JDEID"))</f>
        <v/>
      </c>
      <c r="M43" s="90" t="str">
        <f>IF(_epmOfflineCondition_,"",IF(AND(I43="N",J43="N"),_xll.EVPRO($B$1,H43,"PSFTID"),""))</f>
        <v/>
      </c>
      <c r="N43" s="90" t="str">
        <f>IF(_epmOfflineCondition_,"",IF(_xll.EVDES(H43,$B$1)="#NODATA","",_xll.EVDES(H43,$B$1)))</f>
        <v/>
      </c>
      <c r="O43" s="138"/>
      <c r="P43" s="138"/>
      <c r="Q43" s="138"/>
      <c r="R43" s="138"/>
      <c r="S43" s="138"/>
      <c r="T43" s="138"/>
      <c r="U43" s="138"/>
      <c r="V43" s="138"/>
      <c r="W43" s="138"/>
      <c r="X43" s="138"/>
      <c r="Y43" s="138"/>
      <c r="Z43" s="138"/>
      <c r="AA43" s="138">
        <f>IF($I43="B1","",SUM(O43:Z43))</f>
        <v>0</v>
      </c>
      <c r="AB43" s="142" t="str">
        <f>IF(AA43=0,"",IFERROR(AA43/AA$19,""))</f>
        <v/>
      </c>
      <c r="AC43" s="140"/>
      <c r="AD43" s="138"/>
      <c r="AE43" s="142" t="str">
        <f>IF(AD43=0,"",IFERROR(AD43/AD$19,""))</f>
        <v/>
      </c>
      <c r="AF43" s="141">
        <f>IF(AND($AA43="",AD43=""),"",$AA43-AD43)</f>
        <v>0</v>
      </c>
      <c r="AG43" s="138"/>
      <c r="AH43" s="142" t="str">
        <f>IF(AG43=0,"",IFERROR(AG43/AG$19,""))</f>
        <v/>
      </c>
      <c r="AI43" s="141">
        <f>IF(AND($AA43="",AG43=""),"",$AA43-AG43)</f>
        <v>0</v>
      </c>
      <c r="AJ43" s="462">
        <f>IFERROR(AA43/AA$20,0)</f>
        <v>0</v>
      </c>
      <c r="AK43" s="463">
        <f>IFERROR(AD43/AD$20,0)</f>
        <v>0</v>
      </c>
      <c r="AL43" s="464">
        <f>IFERROR(AG43/AG$20,0)</f>
        <v>0</v>
      </c>
      <c r="AM43" s="465">
        <f>+IFERROR(ROUND(($AB43-AE43)*100,2)&amp;" pts.",0)</f>
        <v>0</v>
      </c>
      <c r="AN43" s="466">
        <f>+IFERROR(ROUND(($AB43-AH43)*100,2)&amp;" pts.",0)</f>
        <v>0</v>
      </c>
      <c r="AO43" s="11"/>
    </row>
    <row r="44" spans="1:41" x14ac:dyDescent="0.25">
      <c r="A44" s="11"/>
      <c r="B44" s="11"/>
      <c r="C44" s="208"/>
      <c r="D44" s="11"/>
      <c r="E44" s="11"/>
      <c r="F44" s="11"/>
      <c r="G44" s="11"/>
      <c r="H44" s="88" t="s">
        <v>79</v>
      </c>
      <c r="I44" s="136" t="str">
        <f>IF(_epmOfflineCondition_,"T3",_xll.EVPRO($B$1,$H44,"STYLE"))</f>
        <v>T3</v>
      </c>
      <c r="J44" s="136" t="str">
        <f>IF(_epmOfflineCondition_,"Y",_xll.EVPRO($B$1,$H44,"CALC"))</f>
        <v>Y</v>
      </c>
      <c r="K44" s="104"/>
      <c r="L44" s="59"/>
      <c r="M44" s="59"/>
      <c r="N44" s="106" t="str">
        <f>IF(_epmOfflineCondition_,"Total Operations Expense",IF(_xll.EVDES(H44,$B$1)="#NODATA","",_xll.EVDES(H44,$B$1)))</f>
        <v>Total Operations Expense</v>
      </c>
      <c r="O44" s="112">
        <f t="shared" ref="O44:Z44" si="0">SUM(O42:O43)</f>
        <v>0</v>
      </c>
      <c r="P44" s="112">
        <f t="shared" si="0"/>
        <v>0</v>
      </c>
      <c r="Q44" s="112">
        <f t="shared" si="0"/>
        <v>0</v>
      </c>
      <c r="R44" s="112">
        <f t="shared" si="0"/>
        <v>0</v>
      </c>
      <c r="S44" s="112">
        <f t="shared" si="0"/>
        <v>0</v>
      </c>
      <c r="T44" s="112">
        <f t="shared" si="0"/>
        <v>0</v>
      </c>
      <c r="U44" s="112">
        <f t="shared" si="0"/>
        <v>0</v>
      </c>
      <c r="V44" s="112">
        <f t="shared" si="0"/>
        <v>0</v>
      </c>
      <c r="W44" s="112">
        <f t="shared" si="0"/>
        <v>0</v>
      </c>
      <c r="X44" s="112">
        <f t="shared" si="0"/>
        <v>0</v>
      </c>
      <c r="Y44" s="112">
        <f t="shared" si="0"/>
        <v>0</v>
      </c>
      <c r="Z44" s="112">
        <f t="shared" si="0"/>
        <v>0</v>
      </c>
      <c r="AA44" s="112">
        <f>IF($I44="B1","",SUM(O44:Z44))</f>
        <v>0</v>
      </c>
      <c r="AB44" s="113" t="str">
        <f>IF(AA44=0,"",IFERROR(AA44/AA$19,""))</f>
        <v/>
      </c>
      <c r="AC44" s="11"/>
      <c r="AD44" s="112">
        <f>SUM(AD42:AD43)</f>
        <v>0</v>
      </c>
      <c r="AE44" s="113" t="str">
        <f>IF(AD44=0,"",IFERROR(AD44/AD$19,""))</f>
        <v/>
      </c>
      <c r="AF44" s="114">
        <f>IF(AND($AA44="",AD44=""),"",$AA44-AD44)</f>
        <v>0</v>
      </c>
      <c r="AG44" s="112">
        <f>SUM(AG42:AG43)</f>
        <v>0</v>
      </c>
      <c r="AH44" s="113" t="str">
        <f>IF(AG44=0,"",IFERROR(AG44/AG$19,""))</f>
        <v/>
      </c>
      <c r="AI44" s="114">
        <f>IF(AND($AA44="",AG44=""),"",$AA44-AG44)</f>
        <v>0</v>
      </c>
      <c r="AJ44" s="415">
        <f>IFERROR(AA44/AA$20,0)</f>
        <v>0</v>
      </c>
      <c r="AK44" s="416">
        <f>IFERROR(AD44/AD$20,0)</f>
        <v>0</v>
      </c>
      <c r="AL44" s="417">
        <f>IFERROR(AG44/AG$20,0)</f>
        <v>0</v>
      </c>
      <c r="AM44" s="418">
        <f>+IFERROR(ROUND(($AB44-AE44)*100,2)&amp;" pts.",0)</f>
        <v>0</v>
      </c>
      <c r="AN44" s="543">
        <f>+IFERROR(ROUND(($AB44-AH44)*100,2)&amp;" pts.",0)</f>
        <v>0</v>
      </c>
      <c r="AO44" s="11"/>
    </row>
    <row r="45" spans="1:41" x14ac:dyDescent="0.25">
      <c r="A45" s="61" t="str">
        <f>IF(_epmOfflineCondition_,"Evdre:Ok",_xll.EVDRE($B$1,A48:B55))</f>
        <v>Evdre:Ok</v>
      </c>
      <c r="B45" s="11" t="s">
        <v>740</v>
      </c>
      <c r="C45" s="208"/>
      <c r="D45" s="11"/>
      <c r="E45" s="11"/>
      <c r="F45" s="11"/>
      <c r="G45" s="11"/>
      <c r="H45" s="11"/>
      <c r="I45" s="59"/>
      <c r="J45" s="59"/>
      <c r="K45" s="11"/>
      <c r="L45" s="59"/>
      <c r="M45" s="59"/>
      <c r="N45" s="11"/>
      <c r="O45" s="203"/>
      <c r="P45" s="204"/>
      <c r="Q45" s="204"/>
      <c r="R45" s="204"/>
      <c r="S45" s="204"/>
      <c r="T45" s="204"/>
      <c r="U45" s="204"/>
      <c r="V45" s="204"/>
      <c r="W45" s="204"/>
      <c r="X45" s="204"/>
      <c r="Y45" s="204"/>
      <c r="Z45" s="204"/>
      <c r="AA45" s="204"/>
      <c r="AB45" s="118"/>
      <c r="AC45" s="11"/>
      <c r="AD45" s="203"/>
      <c r="AE45" s="204"/>
      <c r="AF45" s="118"/>
      <c r="AG45" s="203"/>
      <c r="AH45" s="204"/>
      <c r="AI45" s="118"/>
      <c r="AJ45" s="11"/>
      <c r="AK45" s="11"/>
      <c r="AL45" s="11"/>
      <c r="AM45" s="11"/>
      <c r="AN45" s="11"/>
      <c r="AO45" s="11"/>
    </row>
    <row r="46" spans="1:41" x14ac:dyDescent="0.25">
      <c r="A46" s="11"/>
      <c r="B46" s="11"/>
      <c r="C46" s="208"/>
      <c r="D46" s="11"/>
      <c r="E46" s="11"/>
      <c r="F46" s="11"/>
      <c r="G46" s="11"/>
      <c r="H46" s="88" t="s">
        <v>80</v>
      </c>
      <c r="I46" s="136" t="str">
        <f>IF(_epmOfflineCondition_,"T3",_xll.EVPRO($B$1,$H46,"STYLE"))</f>
        <v>T3</v>
      </c>
      <c r="J46" s="136" t="str">
        <f>IF(_epmOfflineCondition_,"Y",_xll.EVPRO($B$1,$H46,"CALC"))</f>
        <v>Y</v>
      </c>
      <c r="K46" s="106"/>
      <c r="L46" s="59"/>
      <c r="M46" s="59"/>
      <c r="N46" s="106" t="str">
        <f>IF(_epmOfflineCondition_,"Total Expenses",IF(_xll.EVDES(H46,$B$1)="#NODATA","",_xll.EVDES(H46,$B$1)))</f>
        <v>Total Expenses</v>
      </c>
      <c r="O46" s="123">
        <f t="shared" ref="O46:Z46" si="1">SUMIF($H$33:$H$45,"600000",O$33:O$45)+SUMIF($H$33:$H$45,"700000",O$33:O$45)</f>
        <v>0</v>
      </c>
      <c r="P46" s="123">
        <f t="shared" si="1"/>
        <v>0</v>
      </c>
      <c r="Q46" s="123">
        <f t="shared" si="1"/>
        <v>0</v>
      </c>
      <c r="R46" s="123">
        <f t="shared" si="1"/>
        <v>0</v>
      </c>
      <c r="S46" s="123">
        <f t="shared" si="1"/>
        <v>0</v>
      </c>
      <c r="T46" s="123">
        <f t="shared" si="1"/>
        <v>0</v>
      </c>
      <c r="U46" s="123">
        <f t="shared" si="1"/>
        <v>0</v>
      </c>
      <c r="V46" s="123">
        <f t="shared" si="1"/>
        <v>0</v>
      </c>
      <c r="W46" s="123">
        <f t="shared" si="1"/>
        <v>0</v>
      </c>
      <c r="X46" s="123">
        <f t="shared" si="1"/>
        <v>0</v>
      </c>
      <c r="Y46" s="123">
        <f t="shared" si="1"/>
        <v>0</v>
      </c>
      <c r="Z46" s="123">
        <f t="shared" si="1"/>
        <v>0</v>
      </c>
      <c r="AA46" s="123">
        <f>IF($I46="B1","",SUM(O46:Z46))</f>
        <v>0</v>
      </c>
      <c r="AB46" s="124" t="str">
        <f>IF(AA46=0,"",IFERROR(AA46/AA$19,""))</f>
        <v/>
      </c>
      <c r="AC46" s="11"/>
      <c r="AD46" s="123">
        <f>SUMIF($H$33:$H$45,"600000",AD$33:AD$45)+SUMIF($H$33:$H$45,"700000",AD$33:AD$45)</f>
        <v>0</v>
      </c>
      <c r="AE46" s="124" t="str">
        <f>IF(AD46=0,"",IFERROR(AD46/AD$19,""))</f>
        <v/>
      </c>
      <c r="AF46" s="125">
        <f>IF(AND($AA46="",AD46=""),"",$AA46-AD46)</f>
        <v>0</v>
      </c>
      <c r="AG46" s="123">
        <f>SUMIF($H$33:$H$45,"600000",AG$33:AG$45)+SUMIF($H$33:$H$45,"700000",AG$33:AG$45)</f>
        <v>0</v>
      </c>
      <c r="AH46" s="124" t="str">
        <f>IF(AG46=0,"",IFERROR(AG46/AG$19,""))</f>
        <v/>
      </c>
      <c r="AI46" s="125">
        <f>IF(AND($AA46="",AG46=""),"",$AA46-AG46)</f>
        <v>0</v>
      </c>
      <c r="AJ46" s="388">
        <f>IFERROR(AA46/AA$20,0)</f>
        <v>0</v>
      </c>
      <c r="AK46" s="389">
        <f>IFERROR(AD46/AD$20,0)</f>
        <v>0</v>
      </c>
      <c r="AL46" s="390">
        <f>IFERROR(AG46/AG$20,0)</f>
        <v>0</v>
      </c>
      <c r="AM46" s="391">
        <f>+IFERROR(ROUND(($AB46-AE46)*100,2)&amp;" pts.",0)</f>
        <v>0</v>
      </c>
      <c r="AN46" s="544">
        <f>+IFERROR(ROUND(($AB46-AH46)*100,2)&amp;" pts.",0)</f>
        <v>0</v>
      </c>
      <c r="AO46" s="11"/>
    </row>
    <row r="47" spans="1:41" x14ac:dyDescent="0.25">
      <c r="A47" s="62" t="s">
        <v>0</v>
      </c>
      <c r="B47" s="63" t="s">
        <v>1</v>
      </c>
      <c r="C47" s="208"/>
      <c r="D47" s="11"/>
      <c r="E47" s="11"/>
      <c r="F47" s="11"/>
      <c r="G47" s="11"/>
      <c r="H47" s="11"/>
      <c r="I47" s="11"/>
      <c r="J47" s="11"/>
      <c r="K47" s="11"/>
      <c r="L47" s="11"/>
      <c r="M47" s="11"/>
      <c r="N47" s="11"/>
      <c r="O47" s="203"/>
      <c r="P47" s="204"/>
      <c r="Q47" s="204"/>
      <c r="R47" s="204"/>
      <c r="S47" s="204"/>
      <c r="T47" s="204"/>
      <c r="U47" s="204"/>
      <c r="V47" s="204"/>
      <c r="W47" s="204"/>
      <c r="X47" s="204"/>
      <c r="Y47" s="204"/>
      <c r="Z47" s="204"/>
      <c r="AA47" s="204"/>
      <c r="AB47" s="118"/>
      <c r="AC47" s="11"/>
      <c r="AD47" s="203"/>
      <c r="AE47" s="204"/>
      <c r="AF47" s="118"/>
      <c r="AG47" s="203"/>
      <c r="AH47" s="204"/>
      <c r="AI47" s="118"/>
      <c r="AJ47" s="11"/>
      <c r="AK47" s="11"/>
      <c r="AL47" s="11"/>
      <c r="AM47" s="11"/>
      <c r="AN47" s="11"/>
      <c r="AO47" s="11"/>
    </row>
    <row r="48" spans="1:41" x14ac:dyDescent="0.25">
      <c r="A48" s="65" t="s">
        <v>2</v>
      </c>
      <c r="B48" s="66" t="str">
        <f>IF(_epmOfflineCondition_,"'Laundry'!$B$2:$B$10",_xll.EVRNG($B$2:$B$10))</f>
        <v>'Laundry'!$B$2:$B$10</v>
      </c>
      <c r="C48" s="208"/>
      <c r="D48" s="11"/>
      <c r="E48" s="11"/>
      <c r="F48" s="11"/>
      <c r="G48" s="11"/>
      <c r="H48" s="11"/>
      <c r="I48" s="11"/>
      <c r="J48" s="11"/>
      <c r="K48" s="11"/>
      <c r="L48" s="11"/>
      <c r="M48" s="11"/>
      <c r="N48" s="105" t="s">
        <v>596</v>
      </c>
      <c r="O48" s="119"/>
      <c r="P48" s="120"/>
      <c r="Q48" s="120"/>
      <c r="R48" s="120"/>
      <c r="S48" s="120"/>
      <c r="T48" s="120"/>
      <c r="U48" s="120"/>
      <c r="V48" s="120"/>
      <c r="W48" s="120"/>
      <c r="X48" s="120"/>
      <c r="Y48" s="120"/>
      <c r="Z48" s="120"/>
      <c r="AA48" s="120"/>
      <c r="AB48" s="121"/>
      <c r="AC48" s="11"/>
      <c r="AD48" s="119"/>
      <c r="AE48" s="120"/>
      <c r="AF48" s="121"/>
      <c r="AG48" s="119"/>
      <c r="AH48" s="120"/>
      <c r="AI48" s="121"/>
      <c r="AJ48" s="11"/>
      <c r="AK48" s="11"/>
      <c r="AL48" s="11"/>
      <c r="AM48" s="11"/>
      <c r="AN48" s="11"/>
      <c r="AO48" s="11"/>
    </row>
    <row r="49" spans="1:41" x14ac:dyDescent="0.25">
      <c r="A49" s="65" t="s">
        <v>3</v>
      </c>
      <c r="B49" s="66" t="str">
        <f>IF(_epmOfflineCondition_,"'Laundry'!$O$16:$AN$18",_xll.EVRNG($O$16:$AN$18))</f>
        <v>'Laundry'!$O$16:$AN$18</v>
      </c>
      <c r="C49" s="208"/>
      <c r="D49" s="11"/>
      <c r="E49" s="11"/>
      <c r="F49" s="11"/>
      <c r="G49" s="11"/>
      <c r="H49" s="88" t="s">
        <v>592</v>
      </c>
      <c r="I49" s="122" t="str">
        <f>IF(_epmOfflineCondition_,"N",_xll.EVPRO($B$1,$H49,"STYLE"))</f>
        <v>N</v>
      </c>
      <c r="J49" s="122" t="str">
        <f>IF(_epmOfflineCondition_,"N",_xll.EVPRO($B$1,$H49,"CALC"))</f>
        <v>N</v>
      </c>
      <c r="K49" s="179" t="str">
        <f>IF(AND(I49&gt;="T3"),"&gt;","")</f>
        <v/>
      </c>
      <c r="L49" s="90" t="str">
        <f>IF(_epmOfflineCondition_,"789110",_xll.EVPRO($B$1,H49,"JDEID"))</f>
        <v>789110</v>
      </c>
      <c r="M49" s="90" t="str">
        <f>IF(_epmOfflineCondition_,"690940",IF(AND(I49="N",J49="N"),_xll.EVPRO($B$1,H49,"PSFTID"),""))</f>
        <v>690940</v>
      </c>
      <c r="N49" s="90" t="str">
        <f>IF(_epmOfflineCondition_,"Cost of Guest &amp; Outside Laundry",IF(_xll.EVDES(H49,$B$1)="#NODATA","",_xll.EVDES(H49,$B$1)))</f>
        <v>Cost of Guest &amp; Outside Laundry</v>
      </c>
      <c r="O49" s="138"/>
      <c r="P49" s="138"/>
      <c r="Q49" s="138"/>
      <c r="R49" s="138"/>
      <c r="S49" s="138"/>
      <c r="T49" s="138"/>
      <c r="U49" s="138"/>
      <c r="V49" s="138"/>
      <c r="W49" s="138"/>
      <c r="X49" s="138"/>
      <c r="Y49" s="138"/>
      <c r="Z49" s="138"/>
      <c r="AA49" s="138">
        <f>IF($I49="B1","",SUM(O49:Z49))</f>
        <v>0</v>
      </c>
      <c r="AB49" s="142" t="str">
        <f>IF(AA49=0,"",IFERROR(AA49/AA$19,""))</f>
        <v/>
      </c>
      <c r="AC49" s="140"/>
      <c r="AD49" s="138"/>
      <c r="AE49" s="142" t="str">
        <f>IF(AD49=0,"",IFERROR(AD49/AD$19,""))</f>
        <v/>
      </c>
      <c r="AF49" s="141">
        <f>IF(AND($AA49="",AD49=""),"",$AA49-AD49)</f>
        <v>0</v>
      </c>
      <c r="AG49" s="138"/>
      <c r="AH49" s="142" t="str">
        <f>IF(AG49=0,"",IFERROR(AG49/AG$19,""))</f>
        <v/>
      </c>
      <c r="AI49" s="141">
        <f>IF(AND($AA49="",AG49=""),"",$AA49-AG49)</f>
        <v>0</v>
      </c>
      <c r="AJ49" s="462">
        <f>IFERROR(AA49/AA$20,0)</f>
        <v>0</v>
      </c>
      <c r="AK49" s="463">
        <f>IFERROR(AD49/AD$20,0)</f>
        <v>0</v>
      </c>
      <c r="AL49" s="464">
        <f>IFERROR(AG49/AG$20,0)</f>
        <v>0</v>
      </c>
      <c r="AM49" s="465">
        <f>+IFERROR(ROUND(($AB49-AE49)*100,2)&amp;" pts.",0)</f>
        <v>0</v>
      </c>
      <c r="AN49" s="466">
        <f>+IFERROR(ROUND(($AB49-AH49)*100,2)&amp;" pts.",0)</f>
        <v>0</v>
      </c>
      <c r="AO49" s="11"/>
    </row>
    <row r="50" spans="1:41" x14ac:dyDescent="0.25">
      <c r="A50" s="65" t="s">
        <v>4</v>
      </c>
      <c r="B50" s="66" t="str">
        <f>IF(_epmOfflineCondition_,"'Laundry'!$H$49:$H$50",_xll.EVRNG(H49:H50))</f>
        <v>'Laundry'!$H$49:$H$50</v>
      </c>
      <c r="C50" s="208"/>
      <c r="D50" s="11"/>
      <c r="E50" s="11"/>
      <c r="F50" s="11"/>
      <c r="G50" s="11"/>
      <c r="H50" s="88" t="s">
        <v>593</v>
      </c>
      <c r="I50" s="122" t="str">
        <f>IF(_epmOfflineCondition_,"N",_xll.EVPRO($B$1,$H50,"STYLE"))</f>
        <v>N</v>
      </c>
      <c r="J50" s="122" t="str">
        <f>IF(_epmOfflineCondition_,"N",_xll.EVPRO($B$1,$H50,"CALC"))</f>
        <v>N</v>
      </c>
      <c r="K50" s="11"/>
      <c r="L50" s="90" t="str">
        <f>IF(_epmOfflineCondition_,"789115",_xll.EVPRO($B$1,H50,"JDEID"))</f>
        <v>789115</v>
      </c>
      <c r="M50" s="90" t="str">
        <f>IF(_epmOfflineCondition_,"690938",IF(AND(I50="N",J50="N"),_xll.EVPRO($B$1,H50,"PSFTID"),""))</f>
        <v>690938</v>
      </c>
      <c r="N50" s="90" t="str">
        <f>IF(_epmOfflineCondition_,"Concessionaires Laundry",IF(_xll.EVDES(H50,$B$1)="#NODATA","",_xll.EVDES(H50,$B$1)))</f>
        <v>Concessionaires Laundry</v>
      </c>
      <c r="O50" s="138"/>
      <c r="P50" s="138"/>
      <c r="Q50" s="138"/>
      <c r="R50" s="138"/>
      <c r="S50" s="138"/>
      <c r="T50" s="138"/>
      <c r="U50" s="138"/>
      <c r="V50" s="138"/>
      <c r="W50" s="138"/>
      <c r="X50" s="138"/>
      <c r="Y50" s="138"/>
      <c r="Z50" s="138"/>
      <c r="AA50" s="138">
        <f>IF($I50="B1","",SUM(O50:Z50))</f>
        <v>0</v>
      </c>
      <c r="AB50" s="142" t="str">
        <f>IF(AA50=0,"",IFERROR(AA50/AA$19,""))</f>
        <v/>
      </c>
      <c r="AC50" s="140"/>
      <c r="AD50" s="138"/>
      <c r="AE50" s="142" t="str">
        <f>IF(AD50=0,"",IFERROR(AD50/AD$19,""))</f>
        <v/>
      </c>
      <c r="AF50" s="141">
        <f>IF(AND($AA50="",AD50=""),"",$AA50-AD50)</f>
        <v>0</v>
      </c>
      <c r="AG50" s="138"/>
      <c r="AH50" s="142" t="str">
        <f>IF(AG50=0,"",IFERROR(AG50/AG$19,""))</f>
        <v/>
      </c>
      <c r="AI50" s="141">
        <f>IF(AND($AA50="",AG50=""),"",$AA50-AG50)</f>
        <v>0</v>
      </c>
      <c r="AJ50" s="471">
        <f>IFERROR(AA50/AA$20,0)</f>
        <v>0</v>
      </c>
      <c r="AK50" s="472">
        <f>IFERROR(AD50/AD$20,0)</f>
        <v>0</v>
      </c>
      <c r="AL50" s="473">
        <f>IFERROR(AG50/AG$20,0)</f>
        <v>0</v>
      </c>
      <c r="AM50" s="474">
        <f>+IFERROR(ROUND(($AB50-AE50)*100,2)&amp;" pts.",0)</f>
        <v>0</v>
      </c>
      <c r="AN50" s="475">
        <f>+IFERROR(ROUND(($AB50-AH50)*100,2)&amp;" pts.",0)</f>
        <v>0</v>
      </c>
      <c r="AO50" s="11"/>
    </row>
    <row r="51" spans="1:41" x14ac:dyDescent="0.25">
      <c r="A51" s="65" t="s">
        <v>5</v>
      </c>
      <c r="B51" s="66"/>
      <c r="C51" s="208"/>
      <c r="D51" s="11"/>
      <c r="E51" s="11"/>
      <c r="F51" s="11"/>
      <c r="G51" s="11"/>
      <c r="H51" s="11"/>
      <c r="I51" s="59"/>
      <c r="J51" s="59"/>
      <c r="K51" s="11"/>
      <c r="L51" s="59"/>
      <c r="M51" s="59"/>
      <c r="N51" s="106" t="s">
        <v>557</v>
      </c>
      <c r="O51" s="112">
        <f t="shared" ref="O51:Z51" si="2">SUM(O49:O50)</f>
        <v>0</v>
      </c>
      <c r="P51" s="112">
        <f t="shared" si="2"/>
        <v>0</v>
      </c>
      <c r="Q51" s="112">
        <f t="shared" si="2"/>
        <v>0</v>
      </c>
      <c r="R51" s="112">
        <f t="shared" si="2"/>
        <v>0</v>
      </c>
      <c r="S51" s="112">
        <f t="shared" si="2"/>
        <v>0</v>
      </c>
      <c r="T51" s="112">
        <f t="shared" si="2"/>
        <v>0</v>
      </c>
      <c r="U51" s="112">
        <f t="shared" si="2"/>
        <v>0</v>
      </c>
      <c r="V51" s="112">
        <f t="shared" si="2"/>
        <v>0</v>
      </c>
      <c r="W51" s="112">
        <f t="shared" si="2"/>
        <v>0</v>
      </c>
      <c r="X51" s="112">
        <f t="shared" si="2"/>
        <v>0</v>
      </c>
      <c r="Y51" s="112">
        <f t="shared" si="2"/>
        <v>0</v>
      </c>
      <c r="Z51" s="112">
        <f t="shared" si="2"/>
        <v>0</v>
      </c>
      <c r="AA51" s="112">
        <f>IF($I51="B1","",SUM(O51:Z51))</f>
        <v>0</v>
      </c>
      <c r="AB51" s="113" t="str">
        <f>IF(AA51=0,"",IFERROR(AA51/AA$19,""))</f>
        <v/>
      </c>
      <c r="AC51" s="11"/>
      <c r="AD51" s="112">
        <f>SUM(AD49:AD50)</f>
        <v>0</v>
      </c>
      <c r="AE51" s="113" t="str">
        <f>IF(AD51=0,"",IFERROR(AD51/AD$19,""))</f>
        <v/>
      </c>
      <c r="AF51" s="114">
        <f>IF(AND($AA51="",AD51=""),"",$AA51-AD51)</f>
        <v>0</v>
      </c>
      <c r="AG51" s="112">
        <f>SUM(AG49:AG50)</f>
        <v>0</v>
      </c>
      <c r="AH51" s="113" t="str">
        <f>IF(AG51=0,"",IFERROR(AG51/AG$19,""))</f>
        <v/>
      </c>
      <c r="AI51" s="114">
        <f>IF(AND($AA51="",AG51=""),"",$AA51-AG51)</f>
        <v>0</v>
      </c>
      <c r="AJ51" s="415">
        <f>IFERROR(AA51/AA$20,0)</f>
        <v>0</v>
      </c>
      <c r="AK51" s="416">
        <f>IFERROR(AD51/AD$20,0)</f>
        <v>0</v>
      </c>
      <c r="AL51" s="417">
        <f>IFERROR(AG51/AG$20,0)</f>
        <v>0</v>
      </c>
      <c r="AM51" s="418">
        <f>+IFERROR(ROUND(($AB51-AE51)*100,2)&amp;" pts.",0)</f>
        <v>0</v>
      </c>
      <c r="AN51" s="543">
        <f>+IFERROR(ROUND(($AB51-AH51)*100,2)&amp;" pts.",0)</f>
        <v>0</v>
      </c>
      <c r="AO51" s="11"/>
    </row>
    <row r="52" spans="1:41" x14ac:dyDescent="0.25">
      <c r="A52" s="65" t="s">
        <v>6</v>
      </c>
      <c r="B52" s="66"/>
      <c r="C52" s="208"/>
      <c r="D52" s="11"/>
      <c r="E52" s="11"/>
      <c r="F52" s="11"/>
      <c r="G52" s="11"/>
      <c r="H52" s="11"/>
      <c r="I52" s="59"/>
      <c r="J52" s="59"/>
      <c r="K52" s="11"/>
      <c r="L52" s="59"/>
      <c r="M52" s="59"/>
      <c r="N52" s="106"/>
      <c r="O52" s="119"/>
      <c r="P52" s="120"/>
      <c r="Q52" s="120"/>
      <c r="R52" s="120"/>
      <c r="S52" s="120"/>
      <c r="T52" s="120"/>
      <c r="U52" s="120"/>
      <c r="V52" s="120"/>
      <c r="W52" s="120"/>
      <c r="X52" s="120"/>
      <c r="Y52" s="120"/>
      <c r="Z52" s="120"/>
      <c r="AA52" s="120"/>
      <c r="AB52" s="121"/>
      <c r="AC52" s="11"/>
      <c r="AD52" s="119"/>
      <c r="AE52" s="120"/>
      <c r="AF52" s="121"/>
      <c r="AG52" s="119"/>
      <c r="AH52" s="120"/>
      <c r="AI52" s="121"/>
      <c r="AJ52" s="11"/>
      <c r="AK52" s="11"/>
      <c r="AL52" s="11"/>
      <c r="AM52" s="11"/>
      <c r="AN52" s="11"/>
      <c r="AO52" s="11"/>
    </row>
    <row r="53" spans="1:41" ht="15.75" thickBot="1" x14ac:dyDescent="0.3">
      <c r="A53" s="65" t="s">
        <v>7</v>
      </c>
      <c r="B53" s="66"/>
      <c r="C53" s="208"/>
      <c r="D53" s="11"/>
      <c r="E53" s="11"/>
      <c r="F53" s="11"/>
      <c r="G53" s="11"/>
      <c r="H53" s="11"/>
      <c r="I53" s="59"/>
      <c r="J53" s="59"/>
      <c r="K53" s="11"/>
      <c r="L53" s="59"/>
      <c r="M53" s="59"/>
      <c r="N53" s="106" t="s">
        <v>556</v>
      </c>
      <c r="O53" s="126">
        <f t="shared" ref="O53:Z53" si="3">O46+O51</f>
        <v>0</v>
      </c>
      <c r="P53" s="126">
        <f t="shared" si="3"/>
        <v>0</v>
      </c>
      <c r="Q53" s="126">
        <f t="shared" si="3"/>
        <v>0</v>
      </c>
      <c r="R53" s="126">
        <f t="shared" si="3"/>
        <v>0</v>
      </c>
      <c r="S53" s="126">
        <f t="shared" si="3"/>
        <v>0</v>
      </c>
      <c r="T53" s="126">
        <f t="shared" si="3"/>
        <v>0</v>
      </c>
      <c r="U53" s="126">
        <f t="shared" si="3"/>
        <v>0</v>
      </c>
      <c r="V53" s="126">
        <f t="shared" si="3"/>
        <v>0</v>
      </c>
      <c r="W53" s="126">
        <f t="shared" si="3"/>
        <v>0</v>
      </c>
      <c r="X53" s="126">
        <f t="shared" si="3"/>
        <v>0</v>
      </c>
      <c r="Y53" s="126">
        <f t="shared" si="3"/>
        <v>0</v>
      </c>
      <c r="Z53" s="126">
        <f t="shared" si="3"/>
        <v>0</v>
      </c>
      <c r="AA53" s="126">
        <f>IF($I53="B1","",SUM(O53:Z53))</f>
        <v>0</v>
      </c>
      <c r="AB53" s="127" t="str">
        <f>IF(AA53=0,"",IFERROR(AA53/AA$19,""))</f>
        <v/>
      </c>
      <c r="AC53" s="11"/>
      <c r="AD53" s="126">
        <f>AD46+AD51</f>
        <v>0</v>
      </c>
      <c r="AE53" s="127" t="str">
        <f>IF(AD53=0,"",IFERROR(AD53/AD$19,""))</f>
        <v/>
      </c>
      <c r="AF53" s="128">
        <f>IF(AND($AA53="",AD53=""),"",$AA53-AD53)</f>
        <v>0</v>
      </c>
      <c r="AG53" s="126">
        <f>AG46+AG51</f>
        <v>0</v>
      </c>
      <c r="AH53" s="127" t="str">
        <f>IF(AG53=0,"",IFERROR(AG53/AG$19,""))</f>
        <v/>
      </c>
      <c r="AI53" s="128">
        <f>IF(AND($AA53="",AG53=""),"",$AA53-AG53)</f>
        <v>0</v>
      </c>
      <c r="AJ53" s="419">
        <f>IFERROR(AA53/AA$20,0)</f>
        <v>0</v>
      </c>
      <c r="AK53" s="420">
        <f>IFERROR(AD53/AD$20,0)</f>
        <v>0</v>
      </c>
      <c r="AL53" s="421">
        <f>IFERROR(AG53/AG$20,0)</f>
        <v>0</v>
      </c>
      <c r="AM53" s="422">
        <f>+IFERROR(ROUND(($AB53-AE53)*100,2)&amp;" pts.",0)</f>
        <v>0</v>
      </c>
      <c r="AN53" s="545">
        <f>+IFERROR(ROUND(($AB53-AH53)*100,2)&amp;" pts.",0)</f>
        <v>0</v>
      </c>
      <c r="AO53" s="11"/>
    </row>
    <row r="54" spans="1:41" ht="15.75" thickTop="1" x14ac:dyDescent="0.25">
      <c r="A54" s="65" t="s">
        <v>47</v>
      </c>
      <c r="B54" s="66" t="str">
        <f>IF(_epmOfflineCondition_,"'Laundry'!$A$81:$B$102",_xll.EVRNG($A$81:$B$102))</f>
        <v>'Laundry'!$A$81:$B$102</v>
      </c>
      <c r="C54" s="208"/>
      <c r="D54" s="11"/>
      <c r="E54" s="11"/>
      <c r="F54" s="11"/>
      <c r="G54" s="11"/>
      <c r="H54" s="11"/>
      <c r="I54" s="59"/>
      <c r="J54" s="59"/>
      <c r="K54" s="11"/>
      <c r="L54" s="59"/>
      <c r="M54" s="59"/>
      <c r="N54" s="11"/>
      <c r="O54" s="129"/>
      <c r="P54" s="130"/>
      <c r="Q54" s="130"/>
      <c r="R54" s="130"/>
      <c r="S54" s="130"/>
      <c r="T54" s="130"/>
      <c r="U54" s="130"/>
      <c r="V54" s="130"/>
      <c r="W54" s="130"/>
      <c r="X54" s="130"/>
      <c r="Y54" s="130"/>
      <c r="Z54" s="130"/>
      <c r="AA54" s="130"/>
      <c r="AB54" s="131"/>
      <c r="AC54" s="11"/>
      <c r="AD54" s="129"/>
      <c r="AE54" s="130"/>
      <c r="AF54" s="131"/>
      <c r="AG54" s="129"/>
      <c r="AH54" s="130"/>
      <c r="AI54" s="131"/>
      <c r="AJ54" s="11"/>
      <c r="AK54" s="11"/>
      <c r="AL54" s="11"/>
      <c r="AM54" s="11"/>
      <c r="AN54" s="11"/>
      <c r="AO54" s="11"/>
    </row>
    <row r="55" spans="1:41" x14ac:dyDescent="0.25">
      <c r="A55" s="65" t="s">
        <v>8</v>
      </c>
      <c r="B55" s="66"/>
      <c r="C55" s="208"/>
      <c r="D55" s="11"/>
      <c r="E55" s="11"/>
      <c r="F55" s="11"/>
      <c r="G55" s="11"/>
      <c r="H55" s="11"/>
      <c r="I55" s="59"/>
      <c r="J55" s="59"/>
      <c r="K55" s="11"/>
      <c r="L55" s="59"/>
      <c r="M55" s="59"/>
      <c r="N55" s="105" t="s">
        <v>595</v>
      </c>
      <c r="O55" s="119"/>
      <c r="P55" s="120"/>
      <c r="Q55" s="120"/>
      <c r="R55" s="120"/>
      <c r="S55" s="120"/>
      <c r="T55" s="120"/>
      <c r="U55" s="120"/>
      <c r="V55" s="120"/>
      <c r="W55" s="120"/>
      <c r="X55" s="120"/>
      <c r="Y55" s="120"/>
      <c r="Z55" s="120"/>
      <c r="AA55" s="120"/>
      <c r="AB55" s="121"/>
      <c r="AC55" s="11"/>
      <c r="AD55" s="119"/>
      <c r="AE55" s="120"/>
      <c r="AF55" s="121"/>
      <c r="AG55" s="119"/>
      <c r="AH55" s="120"/>
      <c r="AI55" s="121"/>
      <c r="AJ55" s="11"/>
      <c r="AK55" s="11"/>
      <c r="AL55" s="11"/>
      <c r="AM55" s="11"/>
      <c r="AN55" s="11"/>
      <c r="AO55" s="11"/>
    </row>
    <row r="56" spans="1:41" hidden="1" x14ac:dyDescent="0.25">
      <c r="A56" s="11"/>
      <c r="B56" s="11"/>
      <c r="C56" s="208"/>
      <c r="D56" s="11"/>
      <c r="E56" s="11"/>
      <c r="F56" s="11"/>
      <c r="G56" s="11"/>
      <c r="H56" s="185" t="s">
        <v>667</v>
      </c>
      <c r="I56" s="122" t="str">
        <f>IF(_epmOfflineCondition_,"",_xll.EVPRO($B$1,$H56,"STYLE"))</f>
        <v/>
      </c>
      <c r="J56" s="122" t="str">
        <f>IF(_epmOfflineCondition_,"",_xll.EVPRO($B$1,$H56,"CALC"))</f>
        <v/>
      </c>
      <c r="K56" s="90"/>
      <c r="L56" s="90"/>
      <c r="M56" s="90"/>
      <c r="N56" s="90" t="str">
        <f>IF(_epmOfflineCondition_,"",IF(_xll.EVDES(H56,$B$1)="#NODATA","",_xll.EVDES(H56,$B$1)))</f>
        <v/>
      </c>
      <c r="O56" s="138"/>
      <c r="P56" s="138"/>
      <c r="Q56" s="138"/>
      <c r="R56" s="138"/>
      <c r="S56" s="138"/>
      <c r="T56" s="138"/>
      <c r="U56" s="138"/>
      <c r="V56" s="138"/>
      <c r="W56" s="138"/>
      <c r="X56" s="138"/>
      <c r="Y56" s="138"/>
      <c r="Z56" s="138"/>
      <c r="AA56" s="138">
        <f>IF($I56="B1","",SUM(O56:Z56))</f>
        <v>0</v>
      </c>
      <c r="AB56" s="142" t="str">
        <f>IF(AA56=0,"",IFERROR(AA56/AA$19,""))</f>
        <v/>
      </c>
      <c r="AC56" s="140"/>
      <c r="AD56" s="138"/>
      <c r="AE56" s="142" t="str">
        <f>IF(AD56=0,"",IFERROR(AD56/AD$19,""))</f>
        <v/>
      </c>
      <c r="AF56" s="141">
        <f>IF(AND($AA56="",AD56=""),"",$AA56-AD56)</f>
        <v>0</v>
      </c>
      <c r="AG56" s="138"/>
      <c r="AH56" s="142" t="str">
        <f>IF(AG56=0,"",IFERROR(AG56/AG$19,""))</f>
        <v/>
      </c>
      <c r="AI56" s="141">
        <f>IF(AND($AA56="",AG56=""),"",$AA56-AG56)</f>
        <v>0</v>
      </c>
      <c r="AJ56" s="462">
        <f>IFERROR(AA56/AA$20,0)</f>
        <v>0</v>
      </c>
      <c r="AK56" s="463">
        <f>IFERROR(AD56/AD$20,0)</f>
        <v>0</v>
      </c>
      <c r="AL56" s="464">
        <f>IFERROR(AG56/AG$20,0)</f>
        <v>0</v>
      </c>
      <c r="AM56" s="465">
        <f>+IFERROR(ROUND(($AB56-AE56)*100,2)&amp;" pts.",0)</f>
        <v>0</v>
      </c>
      <c r="AN56" s="466">
        <f>+IFERROR(ROUND(($AB56-AH56)*100,2)&amp;" pts.",0)</f>
        <v>0</v>
      </c>
      <c r="AO56" s="11"/>
    </row>
    <row r="57" spans="1:41" hidden="1" x14ac:dyDescent="0.25">
      <c r="A57" s="11"/>
      <c r="B57" s="11"/>
      <c r="C57" s="208"/>
      <c r="D57" s="11"/>
      <c r="E57" s="11"/>
      <c r="F57" s="11"/>
      <c r="G57" s="11"/>
      <c r="H57" s="185"/>
      <c r="I57" s="122" t="str">
        <f>IF(_epmOfflineCondition_,"",_xll.EVPRO($B$1,$H57,"STYLE"))</f>
        <v/>
      </c>
      <c r="J57" s="122" t="str">
        <f>IF(_epmOfflineCondition_,"",_xll.EVPRO($B$1,$H57,"CALC"))</f>
        <v/>
      </c>
      <c r="K57" s="90"/>
      <c r="L57" s="90"/>
      <c r="M57" s="90"/>
      <c r="N57" s="90" t="str">
        <f>IF(_epmOfflineCondition_,"",IF(_xll.EVDES(H57,$B$1)="#NODATA","",_xll.EVDES(H57,$B$1)))</f>
        <v/>
      </c>
      <c r="O57" s="138"/>
      <c r="P57" s="138"/>
      <c r="Q57" s="138"/>
      <c r="R57" s="138"/>
      <c r="S57" s="138"/>
      <c r="T57" s="138"/>
      <c r="U57" s="138"/>
      <c r="V57" s="138"/>
      <c r="W57" s="138"/>
      <c r="X57" s="138"/>
      <c r="Y57" s="138"/>
      <c r="Z57" s="138"/>
      <c r="AA57" s="138">
        <f>IF($I57="B1","",SUM(O57:Z57))</f>
        <v>0</v>
      </c>
      <c r="AB57" s="142" t="str">
        <f>IF(AA57=0,"",IFERROR(AA57/AA$19,""))</f>
        <v/>
      </c>
      <c r="AC57" s="140"/>
      <c r="AD57" s="138"/>
      <c r="AE57" s="142" t="str">
        <f>IF(AD57=0,"",IFERROR(AD57/AD$19,""))</f>
        <v/>
      </c>
      <c r="AF57" s="141">
        <f>IF(AND($AA57="",AD57=""),"",$AA57-AD57)</f>
        <v>0</v>
      </c>
      <c r="AG57" s="138"/>
      <c r="AH57" s="142" t="str">
        <f>IF(AG57=0,"",IFERROR(AG57/AG$19,""))</f>
        <v/>
      </c>
      <c r="AI57" s="141">
        <f>IF(AND($AA57="",AG57=""),"",$AA57-AG57)</f>
        <v>0</v>
      </c>
      <c r="AJ57" s="462">
        <f>IFERROR(AA57/AA$20,0)</f>
        <v>0</v>
      </c>
      <c r="AK57" s="463">
        <f>IFERROR(AD57/AD$20,0)</f>
        <v>0</v>
      </c>
      <c r="AL57" s="464">
        <f>IFERROR(AG57/AG$20,0)</f>
        <v>0</v>
      </c>
      <c r="AM57" s="465">
        <f>+IFERROR(ROUND(($AB57-AE57)*100,2)&amp;" pts.",0)</f>
        <v>0</v>
      </c>
      <c r="AN57" s="466">
        <f>+IFERROR(ROUND(($AB57-AH57)*100,2)&amp;" pts.",0)</f>
        <v>0</v>
      </c>
      <c r="AO57" s="11"/>
    </row>
    <row r="58" spans="1:41" x14ac:dyDescent="0.25">
      <c r="A58" s="61" t="str">
        <f>IF(_epmOfflineCondition_,"Evdre:Ok",_xll.EVDRE($B$1,A61:B68,A71:B77))</f>
        <v>Evdre:Ok</v>
      </c>
      <c r="B58" s="11"/>
      <c r="C58" s="11"/>
      <c r="D58" s="11"/>
      <c r="E58" s="11"/>
      <c r="F58" s="11"/>
      <c r="G58" s="11"/>
      <c r="H58" s="59"/>
      <c r="I58" s="59"/>
      <c r="J58" s="11"/>
      <c r="K58" s="11"/>
      <c r="L58" s="59"/>
      <c r="M58" s="59"/>
      <c r="N58" s="106" t="s">
        <v>555</v>
      </c>
      <c r="O58" s="112">
        <f t="shared" ref="O58:Z58" si="4">SUM(O56:O57)</f>
        <v>0</v>
      </c>
      <c r="P58" s="112">
        <f t="shared" si="4"/>
        <v>0</v>
      </c>
      <c r="Q58" s="112">
        <f t="shared" si="4"/>
        <v>0</v>
      </c>
      <c r="R58" s="112">
        <f t="shared" si="4"/>
        <v>0</v>
      </c>
      <c r="S58" s="112">
        <f t="shared" si="4"/>
        <v>0</v>
      </c>
      <c r="T58" s="112">
        <f t="shared" si="4"/>
        <v>0</v>
      </c>
      <c r="U58" s="112">
        <f t="shared" si="4"/>
        <v>0</v>
      </c>
      <c r="V58" s="112">
        <f t="shared" si="4"/>
        <v>0</v>
      </c>
      <c r="W58" s="112">
        <f t="shared" si="4"/>
        <v>0</v>
      </c>
      <c r="X58" s="112">
        <f t="shared" si="4"/>
        <v>0</v>
      </c>
      <c r="Y58" s="112">
        <f t="shared" si="4"/>
        <v>0</v>
      </c>
      <c r="Z58" s="112">
        <f t="shared" si="4"/>
        <v>0</v>
      </c>
      <c r="AA58" s="112">
        <f>IF($I58="B1","",SUM(O58:Z58))</f>
        <v>0</v>
      </c>
      <c r="AB58" s="113" t="str">
        <f>IF(AA58=0,"",IFERROR(AA58/AA$19,""))</f>
        <v/>
      </c>
      <c r="AC58" s="11"/>
      <c r="AD58" s="112">
        <f>SUM(AD56:AD57)</f>
        <v>0</v>
      </c>
      <c r="AE58" s="113" t="str">
        <f>IF(AD58=0,"",IFERROR(AD58/AD$19,""))</f>
        <v/>
      </c>
      <c r="AF58" s="114">
        <f>IF(AND($AA58="",AD58=""),"",$AA58-AD58)</f>
        <v>0</v>
      </c>
      <c r="AG58" s="112">
        <f>SUM(AG56:AG57)</f>
        <v>0</v>
      </c>
      <c r="AH58" s="113" t="str">
        <f>IF(AG58=0,"",IFERROR(AG58/AG$19,""))</f>
        <v/>
      </c>
      <c r="AI58" s="114">
        <f>IF(AND($AA58="",AG58=""),"",$AA58-AG58)</f>
        <v>0</v>
      </c>
      <c r="AJ58" s="415">
        <f>IFERROR(AA58/AA$20,0)</f>
        <v>0</v>
      </c>
      <c r="AK58" s="416">
        <f>IFERROR(AD58/AD$20,0)</f>
        <v>0</v>
      </c>
      <c r="AL58" s="417">
        <f>IFERROR(AG58/AG$20,0)</f>
        <v>0</v>
      </c>
      <c r="AM58" s="418">
        <f>+IFERROR(ROUND(($AB58-AE58)*100,2)&amp;" pts.",0)</f>
        <v>0</v>
      </c>
      <c r="AN58" s="543">
        <f>+IFERROR(ROUND(($AB58-AH58)*100,2)&amp;" pts.",0)</f>
        <v>0</v>
      </c>
      <c r="AO58" s="11"/>
    </row>
    <row r="59" spans="1:41" x14ac:dyDescent="0.25">
      <c r="A59" s="11"/>
      <c r="B59" s="11"/>
      <c r="C59" s="11"/>
      <c r="D59" s="11"/>
      <c r="E59" s="11"/>
      <c r="F59" s="11"/>
      <c r="G59" s="11"/>
      <c r="H59" s="59"/>
      <c r="I59" s="59"/>
      <c r="J59" s="11"/>
      <c r="K59" s="11"/>
      <c r="L59" s="59"/>
      <c r="M59" s="59"/>
      <c r="N59" s="11"/>
      <c r="O59" s="119"/>
      <c r="P59" s="120"/>
      <c r="Q59" s="120"/>
      <c r="R59" s="120"/>
      <c r="S59" s="120"/>
      <c r="T59" s="120"/>
      <c r="U59" s="120"/>
      <c r="V59" s="120"/>
      <c r="W59" s="120"/>
      <c r="X59" s="120"/>
      <c r="Y59" s="120"/>
      <c r="Z59" s="120"/>
      <c r="AA59" s="120"/>
      <c r="AB59" s="121"/>
      <c r="AC59" s="11"/>
      <c r="AD59" s="119"/>
      <c r="AE59" s="120"/>
      <c r="AF59" s="121"/>
      <c r="AG59" s="119"/>
      <c r="AH59" s="120"/>
      <c r="AI59" s="121"/>
      <c r="AJ59" s="11"/>
      <c r="AK59" s="11"/>
      <c r="AL59" s="11"/>
      <c r="AM59" s="11"/>
      <c r="AN59" s="11"/>
      <c r="AO59" s="11"/>
    </row>
    <row r="60" spans="1:41" ht="15.75" thickBot="1" x14ac:dyDescent="0.3">
      <c r="A60" s="62" t="s">
        <v>0</v>
      </c>
      <c r="B60" s="63" t="s">
        <v>1</v>
      </c>
      <c r="C60" s="11"/>
      <c r="D60" s="11"/>
      <c r="E60" s="11"/>
      <c r="F60" s="11"/>
      <c r="G60" s="11"/>
      <c r="H60" s="59"/>
      <c r="I60" s="59"/>
      <c r="J60" s="11"/>
      <c r="K60" s="11"/>
      <c r="L60" s="59"/>
      <c r="M60" s="59"/>
      <c r="N60" s="106" t="s">
        <v>558</v>
      </c>
      <c r="O60" s="126">
        <f t="shared" ref="O60:Z60" si="5">O53+O58</f>
        <v>0</v>
      </c>
      <c r="P60" s="126">
        <f t="shared" si="5"/>
        <v>0</v>
      </c>
      <c r="Q60" s="126">
        <f t="shared" si="5"/>
        <v>0</v>
      </c>
      <c r="R60" s="126">
        <f t="shared" si="5"/>
        <v>0</v>
      </c>
      <c r="S60" s="126">
        <f t="shared" si="5"/>
        <v>0</v>
      </c>
      <c r="T60" s="126">
        <f t="shared" si="5"/>
        <v>0</v>
      </c>
      <c r="U60" s="126">
        <f t="shared" si="5"/>
        <v>0</v>
      </c>
      <c r="V60" s="126">
        <f t="shared" si="5"/>
        <v>0</v>
      </c>
      <c r="W60" s="126">
        <f t="shared" si="5"/>
        <v>0</v>
      </c>
      <c r="X60" s="126">
        <f t="shared" si="5"/>
        <v>0</v>
      </c>
      <c r="Y60" s="126">
        <f t="shared" si="5"/>
        <v>0</v>
      </c>
      <c r="Z60" s="126">
        <f t="shared" si="5"/>
        <v>0</v>
      </c>
      <c r="AA60" s="126">
        <f>IF($I60="B1","",SUM(O60:Z60))</f>
        <v>0</v>
      </c>
      <c r="AB60" s="127" t="str">
        <f>IF(AA60=0,"",IFERROR(AA60/AA$19,""))</f>
        <v/>
      </c>
      <c r="AC60" s="11"/>
      <c r="AD60" s="126">
        <f>AD53+AD58</f>
        <v>0</v>
      </c>
      <c r="AE60" s="127" t="str">
        <f>IF(AD60=0,"",IFERROR(AD60/AD$19,""))</f>
        <v/>
      </c>
      <c r="AF60" s="128">
        <f>IF(AND($AA60="",AD60=""),"",$AA60-AD60)</f>
        <v>0</v>
      </c>
      <c r="AG60" s="126">
        <f>AG53+AG58</f>
        <v>0</v>
      </c>
      <c r="AH60" s="127" t="str">
        <f>IF(AG60=0,"",IFERROR(AG60/AG$19,""))</f>
        <v/>
      </c>
      <c r="AI60" s="128">
        <f>IF(AND($AA60="",AG60=""),"",$AA60-AG60)</f>
        <v>0</v>
      </c>
      <c r="AJ60" s="11"/>
      <c r="AK60" s="11"/>
      <c r="AL60" s="11"/>
      <c r="AM60" s="11"/>
      <c r="AN60" s="11"/>
      <c r="AO60" s="11"/>
    </row>
    <row r="61" spans="1:41" ht="15.75" thickTop="1" x14ac:dyDescent="0.25">
      <c r="A61" s="65" t="s">
        <v>2</v>
      </c>
      <c r="B61" s="66" t="str">
        <f>IF(_epmOfflineCondition_,"'Laundry'!$B$2:$B$10",_xll.EVRNG($B$2:$B$10))</f>
        <v>'Laundry'!$B$2:$B$10</v>
      </c>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25">
      <c r="A62" s="65" t="s">
        <v>3</v>
      </c>
      <c r="B62" s="66" t="str">
        <f>IF(_epmOfflineCondition_,"'Laundry'!$O$16:$AN$18",_xll.EVRNG($O$16:$AN$18))</f>
        <v>'Laundry'!$O$16:$AN$18</v>
      </c>
      <c r="C62" s="11"/>
      <c r="D62" s="11"/>
      <c r="E62" s="11"/>
      <c r="F62" s="11"/>
      <c r="G62" s="11"/>
      <c r="H62" s="59"/>
      <c r="I62" s="59"/>
      <c r="J62" s="11"/>
      <c r="K62" s="11"/>
      <c r="L62" s="59"/>
      <c r="M62" s="59"/>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row>
    <row r="63" spans="1:41" x14ac:dyDescent="0.25">
      <c r="A63" s="65" t="s">
        <v>4</v>
      </c>
      <c r="B63" s="66" t="str">
        <f>IF(_epmOfflineCondition_,"'Laundry'!$H$56:$H$57",_xll.EVRNG(H56:H57))</f>
        <v>'Laundry'!$H$56:$H$57</v>
      </c>
      <c r="C63" s="11"/>
      <c r="D63" s="11"/>
      <c r="E63" s="11"/>
      <c r="F63" s="11"/>
      <c r="G63" s="11"/>
      <c r="H63" s="88" t="s">
        <v>56</v>
      </c>
      <c r="I63" s="136" t="str">
        <f>IF(_epmOfflineCondition_,"T2",_xll.EVPRO($B$1,$H63,"STYLE"))</f>
        <v>T2</v>
      </c>
      <c r="J63" s="136" t="str">
        <f>IF(_epmOfflineCondition_,"Y",_xll.EVPRO($B$1,$H63,"CALC"))</f>
        <v>Y</v>
      </c>
      <c r="K63" s="106"/>
      <c r="L63" s="59"/>
      <c r="M63" s="59"/>
      <c r="N63" s="106" t="s">
        <v>666</v>
      </c>
      <c r="O63" s="209">
        <f>IF(_epmOfflineCondition_,0,_xll.EVGTS($B$1,1,$B$3,$B$5,$B$7,$B$9,O$16,O$17,O$18,$B$6,$H63))</f>
        <v>0</v>
      </c>
      <c r="P63" s="209">
        <f>IF(_epmOfflineCondition_,0,_xll.EVGTS($B$1,1,$B$3,$B$5,$B$7,$B$9,P$16,P$17,P$18,$B$6,$H63))</f>
        <v>0</v>
      </c>
      <c r="Q63" s="209">
        <f>IF(_epmOfflineCondition_,0,_xll.EVGTS($B$1,1,$B$3,$B$5,$B$7,$B$9,Q$16,Q$17,Q$18,$B$6,$H63))</f>
        <v>0</v>
      </c>
      <c r="R63" s="209">
        <f>IF(_epmOfflineCondition_,0,_xll.EVGTS($B$1,1,$B$3,$B$5,$B$7,$B$9,R$16,R$17,R$18,$B$6,$H63))</f>
        <v>0</v>
      </c>
      <c r="S63" s="209">
        <f>IF(_epmOfflineCondition_,0,_xll.EVGTS($B$1,1,$B$3,$B$5,$B$7,$B$9,S$16,S$17,S$18,$B$6,$H63))</f>
        <v>0</v>
      </c>
      <c r="T63" s="209">
        <f>IF(_epmOfflineCondition_,0,_xll.EVGTS($B$1,1,$B$3,$B$5,$B$7,$B$9,T$16,T$17,T$18,$B$6,$H63))</f>
        <v>0</v>
      </c>
      <c r="U63" s="209">
        <f>IF(_epmOfflineCondition_,0,_xll.EVGTS($B$1,1,$B$3,$B$5,$B$7,$B$9,U$16,U$17,U$18,$B$6,$H63))</f>
        <v>0</v>
      </c>
      <c r="V63" s="209">
        <f>IF(_epmOfflineCondition_,0,_xll.EVGTS($B$1,1,$B$3,$B$5,$B$7,$B$9,V$16,V$17,V$18,$B$6,$H63))</f>
        <v>0</v>
      </c>
      <c r="W63" s="209">
        <f>IF(_epmOfflineCondition_,0,_xll.EVGTS($B$1,1,$B$3,$B$5,$B$7,$B$9,W$16,W$17,W$18,$B$6,$H63))</f>
        <v>0</v>
      </c>
      <c r="X63" s="209">
        <f>IF(_epmOfflineCondition_,0,_xll.EVGTS($B$1,1,$B$3,$B$5,$B$7,$B$9,X$16,X$17,X$18,$B$6,$H63))</f>
        <v>0</v>
      </c>
      <c r="Y63" s="209">
        <f>IF(_epmOfflineCondition_,0,_xll.EVGTS($B$1,1,$B$3,$B$5,$B$7,$B$9,Y$16,Y$17,Y$18,$B$6,$H63))</f>
        <v>0</v>
      </c>
      <c r="Z63" s="209">
        <f>IF(_epmOfflineCondition_,0,_xll.EVGTS($B$1,1,$B$3,$B$5,$B$7,$B$9,Z$16,Z$17,Z$18,$B$6,$H63))</f>
        <v>0</v>
      </c>
      <c r="AA63" s="91">
        <f>IF($I63="B1","",SUM(O63:Z63))</f>
        <v>0</v>
      </c>
      <c r="AB63" s="209"/>
      <c r="AC63" s="11"/>
      <c r="AD63" s="209">
        <f>IF(_epmOfflineCondition_,0,_xll.EVGTS($B$1,1,$B$3,$B$5,$B$7,$B$9,AD$16,AD$17,AD$18,$B$6,$H63))</f>
        <v>0</v>
      </c>
      <c r="AE63" s="209"/>
      <c r="AF63" s="209"/>
      <c r="AG63" s="209">
        <f>IF(_epmOfflineCondition_,0,_xll.EVGTS($B$1,1,$B$3,$B$5,$B$7,$B$9,AG$16,AG$17,AG$18,$B$6,$H63))</f>
        <v>0</v>
      </c>
      <c r="AH63" s="209"/>
      <c r="AI63" s="209"/>
      <c r="AJ63" s="11"/>
      <c r="AK63" s="11"/>
      <c r="AL63" s="11"/>
      <c r="AM63" s="11"/>
      <c r="AN63" s="11"/>
      <c r="AO63" s="11"/>
    </row>
    <row r="64" spans="1:41" x14ac:dyDescent="0.25">
      <c r="A64" s="65" t="s">
        <v>5</v>
      </c>
      <c r="B64" s="66"/>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25">
      <c r="A65" s="65" t="s">
        <v>6</v>
      </c>
      <c r="B65" s="66"/>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25">
      <c r="A66" s="65" t="s">
        <v>7</v>
      </c>
      <c r="B66" s="66"/>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25">
      <c r="A67" s="65" t="s">
        <v>47</v>
      </c>
      <c r="B67" s="66" t="str">
        <f>IF(_epmOfflineCondition_,"'Laundry'!$A$81:$B$102",_xll.EVRNG($A$81:$B$102))</f>
        <v>'Laundry'!$A$81:$B$102</v>
      </c>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25">
      <c r="A68" s="65" t="s">
        <v>8</v>
      </c>
      <c r="B68" s="66"/>
      <c r="C68" s="11"/>
      <c r="D68" s="11"/>
      <c r="E68" s="11"/>
      <c r="F68" s="11"/>
      <c r="G68" s="11"/>
      <c r="H68" s="59"/>
      <c r="I68" s="59"/>
      <c r="J68" s="11"/>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11"/>
      <c r="B69" s="11"/>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25">
      <c r="A70" s="62" t="s">
        <v>9</v>
      </c>
      <c r="B70" s="63" t="s">
        <v>10</v>
      </c>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25">
      <c r="A71" s="65" t="s">
        <v>11</v>
      </c>
      <c r="B71" s="66" t="s">
        <v>21</v>
      </c>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65" t="s">
        <v>12</v>
      </c>
      <c r="B72" s="66" t="s">
        <v>22</v>
      </c>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65" t="s">
        <v>13</v>
      </c>
      <c r="B73" s="66" t="s">
        <v>594</v>
      </c>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25">
      <c r="A74" s="65" t="s">
        <v>14</v>
      </c>
      <c r="B74" s="605"/>
      <c r="C74" s="11"/>
      <c r="D74" s="11"/>
      <c r="E74" s="11"/>
      <c r="F74" s="11"/>
      <c r="G74" s="11"/>
      <c r="H74" s="11"/>
      <c r="I74" s="59"/>
      <c r="J74" s="59"/>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25">
      <c r="A75" s="65" t="s">
        <v>15</v>
      </c>
      <c r="B75" s="66"/>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65" t="s">
        <v>16</v>
      </c>
      <c r="B76" s="66" t="s">
        <v>78</v>
      </c>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25">
      <c r="A77" s="65" t="s">
        <v>17</v>
      </c>
      <c r="B77" s="66"/>
      <c r="C77" s="11"/>
      <c r="D77" s="11"/>
      <c r="E77" s="11"/>
      <c r="F77" s="11"/>
      <c r="G77" s="11"/>
      <c r="H77" s="11"/>
      <c r="I77" s="59"/>
      <c r="J77" s="59"/>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11"/>
      <c r="B78" s="11"/>
      <c r="C78" s="11"/>
      <c r="D78" s="11"/>
      <c r="E78" s="11"/>
      <c r="F78" s="11"/>
      <c r="G78" s="11"/>
      <c r="H78" s="11"/>
      <c r="I78" s="59"/>
      <c r="J78" s="59"/>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11"/>
      <c r="B79" s="11"/>
      <c r="C79" s="11"/>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62" t="s">
        <v>23</v>
      </c>
      <c r="B80" s="63" t="s">
        <v>24</v>
      </c>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65" t="s">
        <v>25</v>
      </c>
      <c r="B81" s="66"/>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65" t="s">
        <v>26</v>
      </c>
      <c r="B82" s="66"/>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65" t="s">
        <v>27</v>
      </c>
      <c r="B83" s="66"/>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28</v>
      </c>
      <c r="B84" s="66"/>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65" t="s">
        <v>29</v>
      </c>
      <c r="B85" s="66"/>
      <c r="C85" s="11"/>
      <c r="D85" s="11"/>
      <c r="E85" s="11"/>
      <c r="F85" s="11"/>
      <c r="G85" s="11"/>
      <c r="H85" s="11"/>
      <c r="I85" s="59"/>
      <c r="J85" s="59"/>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30</v>
      </c>
      <c r="B86" s="66" t="s">
        <v>78</v>
      </c>
      <c r="C86" s="11"/>
      <c r="D86" s="11"/>
      <c r="E86" s="11"/>
      <c r="F86" s="11"/>
      <c r="G86" s="11"/>
      <c r="H86" s="11"/>
      <c r="I86" s="59"/>
      <c r="J86" s="59"/>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31</v>
      </c>
      <c r="B87" s="66" t="s">
        <v>78</v>
      </c>
      <c r="C87" s="11"/>
      <c r="D87" s="11"/>
      <c r="E87" s="11"/>
      <c r="F87" s="11"/>
      <c r="G87" s="11"/>
      <c r="H87" s="11"/>
      <c r="I87" s="59"/>
      <c r="J87" s="59"/>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32</v>
      </c>
      <c r="B88" s="66"/>
      <c r="C88" s="11"/>
      <c r="D88" s="11"/>
      <c r="E88" s="11"/>
      <c r="F88" s="11"/>
      <c r="G88" s="11"/>
      <c r="H88" s="11"/>
      <c r="I88" s="59"/>
      <c r="J88" s="59"/>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65" t="s">
        <v>33</v>
      </c>
      <c r="B89" s="66"/>
      <c r="C89" s="11"/>
      <c r="D89" s="11"/>
      <c r="E89" s="11"/>
      <c r="F89" s="11"/>
      <c r="G89" s="11"/>
      <c r="H89" s="11"/>
      <c r="I89" s="59"/>
      <c r="J89" s="59"/>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65" t="s">
        <v>34</v>
      </c>
      <c r="B90" s="66"/>
      <c r="C90" s="11"/>
      <c r="D90" s="11"/>
      <c r="E90" s="11"/>
      <c r="F90" s="11"/>
      <c r="G90" s="11"/>
      <c r="H90" s="11"/>
      <c r="I90" s="59"/>
      <c r="J90" s="59"/>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65" t="s">
        <v>35</v>
      </c>
      <c r="B91" s="66"/>
      <c r="C91" s="11"/>
      <c r="D91" s="11"/>
      <c r="E91" s="11"/>
      <c r="F91" s="11"/>
      <c r="G91" s="11"/>
      <c r="H91" s="11"/>
      <c r="I91" s="59"/>
      <c r="J91" s="59"/>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65" t="s">
        <v>36</v>
      </c>
      <c r="B92" s="66"/>
      <c r="C92" s="11"/>
      <c r="D92" s="11"/>
      <c r="E92" s="11"/>
      <c r="F92" s="11"/>
      <c r="G92" s="11"/>
      <c r="H92" s="11"/>
      <c r="I92" s="59"/>
      <c r="J92" s="59"/>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65" t="s">
        <v>37</v>
      </c>
      <c r="B93" s="66"/>
      <c r="C93" s="11"/>
      <c r="D93" s="11"/>
      <c r="E93" s="11"/>
      <c r="F93" s="11"/>
      <c r="G93" s="11"/>
      <c r="H93" s="11"/>
      <c r="I93" s="59"/>
      <c r="J93" s="59"/>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65" t="s">
        <v>38</v>
      </c>
      <c r="B94" s="66"/>
      <c r="C94" s="11"/>
      <c r="D94" s="11"/>
      <c r="E94" s="11"/>
      <c r="F94" s="11"/>
      <c r="G94" s="11"/>
      <c r="H94" s="11"/>
      <c r="I94" s="59"/>
      <c r="J94" s="59"/>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65" t="s">
        <v>39</v>
      </c>
      <c r="B95" s="66"/>
      <c r="C95" s="11"/>
      <c r="D95" s="11"/>
      <c r="E95" s="11"/>
      <c r="F95" s="11"/>
      <c r="G95" s="11"/>
      <c r="H95" s="11"/>
      <c r="I95" s="59"/>
      <c r="J95" s="59"/>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65" t="s">
        <v>40</v>
      </c>
      <c r="B96" s="66"/>
      <c r="C96" s="11"/>
      <c r="D96" s="11"/>
      <c r="E96" s="11"/>
      <c r="F96" s="11"/>
      <c r="G96" s="11"/>
      <c r="H96" s="11"/>
      <c r="I96" s="59"/>
      <c r="J96" s="59"/>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row r="97" spans="1:41" x14ac:dyDescent="0.25">
      <c r="A97" s="65" t="s">
        <v>41</v>
      </c>
      <c r="B97" s="66"/>
      <c r="C97" s="11"/>
      <c r="D97" s="11"/>
      <c r="E97" s="11"/>
      <c r="F97" s="11"/>
      <c r="G97" s="11"/>
      <c r="H97" s="11"/>
      <c r="I97" s="59"/>
      <c r="J97" s="59"/>
      <c r="K97" s="11"/>
      <c r="L97" s="59"/>
      <c r="M97" s="59"/>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row>
    <row r="98" spans="1:41" x14ac:dyDescent="0.25">
      <c r="A98" s="65" t="s">
        <v>42</v>
      </c>
      <c r="B98" s="66"/>
      <c r="C98" s="11"/>
      <c r="D98" s="11"/>
      <c r="E98" s="11"/>
      <c r="F98" s="11"/>
      <c r="G98" s="11"/>
      <c r="H98" s="11"/>
      <c r="I98" s="59"/>
      <c r="J98" s="59"/>
      <c r="K98" s="11"/>
      <c r="L98" s="59"/>
      <c r="M98" s="59"/>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row>
    <row r="99" spans="1:41" x14ac:dyDescent="0.25">
      <c r="A99" s="65" t="s">
        <v>43</v>
      </c>
      <c r="B99" s="66"/>
      <c r="C99" s="11"/>
      <c r="D99" s="11"/>
      <c r="E99" s="11"/>
      <c r="F99" s="11"/>
      <c r="G99" s="11"/>
      <c r="H99" s="11"/>
      <c r="I99" s="59"/>
      <c r="J99" s="59"/>
      <c r="K99" s="11"/>
      <c r="L99" s="59"/>
      <c r="M99" s="59"/>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row>
    <row r="100" spans="1:41" x14ac:dyDescent="0.25">
      <c r="A100" s="65" t="s">
        <v>44</v>
      </c>
      <c r="B100" s="66"/>
      <c r="C100" s="11"/>
      <c r="D100" s="11"/>
      <c r="E100" s="11"/>
      <c r="F100" s="11"/>
      <c r="G100" s="11"/>
      <c r="H100" s="11"/>
      <c r="I100" s="59"/>
      <c r="J100" s="59"/>
      <c r="K100" s="11"/>
      <c r="L100" s="59"/>
      <c r="M100" s="59"/>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row>
    <row r="101" spans="1:41" x14ac:dyDescent="0.25">
      <c r="A101" s="65" t="s">
        <v>45</v>
      </c>
      <c r="B101" s="66"/>
      <c r="C101" s="11"/>
      <c r="D101" s="11"/>
      <c r="E101" s="11"/>
      <c r="F101" s="11"/>
      <c r="G101" s="11"/>
      <c r="H101" s="11"/>
      <c r="I101" s="59"/>
      <c r="J101" s="59"/>
      <c r="K101" s="11"/>
      <c r="L101" s="59"/>
      <c r="M101" s="59"/>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row>
    <row r="102" spans="1:41" x14ac:dyDescent="0.25">
      <c r="A102" s="65" t="s">
        <v>46</v>
      </c>
      <c r="B102" s="66"/>
      <c r="C102" s="11"/>
      <c r="D102" s="11"/>
      <c r="E102" s="11"/>
      <c r="F102" s="11"/>
      <c r="G102" s="11"/>
      <c r="H102" s="11"/>
      <c r="I102" s="59"/>
      <c r="J102" s="59"/>
      <c r="K102" s="11"/>
      <c r="L102" s="59"/>
      <c r="M102" s="59"/>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row>
  </sheetData>
  <sheetProtection algorithmName="SHA-512" hashValue="LQidQM2ggNtUxmFAWy7aI5gMNosmx/Q0OnnAfVuzRcnbUCbZ1o/amf7ryJ62C/PIKSMbezKiGSGt/nWjG/6ORw==" saltValue="8Nhbju6JbHopz4yZ/DRr8w==" spinCount="100000" sheet="1" scenarios="1"/>
  <mergeCells count="2">
    <mergeCell ref="AD31:AE31"/>
    <mergeCell ref="AG31:AH31"/>
  </mergeCells>
  <dataValidations disablePrompts="1" count="2">
    <dataValidation type="list" allowBlank="1" sqref="B72 B28" xr:uid="{00000000-0002-0000-2E00-000000000000}">
      <formula1>"ACCOUNT,BUSINESSUNIT,CATEGORY,DATASRC,DEPARTMENT,INTCO,MEASURES,RPTCURRENCY,TIME"</formula1>
    </dataValidation>
    <dataValidation type="list" allowBlank="1" sqref="B73 B29" xr:uid="{00000000-0002-0000-2E00-000001000000}">
      <formula1>"SELF,ALL,BAS,DEP,BASMEMBERS,MEMBERS,NOEXPAND,GDEP"</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4524"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64524" r:id="rId7" name="FPMExcelClientSheetOptionstb1"/>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1">
    <pageSetUpPr fitToPage="1"/>
  </sheetPr>
  <dimension ref="A1:AO89"/>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9.140625"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554</v>
      </c>
      <c r="C2" s="11" t="str">
        <f>IF(_epmOfflineCondition_,"POD Allocation Out Account",_xll.EVDES(B2,$B$1))</f>
        <v>POD Allocation Out Account</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559</v>
      </c>
      <c r="C6" s="11" t="str">
        <f>IF(_epmOfflineCondition_,"Staff Dining",_xll.EVDES(B6,$B$1))</f>
        <v>Staff Dining</v>
      </c>
      <c r="D6" s="11"/>
      <c r="E6" s="58" t="str">
        <f>IF(_epmOfflineCondition_,"D2259",_xll.EVPRO($B$1,$B$6,$F$6))</f>
        <v>D2259</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IF(_epmOfflineCondition_,"'Dining'!$B$2:$B$10",_xll.EVRNG($B$2:$B$10))</f>
        <v>'Dining'!$B$2:$B$10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IF(_epmOfflineCondition_,"'Dining'!$O$16:$AN$18",_xll.EVRNG($O$16:$AN$18))</f>
        <v>'Dining'!$O$16:$AN$18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IF(_epmOfflineCondition_,"'Dining'!$H$34:$H$35,'Dining'!$H$38:$H$39,'Dining'!$H$40:$H$41,'Dining'!$H$44:$H$45",_xll.EVRNG(H34:H35,H38:H39,H40:H41,H44:H45))</f>
        <v>'Dining'!$H$34:$H$35,'Dining'!$H$38:$H$39,'Dining'!$H$40:$H$41,'Dining'!$H$44:$H$45</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IF(_epmOfflineCondition_,48180,_xll.EVGTS($B$1,1,$B$3,$B$5,$B$7,$B$9,AG$16,AG$17,AG$18,$G$20,$H$20))</f>
        <v>48180</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IF(_epmOfflineCondition_,"'Dining'!$A$36:$F$42",_xll.EVRNG(A36:F42))</f>
        <v>'Dining'!$A$36:$F$42</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IF(_epmOfflineCondition_,"'Dining'!$A$68:$B$89",_xll.EVRNG($A$68:$B$89))</f>
        <v>'Dining'!$A$68:$B$89</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IF(_epmOfflineCondition_,"Staff Dining Department",IF(_xll.EVDES(B6,$B$1)="#NODATA","",_xll.EVDES(B6,$B$1)&amp;" Department"))</f>
        <v>Staff Dining Department</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05" t="s">
        <v>745</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0" t="str">
        <f>IF(_epmOfflineCondition_,"2022",_xll.EVPRO($B$1,AD$16,"YEAR"))</f>
        <v>2022</v>
      </c>
      <c r="AL31" s="80" t="str">
        <f>IF(_epmOfflineCondition_,"2021",_xll.EVPRO($B$1,AG$16,"YEAR"))</f>
        <v>2021</v>
      </c>
      <c r="AM31" s="77" t="str">
        <f>"vs "&amp;AK31</f>
        <v>vs 2022</v>
      </c>
      <c r="AN31" s="77" t="str">
        <f>"vs "&amp;AL31</f>
        <v>vs 2021</v>
      </c>
      <c r="AO31" s="11"/>
    </row>
    <row r="32" spans="1:41" s="8" customFormat="1" ht="30" customHeight="1" x14ac:dyDescent="0.2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0" t="s">
        <v>58</v>
      </c>
      <c r="AF32" s="87" t="s">
        <v>57</v>
      </c>
      <c r="AG32" s="87" t="str">
        <f>IF(_epmOfflineCondition_,"Actual",IF(_xll.EVDES(AG17,$B$1)="#NODATA","",_xll.EVDES(AG17,$B$1)))</f>
        <v>Actual</v>
      </c>
      <c r="AH32" s="80" t="s">
        <v>58</v>
      </c>
      <c r="AI32" s="87" t="s">
        <v>57</v>
      </c>
      <c r="AJ32" s="87" t="str">
        <f>Z32</f>
        <v>Actual</v>
      </c>
      <c r="AK32" s="80" t="str">
        <f>AD32</f>
        <v>Budget</v>
      </c>
      <c r="AL32" s="87" t="str">
        <f>AG32</f>
        <v>Actual</v>
      </c>
      <c r="AM32" s="77" t="s">
        <v>747</v>
      </c>
      <c r="AN32" s="77" t="s">
        <v>747</v>
      </c>
      <c r="AO32" s="83"/>
    </row>
    <row r="33" spans="1:41" x14ac:dyDescent="0.25">
      <c r="A33" s="65" t="s">
        <v>17</v>
      </c>
      <c r="B33" s="66"/>
      <c r="C33" s="11"/>
      <c r="D33" s="11"/>
      <c r="E33" s="11"/>
      <c r="F33" s="11"/>
      <c r="G33" s="11"/>
      <c r="H33" s="615"/>
      <c r="I33" s="59"/>
      <c r="J33" s="59"/>
      <c r="K33" s="616"/>
      <c r="L33" s="59"/>
      <c r="M33" s="59"/>
      <c r="N33" s="488"/>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hidden="1" x14ac:dyDescent="0.25">
      <c r="A34" s="11"/>
      <c r="B34" s="11"/>
      <c r="C34" s="11"/>
      <c r="D34" s="11"/>
      <c r="E34" s="11"/>
      <c r="F34" s="11"/>
      <c r="G34" s="11"/>
      <c r="H34" s="88" t="s">
        <v>667</v>
      </c>
      <c r="I34" s="122" t="str">
        <f>IF(_epmOfflineCondition_,"",_xll.EVPRO($B$1,$H34,"STYLE"))</f>
        <v/>
      </c>
      <c r="J34" s="122" t="str">
        <f>IF(_epmOfflineCondition_,"",_xll.EVPRO($B$1,$H34,"CALC"))</f>
        <v/>
      </c>
      <c r="K34" s="179" t="str">
        <f>IF(AND(I34&gt;="T3"),"&gt;","")</f>
        <v/>
      </c>
      <c r="L34" s="90" t="str">
        <f>IF(_epmOfflineCondition_,"",_xll.EVPRO($B$1,H34,"JDEID"))</f>
        <v/>
      </c>
      <c r="M34" s="90" t="str">
        <f>IF(_epmOfflineCondition_,"",IF(AND(I34="N",J34="N"),_xll.EVPRO($B$1,H34,"PSFTID"),""))</f>
        <v/>
      </c>
      <c r="N34" s="90" t="str">
        <f>IF(_epmOfflineCondition_,"",IF(_xll.EVDES(H34,$B$1)="#NODATA","",_xll.EVDES(H34,$B$1)))</f>
        <v/>
      </c>
      <c r="O34" s="138"/>
      <c r="P34" s="138"/>
      <c r="Q34" s="138"/>
      <c r="R34" s="138"/>
      <c r="S34" s="138"/>
      <c r="T34" s="138"/>
      <c r="U34" s="138"/>
      <c r="V34" s="138"/>
      <c r="W34" s="138"/>
      <c r="X34" s="138"/>
      <c r="Y34" s="138"/>
      <c r="Z34" s="138"/>
      <c r="AA34" s="138">
        <f>IF($I34="B1","",SUM(O34:Z34))</f>
        <v>0</v>
      </c>
      <c r="AB34" s="142" t="str">
        <f>IF(AA34=0,"",IFERROR(AA34/AA$19,""))</f>
        <v/>
      </c>
      <c r="AC34" s="140"/>
      <c r="AD34" s="138"/>
      <c r="AE34" s="142" t="str">
        <f>IF(AD34=0,"",IFERROR(AD34/AD$19,""))</f>
        <v/>
      </c>
      <c r="AF34" s="141">
        <f>IF(AND($AA34="",AD34=""),"",$AA34-AD34)</f>
        <v>0</v>
      </c>
      <c r="AG34" s="138"/>
      <c r="AH34" s="142" t="str">
        <f>IF(AG34=0,"",IFERROR(AG34/AG$19,""))</f>
        <v/>
      </c>
      <c r="AI34" s="141">
        <f>IF(AND($AA34="",AG34=""),"",$AA34-AG34)</f>
        <v>0</v>
      </c>
      <c r="AJ34" s="462">
        <f>IFERROR(AA34/AA$20,0)</f>
        <v>0</v>
      </c>
      <c r="AK34" s="463">
        <f>IFERROR(AD34/AD$20,0)</f>
        <v>0</v>
      </c>
      <c r="AL34" s="464">
        <f>IFERROR(AG34/AG$20,0)</f>
        <v>0</v>
      </c>
      <c r="AM34" s="465">
        <f>+IFERROR(ROUND(($AB34-AE34)*100,2)&amp;" pts.",0)</f>
        <v>0</v>
      </c>
      <c r="AN34" s="466">
        <f>+IFERROR(ROUND(($AB34-AH34)*100,2)&amp;" pts.",0)</f>
        <v>0</v>
      </c>
      <c r="AO34" s="11"/>
    </row>
    <row r="35" spans="1:41" hidden="1" x14ac:dyDescent="0.25">
      <c r="A35" s="97" t="s">
        <v>92</v>
      </c>
      <c r="B35" s="98" t="s">
        <v>93</v>
      </c>
      <c r="C35" s="98" t="s">
        <v>94</v>
      </c>
      <c r="D35" s="98" t="s">
        <v>95</v>
      </c>
      <c r="E35" s="98" t="s">
        <v>96</v>
      </c>
      <c r="F35" s="99" t="s">
        <v>97</v>
      </c>
      <c r="G35" s="11"/>
      <c r="H35" s="88"/>
      <c r="I35" s="122" t="str">
        <f>IF(_epmOfflineCondition_,"",_xll.EVPRO($B$1,$H35,"STYLE"))</f>
        <v/>
      </c>
      <c r="J35" s="122" t="str">
        <f>IF(_epmOfflineCondition_,"",_xll.EVPRO($B$1,$H35,"CALC"))</f>
        <v/>
      </c>
      <c r="K35" s="179" t="str">
        <f>IF(AND(I35&gt;="T3"),"&gt;","")</f>
        <v/>
      </c>
      <c r="L35" s="90" t="str">
        <f>IF(_epmOfflineCondition_,"",_xll.EVPRO($B$1,H35,"JDEID"))</f>
        <v/>
      </c>
      <c r="M35" s="90" t="str">
        <f>IF(_epmOfflineCondition_,"",IF(AND(I35="N",J35="N"),_xll.EVPRO($B$1,H35,"PSFTID"),""))</f>
        <v/>
      </c>
      <c r="N35" s="90" t="str">
        <f>IF(_epmOfflineCondition_,"",IF(_xll.EVDES(H35,$B$1)="#NODATA","",_xll.EVDES(H35,$B$1)))</f>
        <v/>
      </c>
      <c r="O35" s="138"/>
      <c r="P35" s="138"/>
      <c r="Q35" s="138"/>
      <c r="R35" s="138"/>
      <c r="S35" s="138"/>
      <c r="T35" s="138"/>
      <c r="U35" s="138"/>
      <c r="V35" s="138"/>
      <c r="W35" s="138"/>
      <c r="X35" s="138"/>
      <c r="Y35" s="138"/>
      <c r="Z35" s="138"/>
      <c r="AA35" s="138">
        <f>IF($I35="B1","",SUM(O35:Z35))</f>
        <v>0</v>
      </c>
      <c r="AB35" s="142" t="str">
        <f>IF(AA35=0,"",IFERROR(AA35/AA$19,""))</f>
        <v/>
      </c>
      <c r="AC35" s="140"/>
      <c r="AD35" s="138"/>
      <c r="AE35" s="142" t="str">
        <f>IF(AD35=0,"",IFERROR(AD35/AD$19,""))</f>
        <v/>
      </c>
      <c r="AF35" s="141">
        <f>IF(AND($AA35="",AD35=""),"",$AA35-AD35)</f>
        <v>0</v>
      </c>
      <c r="AG35" s="138"/>
      <c r="AH35" s="142" t="str">
        <f>IF(AG35=0,"",IFERROR(AG35/AG$19,""))</f>
        <v/>
      </c>
      <c r="AI35" s="141">
        <f>IF(AND($AA35="",AG35=""),"",$AA35-AG35)</f>
        <v>0</v>
      </c>
      <c r="AJ35" s="462">
        <f>IFERROR(AA35/AA$20,0)</f>
        <v>0</v>
      </c>
      <c r="AK35" s="463">
        <f>IFERROR(AD35/AD$20,0)</f>
        <v>0</v>
      </c>
      <c r="AL35" s="464">
        <f>IFERROR(AG35/AG$20,0)</f>
        <v>0</v>
      </c>
      <c r="AM35" s="465">
        <f>+IFERROR(ROUND(($AB35-AE35)*100,2)&amp;" pts.",0)</f>
        <v>0</v>
      </c>
      <c r="AN35" s="466">
        <f>+IFERROR(ROUND(($AB35-AH35)*100,2)&amp;" pts.",0)</f>
        <v>0</v>
      </c>
      <c r="AO35" s="11"/>
    </row>
    <row r="36" spans="1:41" x14ac:dyDescent="0.25">
      <c r="A36" s="11"/>
      <c r="B36" s="11"/>
      <c r="C36" s="11"/>
      <c r="D36" s="11"/>
      <c r="E36" s="11"/>
      <c r="F36" s="11"/>
      <c r="G36" s="11"/>
      <c r="H36" s="11" t="s">
        <v>73</v>
      </c>
      <c r="I36" s="59" t="str">
        <f>IF(_epmOfflineCondition_,"B1",_xll.EVPRO($B$1,$H36,"STYLE"))</f>
        <v>B1</v>
      </c>
      <c r="J36" s="59" t="str">
        <f>IF(_epmOfflineCondition_,"Y",_xll.EVPRO($B$1,$H36,"CALC"))</f>
        <v>Y</v>
      </c>
      <c r="K36" s="11"/>
      <c r="L36" s="59"/>
      <c r="M36" s="59"/>
      <c r="N36" s="105" t="str">
        <f>IF(_epmOfflineCondition_,"Labor &amp; Related Expenses",IF(_xll.EVDES(H36,$B$1)="#NODATA","",_xll.EVDES(H36,$B$1)))</f>
        <v>Labor &amp; Related Expenses</v>
      </c>
      <c r="O36" s="203"/>
      <c r="P36" s="204"/>
      <c r="Q36" s="204"/>
      <c r="R36" s="204"/>
      <c r="S36" s="204"/>
      <c r="T36" s="204"/>
      <c r="U36" s="204"/>
      <c r="V36" s="204"/>
      <c r="W36" s="204"/>
      <c r="X36" s="204"/>
      <c r="Y36" s="204"/>
      <c r="Z36" s="204"/>
      <c r="AA36" s="204"/>
      <c r="AB36" s="118"/>
      <c r="AC36" s="11"/>
      <c r="AD36" s="203"/>
      <c r="AE36" s="204"/>
      <c r="AF36" s="118"/>
      <c r="AG36" s="203"/>
      <c r="AH36" s="204"/>
      <c r="AI36" s="118"/>
      <c r="AJ36" s="11"/>
      <c r="AK36" s="11"/>
      <c r="AL36" s="11"/>
      <c r="AM36" s="11"/>
      <c r="AN36" s="11"/>
      <c r="AO36" s="11"/>
    </row>
    <row r="37" spans="1:41" x14ac:dyDescent="0.25">
      <c r="A37" s="11" t="s">
        <v>108</v>
      </c>
      <c r="B37" s="11"/>
      <c r="C37" s="104" t="s">
        <v>101</v>
      </c>
      <c r="D37" s="11" t="s">
        <v>106</v>
      </c>
      <c r="E37" s="11"/>
      <c r="F37" s="11" t="s">
        <v>98</v>
      </c>
      <c r="G37" s="11"/>
      <c r="H37" s="11" t="s">
        <v>74</v>
      </c>
      <c r="I37" s="59" t="str">
        <f>IF(_epmOfflineCondition_,"B1",_xll.EVPRO($B$1,$H37,"STYLE"))</f>
        <v>B1</v>
      </c>
      <c r="J37" s="59" t="str">
        <f>IF(_epmOfflineCondition_,"Y",_xll.EVPRO($B$1,$H37,"CALC"))</f>
        <v>Y</v>
      </c>
      <c r="K37" s="11"/>
      <c r="L37" s="59"/>
      <c r="M37" s="59"/>
      <c r="N37" s="53" t="str">
        <f>IF(_epmOfflineCondition_,"Salaries &amp; Wages",IF(_xll.EVDES(H37,$B$1)="#NODATA","",_xll.EVDES(H37,$B$1)))</f>
        <v>Salaries &amp; Wages</v>
      </c>
      <c r="O37" s="119"/>
      <c r="P37" s="120"/>
      <c r="Q37" s="120"/>
      <c r="R37" s="120"/>
      <c r="S37" s="120"/>
      <c r="T37" s="120"/>
      <c r="U37" s="120"/>
      <c r="V37" s="120"/>
      <c r="W37" s="120"/>
      <c r="X37" s="120"/>
      <c r="Y37" s="120"/>
      <c r="Z37" s="120"/>
      <c r="AA37" s="120"/>
      <c r="AB37" s="121"/>
      <c r="AC37" s="11"/>
      <c r="AD37" s="119"/>
      <c r="AE37" s="120"/>
      <c r="AF37" s="121"/>
      <c r="AG37" s="119"/>
      <c r="AH37" s="120"/>
      <c r="AI37" s="121"/>
      <c r="AJ37" s="11"/>
      <c r="AK37" s="11"/>
      <c r="AL37" s="11"/>
      <c r="AM37" s="11"/>
      <c r="AN37" s="11"/>
      <c r="AO37" s="11"/>
    </row>
    <row r="38" spans="1:41" hidden="1" x14ac:dyDescent="0.25">
      <c r="A38" s="11" t="s">
        <v>100</v>
      </c>
      <c r="B38" s="11"/>
      <c r="C38" s="53" t="s">
        <v>101</v>
      </c>
      <c r="D38" s="11" t="s">
        <v>106</v>
      </c>
      <c r="E38" s="11"/>
      <c r="F38" s="11" t="s">
        <v>98</v>
      </c>
      <c r="G38" s="11"/>
      <c r="H38" s="88" t="s">
        <v>667</v>
      </c>
      <c r="I38" s="122" t="str">
        <f>IF(_epmOfflineCondition_,"",_xll.EVPRO($B$1,$H38,"STYLE"))</f>
        <v/>
      </c>
      <c r="J38" s="122" t="str">
        <f>IF(_epmOfflineCondition_,"",_xll.EVPRO($B$1,$H38,"CALC"))</f>
        <v/>
      </c>
      <c r="K38" s="179" t="str">
        <f>IF(AND(I38&gt;="T3"),"&gt;","")</f>
        <v/>
      </c>
      <c r="L38" s="90" t="str">
        <f>IF(_epmOfflineCondition_,"",_xll.EVPRO($B$1,H38,"JDEID"))</f>
        <v/>
      </c>
      <c r="M38" s="90" t="str">
        <f>IF(_epmOfflineCondition_,"",IF(AND(I38="N",J38="N"),_xll.EVPRO($B$1,H38,"PSFTID"),""))</f>
        <v/>
      </c>
      <c r="N38" s="90" t="str">
        <f>IF(_epmOfflineCondition_,"",IF(_xll.EVDES(H38,$B$1)="#NODATA","",_xll.EVDES(H38,$B$1)))</f>
        <v/>
      </c>
      <c r="O38" s="239"/>
      <c r="P38" s="239"/>
      <c r="Q38" s="239"/>
      <c r="R38" s="239"/>
      <c r="S38" s="239"/>
      <c r="T38" s="239"/>
      <c r="U38" s="239"/>
      <c r="V38" s="239"/>
      <c r="W38" s="239"/>
      <c r="X38" s="239"/>
      <c r="Y38" s="239"/>
      <c r="Z38" s="239"/>
      <c r="AA38" s="239">
        <f>IF($I38="B1","",SUM(O38:Z38))</f>
        <v>0</v>
      </c>
      <c r="AB38" s="240" t="str">
        <f>IF(AA38=0,"",IFERROR(AA38/AA$19,""))</f>
        <v/>
      </c>
      <c r="AC38" s="140"/>
      <c r="AD38" s="215"/>
      <c r="AE38" s="217" t="str">
        <f>IF(AD38=0,"",IFERROR(AD38/AD$19,""))</f>
        <v/>
      </c>
      <c r="AF38" s="218">
        <f>IF(AND($AA38="",AD38=""),"",$AA38-AD38)</f>
        <v>0</v>
      </c>
      <c r="AG38" s="215"/>
      <c r="AH38" s="217" t="str">
        <f>IF(AG38=0,"",IFERROR(AG38/AG$19,""))</f>
        <v/>
      </c>
      <c r="AI38" s="218">
        <f>IF(AND($AA38="",AG38=""),"",$AA38-AG38)</f>
        <v>0</v>
      </c>
      <c r="AJ38" s="462">
        <f>IFERROR(AA38/AA$20,0)</f>
        <v>0</v>
      </c>
      <c r="AK38" s="463">
        <f>IFERROR(AD38/AD$20,0)</f>
        <v>0</v>
      </c>
      <c r="AL38" s="464">
        <f>IFERROR(AG38/AG$20,0)</f>
        <v>0</v>
      </c>
      <c r="AM38" s="465">
        <f>+IFERROR(ROUND(($AB38-AE38)*100,2)&amp;" pts.",0)</f>
        <v>0</v>
      </c>
      <c r="AN38" s="466">
        <f>+IFERROR(ROUND(($AB38-AH38)*100,2)&amp;" pts.",0)</f>
        <v>0</v>
      </c>
      <c r="AO38" s="11"/>
    </row>
    <row r="39" spans="1:41" hidden="1" x14ac:dyDescent="0.25">
      <c r="A39" s="11" t="s">
        <v>109</v>
      </c>
      <c r="B39" s="11"/>
      <c r="C39" s="106" t="s">
        <v>101</v>
      </c>
      <c r="D39" s="11" t="s">
        <v>106</v>
      </c>
      <c r="E39" s="11"/>
      <c r="F39" s="11" t="s">
        <v>98</v>
      </c>
      <c r="G39" s="11"/>
      <c r="H39" s="88"/>
      <c r="I39" s="122" t="str">
        <f>IF(_epmOfflineCondition_,"",_xll.EVPRO($B$1,$H39,"STYLE"))</f>
        <v/>
      </c>
      <c r="J39" s="122" t="str">
        <f>IF(_epmOfflineCondition_,"",_xll.EVPRO($B$1,$H39,"CALC"))</f>
        <v/>
      </c>
      <c r="K39" s="179" t="str">
        <f>IF(AND(I39&gt;="T3"),"&gt;","")</f>
        <v/>
      </c>
      <c r="L39" s="90" t="str">
        <f>IF(_epmOfflineCondition_,"",_xll.EVPRO($B$1,H39,"JDEID"))</f>
        <v/>
      </c>
      <c r="M39" s="90" t="str">
        <f>IF(_epmOfflineCondition_,"",IF(AND(I39="N",J39="N"),_xll.EVPRO($B$1,H39,"PSFTID"),""))</f>
        <v/>
      </c>
      <c r="N39" s="90" t="str">
        <f>IF(_epmOfflineCondition_,"",IF(_xll.EVDES(H39,$B$1)="#NODATA","",_xll.EVDES(H39,$B$1)))</f>
        <v/>
      </c>
      <c r="O39" s="239"/>
      <c r="P39" s="239"/>
      <c r="Q39" s="239"/>
      <c r="R39" s="239"/>
      <c r="S39" s="239"/>
      <c r="T39" s="239"/>
      <c r="U39" s="239"/>
      <c r="V39" s="239"/>
      <c r="W39" s="239"/>
      <c r="X39" s="239"/>
      <c r="Y39" s="239"/>
      <c r="Z39" s="239"/>
      <c r="AA39" s="239">
        <f>IF($I39="B1","",SUM(O39:Z39))</f>
        <v>0</v>
      </c>
      <c r="AB39" s="240" t="str">
        <f>IF(AA39=0,"",IFERROR(AA39/AA$19,""))</f>
        <v/>
      </c>
      <c r="AC39" s="140"/>
      <c r="AD39" s="215"/>
      <c r="AE39" s="217" t="str">
        <f>IF(AD39=0,"",IFERROR(AD39/AD$19,""))</f>
        <v/>
      </c>
      <c r="AF39" s="218">
        <f>IF(AND($AA39="",AD39=""),"",$AA39-AD39)</f>
        <v>0</v>
      </c>
      <c r="AG39" s="215"/>
      <c r="AH39" s="217" t="str">
        <f>IF(AG39=0,"",IFERROR(AG39/AG$19,""))</f>
        <v/>
      </c>
      <c r="AI39" s="218">
        <f>IF(AND($AA39="",AG39=""),"",$AA39-AG39)</f>
        <v>0</v>
      </c>
      <c r="AJ39" s="462">
        <f>IFERROR(AA39/AA$20,0)</f>
        <v>0</v>
      </c>
      <c r="AK39" s="463">
        <f>IFERROR(AD39/AD$20,0)</f>
        <v>0</v>
      </c>
      <c r="AL39" s="464">
        <f>IFERROR(AG39/AG$20,0)</f>
        <v>0</v>
      </c>
      <c r="AM39" s="465">
        <f>+IFERROR(ROUND(($AB39-AE39)*100,2)&amp;" pts.",0)</f>
        <v>0</v>
      </c>
      <c r="AN39" s="466">
        <f>+IFERROR(ROUND(($AB39-AH39)*100,2)&amp;" pts.",0)</f>
        <v>0</v>
      </c>
      <c r="AO39" s="11"/>
    </row>
    <row r="40" spans="1:41" hidden="1" x14ac:dyDescent="0.25">
      <c r="A40" s="11" t="s">
        <v>109</v>
      </c>
      <c r="B40" s="11"/>
      <c r="C40" s="196" t="s">
        <v>101</v>
      </c>
      <c r="D40" s="11" t="s">
        <v>107</v>
      </c>
      <c r="E40" s="11"/>
      <c r="F40" s="11" t="s">
        <v>99</v>
      </c>
      <c r="G40" s="11"/>
      <c r="H40" s="88" t="s">
        <v>667</v>
      </c>
      <c r="I40" s="122" t="str">
        <f>IF(_epmOfflineCondition_,"",_xll.EVPRO($B$1,$H40,"STYLE"))</f>
        <v/>
      </c>
      <c r="J40" s="122" t="str">
        <f>IF(_epmOfflineCondition_,"",_xll.EVPRO($B$1,$H40,"CALC"))</f>
        <v/>
      </c>
      <c r="K40" s="179" t="str">
        <f>IF(AND(I40&gt;="T3"),"&gt;","")</f>
        <v/>
      </c>
      <c r="L40" s="90" t="str">
        <f>IF(_epmOfflineCondition_,"",_xll.EVPRO($B$1,H40,"JDEID"))</f>
        <v/>
      </c>
      <c r="M40" s="90" t="str">
        <f>IF(_epmOfflineCondition_,"",IF(AND(I40="N",J40="N"),_xll.EVPRO($B$1,H40,"PSFTID"),""))</f>
        <v/>
      </c>
      <c r="N40" s="90" t="str">
        <f>IF(_epmOfflineCondition_,"",IF(_xll.EVDES(H40,$B$1)="#NODATA","",_xll.EVDES(H40,$B$1)))</f>
        <v/>
      </c>
      <c r="O40" s="215"/>
      <c r="P40" s="215"/>
      <c r="Q40" s="215"/>
      <c r="R40" s="215"/>
      <c r="S40" s="215"/>
      <c r="T40" s="215"/>
      <c r="U40" s="215"/>
      <c r="V40" s="215"/>
      <c r="W40" s="215"/>
      <c r="X40" s="215"/>
      <c r="Y40" s="215"/>
      <c r="Z40" s="215"/>
      <c r="AA40" s="215">
        <f>IF($I40="B1","",SUM(O40:Z40))</f>
        <v>0</v>
      </c>
      <c r="AB40" s="217" t="str">
        <f>IF(AA40=0,"",IFERROR(AA40/AA$19,""))</f>
        <v/>
      </c>
      <c r="AC40" s="140"/>
      <c r="AD40" s="215"/>
      <c r="AE40" s="217" t="str">
        <f>IF(AD40=0,"",IFERROR(AD40/AD$19,""))</f>
        <v/>
      </c>
      <c r="AF40" s="218">
        <f>IF(AND($AA40="",AD40=""),"",$AA40-AD40)</f>
        <v>0</v>
      </c>
      <c r="AG40" s="215"/>
      <c r="AH40" s="217" t="str">
        <f>IF(AG40=0,"",IFERROR(AG40/AG$19,""))</f>
        <v/>
      </c>
      <c r="AI40" s="218">
        <f>IF(AND($AA40="",AG40=""),"",$AA40-AG40)</f>
        <v>0</v>
      </c>
      <c r="AJ40" s="471">
        <f>IFERROR(AA40/AA$20,0)</f>
        <v>0</v>
      </c>
      <c r="AK40" s="472">
        <f>IFERROR(AD40/AD$20,0)</f>
        <v>0</v>
      </c>
      <c r="AL40" s="473">
        <f>IFERROR(AG40/AG$20,0)</f>
        <v>0</v>
      </c>
      <c r="AM40" s="474">
        <f>+IFERROR(ROUND(($AB40-AE40)*100,2)&amp;" pts.",0)</f>
        <v>0</v>
      </c>
      <c r="AN40" s="475">
        <f>+IFERROR(ROUND(($AB40-AH40)*100,2)&amp;" pts.",0)</f>
        <v>0</v>
      </c>
      <c r="AO40" s="11"/>
    </row>
    <row r="41" spans="1:41" hidden="1" x14ac:dyDescent="0.25">
      <c r="A41" s="11" t="s">
        <v>110</v>
      </c>
      <c r="B41" s="11"/>
      <c r="C41" s="106" t="s">
        <v>101</v>
      </c>
      <c r="D41" s="11" t="s">
        <v>106</v>
      </c>
      <c r="E41" s="11"/>
      <c r="F41" s="11" t="s">
        <v>98</v>
      </c>
      <c r="G41" s="11"/>
      <c r="H41" s="88"/>
      <c r="I41" s="122" t="str">
        <f>IF(_epmOfflineCondition_,"",_xll.EVPRO($B$1,$H41,"STYLE"))</f>
        <v/>
      </c>
      <c r="J41" s="122" t="str">
        <f>IF(_epmOfflineCondition_,"",_xll.EVPRO($B$1,$H41,"CALC"))</f>
        <v/>
      </c>
      <c r="K41" s="179" t="str">
        <f>IF(AND(I41&gt;="T3"),"&gt;","")</f>
        <v/>
      </c>
      <c r="L41" s="90" t="str">
        <f>IF(_epmOfflineCondition_,"",_xll.EVPRO($B$1,H41,"JDEID"))</f>
        <v/>
      </c>
      <c r="M41" s="90" t="str">
        <f>IF(_epmOfflineCondition_,"",IF(AND(I41="N",J41="N"),_xll.EVPRO($B$1,H41,"PSFTID"),""))</f>
        <v/>
      </c>
      <c r="N41" s="90" t="str">
        <f>IF(_epmOfflineCondition_,"",IF(_xll.EVDES(H41,$B$1)="#NODATA","",_xll.EVDES(H41,$B$1)))</f>
        <v/>
      </c>
      <c r="O41" s="215"/>
      <c r="P41" s="215"/>
      <c r="Q41" s="215"/>
      <c r="R41" s="215"/>
      <c r="S41" s="215"/>
      <c r="T41" s="215"/>
      <c r="U41" s="215"/>
      <c r="V41" s="215"/>
      <c r="W41" s="215"/>
      <c r="X41" s="215"/>
      <c r="Y41" s="215"/>
      <c r="Z41" s="215"/>
      <c r="AA41" s="215">
        <f>IF($I41="B1","",SUM(O41:Z41))</f>
        <v>0</v>
      </c>
      <c r="AB41" s="217" t="str">
        <f>IF(AA41=0,"",IFERROR(AA41/AA$19,""))</f>
        <v/>
      </c>
      <c r="AC41" s="140"/>
      <c r="AD41" s="215"/>
      <c r="AE41" s="217" t="str">
        <f>IF(AD41=0,"",IFERROR(AD41/AD$19,""))</f>
        <v/>
      </c>
      <c r="AF41" s="218">
        <f>IF(AND($AA41="",AD41=""),"",$AA41-AD41)</f>
        <v>0</v>
      </c>
      <c r="AG41" s="215"/>
      <c r="AH41" s="217" t="str">
        <f>IF(AG41=0,"",IFERROR(AG41/AG$19,""))</f>
        <v/>
      </c>
      <c r="AI41" s="218">
        <f>IF(AND($AA41="",AG41=""),"",$AA41-AG41)</f>
        <v>0</v>
      </c>
      <c r="AJ41" s="471">
        <f>IFERROR(AA41/AA$20,0)</f>
        <v>0</v>
      </c>
      <c r="AK41" s="472">
        <f>IFERROR(AD41/AD$20,0)</f>
        <v>0</v>
      </c>
      <c r="AL41" s="473">
        <f>IFERROR(AG41/AG$20,0)</f>
        <v>0</v>
      </c>
      <c r="AM41" s="474">
        <f>+IFERROR(ROUND(($AB41-AE41)*100,2)&amp;" pts.",0)</f>
        <v>0</v>
      </c>
      <c r="AN41" s="475">
        <f>+IFERROR(ROUND(($AB41-AH41)*100,2)&amp;" pts.",0)</f>
        <v>0</v>
      </c>
      <c r="AO41" s="11"/>
    </row>
    <row r="42" spans="1:41" x14ac:dyDescent="0.25">
      <c r="A42" s="11" t="s">
        <v>110</v>
      </c>
      <c r="B42" s="11"/>
      <c r="C42" s="109" t="s">
        <v>101</v>
      </c>
      <c r="D42" s="11" t="s">
        <v>107</v>
      </c>
      <c r="E42" s="11"/>
      <c r="F42" s="11" t="s">
        <v>99</v>
      </c>
      <c r="G42" s="11"/>
      <c r="H42" s="106"/>
      <c r="I42" s="106"/>
      <c r="J42" s="106"/>
      <c r="K42" s="106"/>
      <c r="L42" s="106"/>
      <c r="M42" s="106"/>
      <c r="N42" s="106"/>
      <c r="O42" s="129"/>
      <c r="P42" s="130"/>
      <c r="Q42" s="130"/>
      <c r="R42" s="130"/>
      <c r="S42" s="130"/>
      <c r="T42" s="130"/>
      <c r="U42" s="130"/>
      <c r="V42" s="130"/>
      <c r="W42" s="130"/>
      <c r="X42" s="130"/>
      <c r="Y42" s="130"/>
      <c r="Z42" s="130"/>
      <c r="AA42" s="130"/>
      <c r="AB42" s="131"/>
      <c r="AC42" s="11"/>
      <c r="AD42" s="129"/>
      <c r="AE42" s="130"/>
      <c r="AF42" s="131"/>
      <c r="AG42" s="129"/>
      <c r="AH42" s="130"/>
      <c r="AI42" s="131"/>
      <c r="AJ42" s="11"/>
      <c r="AK42" s="11"/>
      <c r="AL42" s="11"/>
      <c r="AM42" s="11"/>
      <c r="AN42" s="11"/>
      <c r="AO42" s="11"/>
    </row>
    <row r="43" spans="1:41" x14ac:dyDescent="0.25">
      <c r="A43" s="11"/>
      <c r="B43" s="11"/>
      <c r="C43" s="208"/>
      <c r="D43" s="11"/>
      <c r="E43" s="11"/>
      <c r="F43" s="11"/>
      <c r="G43" s="11"/>
      <c r="H43" s="11" t="s">
        <v>82</v>
      </c>
      <c r="I43" s="59" t="str">
        <f>IF(_epmOfflineCondition_,"B1",_xll.EVPRO($B$1,$H43,"STYLE"))</f>
        <v>B1</v>
      </c>
      <c r="J43" s="59" t="str">
        <f>IF(_epmOfflineCondition_,"Y",_xll.EVPRO($B$1,$H43,"CALC"))</f>
        <v>Y</v>
      </c>
      <c r="K43" s="11"/>
      <c r="L43" s="11"/>
      <c r="M43" s="11"/>
      <c r="N43" s="105" t="str">
        <f>IF(_epmOfflineCondition_,"Other Expenses",IF(_xll.EVDES(H43,$B$1)="#NODATA","",_xll.EVDES(H43,$B$1)))</f>
        <v>Other Expenses</v>
      </c>
      <c r="O43" s="119"/>
      <c r="P43" s="120"/>
      <c r="Q43" s="120"/>
      <c r="R43" s="120"/>
      <c r="S43" s="120"/>
      <c r="T43" s="120"/>
      <c r="U43" s="120"/>
      <c r="V43" s="120"/>
      <c r="W43" s="120"/>
      <c r="X43" s="120"/>
      <c r="Y43" s="120"/>
      <c r="Z43" s="120"/>
      <c r="AA43" s="120"/>
      <c r="AB43" s="121"/>
      <c r="AC43" s="11"/>
      <c r="AD43" s="119"/>
      <c r="AE43" s="120"/>
      <c r="AF43" s="121"/>
      <c r="AG43" s="119"/>
      <c r="AH43" s="120"/>
      <c r="AI43" s="121"/>
      <c r="AJ43" s="11"/>
      <c r="AK43" s="11"/>
      <c r="AL43" s="11"/>
      <c r="AM43" s="11"/>
      <c r="AN43" s="11"/>
      <c r="AO43" s="11"/>
    </row>
    <row r="44" spans="1:41" hidden="1" x14ac:dyDescent="0.25">
      <c r="A44" s="11"/>
      <c r="B44" s="11"/>
      <c r="C44" s="208"/>
      <c r="D44" s="11"/>
      <c r="E44" s="11"/>
      <c r="F44" s="11"/>
      <c r="G44" s="11"/>
      <c r="H44" s="88" t="s">
        <v>667</v>
      </c>
      <c r="I44" s="122" t="str">
        <f>IF(_epmOfflineCondition_,"",_xll.EVPRO($B$1,$H44,"STYLE"))</f>
        <v/>
      </c>
      <c r="J44" s="122" t="str">
        <f>IF(_epmOfflineCondition_,"",_xll.EVPRO($B$1,$H44,"CALC"))</f>
        <v/>
      </c>
      <c r="K44" s="179" t="str">
        <f>IF(AND(I44&gt;="T3"),"&gt;","")</f>
        <v/>
      </c>
      <c r="L44" s="90" t="str">
        <f>IF(_epmOfflineCondition_,"",_xll.EVPRO($B$1,H44,"JDEID"))</f>
        <v/>
      </c>
      <c r="M44" s="90" t="str">
        <f>IF(_epmOfflineCondition_,"",IF(AND(I44="N",J44="N"),_xll.EVPRO($B$1,H44,"PSFTID"),""))</f>
        <v/>
      </c>
      <c r="N44" s="90" t="str">
        <f>IF(_epmOfflineCondition_,"",IF(_xll.EVDES(H44,$B$1)="#NODATA","",_xll.EVDES(H44,$B$1)))</f>
        <v/>
      </c>
      <c r="O44" s="138"/>
      <c r="P44" s="138"/>
      <c r="Q44" s="138"/>
      <c r="R44" s="138"/>
      <c r="S44" s="138"/>
      <c r="T44" s="138"/>
      <c r="U44" s="138"/>
      <c r="V44" s="138"/>
      <c r="W44" s="138"/>
      <c r="X44" s="138"/>
      <c r="Y44" s="138"/>
      <c r="Z44" s="138"/>
      <c r="AA44" s="138">
        <f>IF($I44="B1","",SUM(O44:Z44))</f>
        <v>0</v>
      </c>
      <c r="AB44" s="142" t="str">
        <f>IF(AA44=0,"",IFERROR(AA44/AA$19,""))</f>
        <v/>
      </c>
      <c r="AC44" s="140"/>
      <c r="AD44" s="138"/>
      <c r="AE44" s="142" t="str">
        <f>IF(AD44=0,"",IFERROR(AD44/AD$19,""))</f>
        <v/>
      </c>
      <c r="AF44" s="141">
        <f>IF(AND($AA44="",AD44=""),"",$AA44-AD44)</f>
        <v>0</v>
      </c>
      <c r="AG44" s="138"/>
      <c r="AH44" s="142" t="str">
        <f>IF(AG44=0,"",IFERROR(AG44/AG$19,""))</f>
        <v/>
      </c>
      <c r="AI44" s="141">
        <f>IF(AND($AA44="",AG44=""),"",$AA44-AG44)</f>
        <v>0</v>
      </c>
      <c r="AJ44" s="462">
        <f>IFERROR(AA44/AA$20,0)</f>
        <v>0</v>
      </c>
      <c r="AK44" s="463">
        <f>IFERROR(AD44/AD$20,0)</f>
        <v>0</v>
      </c>
      <c r="AL44" s="464">
        <f>IFERROR(AG44/AG$20,0)</f>
        <v>0</v>
      </c>
      <c r="AM44" s="465">
        <f>+IFERROR(ROUND(($AB44-AE44)*100,2)&amp;" pts.",0)</f>
        <v>0</v>
      </c>
      <c r="AN44" s="466">
        <f>+IFERROR(ROUND(($AB44-AH44)*100,2)&amp;" pts.",0)</f>
        <v>0</v>
      </c>
      <c r="AO44" s="11"/>
    </row>
    <row r="45" spans="1:41" hidden="1" x14ac:dyDescent="0.25">
      <c r="A45" s="61" t="str">
        <f>IF(_epmOfflineCondition_,"Evdre:Ok",_xll.EVDRE($B$1,A48:B55,A58:B64))</f>
        <v>Evdre:Ok</v>
      </c>
      <c r="B45" s="11"/>
      <c r="C45" s="208"/>
      <c r="D45" s="11"/>
      <c r="E45" s="11"/>
      <c r="F45" s="11"/>
      <c r="G45" s="11"/>
      <c r="H45" s="88"/>
      <c r="I45" s="122" t="str">
        <f>IF(_epmOfflineCondition_,"",_xll.EVPRO($B$1,$H45,"STYLE"))</f>
        <v/>
      </c>
      <c r="J45" s="122" t="str">
        <f>IF(_epmOfflineCondition_,"",_xll.EVPRO($B$1,$H45,"CALC"))</f>
        <v/>
      </c>
      <c r="K45" s="179" t="str">
        <f>IF(AND(I45&gt;="T3"),"&gt;","")</f>
        <v/>
      </c>
      <c r="L45" s="90" t="str">
        <f>IF(_epmOfflineCondition_,"",_xll.EVPRO($B$1,H45,"JDEID"))</f>
        <v/>
      </c>
      <c r="M45" s="90" t="str">
        <f>IF(_epmOfflineCondition_,"",IF(AND(I45="N",J45="N"),_xll.EVPRO($B$1,H45,"PSFTID"),""))</f>
        <v/>
      </c>
      <c r="N45" s="90" t="str">
        <f>IF(_epmOfflineCondition_,"",IF(_xll.EVDES(H45,$B$1)="#NODATA","",_xll.EVDES(H45,$B$1)))</f>
        <v/>
      </c>
      <c r="O45" s="138"/>
      <c r="P45" s="138"/>
      <c r="Q45" s="138"/>
      <c r="R45" s="138"/>
      <c r="S45" s="138"/>
      <c r="T45" s="138"/>
      <c r="U45" s="138"/>
      <c r="V45" s="138"/>
      <c r="W45" s="138"/>
      <c r="X45" s="138"/>
      <c r="Y45" s="138"/>
      <c r="Z45" s="138"/>
      <c r="AA45" s="138">
        <f>IF($I45="B1","",SUM(O45:Z45))</f>
        <v>0</v>
      </c>
      <c r="AB45" s="142" t="str">
        <f>IF(AA45=0,"",IFERROR(AA45/AA$19,""))</f>
        <v/>
      </c>
      <c r="AC45" s="140"/>
      <c r="AD45" s="138"/>
      <c r="AE45" s="142" t="str">
        <f>IF(AD45=0,"",IFERROR(AD45/AD$19,""))</f>
        <v/>
      </c>
      <c r="AF45" s="141">
        <f>IF(AND($AA45="",AD45=""),"",$AA45-AD45)</f>
        <v>0</v>
      </c>
      <c r="AG45" s="138"/>
      <c r="AH45" s="142" t="str">
        <f>IF(AG45=0,"",IFERROR(AG45/AG$19,""))</f>
        <v/>
      </c>
      <c r="AI45" s="141">
        <f>IF(AND($AA45="",AG45=""),"",$AA45-AG45)</f>
        <v>0</v>
      </c>
      <c r="AJ45" s="462">
        <f>IFERROR(AA45/AA$20,0)</f>
        <v>0</v>
      </c>
      <c r="AK45" s="463">
        <f>IFERROR(AD45/AD$20,0)</f>
        <v>0</v>
      </c>
      <c r="AL45" s="464">
        <f>IFERROR(AG45/AG$20,0)</f>
        <v>0</v>
      </c>
      <c r="AM45" s="465">
        <f>+IFERROR(ROUND(($AB45-AE45)*100,2)&amp;" pts.",0)</f>
        <v>0</v>
      </c>
      <c r="AN45" s="466">
        <f>+IFERROR(ROUND(($AB45-AH45)*100,2)&amp;" pts.",0)</f>
        <v>0</v>
      </c>
      <c r="AO45" s="11"/>
    </row>
    <row r="46" spans="1:41" x14ac:dyDescent="0.25">
      <c r="A46" s="11"/>
      <c r="B46" s="11"/>
      <c r="C46" s="208"/>
      <c r="D46" s="11"/>
      <c r="E46" s="11"/>
      <c r="F46" s="11"/>
      <c r="G46" s="11"/>
      <c r="H46" s="88" t="s">
        <v>79</v>
      </c>
      <c r="I46" s="136" t="str">
        <f>IF(_epmOfflineCondition_,"T3",_xll.EVPRO($B$1,$H46,"STYLE"))</f>
        <v>T3</v>
      </c>
      <c r="J46" s="136" t="str">
        <f>IF(_epmOfflineCondition_,"Y",_xll.EVPRO($B$1,$H46,"CALC"))</f>
        <v>Y</v>
      </c>
      <c r="K46" s="104"/>
      <c r="L46" s="59"/>
      <c r="M46" s="59"/>
      <c r="N46" s="106" t="str">
        <f>IF(_epmOfflineCondition_,"Total Operations Expense",IF(_xll.EVDES(H46,$B$1)="#NODATA","",_xll.EVDES(H46,$B$1)))</f>
        <v>Total Operations Expense</v>
      </c>
      <c r="O46" s="112">
        <f t="shared" ref="O46:Z46" si="0">SUM(O44:O45)</f>
        <v>0</v>
      </c>
      <c r="P46" s="112">
        <f t="shared" si="0"/>
        <v>0</v>
      </c>
      <c r="Q46" s="112">
        <f t="shared" si="0"/>
        <v>0</v>
      </c>
      <c r="R46" s="112">
        <f t="shared" si="0"/>
        <v>0</v>
      </c>
      <c r="S46" s="112">
        <f t="shared" si="0"/>
        <v>0</v>
      </c>
      <c r="T46" s="112">
        <f t="shared" si="0"/>
        <v>0</v>
      </c>
      <c r="U46" s="112">
        <f t="shared" si="0"/>
        <v>0</v>
      </c>
      <c r="V46" s="112">
        <f t="shared" si="0"/>
        <v>0</v>
      </c>
      <c r="W46" s="112">
        <f t="shared" si="0"/>
        <v>0</v>
      </c>
      <c r="X46" s="112">
        <f t="shared" si="0"/>
        <v>0</v>
      </c>
      <c r="Y46" s="112">
        <f t="shared" si="0"/>
        <v>0</v>
      </c>
      <c r="Z46" s="112">
        <f t="shared" si="0"/>
        <v>0</v>
      </c>
      <c r="AA46" s="112">
        <f>IF($I46="B1","",SUM(O46:Z46))</f>
        <v>0</v>
      </c>
      <c r="AB46" s="113" t="str">
        <f>IF(AA46=0,"",IFERROR(AA46/AA$19,""))</f>
        <v/>
      </c>
      <c r="AC46" s="11"/>
      <c r="AD46" s="112">
        <f>SUM(AD44:AD45)</f>
        <v>0</v>
      </c>
      <c r="AE46" s="113" t="str">
        <f>IF(AD46=0,"",IFERROR(AD46/AD$19,""))</f>
        <v/>
      </c>
      <c r="AF46" s="114">
        <f>IF(AND($AA46="",AD46=""),"",$AA46-AD46)</f>
        <v>0</v>
      </c>
      <c r="AG46" s="112">
        <f>SUM(AG44:AG45)</f>
        <v>0</v>
      </c>
      <c r="AH46" s="113" t="str">
        <f>IF(AG46=0,"",IFERROR(AG46/AG$19,""))</f>
        <v/>
      </c>
      <c r="AI46" s="114">
        <f>IF(AND($AA46="",AG46=""),"",$AA46-AG46)</f>
        <v>0</v>
      </c>
      <c r="AJ46" s="415">
        <f>IFERROR(AA46/AA$20,0)</f>
        <v>0</v>
      </c>
      <c r="AK46" s="416">
        <f>IFERROR(AD46/AD$20,0)</f>
        <v>0</v>
      </c>
      <c r="AL46" s="417">
        <f>IFERROR(AG46/AG$20,0)</f>
        <v>0</v>
      </c>
      <c r="AM46" s="418">
        <f>+IFERROR(ROUND(($AB46-AE46)*100,2)&amp;" pts.",0)</f>
        <v>0</v>
      </c>
      <c r="AN46" s="543">
        <f>+IFERROR(ROUND(($AB46-AH46)*100,2)&amp;" pts.",0)</f>
        <v>0</v>
      </c>
      <c r="AO46" s="11"/>
    </row>
    <row r="47" spans="1:41" x14ac:dyDescent="0.25">
      <c r="A47" s="62" t="s">
        <v>0</v>
      </c>
      <c r="B47" s="63" t="s">
        <v>1</v>
      </c>
      <c r="C47" s="208"/>
      <c r="D47" s="11"/>
      <c r="E47" s="11"/>
      <c r="F47" s="11"/>
      <c r="G47" s="11"/>
      <c r="H47" s="11"/>
      <c r="I47" s="59"/>
      <c r="J47" s="59"/>
      <c r="K47" s="11"/>
      <c r="L47" s="59"/>
      <c r="M47" s="59"/>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row>
    <row r="48" spans="1:41" x14ac:dyDescent="0.25">
      <c r="A48" s="65" t="s">
        <v>2</v>
      </c>
      <c r="B48" s="66" t="str">
        <f>IF(_epmOfflineCondition_,"'Dining'!$B$2:$B$10",_xll.EVRNG($B$2:$B$10))</f>
        <v>'Dining'!$B$2:$B$10</v>
      </c>
      <c r="C48" s="208"/>
      <c r="D48" s="11"/>
      <c r="E48" s="11"/>
      <c r="F48" s="11"/>
      <c r="G48" s="11"/>
      <c r="H48" s="88" t="s">
        <v>80</v>
      </c>
      <c r="I48" s="136" t="str">
        <f>IF(_epmOfflineCondition_,"T3",_xll.EVPRO($B$1,$H48,"STYLE"))</f>
        <v>T3</v>
      </c>
      <c r="J48" s="136" t="str">
        <f>IF(_epmOfflineCondition_,"Y",_xll.EVPRO($B$1,$H48,"CALC"))</f>
        <v>Y</v>
      </c>
      <c r="K48" s="106"/>
      <c r="L48" s="59"/>
      <c r="M48" s="59"/>
      <c r="N48" s="106" t="str">
        <f>IF(_epmOfflineCondition_,"Total Expenses",IF(_xll.EVDES(H48,$B$1)="#NODATA","",_xll.EVDES(H48,$B$1)))</f>
        <v>Total Expenses</v>
      </c>
      <c r="O48" s="123">
        <f t="shared" ref="O48:Z48" si="1">SUMIF($H$34:$H$47,"561100",O$34:O$47)+SUMIF($H$34:$H$47,"600000",O$34:O$47)+SUMIF($H$34:$H$47,"700000",O$34:O$47)</f>
        <v>0</v>
      </c>
      <c r="P48" s="123">
        <f t="shared" si="1"/>
        <v>0</v>
      </c>
      <c r="Q48" s="123">
        <f t="shared" si="1"/>
        <v>0</v>
      </c>
      <c r="R48" s="123">
        <f t="shared" si="1"/>
        <v>0</v>
      </c>
      <c r="S48" s="123">
        <f t="shared" si="1"/>
        <v>0</v>
      </c>
      <c r="T48" s="123">
        <f t="shared" si="1"/>
        <v>0</v>
      </c>
      <c r="U48" s="123">
        <f t="shared" si="1"/>
        <v>0</v>
      </c>
      <c r="V48" s="123">
        <f t="shared" si="1"/>
        <v>0</v>
      </c>
      <c r="W48" s="123">
        <f t="shared" si="1"/>
        <v>0</v>
      </c>
      <c r="X48" s="123">
        <f t="shared" si="1"/>
        <v>0</v>
      </c>
      <c r="Y48" s="123">
        <f t="shared" si="1"/>
        <v>0</v>
      </c>
      <c r="Z48" s="123">
        <f t="shared" si="1"/>
        <v>0</v>
      </c>
      <c r="AA48" s="123">
        <f>IF($I48="B1","",SUM(O48:Z48))</f>
        <v>0</v>
      </c>
      <c r="AB48" s="124" t="str">
        <f>IF(AA48=0,"",IFERROR(AA48/AA$19,""))</f>
        <v/>
      </c>
      <c r="AC48" s="11"/>
      <c r="AD48" s="123">
        <f>SUMIF($H$34:$H$47,"561100",AD$34:AD$47)+SUMIF($H$34:$H$47,"600000",AD$34:AD$47)+SUMIF($H$34:$H$47,"700000",AD$34:AD$47)</f>
        <v>0</v>
      </c>
      <c r="AE48" s="124" t="str">
        <f>IF(AD48=0,"",IFERROR(AD48/AD$19,""))</f>
        <v/>
      </c>
      <c r="AF48" s="125">
        <f>IF(AND($AA48="",AD48=""),"",$AA48-AD48)</f>
        <v>0</v>
      </c>
      <c r="AG48" s="123">
        <f>SUMIF($H$34:$H$47,"561100",AG$34:AG$47)+SUMIF($H$34:$H$47,"600000",AG$34:AG$47)+SUMIF($H$34:$H$47,"700000",AG$34:AG$47)</f>
        <v>0</v>
      </c>
      <c r="AH48" s="124" t="str">
        <f>IF(AG48=0,"",IFERROR(AG48/AG$19,""))</f>
        <v/>
      </c>
      <c r="AI48" s="125">
        <f>IF(AND($AA48="",AG48=""),"",$AA48-AG48)</f>
        <v>0</v>
      </c>
      <c r="AJ48" s="388">
        <f>IFERROR(AA48/AA$20,0)</f>
        <v>0</v>
      </c>
      <c r="AK48" s="389">
        <f>IFERROR(AD48/AD$20,0)</f>
        <v>0</v>
      </c>
      <c r="AL48" s="390">
        <f>IFERROR(AG48/AG$20,0)</f>
        <v>0</v>
      </c>
      <c r="AM48" s="391">
        <f>+IFERROR(ROUND(($AB48-AE48)*100,2)&amp;" pts.",0)</f>
        <v>0</v>
      </c>
      <c r="AN48" s="544">
        <f>+IFERROR(ROUND(($AB48-AH48)*100,2)&amp;" pts.",0)</f>
        <v>0</v>
      </c>
      <c r="AO48" s="11"/>
    </row>
    <row r="49" spans="1:41" x14ac:dyDescent="0.25">
      <c r="A49" s="65" t="s">
        <v>3</v>
      </c>
      <c r="B49" s="66" t="str">
        <f>IF(_epmOfflineCondition_,"'Dining'!$O$16:$AN$18",_xll.EVRNG($O$16:$AN$18))</f>
        <v>'Dining'!$O$16:$AN$18</v>
      </c>
      <c r="C49" s="208"/>
      <c r="D49" s="11"/>
      <c r="E49" s="11"/>
      <c r="F49" s="11"/>
      <c r="G49" s="11"/>
      <c r="H49" s="11"/>
      <c r="I49" s="59"/>
      <c r="J49" s="59"/>
      <c r="K49" s="11"/>
      <c r="L49" s="59"/>
      <c r="M49" s="59"/>
      <c r="N49" s="106"/>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row>
    <row r="50" spans="1:41" x14ac:dyDescent="0.25">
      <c r="A50" s="65" t="s">
        <v>4</v>
      </c>
      <c r="B50" s="66" t="str">
        <f>IF(_epmOfflineCondition_,"'Dining'!$H$55:$H$56",_xll.EVRNG(H55:H56))</f>
        <v>'Dining'!$H$55:$H$56</v>
      </c>
      <c r="C50" s="208"/>
      <c r="D50" s="11"/>
      <c r="E50" s="11"/>
      <c r="F50" s="11"/>
      <c r="G50" s="11"/>
      <c r="H50" s="88" t="s">
        <v>280</v>
      </c>
      <c r="I50" s="122" t="str">
        <f>IF(_epmOfflineCondition_,"T3",_xll.EVPRO($B$1,$H50,"STYLE"))</f>
        <v>T3</v>
      </c>
      <c r="J50" s="122" t="str">
        <f>IF(_epmOfflineCondition_,"Y",_xll.EVPRO($B$1,$H50,"CALC"))</f>
        <v>Y</v>
      </c>
      <c r="K50" s="179" t="str">
        <f>IF(AND(I50&gt;="T3"),"&gt;","")</f>
        <v>&gt;</v>
      </c>
      <c r="L50" s="90" t="str">
        <f>IF(_epmOfflineCondition_,"400000",_xll.EVPRO($B$1,H50,"JDEID"))</f>
        <v>400000</v>
      </c>
      <c r="M50" s="90" t="str">
        <f>IF(_epmOfflineCondition_,"",IF(AND(I50="N",J50="N"),_xll.EVPRO($B$1,H50,"PSFTID"),""))</f>
        <v/>
      </c>
      <c r="N50" s="190" t="str">
        <f>IF(_epmOfflineCondition_,"Total Revenue",IF(_xll.EVDES(H50,$B$1)="#NODATA","",_xll.EVDES(H50,$B$1)))</f>
        <v>Total Revenue</v>
      </c>
      <c r="O50" s="123">
        <f>IF(_epmOfflineCondition_,0,_xll.EVGTS($B$1,1,$B$3,$B$5,$B$7,$B$9,O$16,O$17,O$18,$B$6,$H$50))</f>
        <v>0</v>
      </c>
      <c r="P50" s="123">
        <f>IF(_epmOfflineCondition_,0,_xll.EVGTS($B$1,1,$B$3,$B$5,$B$7,$B$9,P$16,P$17,P$18,$B$6,$H$50))</f>
        <v>0</v>
      </c>
      <c r="Q50" s="123">
        <f>IF(_epmOfflineCondition_,0,_xll.EVGTS($B$1,1,$B$3,$B$5,$B$7,$B$9,Q$16,Q$17,Q$18,$B$6,$H$50))</f>
        <v>0</v>
      </c>
      <c r="R50" s="123">
        <f>IF(_epmOfflineCondition_,0,_xll.EVGTS($B$1,1,$B$3,$B$5,$B$7,$B$9,R$16,R$17,R$18,$B$6,$H$50))</f>
        <v>0</v>
      </c>
      <c r="S50" s="123">
        <f>IF(_epmOfflineCondition_,0,_xll.EVGTS($B$1,1,$B$3,$B$5,$B$7,$B$9,S$16,S$17,S$18,$B$6,$H$50))</f>
        <v>0</v>
      </c>
      <c r="T50" s="123">
        <f>IF(_epmOfflineCondition_,0,_xll.EVGTS($B$1,1,$B$3,$B$5,$B$7,$B$9,T$16,T$17,T$18,$B$6,$H$50))</f>
        <v>0</v>
      </c>
      <c r="U50" s="123">
        <f>IF(_epmOfflineCondition_,0,_xll.EVGTS($B$1,1,$B$3,$B$5,$B$7,$B$9,U$16,U$17,U$18,$B$6,$H$50))</f>
        <v>0</v>
      </c>
      <c r="V50" s="123">
        <f>IF(_epmOfflineCondition_,0,_xll.EVGTS($B$1,1,$B$3,$B$5,$B$7,$B$9,V$16,V$17,V$18,$B$6,$H$50))</f>
        <v>0</v>
      </c>
      <c r="W50" s="123">
        <f>IF(_epmOfflineCondition_,0,_xll.EVGTS($B$1,1,$B$3,$B$5,$B$7,$B$9,W$16,W$17,W$18,$B$6,$H$50))</f>
        <v>0</v>
      </c>
      <c r="X50" s="123">
        <f>IF(_epmOfflineCondition_,0,_xll.EVGTS($B$1,1,$B$3,$B$5,$B$7,$B$9,X$16,X$17,X$18,$B$6,$H$50))</f>
        <v>0</v>
      </c>
      <c r="Y50" s="123">
        <f>IF(_epmOfflineCondition_,0,_xll.EVGTS($B$1,1,$B$3,$B$5,$B$7,$B$9,Y$16,Y$17,Y$18,$B$6,$H$50))</f>
        <v>0</v>
      </c>
      <c r="Z50" s="123">
        <f>IF(_epmOfflineCondition_,0,_xll.EVGTS($B$1,1,$B$3,$B$5,$B$7,$B$9,Z$16,Z$17,Z$18,$B$6,$H$50))</f>
        <v>0</v>
      </c>
      <c r="AA50" s="123">
        <f>IF($I50="B1","",SUM(O50:Z50))</f>
        <v>0</v>
      </c>
      <c r="AB50" s="124" t="str">
        <f>IF(AA50=0,"",IFERROR(AA50/AA$19,""))</f>
        <v/>
      </c>
      <c r="AC50" s="11"/>
      <c r="AD50" s="123">
        <f>IF(_epmOfflineCondition_,0,_xll.EVGTS($B$1,1,$B$3,$B$5,$B$7,$B$9,AD$16,AD$17,AD$18,$B$6,$H$50))</f>
        <v>0</v>
      </c>
      <c r="AE50" s="124" t="str">
        <f>IF(AD50=0,"",IFERROR(AD50/AD$19,""))</f>
        <v/>
      </c>
      <c r="AF50" s="125">
        <f>IF(AND($AA50="",AD50=""),"",$AA50-AD50)</f>
        <v>0</v>
      </c>
      <c r="AG50" s="123">
        <f>IF(_epmOfflineCondition_,0,_xll.EVGTS($B$1,1,$B$3,$B$5,$B$7,$B$9,AG$16,AG$17,AG$18,$B$6,$H$50))</f>
        <v>0</v>
      </c>
      <c r="AH50" s="124" t="str">
        <f>IF(AG50=0,"",IFERROR(AG50/AG$19,""))</f>
        <v/>
      </c>
      <c r="AI50" s="125">
        <f>IF(AND($AA50="",AG50=""),"",$AA50-AG50)</f>
        <v>0</v>
      </c>
      <c r="AJ50" s="388">
        <f>IFERROR(AA50/AA$20,0)</f>
        <v>0</v>
      </c>
      <c r="AK50" s="389">
        <f>IFERROR(AD50/AD$20,0)</f>
        <v>0</v>
      </c>
      <c r="AL50" s="390">
        <f>IFERROR(AG50/AG$20,0)</f>
        <v>0</v>
      </c>
      <c r="AM50" s="391">
        <f>+IFERROR(ROUND(($AB50-AE50)*100,2)&amp;" pts.",0)</f>
        <v>0</v>
      </c>
      <c r="AN50" s="544">
        <f>+IFERROR(ROUND(($AB50-AH50)*100,2)&amp;" pts.",0)</f>
        <v>0</v>
      </c>
      <c r="AO50" s="11"/>
    </row>
    <row r="51" spans="1:41" x14ac:dyDescent="0.25">
      <c r="A51" s="65" t="s">
        <v>5</v>
      </c>
      <c r="B51" s="66"/>
      <c r="C51" s="208"/>
      <c r="D51" s="11"/>
      <c r="E51" s="11"/>
      <c r="F51" s="11"/>
      <c r="G51" s="11"/>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8"/>
      <c r="AI51" s="368"/>
      <c r="AJ51" s="11"/>
      <c r="AK51" s="11"/>
      <c r="AL51" s="11"/>
      <c r="AM51" s="11"/>
      <c r="AN51" s="11"/>
      <c r="AO51" s="11"/>
    </row>
    <row r="52" spans="1:41" ht="15.75" thickBot="1" x14ac:dyDescent="0.3">
      <c r="A52" s="65" t="s">
        <v>6</v>
      </c>
      <c r="B52" s="66"/>
      <c r="C52" s="208"/>
      <c r="D52" s="11"/>
      <c r="E52" s="11"/>
      <c r="F52" s="11"/>
      <c r="G52" s="11"/>
      <c r="H52" s="11"/>
      <c r="I52" s="59"/>
      <c r="J52" s="59"/>
      <c r="K52" s="11"/>
      <c r="L52" s="59"/>
      <c r="M52" s="59"/>
      <c r="N52" s="106" t="s">
        <v>665</v>
      </c>
      <c r="O52" s="126">
        <f t="shared" ref="O52:Z52" si="2">O48-O50</f>
        <v>0</v>
      </c>
      <c r="P52" s="126">
        <f t="shared" si="2"/>
        <v>0</v>
      </c>
      <c r="Q52" s="126">
        <f t="shared" si="2"/>
        <v>0</v>
      </c>
      <c r="R52" s="126">
        <f t="shared" si="2"/>
        <v>0</v>
      </c>
      <c r="S52" s="126">
        <f t="shared" si="2"/>
        <v>0</v>
      </c>
      <c r="T52" s="126">
        <f t="shared" si="2"/>
        <v>0</v>
      </c>
      <c r="U52" s="126">
        <f t="shared" si="2"/>
        <v>0</v>
      </c>
      <c r="V52" s="126">
        <f t="shared" si="2"/>
        <v>0</v>
      </c>
      <c r="W52" s="126">
        <f t="shared" si="2"/>
        <v>0</v>
      </c>
      <c r="X52" s="126">
        <f t="shared" si="2"/>
        <v>0</v>
      </c>
      <c r="Y52" s="126">
        <f t="shared" si="2"/>
        <v>0</v>
      </c>
      <c r="Z52" s="126">
        <f t="shared" si="2"/>
        <v>0</v>
      </c>
      <c r="AA52" s="126">
        <f>IF($I52="B1","",SUM(O52:Z52))</f>
        <v>0</v>
      </c>
      <c r="AB52" s="127" t="str">
        <f>IF(AA52=0,"",IFERROR(AA52/AA$19,""))</f>
        <v/>
      </c>
      <c r="AC52" s="11"/>
      <c r="AD52" s="126">
        <f>AD48-AD50</f>
        <v>0</v>
      </c>
      <c r="AE52" s="127" t="str">
        <f>IF(AD52=0,"",IFERROR(AD52/AD$19,""))</f>
        <v/>
      </c>
      <c r="AF52" s="128">
        <f>IF(AND($AA52="",AD52=""),"",$AA52-AD52)</f>
        <v>0</v>
      </c>
      <c r="AG52" s="126">
        <f>AG48-AG50</f>
        <v>0</v>
      </c>
      <c r="AH52" s="127" t="str">
        <f>IF(AG52=0,"",IFERROR(AG52/AG$19,""))</f>
        <v/>
      </c>
      <c r="AI52" s="128">
        <f>IF(AND($AA52="",AG52=""),"",$AA52-AG52)</f>
        <v>0</v>
      </c>
      <c r="AJ52" s="419">
        <f>IFERROR(AA52/AA$20,0)</f>
        <v>0</v>
      </c>
      <c r="AK52" s="420">
        <f>IFERROR(AD52/AD$20,0)</f>
        <v>0</v>
      </c>
      <c r="AL52" s="421">
        <f>IFERROR(AG52/AG$20,0)</f>
        <v>0</v>
      </c>
      <c r="AM52" s="422">
        <f>+IFERROR(ROUND(($AB52-AE52)*100,2)&amp;" pts.",0)</f>
        <v>0</v>
      </c>
      <c r="AN52" s="545">
        <f>+IFERROR(ROUND(($AB52-AH52)*100,2)&amp;" pts.",0)</f>
        <v>0</v>
      </c>
      <c r="AO52" s="11"/>
    </row>
    <row r="53" spans="1:41" ht="15.75" thickTop="1" x14ac:dyDescent="0.25">
      <c r="A53" s="65" t="s">
        <v>7</v>
      </c>
      <c r="B53" s="66"/>
      <c r="C53" s="208"/>
      <c r="D53" s="11"/>
      <c r="E53" s="11"/>
      <c r="F53" s="11"/>
      <c r="G53" s="11"/>
      <c r="H53" s="11"/>
      <c r="I53" s="59"/>
      <c r="J53" s="59"/>
      <c r="K53" s="11"/>
      <c r="L53" s="59"/>
      <c r="M53" s="59"/>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row>
    <row r="54" spans="1:41" x14ac:dyDescent="0.25">
      <c r="A54" s="65" t="s">
        <v>47</v>
      </c>
      <c r="B54" s="66" t="str">
        <f>IF(_epmOfflineCondition_,"'Dining'!$A$68:$B$89",_xll.EVRNG($A$68:$B$89))</f>
        <v>'Dining'!$A$68:$B$89</v>
      </c>
      <c r="C54" s="208"/>
      <c r="D54" s="11"/>
      <c r="E54" s="11"/>
      <c r="F54" s="11"/>
      <c r="G54" s="11"/>
      <c r="H54" s="11"/>
      <c r="I54" s="59"/>
      <c r="J54" s="59"/>
      <c r="K54" s="11"/>
      <c r="L54" s="59"/>
      <c r="M54" s="59"/>
      <c r="N54" s="105" t="s">
        <v>595</v>
      </c>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row>
    <row r="55" spans="1:41" hidden="1" x14ac:dyDescent="0.25">
      <c r="A55" s="65" t="s">
        <v>8</v>
      </c>
      <c r="B55" s="66"/>
      <c r="C55" s="208"/>
      <c r="D55" s="11"/>
      <c r="E55" s="11"/>
      <c r="F55" s="11"/>
      <c r="G55" s="11"/>
      <c r="H55" s="185" t="s">
        <v>667</v>
      </c>
      <c r="I55" s="122" t="str">
        <f>IF(_epmOfflineCondition_,"",_xll.EVPRO($B$1,$H55,"STYLE"))</f>
        <v/>
      </c>
      <c r="J55" s="122" t="str">
        <f>IF(_epmOfflineCondition_,"",_xll.EVPRO($B$1,$H55,"CALC"))</f>
        <v/>
      </c>
      <c r="K55" s="90"/>
      <c r="L55" s="90"/>
      <c r="M55" s="90"/>
      <c r="N55" s="90" t="str">
        <f>IF(_epmOfflineCondition_,"",IF(_xll.EVDES(H55,$B$1)="#NODATA","",_xll.EVDES(H55,$B$1)))</f>
        <v/>
      </c>
      <c r="O55" s="138"/>
      <c r="P55" s="138"/>
      <c r="Q55" s="138"/>
      <c r="R55" s="138"/>
      <c r="S55" s="138"/>
      <c r="T55" s="138"/>
      <c r="U55" s="138"/>
      <c r="V55" s="138"/>
      <c r="W55" s="138"/>
      <c r="X55" s="138"/>
      <c r="Y55" s="138"/>
      <c r="Z55" s="138"/>
      <c r="AA55" s="138">
        <f>IF($I55="B1","",SUM(O55:Z55))</f>
        <v>0</v>
      </c>
      <c r="AB55" s="142" t="str">
        <f>IF(AA55=0,"",IFERROR(AA55/AA$19,""))</f>
        <v/>
      </c>
      <c r="AC55" s="140"/>
      <c r="AD55" s="138"/>
      <c r="AE55" s="142" t="str">
        <f>IF(AD55=0,"",IFERROR(AD55/AD$19,""))</f>
        <v/>
      </c>
      <c r="AF55" s="141">
        <f>IF(AND($AA55="",AD55=""),"",$AA55-AD55)</f>
        <v>0</v>
      </c>
      <c r="AG55" s="138"/>
      <c r="AH55" s="142" t="str">
        <f>IF(AG55=0,"",IFERROR(AG55/AG$19,""))</f>
        <v/>
      </c>
      <c r="AI55" s="141">
        <f>IF(AND($AA55="",AG55=""),"",$AA55-AG55)</f>
        <v>0</v>
      </c>
      <c r="AJ55" s="462">
        <f>IFERROR(AA55/AA$20,0)</f>
        <v>0</v>
      </c>
      <c r="AK55" s="463">
        <f>IFERROR(AD55/AD$20,0)</f>
        <v>0</v>
      </c>
      <c r="AL55" s="464">
        <f>IFERROR(AG55/AG$20,0)</f>
        <v>0</v>
      </c>
      <c r="AM55" s="465">
        <f>+IFERROR(ROUND(($AB55-AE55)*100,2)&amp;" pts.",0)</f>
        <v>0</v>
      </c>
      <c r="AN55" s="466">
        <f>+IFERROR(ROUND(($AB55-AH55)*100,2)&amp;" pts.",0)</f>
        <v>0</v>
      </c>
      <c r="AO55" s="11"/>
    </row>
    <row r="56" spans="1:41" hidden="1" x14ac:dyDescent="0.25">
      <c r="A56" s="11"/>
      <c r="B56" s="11"/>
      <c r="C56" s="208"/>
      <c r="D56" s="11"/>
      <c r="E56" s="11"/>
      <c r="F56" s="11"/>
      <c r="G56" s="11"/>
      <c r="H56" s="185"/>
      <c r="I56" s="122" t="str">
        <f>IF(_epmOfflineCondition_,"",_xll.EVPRO($B$1,$H56,"STYLE"))</f>
        <v/>
      </c>
      <c r="J56" s="122" t="str">
        <f>IF(_epmOfflineCondition_,"",_xll.EVPRO($B$1,$H56,"CALC"))</f>
        <v/>
      </c>
      <c r="K56" s="90"/>
      <c r="L56" s="90"/>
      <c r="M56" s="90"/>
      <c r="N56" s="90" t="str">
        <f>IF(_epmOfflineCondition_,"",IF(_xll.EVDES(H56,$B$1)="#NODATA","",_xll.EVDES(H56,$B$1)))</f>
        <v/>
      </c>
      <c r="O56" s="138"/>
      <c r="P56" s="138"/>
      <c r="Q56" s="138"/>
      <c r="R56" s="138"/>
      <c r="S56" s="138"/>
      <c r="T56" s="138"/>
      <c r="U56" s="138"/>
      <c r="V56" s="138"/>
      <c r="W56" s="138"/>
      <c r="X56" s="138"/>
      <c r="Y56" s="138"/>
      <c r="Z56" s="138"/>
      <c r="AA56" s="138">
        <f>IF($I56="B1","",SUM(O56:Z56))</f>
        <v>0</v>
      </c>
      <c r="AB56" s="142" t="str">
        <f>IF(AA56=0,"",IFERROR(AA56/AA$19,""))</f>
        <v/>
      </c>
      <c r="AC56" s="140"/>
      <c r="AD56" s="138"/>
      <c r="AE56" s="142" t="str">
        <f>IF(AD56=0,"",IFERROR(AD56/AD$19,""))</f>
        <v/>
      </c>
      <c r="AF56" s="141">
        <f>IF(AND($AA56="",AD56=""),"",$AA56-AD56)</f>
        <v>0</v>
      </c>
      <c r="AG56" s="138"/>
      <c r="AH56" s="142" t="str">
        <f>IF(AG56=0,"",IFERROR(AG56/AG$19,""))</f>
        <v/>
      </c>
      <c r="AI56" s="141">
        <f>IF(AND($AA56="",AG56=""),"",$AA56-AG56)</f>
        <v>0</v>
      </c>
      <c r="AJ56" s="462">
        <f>IFERROR(AA56/AA$20,0)</f>
        <v>0</v>
      </c>
      <c r="AK56" s="463">
        <f>IFERROR(AD56/AD$20,0)</f>
        <v>0</v>
      </c>
      <c r="AL56" s="464">
        <f>IFERROR(AG56/AG$20,0)</f>
        <v>0</v>
      </c>
      <c r="AM56" s="465">
        <f>+IFERROR(ROUND(($AB56-AE56)*100,2)&amp;" pts.",0)</f>
        <v>0</v>
      </c>
      <c r="AN56" s="466">
        <f>+IFERROR(ROUND(($AB56-AH56)*100,2)&amp;" pts.",0)</f>
        <v>0</v>
      </c>
      <c r="AO56" s="11"/>
    </row>
    <row r="57" spans="1:41" x14ac:dyDescent="0.25">
      <c r="A57" s="62" t="s">
        <v>9</v>
      </c>
      <c r="B57" s="63" t="s">
        <v>10</v>
      </c>
      <c r="C57" s="208"/>
      <c r="D57" s="11"/>
      <c r="E57" s="11"/>
      <c r="F57" s="11"/>
      <c r="G57" s="11"/>
      <c r="H57" s="59"/>
      <c r="I57" s="59"/>
      <c r="J57" s="11"/>
      <c r="K57" s="11"/>
      <c r="L57" s="59"/>
      <c r="M57" s="59"/>
      <c r="N57" s="106" t="s">
        <v>555</v>
      </c>
      <c r="O57" s="112">
        <f t="shared" ref="O57:Z57" si="3">SUM(O55:O56)</f>
        <v>0</v>
      </c>
      <c r="P57" s="112">
        <f t="shared" si="3"/>
        <v>0</v>
      </c>
      <c r="Q57" s="112">
        <f t="shared" si="3"/>
        <v>0</v>
      </c>
      <c r="R57" s="112">
        <f t="shared" si="3"/>
        <v>0</v>
      </c>
      <c r="S57" s="112">
        <f t="shared" si="3"/>
        <v>0</v>
      </c>
      <c r="T57" s="112">
        <f t="shared" si="3"/>
        <v>0</v>
      </c>
      <c r="U57" s="112">
        <f t="shared" si="3"/>
        <v>0</v>
      </c>
      <c r="V57" s="112">
        <f t="shared" si="3"/>
        <v>0</v>
      </c>
      <c r="W57" s="112">
        <f t="shared" si="3"/>
        <v>0</v>
      </c>
      <c r="X57" s="112">
        <f t="shared" si="3"/>
        <v>0</v>
      </c>
      <c r="Y57" s="112">
        <f t="shared" si="3"/>
        <v>0</v>
      </c>
      <c r="Z57" s="112">
        <f t="shared" si="3"/>
        <v>0</v>
      </c>
      <c r="AA57" s="112">
        <f>IF($I57="B1","",SUM(O57:Z57))</f>
        <v>0</v>
      </c>
      <c r="AB57" s="113" t="str">
        <f>IF(AA57=0,"",IFERROR(AA57/AA$19,""))</f>
        <v/>
      </c>
      <c r="AC57" s="11"/>
      <c r="AD57" s="112">
        <f>SUM(AD55:AD56)</f>
        <v>0</v>
      </c>
      <c r="AE57" s="113" t="str">
        <f>IF(AD57=0,"",IFERROR(AD57/AD$19,""))</f>
        <v/>
      </c>
      <c r="AF57" s="114">
        <f>IF(AND($AA57="",AD57=""),"",$AA57-AD57)</f>
        <v>0</v>
      </c>
      <c r="AG57" s="112">
        <f>SUM(AG55:AG56)</f>
        <v>0</v>
      </c>
      <c r="AH57" s="113" t="str">
        <f>IF(AG57=0,"",IFERROR(AG57/AG$19,""))</f>
        <v/>
      </c>
      <c r="AI57" s="114">
        <f>IF(AND($AA57="",AG57=""),"",$AA57-AG57)</f>
        <v>0</v>
      </c>
      <c r="AJ57" s="415">
        <f>IFERROR(AA57/AA$20,0)</f>
        <v>0</v>
      </c>
      <c r="AK57" s="416">
        <f>IFERROR(AD57/AD$20,0)</f>
        <v>0</v>
      </c>
      <c r="AL57" s="417">
        <f>IFERROR(AG57/AG$20,0)</f>
        <v>0</v>
      </c>
      <c r="AM57" s="418">
        <f>+IFERROR(ROUND(($AB57-AE57)*100,2)&amp;" pts.",0)</f>
        <v>0</v>
      </c>
      <c r="AN57" s="543">
        <f>+IFERROR(ROUND(($AB57-AH57)*100,2)&amp;" pts.",0)</f>
        <v>0</v>
      </c>
      <c r="AO57" s="11"/>
    </row>
    <row r="58" spans="1:41" x14ac:dyDescent="0.25">
      <c r="A58" s="65" t="s">
        <v>11</v>
      </c>
      <c r="B58" s="66" t="s">
        <v>21</v>
      </c>
      <c r="C58" s="208"/>
      <c r="D58" s="11"/>
      <c r="E58" s="11"/>
      <c r="F58" s="11"/>
      <c r="G58" s="11"/>
      <c r="H58" s="59"/>
      <c r="I58" s="59"/>
      <c r="J58" s="11"/>
      <c r="K58" s="11"/>
      <c r="L58" s="59"/>
      <c r="M58" s="59"/>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row>
    <row r="59" spans="1:41" ht="15.75" thickBot="1" x14ac:dyDescent="0.3">
      <c r="A59" s="65" t="s">
        <v>12</v>
      </c>
      <c r="B59" s="66" t="s">
        <v>22</v>
      </c>
      <c r="C59" s="11"/>
      <c r="D59" s="11"/>
      <c r="E59" s="11"/>
      <c r="F59" s="11"/>
      <c r="G59" s="11"/>
      <c r="H59" s="59"/>
      <c r="I59" s="59"/>
      <c r="J59" s="11"/>
      <c r="K59" s="11"/>
      <c r="L59" s="59"/>
      <c r="M59" s="59"/>
      <c r="N59" s="106" t="s">
        <v>558</v>
      </c>
      <c r="O59" s="126">
        <f t="shared" ref="O59:Z59" si="4">O52+O57</f>
        <v>0</v>
      </c>
      <c r="P59" s="126">
        <f t="shared" si="4"/>
        <v>0</v>
      </c>
      <c r="Q59" s="126">
        <f t="shared" si="4"/>
        <v>0</v>
      </c>
      <c r="R59" s="126">
        <f t="shared" si="4"/>
        <v>0</v>
      </c>
      <c r="S59" s="126">
        <f t="shared" si="4"/>
        <v>0</v>
      </c>
      <c r="T59" s="126">
        <f t="shared" si="4"/>
        <v>0</v>
      </c>
      <c r="U59" s="126">
        <f t="shared" si="4"/>
        <v>0</v>
      </c>
      <c r="V59" s="126">
        <f t="shared" si="4"/>
        <v>0</v>
      </c>
      <c r="W59" s="126">
        <f t="shared" si="4"/>
        <v>0</v>
      </c>
      <c r="X59" s="126">
        <f t="shared" si="4"/>
        <v>0</v>
      </c>
      <c r="Y59" s="126">
        <f t="shared" si="4"/>
        <v>0</v>
      </c>
      <c r="Z59" s="126">
        <f t="shared" si="4"/>
        <v>0</v>
      </c>
      <c r="AA59" s="126">
        <f>IF($I59="B1","",SUM(O59:Z59))</f>
        <v>0</v>
      </c>
      <c r="AB59" s="127" t="str">
        <f>IF(AA59=0,"",IFERROR(AA59/AA$19,""))</f>
        <v/>
      </c>
      <c r="AC59" s="11"/>
      <c r="AD59" s="126">
        <f>AD52+AD57</f>
        <v>0</v>
      </c>
      <c r="AE59" s="127" t="str">
        <f>IF(AD59=0,"",IFERROR(AD59/AD$19,""))</f>
        <v/>
      </c>
      <c r="AF59" s="128">
        <f>IF(AND($AA59="",AD59=""),"",$AA59-AD59)</f>
        <v>0</v>
      </c>
      <c r="AG59" s="126">
        <f>AG52+AG57</f>
        <v>0</v>
      </c>
      <c r="AH59" s="127" t="str">
        <f>IF(AG59=0,"",IFERROR(AG59/AG$19,""))</f>
        <v/>
      </c>
      <c r="AI59" s="128">
        <f>IF(AND($AA59="",AG59=""),"",$AA59-AG59)</f>
        <v>0</v>
      </c>
      <c r="AJ59" s="11"/>
      <c r="AK59" s="11"/>
      <c r="AL59" s="11"/>
      <c r="AM59" s="11"/>
      <c r="AN59" s="11"/>
      <c r="AO59" s="11"/>
    </row>
    <row r="60" spans="1:41" ht="15.75" thickTop="1" x14ac:dyDescent="0.25">
      <c r="A60" s="65" t="s">
        <v>13</v>
      </c>
      <c r="B60" s="66" t="s">
        <v>594</v>
      </c>
      <c r="C60" s="11"/>
      <c r="D60" s="11"/>
      <c r="E60" s="11"/>
      <c r="F60" s="11"/>
      <c r="G60" s="11"/>
      <c r="H60" s="59"/>
      <c r="I60" s="59"/>
      <c r="J60" s="11"/>
      <c r="K60" s="11"/>
      <c r="L60" s="59"/>
      <c r="M60" s="59"/>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row>
    <row r="61" spans="1:41" x14ac:dyDescent="0.25">
      <c r="A61" s="65" t="s">
        <v>14</v>
      </c>
      <c r="B61" s="605"/>
      <c r="C61" s="11"/>
      <c r="D61" s="11"/>
      <c r="E61" s="11"/>
      <c r="F61" s="11"/>
      <c r="G61" s="11"/>
      <c r="H61" s="59"/>
      <c r="I61" s="59"/>
      <c r="J61" s="11"/>
      <c r="K61" s="11"/>
      <c r="L61" s="59"/>
      <c r="M61" s="59"/>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row>
    <row r="62" spans="1:41" x14ac:dyDescent="0.25">
      <c r="A62" s="65" t="s">
        <v>15</v>
      </c>
      <c r="B62" s="66"/>
      <c r="C62" s="11"/>
      <c r="D62" s="11"/>
      <c r="E62" s="11"/>
      <c r="F62" s="11"/>
      <c r="G62" s="11"/>
      <c r="H62" s="88" t="s">
        <v>56</v>
      </c>
      <c r="I62" s="136" t="str">
        <f>IF(_epmOfflineCondition_,"T2",_xll.EVPRO($B$1,$H62,"STYLE"))</f>
        <v>T2</v>
      </c>
      <c r="J62" s="136" t="str">
        <f>IF(_epmOfflineCondition_,"Y",_xll.EVPRO($B$1,$H62,"CALC"))</f>
        <v>Y</v>
      </c>
      <c r="K62" s="106"/>
      <c r="L62" s="59"/>
      <c r="M62" s="59"/>
      <c r="N62" s="106" t="s">
        <v>666</v>
      </c>
      <c r="O62" s="209">
        <f>IF(_epmOfflineCondition_,0,_xll.EVGTS($B$1,1,$B$3,$B$5,$B$7,$B$9,O$16,O$17,O$18,$B$6,$H62))</f>
        <v>0</v>
      </c>
      <c r="P62" s="209">
        <f>IF(_epmOfflineCondition_,0,_xll.EVGTS($B$1,1,$B$3,$B$5,$B$7,$B$9,P$16,P$17,P$18,$B$6,$H62))</f>
        <v>0</v>
      </c>
      <c r="Q62" s="209">
        <f>IF(_epmOfflineCondition_,0,_xll.EVGTS($B$1,1,$B$3,$B$5,$B$7,$B$9,Q$16,Q$17,Q$18,$B$6,$H62))</f>
        <v>0</v>
      </c>
      <c r="R62" s="209">
        <f>IF(_epmOfflineCondition_,0,_xll.EVGTS($B$1,1,$B$3,$B$5,$B$7,$B$9,R$16,R$17,R$18,$B$6,$H62))</f>
        <v>0</v>
      </c>
      <c r="S62" s="209">
        <f>IF(_epmOfflineCondition_,0,_xll.EVGTS($B$1,1,$B$3,$B$5,$B$7,$B$9,S$16,S$17,S$18,$B$6,$H62))</f>
        <v>0</v>
      </c>
      <c r="T62" s="209">
        <f>IF(_epmOfflineCondition_,0,_xll.EVGTS($B$1,1,$B$3,$B$5,$B$7,$B$9,T$16,T$17,T$18,$B$6,$H62))</f>
        <v>0</v>
      </c>
      <c r="U62" s="209">
        <f>IF(_epmOfflineCondition_,0,_xll.EVGTS($B$1,1,$B$3,$B$5,$B$7,$B$9,U$16,U$17,U$18,$B$6,$H62))</f>
        <v>0</v>
      </c>
      <c r="V62" s="209">
        <f>IF(_epmOfflineCondition_,0,_xll.EVGTS($B$1,1,$B$3,$B$5,$B$7,$B$9,V$16,V$17,V$18,$B$6,$H62))</f>
        <v>0</v>
      </c>
      <c r="W62" s="209">
        <f>IF(_epmOfflineCondition_,0,_xll.EVGTS($B$1,1,$B$3,$B$5,$B$7,$B$9,W$16,W$17,W$18,$B$6,$H62))</f>
        <v>0</v>
      </c>
      <c r="X62" s="209">
        <f>IF(_epmOfflineCondition_,0,_xll.EVGTS($B$1,1,$B$3,$B$5,$B$7,$B$9,X$16,X$17,X$18,$B$6,$H62))</f>
        <v>0</v>
      </c>
      <c r="Y62" s="209">
        <f>IF(_epmOfflineCondition_,0,_xll.EVGTS($B$1,1,$B$3,$B$5,$B$7,$B$9,Y$16,Y$17,Y$18,$B$6,$H62))</f>
        <v>0</v>
      </c>
      <c r="Z62" s="209">
        <f>IF(_epmOfflineCondition_,0,_xll.EVGTS($B$1,1,$B$3,$B$5,$B$7,$B$9,Z$16,Z$17,Z$18,$B$6,$H62))</f>
        <v>0</v>
      </c>
      <c r="AA62" s="91">
        <f>IF($I62="B1","",SUM(O62:Z62))</f>
        <v>0</v>
      </c>
      <c r="AB62" s="209"/>
      <c r="AC62" s="11"/>
      <c r="AD62" s="209">
        <f>IF(_epmOfflineCondition_,0,_xll.EVGTS($B$1,1,$B$3,$B$5,$B$7,$B$9,AD$16,AD$17,AD$18,$B$6,$H62))</f>
        <v>0</v>
      </c>
      <c r="AE62" s="209"/>
      <c r="AF62" s="209"/>
      <c r="AG62" s="209">
        <f>IF(_epmOfflineCondition_,0,_xll.EVGTS($B$1,1,$B$3,$B$5,$B$7,$B$9,AG$16,AG$17,AG$18,$B$6,$H62))</f>
        <v>0</v>
      </c>
      <c r="AH62" s="209"/>
      <c r="AI62" s="209"/>
      <c r="AJ62" s="11"/>
      <c r="AK62" s="11"/>
      <c r="AL62" s="11"/>
      <c r="AM62" s="11"/>
      <c r="AN62" s="11"/>
      <c r="AO62" s="11"/>
    </row>
    <row r="63" spans="1:41" x14ac:dyDescent="0.25">
      <c r="A63" s="65" t="s">
        <v>16</v>
      </c>
      <c r="B63" s="66" t="s">
        <v>78</v>
      </c>
      <c r="C63" s="11"/>
      <c r="D63" s="11"/>
      <c r="E63" s="11"/>
      <c r="F63" s="11"/>
      <c r="G63" s="11"/>
      <c r="H63" s="59"/>
      <c r="I63" s="59"/>
      <c r="J63" s="11"/>
      <c r="K63" s="11"/>
      <c r="L63" s="59"/>
      <c r="M63" s="59"/>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row>
    <row r="64" spans="1:41" x14ac:dyDescent="0.25">
      <c r="A64" s="65" t="s">
        <v>17</v>
      </c>
      <c r="B64" s="66"/>
      <c r="C64" s="11"/>
      <c r="D64" s="11"/>
      <c r="E64" s="11"/>
      <c r="F64" s="11"/>
      <c r="G64" s="11"/>
      <c r="H64" s="59"/>
      <c r="I64" s="59"/>
      <c r="J64" s="11"/>
      <c r="K64" s="11"/>
      <c r="L64" s="59"/>
      <c r="M64" s="59"/>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row>
    <row r="65" spans="1:41" x14ac:dyDescent="0.25">
      <c r="A65" s="11"/>
      <c r="B65" s="11"/>
      <c r="C65" s="11"/>
      <c r="D65" s="11"/>
      <c r="E65" s="11"/>
      <c r="F65" s="11"/>
      <c r="G65" s="11"/>
      <c r="H65" s="59"/>
      <c r="I65" s="59"/>
      <c r="J65" s="11"/>
      <c r="K65" s="11"/>
      <c r="L65" s="59"/>
      <c r="M65" s="59"/>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25">
      <c r="A66" s="11"/>
      <c r="B66" s="11"/>
      <c r="C66" s="11"/>
      <c r="D66" s="11"/>
      <c r="E66" s="11"/>
      <c r="F66" s="11"/>
      <c r="G66" s="11"/>
      <c r="H66" s="59"/>
      <c r="I66" s="59"/>
      <c r="J66" s="11"/>
      <c r="K66" s="11"/>
      <c r="L66" s="59"/>
      <c r="M66" s="59"/>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row>
    <row r="67" spans="1:41" x14ac:dyDescent="0.25">
      <c r="A67" s="62" t="s">
        <v>23</v>
      </c>
      <c r="B67" s="63" t="s">
        <v>24</v>
      </c>
      <c r="C67" s="11"/>
      <c r="D67" s="11"/>
      <c r="E67" s="11"/>
      <c r="F67" s="11"/>
      <c r="G67" s="11"/>
      <c r="H67" s="59"/>
      <c r="I67" s="59"/>
      <c r="J67" s="11"/>
      <c r="K67" s="11"/>
      <c r="L67" s="59"/>
      <c r="M67" s="59"/>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25">
      <c r="A68" s="65" t="s">
        <v>25</v>
      </c>
      <c r="B68" s="66"/>
      <c r="C68" s="11"/>
      <c r="D68" s="11"/>
      <c r="E68" s="11"/>
      <c r="F68" s="11"/>
      <c r="G68" s="11"/>
      <c r="H68" s="11"/>
      <c r="I68" s="59"/>
      <c r="J68" s="59"/>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65" t="s">
        <v>26</v>
      </c>
      <c r="B69" s="66"/>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25">
      <c r="A70" s="65" t="s">
        <v>27</v>
      </c>
      <c r="B70" s="66"/>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25">
      <c r="A71" s="65" t="s">
        <v>28</v>
      </c>
      <c r="B71" s="66"/>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65" t="s">
        <v>29</v>
      </c>
      <c r="B72" s="66"/>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65" t="s">
        <v>30</v>
      </c>
      <c r="B73" s="66" t="s">
        <v>78</v>
      </c>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25">
      <c r="A74" s="65" t="s">
        <v>31</v>
      </c>
      <c r="B74" s="66" t="s">
        <v>78</v>
      </c>
      <c r="C74" s="11"/>
      <c r="D74" s="11"/>
      <c r="E74" s="11"/>
      <c r="F74" s="11"/>
      <c r="G74" s="11"/>
      <c r="H74" s="11"/>
      <c r="I74" s="59"/>
      <c r="J74" s="59"/>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25">
      <c r="A75" s="65" t="s">
        <v>32</v>
      </c>
      <c r="B75" s="66"/>
      <c r="C75" s="11"/>
      <c r="D75" s="11"/>
      <c r="E75" s="11"/>
      <c r="F75" s="11"/>
      <c r="G75" s="11"/>
      <c r="H75" s="11"/>
      <c r="I75" s="59"/>
      <c r="J75" s="59"/>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65" t="s">
        <v>33</v>
      </c>
      <c r="B76" s="66"/>
      <c r="C76" s="11"/>
      <c r="D76" s="11"/>
      <c r="E76" s="11"/>
      <c r="F76" s="11"/>
      <c r="G76" s="11"/>
      <c r="H76" s="11"/>
      <c r="I76" s="59"/>
      <c r="J76" s="59"/>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25">
      <c r="A77" s="65" t="s">
        <v>34</v>
      </c>
      <c r="B77" s="66"/>
      <c r="C77" s="11"/>
      <c r="D77" s="11"/>
      <c r="E77" s="11"/>
      <c r="F77" s="11"/>
      <c r="G77" s="11"/>
      <c r="H77" s="11"/>
      <c r="I77" s="59"/>
      <c r="J77" s="59"/>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65" t="s">
        <v>35</v>
      </c>
      <c r="B78" s="66"/>
      <c r="C78" s="11"/>
      <c r="D78" s="11"/>
      <c r="E78" s="11"/>
      <c r="F78" s="11"/>
      <c r="G78" s="11"/>
      <c r="H78" s="11"/>
      <c r="I78" s="59"/>
      <c r="J78" s="59"/>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65" t="s">
        <v>36</v>
      </c>
      <c r="B79" s="66"/>
      <c r="C79" s="208"/>
      <c r="D79" s="11"/>
      <c r="E79" s="11"/>
      <c r="F79" s="11"/>
      <c r="G79" s="11"/>
      <c r="H79" s="11"/>
      <c r="I79" s="59"/>
      <c r="J79" s="59"/>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65" t="s">
        <v>37</v>
      </c>
      <c r="B80" s="66"/>
      <c r="C80" s="11"/>
      <c r="D80" s="11"/>
      <c r="E80" s="11"/>
      <c r="F80" s="11"/>
      <c r="G80" s="11"/>
      <c r="H80" s="11"/>
      <c r="I80" s="59"/>
      <c r="J80" s="59"/>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65" t="s">
        <v>38</v>
      </c>
      <c r="B81" s="66"/>
      <c r="C81" s="11"/>
      <c r="D81" s="11"/>
      <c r="E81" s="11"/>
      <c r="F81" s="11"/>
      <c r="G81" s="11"/>
      <c r="H81" s="11"/>
      <c r="I81" s="59"/>
      <c r="J81" s="59"/>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65" t="s">
        <v>39</v>
      </c>
      <c r="B82" s="66"/>
      <c r="C82" s="11"/>
      <c r="D82" s="11"/>
      <c r="E82" s="11"/>
      <c r="F82" s="11"/>
      <c r="G82" s="11"/>
      <c r="H82" s="11"/>
      <c r="I82" s="59"/>
      <c r="J82" s="59"/>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65" t="s">
        <v>40</v>
      </c>
      <c r="B83" s="66"/>
      <c r="C83" s="11"/>
      <c r="D83" s="11"/>
      <c r="E83" s="11"/>
      <c r="F83" s="11"/>
      <c r="G83" s="11"/>
      <c r="H83" s="11"/>
      <c r="I83" s="59"/>
      <c r="J83" s="59"/>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65" t="s">
        <v>41</v>
      </c>
      <c r="B84" s="66"/>
      <c r="C84" s="11"/>
      <c r="D84" s="11"/>
      <c r="E84" s="11"/>
      <c r="F84" s="11"/>
      <c r="G84" s="11"/>
      <c r="H84" s="11"/>
      <c r="I84" s="59"/>
      <c r="J84" s="59"/>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65" t="s">
        <v>42</v>
      </c>
      <c r="B85" s="66"/>
      <c r="C85" s="11"/>
      <c r="D85" s="11"/>
      <c r="E85" s="11"/>
      <c r="F85" s="11"/>
      <c r="G85" s="11"/>
      <c r="H85" s="11"/>
      <c r="I85" s="59"/>
      <c r="J85" s="59"/>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65" t="s">
        <v>43</v>
      </c>
      <c r="B86" s="66"/>
      <c r="C86" s="11"/>
      <c r="D86" s="11"/>
      <c r="E86" s="11"/>
      <c r="F86" s="11"/>
      <c r="G86" s="11"/>
      <c r="H86" s="11"/>
      <c r="I86" s="59"/>
      <c r="J86" s="59"/>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65" t="s">
        <v>44</v>
      </c>
      <c r="B87" s="66"/>
      <c r="C87" s="11"/>
      <c r="D87" s="11"/>
      <c r="E87" s="11"/>
      <c r="F87" s="11"/>
      <c r="G87" s="11"/>
      <c r="H87" s="11"/>
      <c r="I87" s="59"/>
      <c r="J87" s="59"/>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65" t="s">
        <v>45</v>
      </c>
      <c r="B88" s="66"/>
      <c r="C88" s="11"/>
      <c r="D88" s="11"/>
      <c r="E88" s="11"/>
      <c r="F88" s="11"/>
      <c r="G88" s="11"/>
      <c r="H88" s="11"/>
      <c r="I88" s="59"/>
      <c r="J88" s="59"/>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65" t="s">
        <v>46</v>
      </c>
      <c r="B89" s="66"/>
      <c r="C89" s="11"/>
      <c r="D89" s="11"/>
      <c r="E89" s="11"/>
      <c r="F89" s="11"/>
      <c r="G89" s="11"/>
      <c r="H89" s="11"/>
      <c r="I89" s="59"/>
      <c r="J89" s="59"/>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sheetData>
  <sheetProtection algorithmName="SHA-512" hashValue="fTVCO3zrw4jLHSrmYBt3cjm/I0XKmWneJQPHYr5ZJM21Mt7SgNCP+crZMyIk+9H/ciLhLdgRQWgVTy9uMXNI2Q==" saltValue="Xw2crYpx3CVFWUc8pH5pzA==" spinCount="100000" sheet="1" scenarios="1"/>
  <mergeCells count="2">
    <mergeCell ref="AD31:AE31"/>
    <mergeCell ref="AG31:AH31"/>
  </mergeCells>
  <dataValidations disablePrompts="1" count="2">
    <dataValidation type="list" allowBlank="1" sqref="B60 B29" xr:uid="{00000000-0002-0000-2F00-000000000000}">
      <formula1>"SELF,ALL,BAS,DEP,BASMEMBERS,MEMBERS,NOEXPAND,GDEP"</formula1>
    </dataValidation>
    <dataValidation type="list" allowBlank="1" sqref="B59 B28" xr:uid="{00000000-0002-0000-2F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5543" r:id="rId7" name="FPMExcelClientSheetOptionstb1">
          <controlPr defaultSize="0" autoLine="0" r:id="rId8">
            <anchor moveWithCells="1" sizeWithCells="1">
              <from>
                <xdr:col>0</xdr:col>
                <xdr:colOff>0</xdr:colOff>
                <xdr:row>0</xdr:row>
                <xdr:rowOff>0</xdr:rowOff>
              </from>
              <to>
                <xdr:col>13</xdr:col>
                <xdr:colOff>666750</xdr:colOff>
                <xdr:row>0</xdr:row>
                <xdr:rowOff>0</xdr:rowOff>
              </to>
            </anchor>
          </controlPr>
        </control>
      </mc:Choice>
      <mc:Fallback>
        <control shapeId="65543" r:id="rId7" name="FPMExcelClientSheetOptionstb1"/>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2">
    <pageSetUpPr fitToPage="1"/>
  </sheetPr>
  <dimension ref="A1:AO96"/>
  <sheetViews>
    <sheetView topLeftCell="K25" zoomScale="85" zoomScaleNormal="85" workbookViewId="0">
      <pane xSplit="4" ySplit="8" topLeftCell="O33" activePane="bottomRight" state="frozen"/>
      <selection activeCell="R47" sqref="R47"/>
      <selection pane="topRight" activeCell="R47" sqref="R47"/>
      <selection pane="bottomLeft" activeCell="R47" sqref="R47"/>
      <selection pane="bottomRight" activeCell="O33" sqref="O33"/>
    </sheetView>
  </sheetViews>
  <sheetFormatPr defaultRowHeight="15" outlineLevelRow="1" outlineLevelCol="1" x14ac:dyDescent="0.25"/>
  <cols>
    <col min="1" max="1" width="17" style="1" hidden="1" customWidth="1" outlineLevel="1"/>
    <col min="2" max="2" width="20.28515625" style="1" hidden="1" customWidth="1" outlineLevel="1"/>
    <col min="3" max="6" width="12.85546875" style="1" hidden="1" customWidth="1" outlineLevel="1"/>
    <col min="7" max="7" width="17.85546875" style="1" hidden="1" customWidth="1" outlineLevel="1"/>
    <col min="8" max="8" width="13.140625" style="1" hidden="1" customWidth="1" outlineLevel="1"/>
    <col min="9" max="10" width="4.7109375" style="2" hidden="1" customWidth="1" outlineLevel="1"/>
    <col min="11" max="11" width="3.7109375" style="1" customWidth="1" collapsed="1"/>
    <col min="12" max="12" width="9.7109375" style="2" hidden="1" customWidth="1" outlineLevel="1" collapsed="1"/>
    <col min="13" max="13" width="9.7109375" style="2" hidden="1" customWidth="1" outlineLevel="1"/>
    <col min="14" max="14" width="36.7109375" style="1" customWidth="1" collapsed="1"/>
    <col min="15" max="26" width="11.7109375" style="1" customWidth="1" outlineLevel="1"/>
    <col min="27" max="27" width="12.7109375" style="1" customWidth="1"/>
    <col min="28" max="28" width="7.7109375" style="1" customWidth="1"/>
    <col min="29" max="29" width="1.7109375" style="1" customWidth="1"/>
    <col min="30" max="30" width="12.7109375" style="1" customWidth="1"/>
    <col min="31" max="31" width="7.7109375" style="1" customWidth="1"/>
    <col min="32" max="32" width="11.7109375" style="1" customWidth="1"/>
    <col min="33" max="33" width="12.7109375" style="1" customWidth="1"/>
    <col min="34" max="34" width="7.7109375" style="1" customWidth="1"/>
    <col min="35" max="35" width="11.7109375" style="1" customWidth="1"/>
    <col min="36" max="40" width="0" style="1" hidden="1" customWidth="1" outlineLevel="1"/>
    <col min="41" max="41" width="9.140625" style="1" collapsed="1"/>
    <col min="42" max="16384" width="9.140625" style="1"/>
  </cols>
  <sheetData>
    <row r="1" spans="1:41" hidden="1" outlineLevel="1" x14ac:dyDescent="0.25">
      <c r="A1" s="53" t="s">
        <v>48</v>
      </c>
      <c r="B1" s="54" t="s">
        <v>49</v>
      </c>
      <c r="C1" s="53" t="str">
        <f>IF(_epmOfflineCondition_,"Financial Application",_xll.EVAPD($B$1))</f>
        <v>Financial Application</v>
      </c>
      <c r="D1" s="11"/>
      <c r="E1" s="11"/>
      <c r="F1" s="11"/>
      <c r="G1" s="11"/>
      <c r="H1" s="11"/>
      <c r="I1" s="11"/>
      <c r="J1" s="11"/>
      <c r="K1" s="11"/>
      <c r="L1" s="55"/>
      <c r="M1" s="55"/>
      <c r="N1" s="55"/>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row>
    <row r="2" spans="1:41" hidden="1" outlineLevel="1" x14ac:dyDescent="0.25">
      <c r="A2" s="53" t="s">
        <v>22</v>
      </c>
      <c r="B2" s="56" t="s">
        <v>56</v>
      </c>
      <c r="C2" s="11" t="str">
        <f>IF(_epmOfflineCondition_,"Gross Operating Income",_xll.EVDES(B2,$B$1))</f>
        <v>Gross Operating Income</v>
      </c>
      <c r="D2" s="11"/>
      <c r="E2" s="11"/>
      <c r="F2" s="11"/>
      <c r="G2" s="11"/>
      <c r="H2" s="11"/>
      <c r="I2" s="11"/>
      <c r="J2" s="11"/>
      <c r="K2" s="11"/>
      <c r="L2" s="55"/>
      <c r="M2" s="55"/>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row>
    <row r="3" spans="1:41" hidden="1" outlineLevel="1" x14ac:dyDescent="0.25">
      <c r="A3" s="53" t="s">
        <v>50</v>
      </c>
      <c r="B3" s="57" t="str">
        <f>IF(_epmOfflineCondition_,"BU1334",_xll.EVCVW($B$1,A3))</f>
        <v>BU1334</v>
      </c>
      <c r="C3" s="11" t="str">
        <f>IF(_epmOfflineCondition_,"Anglers Boutique Resorts LLC",_xll.EVDES(B3,$B$1))</f>
        <v>Anglers Boutique Resorts LLC</v>
      </c>
      <c r="D3" s="11"/>
      <c r="E3" s="11"/>
      <c r="F3" s="11"/>
      <c r="G3" s="11"/>
      <c r="H3" s="11"/>
      <c r="I3" s="11"/>
      <c r="J3" s="11"/>
      <c r="K3" s="11"/>
      <c r="L3" s="59"/>
      <c r="M3" s="59"/>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row>
    <row r="4" spans="1:41" hidden="1" outlineLevel="1" x14ac:dyDescent="0.25">
      <c r="A4" s="53" t="s">
        <v>19</v>
      </c>
      <c r="B4" s="57" t="str">
        <f>SetUp!$D$6</f>
        <v>CURRENT</v>
      </c>
      <c r="C4" s="11" t="str">
        <f>IF(_epmOfflineCondition_,"Forecast",_xll.EVDES(B4,$B$1))</f>
        <v>Forecast</v>
      </c>
      <c r="D4" s="11"/>
      <c r="E4" s="58" t="str">
        <f>IF(_epmOfflineCondition_,"20230100",_xll.EVPRO($B$1,$B$4,"STARTMTH"))</f>
        <v>20230100</v>
      </c>
      <c r="F4" s="58" t="str">
        <f>IF(_epmOfflineCondition_,"20230100",IF(SetUp!$D$8="FCST",_xll.EVPRO($B$1,"CURRENT","STARTMTH"),IF(SetUp!$D$8="BUD",_xll.EVPRO($B$1,"BUDGET","STARTMTH"))))</f>
        <v>20230100</v>
      </c>
      <c r="G4" s="11"/>
      <c r="H4" s="11"/>
      <c r="I4" s="59"/>
      <c r="J4" s="59"/>
      <c r="K4" s="11"/>
      <c r="L4" s="59"/>
      <c r="M4" s="59"/>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row>
    <row r="5" spans="1:41" hidden="1" outlineLevel="1" x14ac:dyDescent="0.25">
      <c r="A5" s="53" t="s">
        <v>51</v>
      </c>
      <c r="B5" s="56" t="s">
        <v>59</v>
      </c>
      <c r="C5" s="11" t="str">
        <f>IF(_epmOfflineCondition_,"TOTALADJ",_xll.EVDES(B5,$B$1))</f>
        <v>TOTALADJ</v>
      </c>
      <c r="D5" s="11"/>
      <c r="E5" s="11"/>
      <c r="F5" s="11"/>
      <c r="G5" s="11"/>
      <c r="H5" s="11"/>
      <c r="I5" s="59"/>
      <c r="J5" s="59"/>
      <c r="K5" s="11"/>
      <c r="L5" s="59"/>
      <c r="M5" s="59"/>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row>
    <row r="6" spans="1:41" hidden="1" outlineLevel="1" x14ac:dyDescent="0.25">
      <c r="A6" s="53" t="s">
        <v>52</v>
      </c>
      <c r="B6" s="56" t="s">
        <v>499</v>
      </c>
      <c r="C6" s="11" t="str">
        <f>IF(_epmOfflineCondition_,"Consolidated Hotel &amp; F&amp;B Departments",_xll.EVDES(B6,$B$1))</f>
        <v>Consolidated Hotel &amp; F&amp;B Departments</v>
      </c>
      <c r="D6" s="11"/>
      <c r="E6" s="58" t="str">
        <f>IF(_epmOfflineCondition_,"",_xll.EVPRO($B$1,$B$6,$F$6))</f>
        <v/>
      </c>
      <c r="F6" s="11" t="s">
        <v>278</v>
      </c>
      <c r="G6" s="11"/>
      <c r="H6" s="11"/>
      <c r="I6" s="59"/>
      <c r="J6" s="59"/>
      <c r="K6" s="11"/>
      <c r="L6" s="59"/>
      <c r="M6" s="59"/>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row>
    <row r="7" spans="1:41" hidden="1" outlineLevel="1" x14ac:dyDescent="0.25">
      <c r="A7" s="53" t="s">
        <v>53</v>
      </c>
      <c r="B7" s="56" t="s">
        <v>61</v>
      </c>
      <c r="C7" s="11" t="str">
        <f>IF(_epmOfflineCondition_,"All Inter-company",_xll.EVDES(B7,$B$1))</f>
        <v>All Inter-company</v>
      </c>
      <c r="D7" s="11"/>
      <c r="E7" s="11"/>
      <c r="F7" s="11"/>
      <c r="G7" s="11"/>
      <c r="H7" s="11"/>
      <c r="I7" s="59"/>
      <c r="J7" s="59"/>
      <c r="K7" s="11"/>
      <c r="L7" s="59"/>
      <c r="M7" s="59"/>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row>
    <row r="8" spans="1:41" hidden="1" outlineLevel="1" x14ac:dyDescent="0.25">
      <c r="A8" s="53" t="s">
        <v>20</v>
      </c>
      <c r="B8" s="56" t="s">
        <v>63</v>
      </c>
      <c r="C8" s="11" t="str">
        <f>IF(_epmOfflineCondition_,"Year to Date",_xll.EVDES(B8,$B$1))</f>
        <v>Year to Date</v>
      </c>
      <c r="D8" s="11"/>
      <c r="E8" s="11"/>
      <c r="F8" s="11"/>
      <c r="G8" s="11"/>
      <c r="H8" s="11"/>
      <c r="I8" s="59"/>
      <c r="J8" s="59"/>
      <c r="K8" s="11"/>
      <c r="L8" s="59"/>
      <c r="M8" s="59"/>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row>
    <row r="9" spans="1:41" hidden="1" outlineLevel="1" x14ac:dyDescent="0.25">
      <c r="A9" s="53" t="s">
        <v>54</v>
      </c>
      <c r="B9" s="57" t="str">
        <f>SetUp!$D$10</f>
        <v>LC</v>
      </c>
      <c r="C9" s="11" t="str">
        <f>IF(_epmOfflineCondition_,"Local Currency",_xll.EVDES(B9,$B$1))</f>
        <v>Local Currency</v>
      </c>
      <c r="D9" s="11"/>
      <c r="E9" s="11"/>
      <c r="F9" s="11"/>
      <c r="G9" s="11"/>
      <c r="H9" s="11"/>
      <c r="I9" s="59"/>
      <c r="J9" s="59"/>
      <c r="K9" s="11"/>
      <c r="L9" s="59"/>
      <c r="M9" s="59"/>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row>
    <row r="10" spans="1:41" hidden="1" outlineLevel="1" x14ac:dyDescent="0.25">
      <c r="A10" s="53" t="s">
        <v>18</v>
      </c>
      <c r="B10" s="57" t="str">
        <f>SetUp!$D$7</f>
        <v>2022.TOTAL</v>
      </c>
      <c r="C10" s="11" t="str">
        <f>IF(_epmOfflineCondition_,"2022 TOTAL",_xll.EVDES(B10,$B$1))</f>
        <v>2022 TOTAL</v>
      </c>
      <c r="D10" s="10" t="str">
        <f>IF(_epmOfflineCondition_,"CY",_xll.EVPRO($B$1,$B$10,"Group"))</f>
        <v>CY</v>
      </c>
      <c r="E10" s="11"/>
      <c r="F10" s="11"/>
      <c r="G10" s="11"/>
      <c r="H10" s="11"/>
      <c r="I10" s="59"/>
      <c r="J10" s="59"/>
      <c r="K10" s="11"/>
      <c r="L10" s="59"/>
      <c r="M10" s="59"/>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row>
    <row r="11" spans="1:41" hidden="1" outlineLevel="1" x14ac:dyDescent="0.25">
      <c r="A11" s="11"/>
      <c r="B11" s="53"/>
      <c r="C11" s="11"/>
      <c r="D11" s="11"/>
      <c r="E11" s="11"/>
      <c r="F11" s="11"/>
      <c r="G11" s="11"/>
      <c r="H11" s="11"/>
      <c r="I11" s="59"/>
      <c r="J11" s="59"/>
      <c r="K11" s="11"/>
      <c r="L11" s="59"/>
      <c r="M11" s="58" t="str">
        <f>IF(LEFT(SetUp!$D$6,3)="ALT","Y","N")</f>
        <v>N</v>
      </c>
      <c r="N11" s="11" t="s">
        <v>800</v>
      </c>
      <c r="O11" s="60" t="str">
        <f>IF(_epmOfflineCondition_,"ACTUAL_CON",IF(O13&lt;$F$4,_xll.EVPRO($B$1,$B$4,"COMPARISON"),$B$4))</f>
        <v>ACTUAL_CON</v>
      </c>
      <c r="P11" s="60" t="str">
        <f>IF(_epmOfflineCondition_,"ACTUAL_CON",IF(P13&lt;$F$4,_xll.EVPRO($B$1,$B$4,"COMPARISON"),$B$4))</f>
        <v>ACTUAL_CON</v>
      </c>
      <c r="Q11" s="60" t="str">
        <f>IF(_epmOfflineCondition_,"ACTUAL_CON",IF(Q13&lt;$F$4,_xll.EVPRO($B$1,$B$4,"COMPARISON"),$B$4))</f>
        <v>ACTUAL_CON</v>
      </c>
      <c r="R11" s="60" t="str">
        <f>IF(_epmOfflineCondition_,"ACTUAL_CON",IF(R13&lt;$F$4,_xll.EVPRO($B$1,$B$4,"COMPARISON"),$B$4))</f>
        <v>ACTUAL_CON</v>
      </c>
      <c r="S11" s="60" t="str">
        <f>IF(_epmOfflineCondition_,"ACTUAL_CON",IF(S13&lt;$F$4,_xll.EVPRO($B$1,$B$4,"COMPARISON"),$B$4))</f>
        <v>ACTUAL_CON</v>
      </c>
      <c r="T11" s="60" t="str">
        <f>IF(_epmOfflineCondition_,"ACTUAL_CON",IF(T13&lt;$F$4,_xll.EVPRO($B$1,$B$4,"COMPARISON"),$B$4))</f>
        <v>ACTUAL_CON</v>
      </c>
      <c r="U11" s="60" t="str">
        <f>IF(_epmOfflineCondition_,"ACTUAL_CON",IF(U13&lt;$F$4,_xll.EVPRO($B$1,$B$4,"COMPARISON"),$B$4))</f>
        <v>ACTUAL_CON</v>
      </c>
      <c r="V11" s="60" t="str">
        <f>IF(_epmOfflineCondition_,"ACTUAL_CON",IF(V13&lt;$F$4,_xll.EVPRO($B$1,$B$4,"COMPARISON"),$B$4))</f>
        <v>ACTUAL_CON</v>
      </c>
      <c r="W11" s="60" t="str">
        <f>IF(_epmOfflineCondition_,"ACTUAL_CON",IF(W13&lt;$F$4,_xll.EVPRO($B$1,$B$4,"COMPARISON"),$B$4))</f>
        <v>ACTUAL_CON</v>
      </c>
      <c r="X11" s="60" t="str">
        <f>IF(_epmOfflineCondition_,"ACTUAL_CON",IF(X13&lt;$F$4,_xll.EVPRO($B$1,$B$4,"COMPARISON"),$B$4))</f>
        <v>ACTUAL_CON</v>
      </c>
      <c r="Y11" s="60" t="str">
        <f>IF(_epmOfflineCondition_,"ACTUAL_CON",IF(Y13&lt;$F$4,_xll.EVPRO($B$1,$B$4,"COMPARISON"),$B$4))</f>
        <v>ACTUAL_CON</v>
      </c>
      <c r="Z11" s="60" t="str">
        <f>IF(_epmOfflineCondition_,"ACTUAL_CON",IF(Z13&lt;$F$4,_xll.EVPRO($B$1,$B$4,"COMPARISON"),$B$4))</f>
        <v>ACTUAL_CON</v>
      </c>
      <c r="AA11" s="11"/>
      <c r="AB11" s="11"/>
      <c r="AC11" s="11"/>
      <c r="AD11" s="11"/>
      <c r="AE11" s="11"/>
      <c r="AF11" s="11"/>
      <c r="AG11" s="11"/>
      <c r="AH11" s="11"/>
      <c r="AI11" s="11"/>
      <c r="AJ11" s="11"/>
      <c r="AK11" s="11"/>
      <c r="AL11" s="11"/>
      <c r="AM11" s="11"/>
      <c r="AN11" s="11"/>
      <c r="AO11" s="11"/>
    </row>
    <row r="12" spans="1:41" hidden="1" outlineLevel="1" x14ac:dyDescent="0.25">
      <c r="A12" s="11" t="s">
        <v>115</v>
      </c>
      <c r="B12" s="58" t="str">
        <f>IF(_epmOfflineCondition_,"2022",_xll.EVPRO($B$1,$B$10,"YEAR"))</f>
        <v>2022</v>
      </c>
      <c r="C12" s="11"/>
      <c r="D12" s="11"/>
      <c r="E12" s="11"/>
      <c r="F12" s="11"/>
      <c r="G12" s="11"/>
      <c r="H12" s="11"/>
      <c r="I12" s="59"/>
      <c r="J12" s="59"/>
      <c r="K12" s="11"/>
      <c r="L12" s="59"/>
      <c r="M12" s="59"/>
      <c r="N12" s="11" t="s">
        <v>597</v>
      </c>
      <c r="O12" s="4" t="str">
        <f>IF(_epmOfflineCondition_,"Y",_xll.EVPRO($B$1,O$16,$N$12))</f>
        <v>Y</v>
      </c>
      <c r="P12" s="4" t="str">
        <f>IF(_epmOfflineCondition_,"Y",_xll.EVPRO($B$1,P$16,$N$12))</f>
        <v>Y</v>
      </c>
      <c r="Q12" s="4" t="str">
        <f>IF(_epmOfflineCondition_,"Y",_xll.EVPRO($B$1,Q$16,$N$12))</f>
        <v>Y</v>
      </c>
      <c r="R12" s="4" t="str">
        <f>IF(_epmOfflineCondition_,"Y",_xll.EVPRO($B$1,R$16,$N$12))</f>
        <v>Y</v>
      </c>
      <c r="S12" s="4" t="str">
        <f>IF(_epmOfflineCondition_,"Y",_xll.EVPRO($B$1,S$16,$N$12))</f>
        <v>Y</v>
      </c>
      <c r="T12" s="4" t="str">
        <f>IF(_epmOfflineCondition_,"Y",_xll.EVPRO($B$1,T$16,$N$12))</f>
        <v>Y</v>
      </c>
      <c r="U12" s="4" t="str">
        <f>IF(_epmOfflineCondition_,"Y",_xll.EVPRO($B$1,U$16,$N$12))</f>
        <v>Y</v>
      </c>
      <c r="V12" s="4" t="str">
        <f>IF(_epmOfflineCondition_,"Y",_xll.EVPRO($B$1,V$16,$N$12))</f>
        <v>Y</v>
      </c>
      <c r="W12" s="4" t="str">
        <f>IF(_epmOfflineCondition_,"Y",_xll.EVPRO($B$1,W$16,$N$12))</f>
        <v>Y</v>
      </c>
      <c r="X12" s="4" t="str">
        <f>IF(_epmOfflineCondition_,"Y",_xll.EVPRO($B$1,X$16,$N$12))</f>
        <v>Y</v>
      </c>
      <c r="Y12" s="4" t="str">
        <f>IF(_epmOfflineCondition_,"Y",_xll.EVPRO($B$1,Y$16,$N$12))</f>
        <v>Y</v>
      </c>
      <c r="Z12" s="4" t="str">
        <f>IF(_epmOfflineCondition_,"Y",_xll.EVPRO($B$1,Z$16,$N$12))</f>
        <v>Y</v>
      </c>
      <c r="AA12" s="4" t="str">
        <f>IF(_epmOfflineCondition_,"",_xll.EVPRO($B$1,AA$16,$N$12))</f>
        <v/>
      </c>
      <c r="AB12" s="11"/>
      <c r="AC12" s="11"/>
      <c r="AD12" s="4" t="str">
        <f>IF(_epmOfflineCondition_,"",_xll.EVPRO($B$1,AD$16,$N$12))</f>
        <v/>
      </c>
      <c r="AE12" s="11"/>
      <c r="AF12" s="11"/>
      <c r="AG12" s="4" t="str">
        <f>IF(_epmOfflineCondition_,"",_xll.EVPRO($B$1,AG$16,$N$12))</f>
        <v/>
      </c>
      <c r="AH12" s="11"/>
      <c r="AI12" s="11"/>
      <c r="AJ12" s="11"/>
      <c r="AK12" s="11"/>
      <c r="AL12" s="11"/>
      <c r="AM12" s="11"/>
      <c r="AN12" s="11"/>
      <c r="AO12" s="11"/>
    </row>
    <row r="13" spans="1:41" hidden="1" outlineLevel="1" x14ac:dyDescent="0.25">
      <c r="A13" s="11" t="s">
        <v>602</v>
      </c>
      <c r="B13" s="58" t="str">
        <f>IF(_epmOfflineCondition_,"2022",IF($D$10="FY",_xll.EVPRO($B$1,$D$10&amp;$B$12&amp;".TOTAL","Current"),_xll.EVPRO($B$1,$B$12&amp;".TOTAL","Current")))</f>
        <v>2022</v>
      </c>
      <c r="C13" s="11"/>
      <c r="D13" s="11"/>
      <c r="E13" s="11"/>
      <c r="F13" s="11"/>
      <c r="G13" s="11"/>
      <c r="H13" s="11"/>
      <c r="I13" s="59"/>
      <c r="J13" s="59"/>
      <c r="K13" s="11"/>
      <c r="L13" s="59"/>
      <c r="M13" s="59"/>
      <c r="N13" s="11" t="s">
        <v>598</v>
      </c>
      <c r="O13" s="5" t="str">
        <f>IF(_epmOfflineCondition_,"20220100",_xll.EVPRO($B$1,O16,"TIMEID"))</f>
        <v>20220100</v>
      </c>
      <c r="P13" s="5" t="str">
        <f>IF(_epmOfflineCondition_,"20220200",_xll.EVPRO($B$1,P16,"TIMEID"))</f>
        <v>20220200</v>
      </c>
      <c r="Q13" s="5" t="str">
        <f>IF(_epmOfflineCondition_,"20220300",_xll.EVPRO($B$1,Q16,"TIMEID"))</f>
        <v>20220300</v>
      </c>
      <c r="R13" s="5" t="str">
        <f>IF(_epmOfflineCondition_,"20220400",_xll.EVPRO($B$1,R16,"TIMEID"))</f>
        <v>20220400</v>
      </c>
      <c r="S13" s="5" t="str">
        <f>IF(_epmOfflineCondition_,"20220500",_xll.EVPRO($B$1,S16,"TIMEID"))</f>
        <v>20220500</v>
      </c>
      <c r="T13" s="5" t="str">
        <f>IF(_epmOfflineCondition_,"20220600",_xll.EVPRO($B$1,T16,"TIMEID"))</f>
        <v>20220600</v>
      </c>
      <c r="U13" s="5" t="str">
        <f>IF(_epmOfflineCondition_,"20220700",_xll.EVPRO($B$1,U16,"TIMEID"))</f>
        <v>20220700</v>
      </c>
      <c r="V13" s="5" t="str">
        <f>IF(_epmOfflineCondition_,"20220800",_xll.EVPRO($B$1,V16,"TIMEID"))</f>
        <v>20220800</v>
      </c>
      <c r="W13" s="5" t="str">
        <f>IF(_epmOfflineCondition_,"20220900",_xll.EVPRO($B$1,W16,"TIMEID"))</f>
        <v>20220900</v>
      </c>
      <c r="X13" s="5" t="str">
        <f>IF(_epmOfflineCondition_,"20221000",_xll.EVPRO($B$1,X16,"TIMEID"))</f>
        <v>20221000</v>
      </c>
      <c r="Y13" s="5" t="str">
        <f>IF(_epmOfflineCondition_,"20221100",_xll.EVPRO($B$1,Y16,"TIMEID"))</f>
        <v>20221100</v>
      </c>
      <c r="Z13" s="5" t="str">
        <f>IF(_epmOfflineCondition_,"20221200",_xll.EVPRO($B$1,Z16,"TIMEID"))</f>
        <v>20221200</v>
      </c>
      <c r="AA13" s="5" t="str">
        <f>IF(_epmOfflineCondition_,"10000176",_xll.EVPRO($B$1,AA16,"TIMEID"))</f>
        <v>10000176</v>
      </c>
      <c r="AB13" s="11"/>
      <c r="AC13" s="11"/>
      <c r="AD13" s="5" t="str">
        <f>IF(_epmOfflineCondition_,"10000176",_xll.EVPRO($B$1,AD16,"TIMEID"))</f>
        <v>10000176</v>
      </c>
      <c r="AE13" s="11"/>
      <c r="AF13" s="11"/>
      <c r="AG13" s="5" t="str">
        <f>IF(_epmOfflineCondition_,"10000171",_xll.EVPRO($B$1,AG16,"TIMEID"))</f>
        <v>10000171</v>
      </c>
      <c r="AH13" s="11"/>
      <c r="AI13" s="11"/>
      <c r="AJ13" s="11"/>
      <c r="AK13" s="11"/>
      <c r="AL13" s="11"/>
      <c r="AM13" s="11"/>
      <c r="AN13" s="11"/>
      <c r="AO13" s="11"/>
    </row>
    <row r="14" spans="1:41" hidden="1" outlineLevel="1" x14ac:dyDescent="0.25">
      <c r="A14" s="61" t="str">
        <f>IF(_epmOfflineCondition_,"Evdre:Ok",_xll.EVDRE($B$1,A17:B24,A27:B33))</f>
        <v>Evdre:Ok</v>
      </c>
      <c r="B14" s="11"/>
      <c r="C14" s="11"/>
      <c r="D14" s="11"/>
      <c r="E14" s="11"/>
      <c r="F14" s="11"/>
      <c r="G14" s="11"/>
      <c r="H14" s="11"/>
      <c r="I14" s="59"/>
      <c r="J14" s="59"/>
      <c r="K14" s="11"/>
      <c r="L14" s="59"/>
      <c r="M14" s="59"/>
      <c r="N14" s="11" t="s">
        <v>599</v>
      </c>
      <c r="O14" s="5" t="s">
        <v>603</v>
      </c>
      <c r="P14" s="5" t="s">
        <v>604</v>
      </c>
      <c r="Q14" s="5" t="s">
        <v>605</v>
      </c>
      <c r="R14" s="5" t="s">
        <v>606</v>
      </c>
      <c r="S14" s="5" t="s">
        <v>607</v>
      </c>
      <c r="T14" s="5" t="s">
        <v>608</v>
      </c>
      <c r="U14" s="5" t="s">
        <v>609</v>
      </c>
      <c r="V14" s="5" t="s">
        <v>610</v>
      </c>
      <c r="W14" s="5" t="s">
        <v>611</v>
      </c>
      <c r="X14" s="5" t="s">
        <v>612</v>
      </c>
      <c r="Y14" s="5" t="s">
        <v>613</v>
      </c>
      <c r="Z14" s="5" t="s">
        <v>614</v>
      </c>
      <c r="AA14" s="5" t="s">
        <v>116</v>
      </c>
      <c r="AB14" s="11"/>
      <c r="AC14" s="11"/>
      <c r="AD14" s="5" t="s">
        <v>116</v>
      </c>
      <c r="AE14" s="11"/>
      <c r="AF14" s="11"/>
      <c r="AG14" s="5" t="s">
        <v>116</v>
      </c>
      <c r="AH14" s="11"/>
      <c r="AI14" s="11"/>
      <c r="AJ14" s="11"/>
      <c r="AK14" s="11"/>
      <c r="AL14" s="11"/>
      <c r="AM14" s="11"/>
      <c r="AN14" s="11"/>
      <c r="AO14" s="11"/>
    </row>
    <row r="15" spans="1:41" hidden="1" outlineLevel="1" x14ac:dyDescent="0.25">
      <c r="A15" s="11"/>
      <c r="B15" s="11"/>
      <c r="C15" s="11"/>
      <c r="D15" s="11"/>
      <c r="E15" s="11"/>
      <c r="F15" s="11"/>
      <c r="G15" s="11"/>
      <c r="H15" s="11"/>
      <c r="I15" s="59"/>
      <c r="J15" s="59"/>
      <c r="K15" s="11"/>
      <c r="L15" s="59"/>
      <c r="M15" s="59"/>
      <c r="N15" s="11" t="s">
        <v>600</v>
      </c>
      <c r="O15" s="6" t="s">
        <v>615</v>
      </c>
      <c r="P15" s="6" t="s">
        <v>616</v>
      </c>
      <c r="Q15" s="7" t="s">
        <v>617</v>
      </c>
      <c r="R15" s="7" t="s">
        <v>618</v>
      </c>
      <c r="S15" s="7" t="s">
        <v>619</v>
      </c>
      <c r="T15" s="7" t="s">
        <v>620</v>
      </c>
      <c r="U15" s="7" t="s">
        <v>621</v>
      </c>
      <c r="V15" s="7" t="s">
        <v>622</v>
      </c>
      <c r="W15" s="7" t="s">
        <v>623</v>
      </c>
      <c r="X15" s="7" t="s">
        <v>624</v>
      </c>
      <c r="Y15" s="7" t="s">
        <v>625</v>
      </c>
      <c r="Z15" s="7" t="s">
        <v>626</v>
      </c>
      <c r="AA15" s="5" t="s">
        <v>116</v>
      </c>
      <c r="AB15" s="11"/>
      <c r="AC15" s="11"/>
      <c r="AD15" s="5" t="s">
        <v>116</v>
      </c>
      <c r="AE15" s="11"/>
      <c r="AF15" s="11"/>
      <c r="AG15" s="5" t="s">
        <v>116</v>
      </c>
      <c r="AH15" s="11"/>
      <c r="AI15" s="11"/>
      <c r="AJ15" s="11"/>
      <c r="AK15" s="11"/>
      <c r="AL15" s="11"/>
      <c r="AM15" s="11"/>
      <c r="AN15" s="11"/>
      <c r="AO15" s="11"/>
    </row>
    <row r="16" spans="1:41" hidden="1" outlineLevel="1" x14ac:dyDescent="0.25">
      <c r="A16" s="62" t="s">
        <v>0</v>
      </c>
      <c r="B16" s="63" t="s">
        <v>1</v>
      </c>
      <c r="C16" s="11"/>
      <c r="D16" s="11"/>
      <c r="E16" s="11"/>
      <c r="F16" s="11"/>
      <c r="G16" s="11"/>
      <c r="H16" s="11"/>
      <c r="I16" s="59"/>
      <c r="J16" s="59"/>
      <c r="K16" s="11"/>
      <c r="L16" s="59"/>
      <c r="M16" s="59"/>
      <c r="N16" s="11" t="s">
        <v>18</v>
      </c>
      <c r="O16" s="60" t="str">
        <f>IF(_epmOfflineCondition_,"2022.JAN",IF(SetUp!$O$1=TRUE,_xll.EVTIM($B$1,P16,-1),IF($D$10="FY",LEFT($B$10,6)&amp;"."&amp;O15,$B$12&amp;"."&amp;O14)))</f>
        <v>2022.JAN</v>
      </c>
      <c r="P16" s="60" t="str">
        <f>IF(_epmOfflineCondition_,"2022.FEB",IF(SetUp!$O$1=TRUE,_xll.EVTIM($B$1,Q16,-1),IF($D$10="FY",LEFT($B$10,6)&amp;"."&amp;P15,$B$12&amp;"."&amp;P14)))</f>
        <v>2022.FEB</v>
      </c>
      <c r="Q16" s="60" t="str">
        <f>IF(_epmOfflineCondition_,"2022.MAR",IF(SetUp!$O$1=TRUE,_xll.EVTIM($B$1,R16,-1),IF($D$10="FY",LEFT($B$10,6)&amp;"."&amp;Q15,$B$12&amp;"."&amp;Q14)))</f>
        <v>2022.MAR</v>
      </c>
      <c r="R16" s="60" t="str">
        <f>IF(_epmOfflineCondition_,"2022.APR",IF(SetUp!$O$1=TRUE,_xll.EVTIM($B$1,S16,-1),IF($D$10="FY",LEFT($B$10,6)&amp;"."&amp;R15,$B$12&amp;"."&amp;R14)))</f>
        <v>2022.APR</v>
      </c>
      <c r="S16" s="60" t="str">
        <f>IF(_epmOfflineCondition_,"2022.MAY",IF(SetUp!$O$1=TRUE,_xll.EVTIM($B$1,T16,-1),IF($D$10="FY",LEFT($B$10,6)&amp;"."&amp;S15,$B$12&amp;"."&amp;S14)))</f>
        <v>2022.MAY</v>
      </c>
      <c r="T16" s="60" t="str">
        <f>IF(_epmOfflineCondition_,"2022.JUN",IF(SetUp!$O$1=TRUE,_xll.EVTIM($B$1,U16,-1),IF($D$10="FY",LEFT($B$10,6)&amp;"."&amp;T15,$B$12&amp;"."&amp;T14)))</f>
        <v>2022.JUN</v>
      </c>
      <c r="U16" s="60" t="str">
        <f>IF(_epmOfflineCondition_,"2022.JUL",IF(SetUp!$O$1=TRUE,_xll.EVTIM($B$1,V16,-1),IF($D$10="FY",LEFT($B$10,6)&amp;"."&amp;U15,$B$12&amp;"."&amp;U14)))</f>
        <v>2022.JUL</v>
      </c>
      <c r="V16" s="60" t="str">
        <f>IF(_epmOfflineCondition_,"2022.AUG",IF(SetUp!$O$1=TRUE,_xll.EVTIM($B$1,W16,-1),IF($D$10="FY",LEFT($B$10,6)&amp;"."&amp;V15,$B$12&amp;"."&amp;V14)))</f>
        <v>2022.AUG</v>
      </c>
      <c r="W16" s="60" t="str">
        <f>IF(_epmOfflineCondition_,"2022.SEP",IF(SetUp!$O$1=TRUE,_xll.EVTIM($B$1,X16,-1),IF($D$10="FY",LEFT($B$10,6)&amp;"."&amp;W15,$B$12&amp;"."&amp;W14)))</f>
        <v>2022.SEP</v>
      </c>
      <c r="X16" s="60" t="str">
        <f>IF(_epmOfflineCondition_,"2022.OCT",IF(SetUp!$O$1=TRUE,_xll.EVTIM($B$1,Y16,-1),IF($D$10="FY",LEFT($B$10,6)&amp;"."&amp;X15,$B$12&amp;"."&amp;X14)))</f>
        <v>2022.OCT</v>
      </c>
      <c r="Y16" s="60" t="str">
        <f>IF(_epmOfflineCondition_,"2022.NOV",IF(SetUp!$O$1=TRUE,_xll.EVTIM($B$1,Z16,-1),IF($D$10="FY",LEFT($B$10,6)&amp;"."&amp;Y15,$B$12&amp;"."&amp;Y14)))</f>
        <v>2022.NOV</v>
      </c>
      <c r="Z16" s="60" t="str">
        <f>IF(SetUp!$O$1=TRUE,SetUp!$Q$6,IF($D$10="FY",LEFT($B$10,6)&amp;"."&amp;Z15,$B$12&amp;"."&amp;Z14))</f>
        <v>2022.DEC</v>
      </c>
      <c r="AA16" s="60" t="str">
        <f>IF($D$10="FY",LEFT($B$10,6)&amp;"."&amp;AA15,$B$12&amp;"."&amp;AA14)</f>
        <v>2022.TOTAL</v>
      </c>
      <c r="AB16" s="64"/>
      <c r="AC16" s="64"/>
      <c r="AD16" s="60" t="str">
        <f>IF(SetUp!$O$1=TRUE,SetUp!$Q$6,SetUp!$G$7)</f>
        <v>2022.TOTAL</v>
      </c>
      <c r="AE16" s="64"/>
      <c r="AF16" s="64"/>
      <c r="AG16" s="60" t="str">
        <f>IF(_epmOfflineCondition_,"2021.TOTAL",IF(SetUp!$O$1=TRUE,_xll.EVTIM($B$1,AD16,-1,"YEAR"),SetUp!$J$7))</f>
        <v>2021.TOTAL</v>
      </c>
      <c r="AH16" s="64"/>
      <c r="AI16" s="64"/>
      <c r="AJ16" s="11"/>
      <c r="AK16" s="11"/>
      <c r="AL16" s="11"/>
      <c r="AM16" s="11"/>
      <c r="AN16" s="11"/>
      <c r="AO16" s="11"/>
    </row>
    <row r="17" spans="1:41" hidden="1" outlineLevel="1" x14ac:dyDescent="0.25">
      <c r="A17" s="65" t="s">
        <v>2</v>
      </c>
      <c r="B17" s="66" t="str">
        <f>IF(_epmOfflineCondition_,"'PR_Related'!$B$2:$B$10",_xll.EVRNG($B$2:$B$10))</f>
        <v>'PR_Related'!$B$2:$B$10</v>
      </c>
      <c r="C17" s="11"/>
      <c r="D17" s="11"/>
      <c r="E17" s="11"/>
      <c r="F17" s="11"/>
      <c r="G17" s="11"/>
      <c r="H17" s="11"/>
      <c r="I17" s="59"/>
      <c r="J17" s="59"/>
      <c r="K17" s="11"/>
      <c r="L17" s="59"/>
      <c r="M17" s="59"/>
      <c r="N17" s="11" t="s">
        <v>19</v>
      </c>
      <c r="O17" s="60" t="str">
        <f>IF(_epmOfflineCondition_,"ACTUAL_CON",IF($M$11="Y",O11,IF(O13&lt;$E$4,_xll.EVPRO($B$1,$B$4,"COMPARISON"),$B$4)))</f>
        <v>ACTUAL_CON</v>
      </c>
      <c r="P17" s="60" t="str">
        <f>IF(_epmOfflineCondition_,"ACTUAL_CON",IF($M$11="Y",P11,IF(P13&lt;$E$4,_xll.EVPRO($B$1,$B$4,"COMPARISON"),$B$4)))</f>
        <v>ACTUAL_CON</v>
      </c>
      <c r="Q17" s="60" t="str">
        <f>IF(_epmOfflineCondition_,"ACTUAL_CON",IF($M$11="Y",Q11,IF(Q13&lt;$E$4,_xll.EVPRO($B$1,$B$4,"COMPARISON"),$B$4)))</f>
        <v>ACTUAL_CON</v>
      </c>
      <c r="R17" s="60" t="str">
        <f>IF(_epmOfflineCondition_,"ACTUAL_CON",IF($M$11="Y",R11,IF(R13&lt;$E$4,_xll.EVPRO($B$1,$B$4,"COMPARISON"),$B$4)))</f>
        <v>ACTUAL_CON</v>
      </c>
      <c r="S17" s="60" t="str">
        <f>IF(_epmOfflineCondition_,"ACTUAL_CON",IF($M$11="Y",S11,IF(S13&lt;$E$4,_xll.EVPRO($B$1,$B$4,"COMPARISON"),$B$4)))</f>
        <v>ACTUAL_CON</v>
      </c>
      <c r="T17" s="60" t="str">
        <f>IF(_epmOfflineCondition_,"ACTUAL_CON",IF($M$11="Y",T11,IF(T13&lt;$E$4,_xll.EVPRO($B$1,$B$4,"COMPARISON"),$B$4)))</f>
        <v>ACTUAL_CON</v>
      </c>
      <c r="U17" s="60" t="str">
        <f>IF(_epmOfflineCondition_,"ACTUAL_CON",IF($M$11="Y",U11,IF(U13&lt;$E$4,_xll.EVPRO($B$1,$B$4,"COMPARISON"),$B$4)))</f>
        <v>ACTUAL_CON</v>
      </c>
      <c r="V17" s="60" t="str">
        <f>IF(_epmOfflineCondition_,"ACTUAL_CON",IF($M$11="Y",V11,IF(V13&lt;$E$4,_xll.EVPRO($B$1,$B$4,"COMPARISON"),$B$4)))</f>
        <v>ACTUAL_CON</v>
      </c>
      <c r="W17" s="60" t="str">
        <f>IF(_epmOfflineCondition_,"ACTUAL_CON",IF($M$11="Y",W11,IF(W13&lt;$E$4,_xll.EVPRO($B$1,$B$4,"COMPARISON"),$B$4)))</f>
        <v>ACTUAL_CON</v>
      </c>
      <c r="X17" s="60" t="str">
        <f>IF(_epmOfflineCondition_,"ACTUAL_CON",IF($M$11="Y",X11,IF(X13&lt;$E$4,_xll.EVPRO($B$1,$B$4,"COMPARISON"),$B$4)))</f>
        <v>ACTUAL_CON</v>
      </c>
      <c r="Y17" s="60" t="str">
        <f>IF(_epmOfflineCondition_,"ACTUAL_CON",IF($M$11="Y",Y11,IF(Y13&lt;$E$4,_xll.EVPRO($B$1,$B$4,"COMPARISON"),$B$4)))</f>
        <v>ACTUAL_CON</v>
      </c>
      <c r="Z17" s="60" t="str">
        <f>IF(_epmOfflineCondition_,"ACTUAL_CON",IF($M$11="Y",Z11,IF(Z13&lt;$E$4,_xll.EVPRO($B$1,$B$4,"COMPARISON"),$B$4)))</f>
        <v>ACTUAL_CON</v>
      </c>
      <c r="AA17" s="60"/>
      <c r="AB17" s="64"/>
      <c r="AC17" s="64"/>
      <c r="AD17" s="60" t="str">
        <f>SetUp!$G$6</f>
        <v>BUDGET</v>
      </c>
      <c r="AE17" s="64"/>
      <c r="AF17" s="64"/>
      <c r="AG17" s="60" t="str">
        <f>SetUp!$J$6</f>
        <v>ACTUAL_CON</v>
      </c>
      <c r="AH17" s="64"/>
      <c r="AI17" s="64"/>
      <c r="AJ17" s="11"/>
      <c r="AK17" s="11"/>
      <c r="AL17" s="11"/>
      <c r="AM17" s="11"/>
      <c r="AN17" s="11"/>
      <c r="AO17" s="11"/>
    </row>
    <row r="18" spans="1:41" hidden="1" outlineLevel="1" x14ac:dyDescent="0.25">
      <c r="A18" s="65" t="s">
        <v>3</v>
      </c>
      <c r="B18" s="66" t="str">
        <f>IF(_epmOfflineCondition_,"'PR_Related'!$O$16:$AN$18",_xll.EVRNG($O$16:$AN$18))</f>
        <v>'PR_Related'!$O$16:$AN$18</v>
      </c>
      <c r="C18" s="11"/>
      <c r="D18" s="11"/>
      <c r="E18" s="11"/>
      <c r="F18" s="11"/>
      <c r="G18" s="11"/>
      <c r="H18" s="11"/>
      <c r="I18" s="59"/>
      <c r="J18" s="59"/>
      <c r="K18" s="11"/>
      <c r="L18" s="59"/>
      <c r="M18" s="59"/>
      <c r="N18" s="11" t="s">
        <v>601</v>
      </c>
      <c r="O18" s="64" t="s">
        <v>55</v>
      </c>
      <c r="P18" s="64" t="s">
        <v>55</v>
      </c>
      <c r="Q18" s="64" t="s">
        <v>55</v>
      </c>
      <c r="R18" s="64" t="s">
        <v>55</v>
      </c>
      <c r="S18" s="64" t="s">
        <v>55</v>
      </c>
      <c r="T18" s="64" t="s">
        <v>55</v>
      </c>
      <c r="U18" s="64" t="s">
        <v>55</v>
      </c>
      <c r="V18" s="64" t="s">
        <v>55</v>
      </c>
      <c r="W18" s="64" t="s">
        <v>55</v>
      </c>
      <c r="X18" s="64" t="s">
        <v>55</v>
      </c>
      <c r="Y18" s="64" t="s">
        <v>55</v>
      </c>
      <c r="Z18" s="64" t="s">
        <v>55</v>
      </c>
      <c r="AA18" s="64"/>
      <c r="AB18" s="64"/>
      <c r="AC18" s="64"/>
      <c r="AD18" s="60" t="str">
        <f>IF(SetUp!$O$1=TRUE,"TRAILING12",IF(AD17="CURRENT","ROLLINGFORECAST","PERIODIC"))</f>
        <v>PERIODIC</v>
      </c>
      <c r="AE18" s="64"/>
      <c r="AF18" s="64"/>
      <c r="AG18" s="60" t="str">
        <f>IF(SetUp!$O$1=TRUE,"TRAILING12",IF(AG17="CURRENT","ROLLINGFORECAST","PERIODIC"))</f>
        <v>PERIODIC</v>
      </c>
      <c r="AH18" s="64"/>
      <c r="AI18" s="64"/>
      <c r="AJ18" s="11"/>
      <c r="AK18" s="11"/>
      <c r="AL18" s="11"/>
      <c r="AM18" s="11"/>
      <c r="AN18" s="11"/>
      <c r="AO18" s="11"/>
    </row>
    <row r="19" spans="1:41" hidden="1" outlineLevel="1" x14ac:dyDescent="0.25">
      <c r="A19" s="65" t="s">
        <v>4</v>
      </c>
      <c r="B19" s="66" t="str">
        <f>IF(_epmOfflineCondition_,"'PR_Related'!$H$35:$H$39,'PR_Related'!$H$42:$H$48,'PR_Related'!$H$51:$H$61,'PR_Related'!$H$63:$H$64",_xll.EVRNG(H35:H39,H42:H48,H51:H61,H63:H64))</f>
        <v>'PR_Related'!$H$35:$H$39,'PR_Related'!$H$42:$H$48,'PR_Related'!$H$51:$H$61,'PR_Related'!$H$63:$H$64</v>
      </c>
      <c r="C19" s="11"/>
      <c r="D19" s="11"/>
      <c r="E19" s="11"/>
      <c r="F19" s="11"/>
      <c r="G19" s="67" t="s">
        <v>499</v>
      </c>
      <c r="H19" s="67">
        <v>400000</v>
      </c>
      <c r="I19" s="68"/>
      <c r="J19" s="68"/>
      <c r="K19" s="67"/>
      <c r="L19" s="68"/>
      <c r="M19" s="68"/>
      <c r="N19" s="67" t="str">
        <f>IF(_epmOfflineCondition_,"Total Revenue",_xll.EVDES(H19))</f>
        <v>Total Revenue</v>
      </c>
      <c r="O19" s="69">
        <f>IF(_epmOfflineCondition_,1290629.08,_xll.EVGTS($B$1,1,$B$3,$B$5,$B$7,$B$9,O$16,O$17,O$18,$G$19,$H$19))</f>
        <v>1290629.08</v>
      </c>
      <c r="P19" s="69">
        <f>IF(_epmOfflineCondition_,1640785.98,_xll.EVGTS($B$1,1,$B$3,$B$5,$B$7,$B$9,P$16,P$17,P$18,$G$19,$H$19))</f>
        <v>1640785.98</v>
      </c>
      <c r="Q19" s="69">
        <f>IF(_epmOfflineCondition_,1688344.85,_xll.EVGTS($B$1,1,$B$3,$B$5,$B$7,$B$9,Q$16,Q$17,Q$18,$G$19,$H$19))</f>
        <v>1688344.85</v>
      </c>
      <c r="R19" s="69">
        <f>IF(_epmOfflineCondition_,1639654.71,_xll.EVGTS($B$1,1,$B$3,$B$5,$B$7,$B$9,R$16,R$17,R$18,$G$19,$H$19))</f>
        <v>1639654.71</v>
      </c>
      <c r="S19" s="69">
        <f>IF(_epmOfflineCondition_,1462578.64,_xll.EVGTS($B$1,1,$B$3,$B$5,$B$7,$B$9,S$16,S$17,S$18,$G$19,$H$19))</f>
        <v>1462578.64</v>
      </c>
      <c r="T19" s="69">
        <f>IF(_epmOfflineCondition_,928601,_xll.EVGTS($B$1,1,$B$3,$B$5,$B$7,$B$9,T$16,T$17,T$18,$G$19,$H$19))</f>
        <v>928601</v>
      </c>
      <c r="U19" s="69">
        <f>IF(_epmOfflineCondition_,1089871.96,_xll.EVGTS($B$1,1,$B$3,$B$5,$B$7,$B$9,U$16,U$17,U$18,$G$19,$H$19))</f>
        <v>1089871.96</v>
      </c>
      <c r="V19" s="69">
        <f>IF(_epmOfflineCondition_,855762.92,_xll.EVGTS($B$1,1,$B$3,$B$5,$B$7,$B$9,V$16,V$17,V$18,$G$19,$H$19))</f>
        <v>855762.92</v>
      </c>
      <c r="W19" s="69">
        <f>IF(_epmOfflineCondition_,680607.2,_xll.EVGTS($B$1,1,$B$3,$B$5,$B$7,$B$9,W$16,W$17,W$18,$G$19,$H$19))</f>
        <v>680607.2</v>
      </c>
      <c r="X19" s="69">
        <f>IF(_epmOfflineCondition_,856828.92,_xll.EVGTS($B$1,1,$B$3,$B$5,$B$7,$B$9,X$16,X$17,X$18,$G$19,$H$19))</f>
        <v>856828.92</v>
      </c>
      <c r="Y19" s="69">
        <f>IF(_epmOfflineCondition_,1188235.35,_xll.EVGTS($B$1,1,$B$3,$B$5,$B$7,$B$9,Y$16,Y$17,Y$18,$G$19,$H$19))</f>
        <v>1188235.3500000001</v>
      </c>
      <c r="Z19" s="69">
        <f>IF(_epmOfflineCondition_,1410838.6,_xll.EVGTS($B$1,1,$B$3,$B$5,$B$7,$B$9,Z$16,Z$17,Z$18,$G$19,$H$19))</f>
        <v>1410838.6</v>
      </c>
      <c r="AA19" s="69">
        <f>SUM(O19:Z19)</f>
        <v>14732739.209999997</v>
      </c>
      <c r="AB19" s="67"/>
      <c r="AC19" s="67"/>
      <c r="AD19" s="69">
        <f>IF(_epmOfflineCondition_,14625381.3140649,_xll.EVGTS($B$1,1,$B$3,$B$5,$B$7,$B$9,AD$16,AD$17,AD$18,$G$19,$H$19))</f>
        <v>14625381.314064899</v>
      </c>
      <c r="AE19" s="67"/>
      <c r="AF19" s="67"/>
      <c r="AG19" s="69">
        <f>IF(_epmOfflineCondition_,11906524.42,_xll.EVGTS($B$1,1,$B$3,$B$5,$B$7,$B$9,AG$16,AG$17,AG$18,$G$19,$H$19))</f>
        <v>11906524.42</v>
      </c>
      <c r="AH19" s="67"/>
      <c r="AI19" s="67"/>
      <c r="AJ19" s="11"/>
      <c r="AK19" s="11"/>
      <c r="AL19" s="11"/>
      <c r="AM19" s="11"/>
      <c r="AN19" s="11"/>
      <c r="AO19" s="11"/>
    </row>
    <row r="20" spans="1:41" hidden="1" outlineLevel="1" x14ac:dyDescent="0.25">
      <c r="A20" s="65" t="s">
        <v>5</v>
      </c>
      <c r="B20" s="66"/>
      <c r="C20" s="11"/>
      <c r="D20" s="11"/>
      <c r="E20" s="11"/>
      <c r="F20" s="11"/>
      <c r="G20" s="67" t="s">
        <v>749</v>
      </c>
      <c r="H20" s="67">
        <v>904100</v>
      </c>
      <c r="I20" s="68"/>
      <c r="J20" s="68"/>
      <c r="K20" s="67"/>
      <c r="L20" s="68"/>
      <c r="M20" s="68"/>
      <c r="N20" s="67" t="str">
        <f>IF(_epmOfflineCondition_,"Available rooms",_xll.EVDES(H20))</f>
        <v>Available rooms</v>
      </c>
      <c r="O20" s="69">
        <f>IF(_epmOfflineCondition_,4092,_xll.EVGTS($B$1,1,$B$3,$B$5,$B$7,$B$9,O$16,O$17,O$18,$G$20,$H$20))</f>
        <v>4092</v>
      </c>
      <c r="P20" s="69">
        <f>IF(_epmOfflineCondition_,3696,_xll.EVGTS($B$1,1,$B$3,$B$5,$B$7,$B$9,P$16,P$17,P$18,$G$20,$H$20))</f>
        <v>3696</v>
      </c>
      <c r="Q20" s="69">
        <f>IF(_epmOfflineCondition_,4092,_xll.EVGTS($B$1,1,$B$3,$B$5,$B$7,$B$9,Q$16,Q$17,Q$18,$G$20,$H$20))</f>
        <v>4092</v>
      </c>
      <c r="R20" s="69">
        <f>IF(_epmOfflineCondition_,3960,_xll.EVGTS($B$1,1,$B$3,$B$5,$B$7,$B$9,R$16,R$17,R$18,$G$20,$H$20))</f>
        <v>3960</v>
      </c>
      <c r="S20" s="69">
        <f>IF(_epmOfflineCondition_,4092,_xll.EVGTS($B$1,1,$B$3,$B$5,$B$7,$B$9,S$16,S$17,S$18,$G$20,$H$20))</f>
        <v>4092</v>
      </c>
      <c r="T20" s="69">
        <f>IF(_epmOfflineCondition_,3960,_xll.EVGTS($B$1,1,$B$3,$B$5,$B$7,$B$9,T$16,T$17,T$18,$G$20,$H$20))</f>
        <v>3960</v>
      </c>
      <c r="U20" s="69">
        <f>IF(_epmOfflineCondition_,4092,_xll.EVGTS($B$1,1,$B$3,$B$5,$B$7,$B$9,U$16,U$17,U$18,$G$20,$H$20))</f>
        <v>4092</v>
      </c>
      <c r="V20" s="69">
        <f>IF(_epmOfflineCondition_,4092,_xll.EVGTS($B$1,1,$B$3,$B$5,$B$7,$B$9,V$16,V$17,V$18,$G$20,$H$20))</f>
        <v>4092</v>
      </c>
      <c r="W20" s="69">
        <f>IF(_epmOfflineCondition_,3960,_xll.EVGTS($B$1,1,$B$3,$B$5,$B$7,$B$9,W$16,W$17,W$18,$G$20,$H$20))</f>
        <v>3960</v>
      </c>
      <c r="X20" s="69">
        <f>IF(_epmOfflineCondition_,4092,_xll.EVGTS($B$1,1,$B$3,$B$5,$B$7,$B$9,X$16,X$17,X$18,$G$20,$H$20))</f>
        <v>4092</v>
      </c>
      <c r="Y20" s="69">
        <f>IF(_epmOfflineCondition_,3960,_xll.EVGTS($B$1,1,$B$3,$B$5,$B$7,$B$9,Y$16,Y$17,Y$18,$G$20,$H$20))</f>
        <v>3960</v>
      </c>
      <c r="Z20" s="69">
        <f>IF(_epmOfflineCondition_,4092,_xll.EVGTS($B$1,1,$B$3,$B$5,$B$7,$B$9,Z$16,Z$17,Z$18,$G$20,$H$20))</f>
        <v>4092</v>
      </c>
      <c r="AA20" s="69">
        <f>SUM(O20:Z20)</f>
        <v>48180</v>
      </c>
      <c r="AB20" s="67"/>
      <c r="AC20" s="67"/>
      <c r="AD20" s="69">
        <f>IF(_epmOfflineCondition_,48180,_xll.EVGTS($B$1,1,$B$3,$B$5,$B$7,$B$9,AD$16,AD$17,AD$18,$G$20,$H$20))</f>
        <v>48180</v>
      </c>
      <c r="AE20" s="67"/>
      <c r="AF20" s="67"/>
      <c r="AG20" s="69">
        <f>IF(_epmOfflineCondition_,48180,_xll.EVGTS($B$1,1,$B$3,$B$5,$B$7,$B$9,AG$16,AG$17,AG$18,$G$20,$H$20))</f>
        <v>48180</v>
      </c>
      <c r="AH20" s="67"/>
      <c r="AI20" s="67"/>
      <c r="AJ20" s="11"/>
      <c r="AK20" s="11"/>
      <c r="AL20" s="11"/>
      <c r="AM20" s="11"/>
      <c r="AN20" s="11"/>
      <c r="AO20" s="11"/>
    </row>
    <row r="21" spans="1:41" hidden="1" outlineLevel="1" x14ac:dyDescent="0.25">
      <c r="A21" s="65" t="s">
        <v>6</v>
      </c>
      <c r="B21" s="66"/>
      <c r="C21" s="11"/>
      <c r="D21" s="11"/>
      <c r="E21" s="11"/>
      <c r="F21" s="11"/>
      <c r="G21" s="11"/>
      <c r="H21" s="11"/>
      <c r="I21" s="59"/>
      <c r="J21" s="59"/>
      <c r="K21" s="11"/>
      <c r="L21" s="59"/>
      <c r="M21" s="5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row>
    <row r="22" spans="1:41" hidden="1" outlineLevel="1" x14ac:dyDescent="0.25">
      <c r="A22" s="65" t="s">
        <v>7</v>
      </c>
      <c r="B22" s="66" t="str">
        <f>IF(_epmOfflineCondition_,"'PR_Related'!$A$36:$F$40",_xll.EVRNG(A36:F40))</f>
        <v>'PR_Related'!$A$36:$F$40</v>
      </c>
      <c r="C22" s="11"/>
      <c r="D22" s="11"/>
      <c r="E22" s="11"/>
      <c r="F22" s="11"/>
      <c r="G22" s="11"/>
      <c r="H22" s="11"/>
      <c r="I22" s="59"/>
      <c r="J22" s="59"/>
      <c r="K22" s="11"/>
      <c r="L22" s="59"/>
      <c r="M22" s="59"/>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row>
    <row r="23" spans="1:41" hidden="1" outlineLevel="1" x14ac:dyDescent="0.25">
      <c r="A23" s="65" t="s">
        <v>47</v>
      </c>
      <c r="B23" s="66" t="str">
        <f>IF(_epmOfflineCondition_,"'PR_Related'!$A$44:$B$65",_xll.EVRNG($A$44:$B$65))</f>
        <v>'PR_Related'!$A$44:$B$65</v>
      </c>
      <c r="C23" s="11"/>
      <c r="D23" s="11"/>
      <c r="E23" s="11"/>
      <c r="F23" s="11"/>
      <c r="G23" s="11"/>
      <c r="H23" s="11"/>
      <c r="I23" s="59"/>
      <c r="J23" s="59"/>
      <c r="K23" s="6"/>
      <c r="L23" s="59"/>
      <c r="M23" s="59"/>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row>
    <row r="24" spans="1:41" hidden="1" outlineLevel="1" x14ac:dyDescent="0.25">
      <c r="A24" s="65" t="s">
        <v>8</v>
      </c>
      <c r="B24" s="66"/>
      <c r="C24" s="11"/>
      <c r="D24" s="11"/>
      <c r="E24" s="11"/>
      <c r="F24" s="11"/>
      <c r="G24" s="11"/>
      <c r="H24" s="11"/>
      <c r="I24" s="59"/>
      <c r="J24" s="59"/>
      <c r="K24" s="11"/>
      <c r="L24" s="59"/>
      <c r="M24" s="59"/>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row>
    <row r="25" spans="1:41" collapsed="1" x14ac:dyDescent="0.25">
      <c r="A25" s="11"/>
      <c r="B25" s="11"/>
      <c r="C25" s="11"/>
      <c r="D25" s="11"/>
      <c r="E25" s="11"/>
      <c r="F25" s="11"/>
      <c r="G25" s="11"/>
      <c r="H25" s="11"/>
      <c r="I25" s="59"/>
      <c r="J25" s="59"/>
      <c r="K25" s="11"/>
      <c r="L25" s="59"/>
      <c r="M25" s="59"/>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row>
    <row r="26" spans="1:41" ht="22.5" x14ac:dyDescent="0.3">
      <c r="A26" s="62" t="s">
        <v>9</v>
      </c>
      <c r="B26" s="63" t="s">
        <v>10</v>
      </c>
      <c r="C26" s="11"/>
      <c r="D26" s="11"/>
      <c r="E26" s="11"/>
      <c r="F26" s="11"/>
      <c r="G26" s="11"/>
      <c r="H26" s="11"/>
      <c r="I26" s="59"/>
      <c r="J26" s="59"/>
      <c r="K26" s="11"/>
      <c r="L26" s="59"/>
      <c r="M26" s="59"/>
      <c r="N26" s="70" t="str">
        <f>IF(_epmOfflineCondition_,"Anglers Boutique Resorts LLC",IF(_xll.EVDES(B3,$B$1)="#NODATA","",_xll.EVDES(B3,$B$1)))</f>
        <v>Anglers Boutique Resorts LLC</v>
      </c>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row>
    <row r="27" spans="1:41" ht="18" x14ac:dyDescent="0.25">
      <c r="A27" s="65" t="s">
        <v>11</v>
      </c>
      <c r="B27" s="66" t="s">
        <v>21</v>
      </c>
      <c r="C27" s="11"/>
      <c r="D27" s="11"/>
      <c r="E27" s="11"/>
      <c r="F27" s="11"/>
      <c r="G27" s="11"/>
      <c r="H27" s="11"/>
      <c r="I27" s="59"/>
      <c r="J27" s="59"/>
      <c r="K27" s="11"/>
      <c r="L27" s="59"/>
      <c r="M27" s="59"/>
      <c r="N27" s="71" t="str">
        <f>IF(_epmOfflineCondition_,"Consolidated Hotel &amp; F&amp;B Departments",IF(_xll.EVDES(B6,$B$1)="#NODATA","",_xll.EVDES(B6,$B$1)))</f>
        <v>Consolidated Hotel &amp; F&amp;B Departments</v>
      </c>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row>
    <row r="28" spans="1:41" ht="15.75" x14ac:dyDescent="0.25">
      <c r="A28" s="65" t="s">
        <v>12</v>
      </c>
      <c r="B28" s="66" t="s">
        <v>22</v>
      </c>
      <c r="C28" s="11"/>
      <c r="D28" s="11"/>
      <c r="E28" s="11"/>
      <c r="F28" s="11"/>
      <c r="G28" s="11"/>
      <c r="H28" s="11"/>
      <c r="I28" s="59"/>
      <c r="J28" s="59"/>
      <c r="K28" s="11"/>
      <c r="L28" s="59"/>
      <c r="M28" s="59"/>
      <c r="N28" s="72" t="str">
        <f>IF(_epmOfflineCondition_,"For the Period ended 2022 TOTAL","For the Period ended"&amp;" "&amp;IF(_xll.EVDES($B$10,$B$1)="#NODATA","",_xll.EVDES($B$10,$B$1)))</f>
        <v>For the Period ended 2022 TOTAL</v>
      </c>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row>
    <row r="29" spans="1:41" ht="15" customHeight="1" x14ac:dyDescent="0.25">
      <c r="A29" s="65" t="s">
        <v>13</v>
      </c>
      <c r="B29" s="66" t="s">
        <v>741</v>
      </c>
      <c r="C29" s="11"/>
      <c r="D29" s="11"/>
      <c r="E29" s="11"/>
      <c r="F29" s="11"/>
      <c r="G29" s="11"/>
      <c r="H29" s="11"/>
      <c r="I29" s="59"/>
      <c r="J29" s="59"/>
      <c r="K29" s="11"/>
      <c r="L29" s="59"/>
      <c r="M29" s="59"/>
      <c r="N29" s="72" t="str">
        <f>IF(_epmOfflineCondition_,"Local Currency",_xll.EVDES(B9,B1))</f>
        <v>Local Currency</v>
      </c>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row>
    <row r="30" spans="1:41" x14ac:dyDescent="0.25">
      <c r="A30" s="65" t="s">
        <v>14</v>
      </c>
      <c r="B30" s="66"/>
      <c r="C30" s="11"/>
      <c r="D30" s="11"/>
      <c r="E30" s="11"/>
      <c r="F30" s="11"/>
      <c r="G30" s="11"/>
      <c r="H30" s="11"/>
      <c r="I30" s="59"/>
      <c r="J30" s="59"/>
      <c r="K30" s="11"/>
      <c r="L30" s="59"/>
      <c r="M30" s="59"/>
      <c r="N30" s="11"/>
      <c r="O30" s="73"/>
      <c r="P30" s="74"/>
      <c r="Q30" s="74"/>
      <c r="R30" s="74"/>
      <c r="S30" s="74"/>
      <c r="T30" s="74"/>
      <c r="U30" s="74"/>
      <c r="V30" s="74"/>
      <c r="W30" s="74"/>
      <c r="X30" s="74"/>
      <c r="Y30" s="74"/>
      <c r="Z30" s="74"/>
      <c r="AA30" s="74"/>
      <c r="AB30" s="75"/>
      <c r="AC30" s="11"/>
      <c r="AD30" s="74"/>
      <c r="AE30" s="74"/>
      <c r="AF30" s="74"/>
      <c r="AG30" s="74"/>
      <c r="AH30" s="74"/>
      <c r="AI30" s="74"/>
      <c r="AJ30" s="73" t="s">
        <v>752</v>
      </c>
      <c r="AK30" s="74"/>
      <c r="AL30" s="75"/>
      <c r="AM30" s="74" t="s">
        <v>750</v>
      </c>
      <c r="AN30" s="74"/>
      <c r="AO30" s="11"/>
    </row>
    <row r="31" spans="1:41" x14ac:dyDescent="0.25">
      <c r="A31" s="65" t="s">
        <v>15</v>
      </c>
      <c r="B31" s="66"/>
      <c r="C31" s="11"/>
      <c r="D31" s="11"/>
      <c r="E31" s="11"/>
      <c r="F31" s="11"/>
      <c r="G31" s="76"/>
      <c r="H31" s="11"/>
      <c r="I31" s="59"/>
      <c r="J31" s="59"/>
      <c r="K31" s="177"/>
      <c r="L31" s="59"/>
      <c r="M31" s="59"/>
      <c r="N31" s="11"/>
      <c r="O31" s="77" t="str">
        <f>IF(_epmOfflineCondition_,"JAN",IF($D$10="FY",_xll.EVPRO($B$1,O$16,"PERIOD")&amp;" "&amp;LEFT(O$13,4),_xll.EVPRO($B$1,O$16,"PERIOD")))</f>
        <v>JAN</v>
      </c>
      <c r="P31" s="77" t="str">
        <f>IF(_epmOfflineCondition_,"FEB",IF($D$10="FY",_xll.EVPRO($B$1,P$16,"PERIOD")&amp;" "&amp;LEFT(P$13,4),_xll.EVPRO($B$1,P$16,"PERIOD")))</f>
        <v>FEB</v>
      </c>
      <c r="Q31" s="77" t="str">
        <f>IF(_epmOfflineCondition_,"MAR",IF($D$10="FY",_xll.EVPRO($B$1,Q$16,"PERIOD")&amp;" "&amp;LEFT(Q$13,4),_xll.EVPRO($B$1,Q$16,"PERIOD")))</f>
        <v>MAR</v>
      </c>
      <c r="R31" s="77" t="str">
        <f>IF(_epmOfflineCondition_,"APR",IF($D$10="FY",_xll.EVPRO($B$1,R$16,"PERIOD")&amp;" "&amp;LEFT(R$13,4),_xll.EVPRO($B$1,R$16,"PERIOD")))</f>
        <v>APR</v>
      </c>
      <c r="S31" s="77" t="str">
        <f>IF(_epmOfflineCondition_,"MAY",IF($D$10="FY",_xll.EVPRO($B$1,S$16,"PERIOD")&amp;" "&amp;LEFT(S$13,4),_xll.EVPRO($B$1,S$16,"PERIOD")))</f>
        <v>MAY</v>
      </c>
      <c r="T31" s="77" t="str">
        <f>IF(_epmOfflineCondition_,"JUN",IF($D$10="FY",_xll.EVPRO($B$1,T$16,"PERIOD")&amp;" "&amp;LEFT(T$13,4),_xll.EVPRO($B$1,T$16,"PERIOD")))</f>
        <v>JUN</v>
      </c>
      <c r="U31" s="77" t="str">
        <f>IF(_epmOfflineCondition_,"JUL",IF($D$10="FY",_xll.EVPRO($B$1,U$16,"PERIOD")&amp;" "&amp;LEFT(U$13,4),_xll.EVPRO($B$1,U$16,"PERIOD")))</f>
        <v>JUL</v>
      </c>
      <c r="V31" s="77" t="str">
        <f>IF(_epmOfflineCondition_,"AUG",IF($D$10="FY",_xll.EVPRO($B$1,V$16,"PERIOD")&amp;" "&amp;LEFT(V$13,4),_xll.EVPRO($B$1,V$16,"PERIOD")))</f>
        <v>AUG</v>
      </c>
      <c r="W31" s="77" t="str">
        <f>IF(_epmOfflineCondition_,"SEP",IF($D$10="FY",_xll.EVPRO($B$1,W$16,"PERIOD")&amp;" "&amp;LEFT(W$13,4),_xll.EVPRO($B$1,W$16,"PERIOD")))</f>
        <v>SEP</v>
      </c>
      <c r="X31" s="77" t="str">
        <f>IF(_epmOfflineCondition_,"OCT",IF($D$10="FY",_xll.EVPRO($B$1,X$16,"PERIOD")&amp;" "&amp;LEFT(X$13,4),_xll.EVPRO($B$1,X$16,"PERIOD")))</f>
        <v>OCT</v>
      </c>
      <c r="Y31" s="77" t="str">
        <f>IF(_epmOfflineCondition_,"NOV",IF($D$10="FY",_xll.EVPRO($B$1,Y$16,"PERIOD")&amp;" "&amp;LEFT(Y$13,4),_xll.EVPRO($B$1,Y$16,"PERIOD")))</f>
        <v>NOV</v>
      </c>
      <c r="Z31" s="77" t="str">
        <f>IF(_epmOfflineCondition_,"DEC",IF($D$10="FY",_xll.EVPRO($B$1,Z$16,"PERIOD")&amp;" "&amp;LEFT(Z$13,4),_xll.EVPRO($B$1,Z$16,"PERIOD")))</f>
        <v>DEC</v>
      </c>
      <c r="AA31" s="77" t="str">
        <f>AA14</f>
        <v>TOTAL</v>
      </c>
      <c r="AB31" s="78"/>
      <c r="AC31" s="11"/>
      <c r="AD31" s="630" t="str">
        <f>IF(_epmOfflineCondition_,"2022 TOTAL",IF(_xll.EVDES(AD16,$B$1)="#NODATA","",_xll.EVDES(AD16,$B$1)))</f>
        <v>2022 TOTAL</v>
      </c>
      <c r="AE31" s="631"/>
      <c r="AF31" s="77" t="s">
        <v>631</v>
      </c>
      <c r="AG31" s="630" t="str">
        <f>IF(_epmOfflineCondition_,"2021 TOTAL",IF(_xll.EVDES(AG16,$B$1)="#NODATA","",_xll.EVDES(AG16,$B$1)))</f>
        <v>2021 TOTAL</v>
      </c>
      <c r="AH31" s="631"/>
      <c r="AI31" s="77" t="s">
        <v>631</v>
      </c>
      <c r="AJ31" s="77" t="str">
        <f>IF(_epmOfflineCondition_,"2022",_xll.EVPRO($B$1,AA$16,"YEAR"))</f>
        <v>2022</v>
      </c>
      <c r="AK31" s="87" t="str">
        <f>IF(_epmOfflineCondition_,"2022",_xll.EVPRO($B$1,AD$16,"YEAR"))</f>
        <v>2022</v>
      </c>
      <c r="AL31" s="87" t="str">
        <f>IF(_epmOfflineCondition_,"2021",_xll.EVPRO($B$1,AG$16,"YEAR"))</f>
        <v>2021</v>
      </c>
      <c r="AM31" s="77" t="str">
        <f>"vs "&amp;AK31</f>
        <v>vs 2022</v>
      </c>
      <c r="AN31" s="77" t="str">
        <f>"vs "&amp;AL31</f>
        <v>vs 2021</v>
      </c>
      <c r="AO31" s="11"/>
    </row>
    <row r="32" spans="1:41" s="8" customFormat="1" ht="30" customHeight="1" x14ac:dyDescent="0.25">
      <c r="A32" s="81" t="s">
        <v>16</v>
      </c>
      <c r="B32" s="82" t="s">
        <v>78</v>
      </c>
      <c r="C32" s="83"/>
      <c r="D32" s="83"/>
      <c r="E32" s="83"/>
      <c r="F32" s="83"/>
      <c r="G32" s="83"/>
      <c r="H32" s="84"/>
      <c r="I32" s="85"/>
      <c r="J32" s="85"/>
      <c r="K32" s="178" t="s">
        <v>117</v>
      </c>
      <c r="L32" s="85"/>
      <c r="M32" s="85"/>
      <c r="N32" s="86" t="s">
        <v>120</v>
      </c>
      <c r="O32" s="87" t="str">
        <f>IF(_epmOfflineCondition_,"Actual",IF(_xll.EVDES(O17,$B$1)="#NODATA","",_xll.EVDES(O17,$B$1)))</f>
        <v>Actual</v>
      </c>
      <c r="P32" s="87" t="str">
        <f>IF(_epmOfflineCondition_,"Actual",IF(_xll.EVDES(P17,$B$1)="#NODATA","",_xll.EVDES(P17,$B$1)))</f>
        <v>Actual</v>
      </c>
      <c r="Q32" s="87" t="str">
        <f>IF(_epmOfflineCondition_,"Actual",IF(_xll.EVDES(Q17,$B$1)="#NODATA","",_xll.EVDES(Q17,$B$1)))</f>
        <v>Actual</v>
      </c>
      <c r="R32" s="87" t="str">
        <f>IF(_epmOfflineCondition_,"Actual",IF(_xll.EVDES(R17,$B$1)="#NODATA","",_xll.EVDES(R17,$B$1)))</f>
        <v>Actual</v>
      </c>
      <c r="S32" s="87" t="str">
        <f>IF(_epmOfflineCondition_,"Actual",IF(_xll.EVDES(S17,$B$1)="#NODATA","",_xll.EVDES(S17,$B$1)))</f>
        <v>Actual</v>
      </c>
      <c r="T32" s="87" t="str">
        <f>IF(_epmOfflineCondition_,"Actual",IF(_xll.EVDES(T17,$B$1)="#NODATA","",_xll.EVDES(T17,$B$1)))</f>
        <v>Actual</v>
      </c>
      <c r="U32" s="87" t="str">
        <f>IF(_epmOfflineCondition_,"Actual",IF(_xll.EVDES(U17,$B$1)="#NODATA","",_xll.EVDES(U17,$B$1)))</f>
        <v>Actual</v>
      </c>
      <c r="V32" s="87" t="str">
        <f>IF(_epmOfflineCondition_,"Actual",IF(_xll.EVDES(V17,$B$1)="#NODATA","",_xll.EVDES(V17,$B$1)))</f>
        <v>Actual</v>
      </c>
      <c r="W32" s="87" t="str">
        <f>IF(_epmOfflineCondition_,"Actual",IF(_xll.EVDES(W17,$B$1)="#NODATA","",_xll.EVDES(W17,$B$1)))</f>
        <v>Actual</v>
      </c>
      <c r="X32" s="87" t="str">
        <f>IF(_epmOfflineCondition_,"Actual",IF(_xll.EVDES(X17,$B$1)="#NODATA","",_xll.EVDES(X17,$B$1)))</f>
        <v>Actual</v>
      </c>
      <c r="Y32" s="87" t="str">
        <f>IF(_epmOfflineCondition_,"Actual",IF(_xll.EVDES(Y17,$B$1)="#NODATA","",_xll.EVDES(Y17,$B$1)))</f>
        <v>Actual</v>
      </c>
      <c r="Z32" s="87" t="str">
        <f>IF(_epmOfflineCondition_,"Actual",IF(_xll.EVDES(Z17,$B$1)="#NODATA","",_xll.EVDES(Z17,$B$1)))</f>
        <v>Actual</v>
      </c>
      <c r="AA32" s="80"/>
      <c r="AB32" s="80" t="s">
        <v>58</v>
      </c>
      <c r="AC32" s="83"/>
      <c r="AD32" s="87" t="str">
        <f>IF(_epmOfflineCondition_,"Budget",IF(_xll.EVDES(AD17,$B$1)="#NODATA","",_xll.EVDES(AD17,$B$1)))</f>
        <v>Budget</v>
      </c>
      <c r="AE32" s="87" t="s">
        <v>58</v>
      </c>
      <c r="AF32" s="87" t="s">
        <v>57</v>
      </c>
      <c r="AG32" s="87" t="str">
        <f>IF(_epmOfflineCondition_,"Actual",IF(_xll.EVDES(AG17,$B$1)="#NODATA","",_xll.EVDES(AG17,$B$1)))</f>
        <v>Actual</v>
      </c>
      <c r="AH32" s="87" t="s">
        <v>58</v>
      </c>
      <c r="AI32" s="87" t="s">
        <v>57</v>
      </c>
      <c r="AJ32" s="87" t="str">
        <f>Z32</f>
        <v>Actual</v>
      </c>
      <c r="AK32" s="87" t="str">
        <f>AD32</f>
        <v>Budget</v>
      </c>
      <c r="AL32" s="87" t="str">
        <f>AG32</f>
        <v>Actual</v>
      </c>
      <c r="AM32" s="77" t="s">
        <v>747</v>
      </c>
      <c r="AN32" s="77" t="s">
        <v>747</v>
      </c>
      <c r="AO32" s="83"/>
    </row>
    <row r="33" spans="1:41" x14ac:dyDescent="0.25">
      <c r="A33" s="65" t="s">
        <v>17</v>
      </c>
      <c r="B33" s="66"/>
      <c r="C33" s="11"/>
      <c r="D33" s="11"/>
      <c r="E33" s="11"/>
      <c r="F33" s="11"/>
      <c r="G33" s="11"/>
      <c r="H33" s="11" t="s">
        <v>553</v>
      </c>
      <c r="I33" s="59" t="str">
        <f>IF(_epmOfflineCondition_,"B1",_xll.EVPRO($B$1,$H33,"STYLE"))</f>
        <v>B1</v>
      </c>
      <c r="J33" s="59" t="str">
        <f>IF(_epmOfflineCondition_,"Y",_xll.EVPRO($B$1,$H33,"CALC"))</f>
        <v>Y</v>
      </c>
      <c r="K33" s="11"/>
      <c r="L33" s="59"/>
      <c r="M33" s="59"/>
      <c r="N33" s="105" t="str">
        <f>IF(_epmOfflineCondition_,"Payroll Related Expenses",IF(_xll.EVDES(H33,$B$1)="#NODATA","",_xll.EVDES(H33,$B$1)))</f>
        <v>Payroll Related Expenses</v>
      </c>
      <c r="O33" s="203"/>
      <c r="P33" s="204"/>
      <c r="Q33" s="204"/>
      <c r="R33" s="204"/>
      <c r="S33" s="204"/>
      <c r="T33" s="204"/>
      <c r="U33" s="204"/>
      <c r="V33" s="204"/>
      <c r="W33" s="204"/>
      <c r="X33" s="204"/>
      <c r="Y33" s="204"/>
      <c r="Z33" s="204"/>
      <c r="AA33" s="204"/>
      <c r="AB33" s="118"/>
      <c r="AC33" s="11"/>
      <c r="AD33" s="203"/>
      <c r="AE33" s="204"/>
      <c r="AF33" s="118"/>
      <c r="AG33" s="203"/>
      <c r="AH33" s="204"/>
      <c r="AI33" s="118"/>
      <c r="AJ33" s="11"/>
      <c r="AK33" s="11"/>
      <c r="AL33" s="11"/>
      <c r="AM33" s="11"/>
      <c r="AN33" s="11"/>
      <c r="AO33" s="11"/>
    </row>
    <row r="34" spans="1:41" x14ac:dyDescent="0.25">
      <c r="A34" s="11"/>
      <c r="B34" s="11"/>
      <c r="C34" s="11"/>
      <c r="D34" s="11"/>
      <c r="E34" s="11"/>
      <c r="F34" s="11"/>
      <c r="G34" s="11"/>
      <c r="H34" s="11"/>
      <c r="I34" s="59"/>
      <c r="J34" s="59"/>
      <c r="K34" s="11"/>
      <c r="L34" s="59"/>
      <c r="M34" s="59"/>
      <c r="N34" s="53" t="s">
        <v>561</v>
      </c>
      <c r="O34" s="119"/>
      <c r="P34" s="120"/>
      <c r="Q34" s="120"/>
      <c r="R34" s="120"/>
      <c r="S34" s="120"/>
      <c r="T34" s="120"/>
      <c r="U34" s="120"/>
      <c r="V34" s="120"/>
      <c r="W34" s="120"/>
      <c r="X34" s="120"/>
      <c r="Y34" s="120"/>
      <c r="Z34" s="120"/>
      <c r="AA34" s="120"/>
      <c r="AB34" s="121"/>
      <c r="AC34" s="11"/>
      <c r="AD34" s="119"/>
      <c r="AE34" s="120"/>
      <c r="AF34" s="121"/>
      <c r="AG34" s="119"/>
      <c r="AH34" s="120"/>
      <c r="AI34" s="121"/>
      <c r="AJ34" s="11"/>
      <c r="AK34" s="11"/>
      <c r="AL34" s="11"/>
      <c r="AM34" s="11"/>
      <c r="AN34" s="11"/>
      <c r="AO34" s="11"/>
    </row>
    <row r="35" spans="1:41" x14ac:dyDescent="0.25">
      <c r="A35" s="97" t="s">
        <v>92</v>
      </c>
      <c r="B35" s="98" t="s">
        <v>93</v>
      </c>
      <c r="C35" s="98" t="s">
        <v>94</v>
      </c>
      <c r="D35" s="98" t="s">
        <v>95</v>
      </c>
      <c r="E35" s="98" t="s">
        <v>96</v>
      </c>
      <c r="F35" s="99" t="s">
        <v>97</v>
      </c>
      <c r="G35" s="11"/>
      <c r="H35" s="88" t="s">
        <v>927</v>
      </c>
      <c r="I35" s="122" t="str">
        <f>IF(_epmOfflineCondition_,"T4",_xll.EVPRO($B$1,$H35,"STYLE"))</f>
        <v>T4</v>
      </c>
      <c r="J35" s="122" t="str">
        <f>IF(_epmOfflineCondition_,"Y",_xll.EVPRO($B$1,$H35,"CALC"))</f>
        <v>Y</v>
      </c>
      <c r="K35" s="179" t="str">
        <f>IF(AND(I35&gt;="T4"),"&gt;","")</f>
        <v>&gt;</v>
      </c>
      <c r="L35" s="90" t="str">
        <f>IF(_epmOfflineCondition_,"",_xll.EVPRO($B$1,H35,"JDEID"))</f>
        <v/>
      </c>
      <c r="M35" s="90" t="str">
        <f>IF(_epmOfflineCondition_,"",IF(AND(I35="N",J35="N"),_xll.EVPRO($B$1,H35,"PSFTID"),""))</f>
        <v/>
      </c>
      <c r="N35" s="90" t="str">
        <f>IF(_epmOfflineCondition_,"National Medical Insurance",IF(_xll.EVDES(H35,$B$1)="#NODATA","",_xll.EVDES(H35,$B$1)))</f>
        <v>National Medical Insurance</v>
      </c>
      <c r="O35" s="138">
        <v>2477.23</v>
      </c>
      <c r="P35" s="138">
        <v>2646.15</v>
      </c>
      <c r="Q35" s="138">
        <v>2173.1799999999998</v>
      </c>
      <c r="R35" s="138">
        <v>2188.86</v>
      </c>
      <c r="S35" s="138">
        <v>2848.87</v>
      </c>
      <c r="T35" s="138">
        <v>2410.1999999999998</v>
      </c>
      <c r="U35" s="138">
        <v>2606.4</v>
      </c>
      <c r="V35" s="138">
        <v>2938.36</v>
      </c>
      <c r="W35" s="138">
        <v>2554.4499999999998</v>
      </c>
      <c r="X35" s="138">
        <v>2664.82</v>
      </c>
      <c r="Y35" s="138">
        <v>3232.85</v>
      </c>
      <c r="Z35" s="138">
        <v>3778.23</v>
      </c>
      <c r="AA35" s="231">
        <f>IF($I35="B1","",SUM(O35:Z35))</f>
        <v>32519.600000000002</v>
      </c>
      <c r="AB35" s="142">
        <f>IF(AA35=0,"",IFERROR(AA35/AA$19,""))</f>
        <v>2.2073016793731741E-3</v>
      </c>
      <c r="AC35" s="140"/>
      <c r="AD35" s="138">
        <v>49805.944513956798</v>
      </c>
      <c r="AE35" s="142">
        <f>IF(AD35=0,"",IFERROR(AD35/AD$19,""))</f>
        <v>3.4054458782595666E-3</v>
      </c>
      <c r="AF35" s="141">
        <f>IF(AND($AA35="",AD35=""),"",$AA35-AD35)</f>
        <v>-17286.344513956796</v>
      </c>
      <c r="AG35" s="138">
        <v>30074.61</v>
      </c>
      <c r="AH35" s="142">
        <f>IF(AG35=0,"",IFERROR(AG35/AG$19,""))</f>
        <v>2.5258932782670092E-3</v>
      </c>
      <c r="AI35" s="141">
        <f>IF(AND($AA35="",AG35=""),"",$AA35-AG35)</f>
        <v>2444.9900000000016</v>
      </c>
      <c r="AJ35" s="462">
        <f>IFERROR(AA35/AA$20,0)</f>
        <v>0.67496056454960573</v>
      </c>
      <c r="AK35" s="463">
        <f>IFERROR(AD35/AD$20,0)</f>
        <v>1.0337472916969033</v>
      </c>
      <c r="AL35" s="464">
        <f>IFERROR(AG35/AG$20,0)</f>
        <v>0.62421357409713574</v>
      </c>
      <c r="AM35" s="465" t="str">
        <f>+IFERROR(ROUND(($AB35-AE35)*100,2)&amp;" pts.",0)</f>
        <v>-0.12 pts.</v>
      </c>
      <c r="AN35" s="466" t="str">
        <f>+IFERROR(ROUND(($AB35-AH35)*100,2)&amp;" pts.",0)</f>
        <v>-0.03 pts.</v>
      </c>
      <c r="AO35" s="11"/>
    </row>
    <row r="36" spans="1:41" x14ac:dyDescent="0.25">
      <c r="A36" s="11"/>
      <c r="B36" s="11"/>
      <c r="C36" s="11"/>
      <c r="D36" s="11"/>
      <c r="E36" s="11"/>
      <c r="F36" s="11"/>
      <c r="G36" s="11"/>
      <c r="H36" s="88" t="s">
        <v>928</v>
      </c>
      <c r="I36" s="122" t="str">
        <f>IF(_epmOfflineCondition_,"T4",_xll.EVPRO($B$1,$H36,"STYLE"))</f>
        <v>T4</v>
      </c>
      <c r="J36" s="122" t="str">
        <f>IF(_epmOfflineCondition_,"Y",_xll.EVPRO($B$1,$H36,"CALC"))</f>
        <v>Y</v>
      </c>
      <c r="K36" s="179" t="str">
        <f>IF(AND(I36&gt;="T4"),"&gt;","")</f>
        <v>&gt;</v>
      </c>
      <c r="L36" s="90" t="str">
        <f>IF(_epmOfflineCondition_,"",_xll.EVPRO($B$1,H36,"JDEID"))</f>
        <v/>
      </c>
      <c r="M36" s="90" t="str">
        <f>IF(_epmOfflineCondition_,"",IF(AND(I36="N",J36="N"),_xll.EVPRO($B$1,H36,"PSFTID"),""))</f>
        <v/>
      </c>
      <c r="N36" s="90" t="str">
        <f>IF(_epmOfflineCondition_,"National Retirement Insurance",IF(_xll.EVDES(H36,$B$1)="#NODATA","",_xll.EVDES(H36,$B$1)))</f>
        <v>National Retirement Insurance</v>
      </c>
      <c r="O36" s="138">
        <v>10592.37</v>
      </c>
      <c r="P36" s="138">
        <v>9659.98</v>
      </c>
      <c r="Q36" s="138">
        <v>8193.59</v>
      </c>
      <c r="R36" s="138">
        <v>9346.0300000000007</v>
      </c>
      <c r="S36" s="138">
        <v>11988.66</v>
      </c>
      <c r="T36" s="138">
        <v>11998.63</v>
      </c>
      <c r="U36" s="138">
        <v>10819.19</v>
      </c>
      <c r="V36" s="138">
        <v>10995.86</v>
      </c>
      <c r="W36" s="138">
        <v>9654.59</v>
      </c>
      <c r="X36" s="138">
        <v>13109.65</v>
      </c>
      <c r="Y36" s="138">
        <v>18406.580000000002</v>
      </c>
      <c r="Z36" s="138">
        <v>16633.830000000002</v>
      </c>
      <c r="AA36" s="231">
        <f>IF($I36="B1","",SUM(O36:Z36))</f>
        <v>141398.96</v>
      </c>
      <c r="AB36" s="142">
        <f>IF(AA36=0,"",IFERROR(AA36/AA$19,""))</f>
        <v>9.5976015040043616E-3</v>
      </c>
      <c r="AC36" s="140"/>
      <c r="AD36" s="138">
        <v>186273.40660855701</v>
      </c>
      <c r="AE36" s="142">
        <f>IF(AD36=0,"",IFERROR(AD36/AD$19,""))</f>
        <v>1.2736311116170494E-2</v>
      </c>
      <c r="AF36" s="141">
        <f>IF(AND($AA36="",AD36=""),"",$AA36-AD36)</f>
        <v>-44874.446608557017</v>
      </c>
      <c r="AG36" s="138">
        <v>130426.66</v>
      </c>
      <c r="AH36" s="142">
        <f>IF(AG36=0,"",IFERROR(AG36/AG$19,""))</f>
        <v>1.0954217654054918E-2</v>
      </c>
      <c r="AI36" s="141">
        <f>IF(AND($AA36="",AG36=""),"",$AA36-AG36)</f>
        <v>10972.299999999988</v>
      </c>
      <c r="AJ36" s="462">
        <f>IFERROR(AA36/AA$20,0)</f>
        <v>2.9348061436280615</v>
      </c>
      <c r="AK36" s="463">
        <f>IFERROR(AD36/AD$20,0)</f>
        <v>3.8661977295258825</v>
      </c>
      <c r="AL36" s="464">
        <f>IFERROR(AG36/AG$20,0)</f>
        <v>2.7070705687007059</v>
      </c>
      <c r="AM36" s="465" t="str">
        <f>+IFERROR(ROUND(($AB36-AE36)*100,2)&amp;" pts.",0)</f>
        <v>-0.31 pts.</v>
      </c>
      <c r="AN36" s="466" t="str">
        <f>+IFERROR(ROUND(($AB36-AH36)*100,2)&amp;" pts.",0)</f>
        <v>-0.14 pts.</v>
      </c>
      <c r="AO36" s="11"/>
    </row>
    <row r="37" spans="1:41" x14ac:dyDescent="0.25">
      <c r="A37" s="11" t="s">
        <v>105</v>
      </c>
      <c r="B37" s="11"/>
      <c r="C37" s="104" t="s">
        <v>101</v>
      </c>
      <c r="D37" s="11" t="s">
        <v>106</v>
      </c>
      <c r="E37" s="11"/>
      <c r="F37" s="11" t="s">
        <v>98</v>
      </c>
      <c r="G37" s="11"/>
      <c r="H37" s="88" t="s">
        <v>929</v>
      </c>
      <c r="I37" s="122" t="str">
        <f>IF(_epmOfflineCondition_,"T4",_xll.EVPRO($B$1,$H37,"STYLE"))</f>
        <v>T4</v>
      </c>
      <c r="J37" s="122" t="str">
        <f>IF(_epmOfflineCondition_,"Y",_xll.EVPRO($B$1,$H37,"CALC"))</f>
        <v>Y</v>
      </c>
      <c r="K37" s="179" t="str">
        <f>IF(AND(I37&gt;="T4"),"&gt;","")</f>
        <v>&gt;</v>
      </c>
      <c r="L37" s="90" t="str">
        <f>IF(_epmOfflineCondition_,"",_xll.EVPRO($B$1,H37,"JDEID"))</f>
        <v/>
      </c>
      <c r="M37" s="90" t="str">
        <f>IF(_epmOfflineCondition_,"",IF(AND(I37="N",J37="N"),_xll.EVPRO($B$1,H37,"PSFTID"),""))</f>
        <v/>
      </c>
      <c r="N37" s="90" t="str">
        <f>IF(_epmOfflineCondition_,"National Unemployment Insurance",IF(_xll.EVDES(H37,$B$1)="#NODATA","",_xll.EVDES(H37,$B$1)))</f>
        <v>National Unemployment Insurance</v>
      </c>
      <c r="O37" s="138">
        <v>632.04</v>
      </c>
      <c r="P37" s="138">
        <v>204.27</v>
      </c>
      <c r="Q37" s="138">
        <v>26.46</v>
      </c>
      <c r="R37" s="138">
        <v>38.090000000000003</v>
      </c>
      <c r="S37" s="138">
        <v>90.46</v>
      </c>
      <c r="T37" s="138">
        <v>100.02</v>
      </c>
      <c r="U37" s="138">
        <v>104.72</v>
      </c>
      <c r="V37" s="138">
        <v>67.739999999999995</v>
      </c>
      <c r="W37" s="138">
        <v>-173.56</v>
      </c>
      <c r="X37" s="138">
        <v>58.99</v>
      </c>
      <c r="Y37" s="138">
        <v>76.86</v>
      </c>
      <c r="Z37" s="138">
        <v>599.76</v>
      </c>
      <c r="AA37" s="231">
        <f>IF($I37="B1","",SUM(O37:Z37))</f>
        <v>1825.8500000000001</v>
      </c>
      <c r="AB37" s="142">
        <f>IF(AA37=0,"",IFERROR(AA37/AA$19,""))</f>
        <v>1.2393146813870741E-4</v>
      </c>
      <c r="AC37" s="140"/>
      <c r="AD37" s="138">
        <v>10151.417440142201</v>
      </c>
      <c r="AE37" s="142">
        <f>IF(AD37=0,"",IFERROR(AD37/AD$19,""))</f>
        <v>6.9409591600731887E-4</v>
      </c>
      <c r="AF37" s="141">
        <f>IF(AND($AA37="",AD37=""),"",$AA37-AD37)</f>
        <v>-8325.5674401422002</v>
      </c>
      <c r="AG37" s="138">
        <v>-515.91</v>
      </c>
      <c r="AH37" s="142">
        <f>IF(AG37=0,"",IFERROR(AG37/AG$19,""))</f>
        <v>-4.3330024934346038E-5</v>
      </c>
      <c r="AI37" s="141">
        <f>IF(AND($AA37="",AG37=""),"",$AA37-AG37)</f>
        <v>2341.7600000000002</v>
      </c>
      <c r="AJ37" s="462">
        <f>IFERROR(AA37/AA$20,0)</f>
        <v>3.78964300539643E-2</v>
      </c>
      <c r="AK37" s="463">
        <f>IFERROR(AD37/AD$20,0)</f>
        <v>0.21069774678584891</v>
      </c>
      <c r="AL37" s="464">
        <f>IFERROR(AG37/AG$20,0)</f>
        <v>-1.07079701120797E-2</v>
      </c>
      <c r="AM37" s="465" t="str">
        <f>+IFERROR(ROUND(($AB37-AE37)*100,2)&amp;" pts.",0)</f>
        <v>-0.06 pts.</v>
      </c>
      <c r="AN37" s="466" t="str">
        <f>+IFERROR(ROUND(($AB37-AH37)*100,2)&amp;" pts.",0)</f>
        <v>0.02 pts.</v>
      </c>
      <c r="AO37" s="11"/>
    </row>
    <row r="38" spans="1:41" x14ac:dyDescent="0.25">
      <c r="A38" s="11" t="s">
        <v>102</v>
      </c>
      <c r="B38" s="11"/>
      <c r="C38" s="104" t="s">
        <v>101</v>
      </c>
      <c r="D38" s="11" t="s">
        <v>106</v>
      </c>
      <c r="E38" s="11"/>
      <c r="F38" s="11" t="s">
        <v>98</v>
      </c>
      <c r="G38" s="11"/>
      <c r="H38" s="88" t="s">
        <v>930</v>
      </c>
      <c r="I38" s="122" t="str">
        <f>IF(_epmOfflineCondition_,"T4",_xll.EVPRO($B$1,$H38,"STYLE"))</f>
        <v>T4</v>
      </c>
      <c r="J38" s="122" t="str">
        <f>IF(_epmOfflineCondition_,"Y",_xll.EVPRO($B$1,$H38,"CALC"))</f>
        <v>Y</v>
      </c>
      <c r="K38" s="179" t="str">
        <f>IF(AND(I38&gt;="T4"),"&gt;","")</f>
        <v>&gt;</v>
      </c>
      <c r="L38" s="90" t="str">
        <f>IF(_epmOfflineCondition_,"",_xll.EVPRO($B$1,H38,"JDEID"))</f>
        <v/>
      </c>
      <c r="M38" s="90" t="str">
        <f>IF(_epmOfflineCondition_,"",IF(AND(I38="N",J38="N"),_xll.EVPRO($B$1,H38,"PSFTID"),""))</f>
        <v/>
      </c>
      <c r="N38" s="90" t="str">
        <f>IF(_epmOfflineCondition_,"State Unemployment Insurance",IF(_xll.EVDES(H38,$B$1)="#NODATA","",_xll.EVDES(H38,$B$1)))</f>
        <v>State Unemployment Insurance</v>
      </c>
      <c r="O38" s="215">
        <v>762.04</v>
      </c>
      <c r="P38" s="215">
        <v>242.81</v>
      </c>
      <c r="Q38" s="215">
        <v>9.27</v>
      </c>
      <c r="R38" s="215">
        <v>13.33</v>
      </c>
      <c r="S38" s="215">
        <v>31.67</v>
      </c>
      <c r="T38" s="215">
        <v>35.54</v>
      </c>
      <c r="U38" s="215">
        <v>36.64</v>
      </c>
      <c r="V38" s="215">
        <v>23.69</v>
      </c>
      <c r="W38" s="215">
        <v>28.25</v>
      </c>
      <c r="X38" s="215">
        <v>20.66</v>
      </c>
      <c r="Y38" s="215">
        <v>26.91</v>
      </c>
      <c r="Z38" s="215">
        <v>227.31</v>
      </c>
      <c r="AA38" s="239">
        <f>IF($I38="B1","",SUM(O38:Z38))</f>
        <v>1458.1200000000001</v>
      </c>
      <c r="AB38" s="217">
        <f>IF(AA38=0,"",IFERROR(AA38/AA$19,""))</f>
        <v>9.8971411847858292E-5</v>
      </c>
      <c r="AC38" s="140"/>
      <c r="AD38" s="215">
        <v>42164.045634957198</v>
      </c>
      <c r="AE38" s="217">
        <f>IF(AD38=0,"",IFERROR(AD38/AD$19,""))</f>
        <v>2.8829365012458846E-3</v>
      </c>
      <c r="AF38" s="218">
        <f>IF(AND($AA38="",AD38=""),"",$AA38-AD38)</f>
        <v>-40705.925634957195</v>
      </c>
      <c r="AG38" s="215">
        <v>5219.93</v>
      </c>
      <c r="AH38" s="217">
        <f>IF(AG38=0,"",IFERROR(AG38/AG$19,""))</f>
        <v>4.3840921295485829E-4</v>
      </c>
      <c r="AI38" s="218">
        <f>IF(AND($AA38="",AG38=""),"",$AA38-AG38)</f>
        <v>-3761.8100000000004</v>
      </c>
      <c r="AJ38" s="471">
        <f>IFERROR(AA38/AA$20,0)</f>
        <v>3.0264009962640101E-2</v>
      </c>
      <c r="AK38" s="472">
        <f>IFERROR(AD38/AD$20,0)</f>
        <v>0.87513585792771265</v>
      </c>
      <c r="AL38" s="473">
        <f>IFERROR(AG38/AG$20,0)</f>
        <v>0.10834225819842259</v>
      </c>
      <c r="AM38" s="474" t="str">
        <f>+IFERROR(ROUND(($AB38-AE38)*100,2)&amp;" pts.",0)</f>
        <v>-0.28 pts.</v>
      </c>
      <c r="AN38" s="475" t="str">
        <f>+IFERROR(ROUND(($AB38-AH38)*100,2)&amp;" pts.",0)</f>
        <v>-0.03 pts.</v>
      </c>
      <c r="AO38" s="11"/>
    </row>
    <row r="39" spans="1:41" x14ac:dyDescent="0.25">
      <c r="A39" s="11" t="s">
        <v>108</v>
      </c>
      <c r="B39" s="11"/>
      <c r="C39" s="106" t="s">
        <v>101</v>
      </c>
      <c r="D39" s="11" t="s">
        <v>106</v>
      </c>
      <c r="E39" s="11"/>
      <c r="F39" s="11" t="s">
        <v>98</v>
      </c>
      <c r="G39" s="11"/>
      <c r="H39" s="88" t="s">
        <v>850</v>
      </c>
      <c r="I39" s="188" t="str">
        <f>IF(_epmOfflineCondition_,"T3",_xll.EVPRO($B$1,$H39,"STYLE"))</f>
        <v>T3</v>
      </c>
      <c r="J39" s="188" t="str">
        <f>IF(_epmOfflineCondition_,"Y",_xll.EVPRO($B$1,$H39,"CALC"))</f>
        <v>Y</v>
      </c>
      <c r="K39" s="189" t="str">
        <f>IF(AND(I39&gt;="T4"),"&gt;","")</f>
        <v/>
      </c>
      <c r="L39" s="190" t="str">
        <f>IF(_epmOfflineCondition_,"",_xll.EVPRO($B$1,H39,"JDEID"))</f>
        <v/>
      </c>
      <c r="M39" s="190" t="str">
        <f>IF(_epmOfflineCondition_,"",IF(AND(I39="N",J39="N"),_xll.EVPRO($B$1,H39,"PSFTID"),""))</f>
        <v/>
      </c>
      <c r="N39" s="190" t="str">
        <f>IF(_epmOfflineCondition_,"Payroll Taxes",IF(_xll.EVDES(H39,$B$1)="#NODATA","",_xll.EVDES(H39,$B$1)))</f>
        <v>Payroll Taxes</v>
      </c>
      <c r="O39" s="150">
        <v>14463.68</v>
      </c>
      <c r="P39" s="150">
        <v>12753.21</v>
      </c>
      <c r="Q39" s="150">
        <v>10402.5</v>
      </c>
      <c r="R39" s="150">
        <v>11586.31</v>
      </c>
      <c r="S39" s="150">
        <v>14959.66</v>
      </c>
      <c r="T39" s="150">
        <v>14544.39</v>
      </c>
      <c r="U39" s="150">
        <v>13566.95</v>
      </c>
      <c r="V39" s="150">
        <v>14025.65</v>
      </c>
      <c r="W39" s="150">
        <v>12063.73</v>
      </c>
      <c r="X39" s="150">
        <v>15854.12</v>
      </c>
      <c r="Y39" s="150">
        <v>21743.200000000001</v>
      </c>
      <c r="Z39" s="150">
        <v>21239.13</v>
      </c>
      <c r="AA39" s="150">
        <f>IF($I39="B1","",SUM(O39:Z39))</f>
        <v>177202.53</v>
      </c>
      <c r="AB39" s="151">
        <f>IF(AA39=0,"",IFERROR(AA39/AA$19,""))</f>
        <v>1.2027806063364101E-2</v>
      </c>
      <c r="AC39" s="244"/>
      <c r="AD39" s="150">
        <v>288394.81419761298</v>
      </c>
      <c r="AE39" s="151">
        <f>IF(AD39=0,"",IFERROR(AD39/AD$19,""))</f>
        <v>1.971878941168325E-2</v>
      </c>
      <c r="AF39" s="152">
        <f>IF(AND($AA39="",AD39=""),"",$AA39-AD39)</f>
        <v>-111192.28419761299</v>
      </c>
      <c r="AG39" s="150">
        <v>165205.29</v>
      </c>
      <c r="AH39" s="151">
        <f>IF(AG39=0,"",IFERROR(AG39/AG$19,""))</f>
        <v>1.387519012034244E-2</v>
      </c>
      <c r="AI39" s="152">
        <f>IF(AND($AA39="",AG39=""),"",$AA39-AG39)</f>
        <v>11997.239999999991</v>
      </c>
      <c r="AJ39" s="250">
        <f>IFERROR(AA39/AA$20,0)</f>
        <v>3.6779271481942715</v>
      </c>
      <c r="AK39" s="251">
        <f>IFERROR(AD39/AD$20,0)</f>
        <v>5.9857786259363426</v>
      </c>
      <c r="AL39" s="253">
        <f>IFERROR(AG39/AG$20,0)</f>
        <v>3.4289184308841847</v>
      </c>
      <c r="AM39" s="433" t="str">
        <f>+IFERROR(ROUND(($AB39-AE39)*100,2)&amp;" pts.",0)</f>
        <v>-0.77 pts.</v>
      </c>
      <c r="AN39" s="614" t="str">
        <f>+IFERROR(ROUND(($AB39-AH39)*100,2)&amp;" pts.",0)</f>
        <v>-0.18 pts.</v>
      </c>
      <c r="AO39" s="11"/>
    </row>
    <row r="40" spans="1:41" x14ac:dyDescent="0.25">
      <c r="A40" s="11" t="s">
        <v>108</v>
      </c>
      <c r="B40" s="11"/>
      <c r="C40" s="109" t="s">
        <v>101</v>
      </c>
      <c r="D40" s="11" t="s">
        <v>107</v>
      </c>
      <c r="E40" s="11"/>
      <c r="F40" s="11" t="s">
        <v>99</v>
      </c>
      <c r="G40" s="11"/>
      <c r="H40" s="11"/>
      <c r="I40" s="11"/>
      <c r="J40" s="11"/>
      <c r="K40" s="11"/>
      <c r="L40" s="90"/>
      <c r="M40" s="90"/>
      <c r="N40" s="90"/>
      <c r="O40" s="129"/>
      <c r="P40" s="130"/>
      <c r="Q40" s="130"/>
      <c r="R40" s="130"/>
      <c r="S40" s="130"/>
      <c r="T40" s="130"/>
      <c r="U40" s="130"/>
      <c r="V40" s="130"/>
      <c r="W40" s="130"/>
      <c r="X40" s="130"/>
      <c r="Y40" s="130"/>
      <c r="Z40" s="130"/>
      <c r="AA40" s="130"/>
      <c r="AB40" s="131"/>
      <c r="AC40" s="11"/>
      <c r="AD40" s="129"/>
      <c r="AE40" s="130"/>
      <c r="AF40" s="131"/>
      <c r="AG40" s="129"/>
      <c r="AH40" s="130"/>
      <c r="AI40" s="131"/>
      <c r="AJ40" s="11"/>
      <c r="AK40" s="11"/>
      <c r="AL40" s="11"/>
      <c r="AM40" s="11"/>
      <c r="AN40" s="11"/>
      <c r="AO40" s="11"/>
    </row>
    <row r="41" spans="1:41" x14ac:dyDescent="0.25">
      <c r="A41" s="11"/>
      <c r="B41" s="11"/>
      <c r="C41" s="11"/>
      <c r="D41" s="11"/>
      <c r="E41" s="11"/>
      <c r="F41" s="11"/>
      <c r="G41" s="11"/>
      <c r="H41" s="11"/>
      <c r="I41" s="59"/>
      <c r="J41" s="59"/>
      <c r="K41" s="11"/>
      <c r="L41" s="59"/>
      <c r="M41" s="59"/>
      <c r="N41" s="53" t="s">
        <v>560</v>
      </c>
      <c r="O41" s="119"/>
      <c r="P41" s="120"/>
      <c r="Q41" s="120"/>
      <c r="R41" s="120"/>
      <c r="S41" s="120"/>
      <c r="T41" s="120"/>
      <c r="U41" s="120"/>
      <c r="V41" s="120"/>
      <c r="W41" s="120"/>
      <c r="X41" s="120"/>
      <c r="Y41" s="120"/>
      <c r="Z41" s="120"/>
      <c r="AA41" s="120"/>
      <c r="AB41" s="121"/>
      <c r="AC41" s="11"/>
      <c r="AD41" s="119"/>
      <c r="AE41" s="120"/>
      <c r="AF41" s="121"/>
      <c r="AG41" s="119"/>
      <c r="AH41" s="120"/>
      <c r="AI41" s="121"/>
      <c r="AJ41" s="11"/>
      <c r="AK41" s="11"/>
      <c r="AL41" s="11"/>
      <c r="AM41" s="11"/>
      <c r="AN41" s="11"/>
      <c r="AO41" s="11"/>
    </row>
    <row r="42" spans="1:41" x14ac:dyDescent="0.25">
      <c r="A42" s="11"/>
      <c r="B42" s="11"/>
      <c r="C42" s="11"/>
      <c r="D42" s="11"/>
      <c r="E42" s="11"/>
      <c r="F42" s="11"/>
      <c r="G42" s="11"/>
      <c r="H42" s="88" t="s">
        <v>921</v>
      </c>
      <c r="I42" s="122" t="str">
        <f>IF(_epmOfflineCondition_,"N",_xll.EVPRO($B$1,$H42,"STYLE"))</f>
        <v>N</v>
      </c>
      <c r="J42" s="122" t="str">
        <f>IF(_epmOfflineCondition_,"N",_xll.EVPRO($B$1,$H42,"CALC"))</f>
        <v>N</v>
      </c>
      <c r="K42" s="179" t="str">
        <f t="shared" ref="K42:K48" si="0">IF(AND(I42&gt;="T4"),"&gt;","")</f>
        <v/>
      </c>
      <c r="L42" s="90" t="str">
        <f>IF(_epmOfflineCondition_,"692100",_xll.EVPRO($B$1,H42,"JDEID"))</f>
        <v>692100</v>
      </c>
      <c r="M42" s="90" t="str">
        <f>IF(_epmOfflineCondition_,"490400",IF(AND(I42="N",J42="N"),_xll.EVPRO($B$1,H42,"PSFTID"),""))</f>
        <v>490400</v>
      </c>
      <c r="N42" s="90" t="str">
        <f>IF(_epmOfflineCondition_,"Other Pay",IF(_xll.EVDES(H42,$B$1)="#NODATA","",_xll.EVDES(H42,$B$1)))</f>
        <v>Other Pay</v>
      </c>
      <c r="O42" s="138">
        <v>500</v>
      </c>
      <c r="P42" s="138"/>
      <c r="Q42" s="138"/>
      <c r="R42" s="138"/>
      <c r="S42" s="138"/>
      <c r="T42" s="138"/>
      <c r="U42" s="138"/>
      <c r="V42" s="138"/>
      <c r="W42" s="138"/>
      <c r="X42" s="138"/>
      <c r="Y42" s="138"/>
      <c r="Z42" s="138"/>
      <c r="AA42" s="138">
        <f t="shared" ref="AA42:AA48" si="1">IF($I42="B1","",SUM(O42:Z42))</f>
        <v>500</v>
      </c>
      <c r="AB42" s="142">
        <f t="shared" ref="AB42:AB48" si="2">IF(AA42=0,"",IFERROR(AA42/AA$19,""))</f>
        <v>3.3938020138211627E-5</v>
      </c>
      <c r="AC42" s="140"/>
      <c r="AD42" s="138"/>
      <c r="AE42" s="142" t="str">
        <f t="shared" ref="AE42:AE48" si="3">IF(AD42=0,"",IFERROR(AD42/AD$19,""))</f>
        <v/>
      </c>
      <c r="AF42" s="141">
        <f t="shared" ref="AF42:AF48" si="4">IF(AND($AA42="",AD42=""),"",$AA42-AD42)</f>
        <v>500</v>
      </c>
      <c r="AG42" s="138"/>
      <c r="AH42" s="142" t="str">
        <f t="shared" ref="AH42:AH48" si="5">IF(AG42=0,"",IFERROR(AG42/AG$19,""))</f>
        <v/>
      </c>
      <c r="AI42" s="141">
        <f t="shared" ref="AI42:AI48" si="6">IF(AND($AA42="",AG42=""),"",$AA42-AG42)</f>
        <v>500</v>
      </c>
      <c r="AJ42" s="462">
        <f t="shared" ref="AJ42:AJ48" si="7">IFERROR(AA42/AA$20,0)</f>
        <v>1.03777501037775E-2</v>
      </c>
      <c r="AK42" s="463">
        <f t="shared" ref="AK42:AK48" si="8">IFERROR(AD42/AD$20,0)</f>
        <v>0</v>
      </c>
      <c r="AL42" s="464">
        <f t="shared" ref="AL42:AL48" si="9">IFERROR(AG42/AG$20,0)</f>
        <v>0</v>
      </c>
      <c r="AM42" s="465">
        <f t="shared" ref="AM42:AM48" si="10">+IFERROR(ROUND(($AB42-AE42)*100,2)&amp;" pts.",0)</f>
        <v>0</v>
      </c>
      <c r="AN42" s="466">
        <f t="shared" ref="AN42:AN48" si="11">+IFERROR(ROUND(($AB42-AH42)*100,2)&amp;" pts.",0)</f>
        <v>0</v>
      </c>
      <c r="AO42" s="11"/>
    </row>
    <row r="43" spans="1:41" x14ac:dyDescent="0.25">
      <c r="A43" s="62" t="s">
        <v>23</v>
      </c>
      <c r="B43" s="63" t="s">
        <v>24</v>
      </c>
      <c r="C43" s="11"/>
      <c r="D43" s="11"/>
      <c r="E43" s="11"/>
      <c r="F43" s="11"/>
      <c r="G43" s="11"/>
      <c r="H43" s="88" t="s">
        <v>922</v>
      </c>
      <c r="I43" s="122" t="str">
        <f>IF(_epmOfflineCondition_,"N",_xll.EVPRO($B$1,$H43,"STYLE"))</f>
        <v>N</v>
      </c>
      <c r="J43" s="122" t="str">
        <f>IF(_epmOfflineCondition_,"N",_xll.EVPRO($B$1,$H43,"CALC"))</f>
        <v>N</v>
      </c>
      <c r="K43" s="179" t="str">
        <f t="shared" si="0"/>
        <v/>
      </c>
      <c r="L43" s="90" t="str">
        <f>IF(_epmOfflineCondition_,"692200",_xll.EVPRO($B$1,H43,"JDEID"))</f>
        <v>692200</v>
      </c>
      <c r="M43" s="90" t="str">
        <f>IF(_epmOfflineCondition_,"490116",IF(AND(I43="N",J43="N"),_xll.EVPRO($B$1,H43,"PSFTID"),""))</f>
        <v>490116</v>
      </c>
      <c r="N43" s="90" t="str">
        <f>IF(_epmOfflineCondition_,"Personal Days",IF(_xll.EVDES(H43,$B$1)="#NODATA","",_xll.EVDES(H43,$B$1)))</f>
        <v>Personal Days</v>
      </c>
      <c r="O43" s="138"/>
      <c r="P43" s="138"/>
      <c r="Q43" s="138"/>
      <c r="R43" s="138"/>
      <c r="S43" s="138"/>
      <c r="T43" s="138"/>
      <c r="U43" s="138"/>
      <c r="V43" s="138">
        <v>141.38</v>
      </c>
      <c r="W43" s="138">
        <v>372</v>
      </c>
      <c r="X43" s="138"/>
      <c r="Y43" s="138"/>
      <c r="Z43" s="138"/>
      <c r="AA43" s="138">
        <f t="shared" si="1"/>
        <v>513.38</v>
      </c>
      <c r="AB43" s="142">
        <f t="shared" si="2"/>
        <v>3.4846201557110173E-5</v>
      </c>
      <c r="AC43" s="140"/>
      <c r="AD43" s="138"/>
      <c r="AE43" s="142" t="str">
        <f t="shared" si="3"/>
        <v/>
      </c>
      <c r="AF43" s="141">
        <f t="shared" si="4"/>
        <v>513.38</v>
      </c>
      <c r="AG43" s="138">
        <v>239.14</v>
      </c>
      <c r="AH43" s="142">
        <f t="shared" si="5"/>
        <v>2.0084786421661745E-5</v>
      </c>
      <c r="AI43" s="141">
        <f t="shared" si="6"/>
        <v>274.24</v>
      </c>
      <c r="AJ43" s="462">
        <f t="shared" si="7"/>
        <v>1.0655458696554586E-2</v>
      </c>
      <c r="AK43" s="463">
        <f t="shared" si="8"/>
        <v>0</v>
      </c>
      <c r="AL43" s="464">
        <f t="shared" si="9"/>
        <v>4.9634703196347026E-3</v>
      </c>
      <c r="AM43" s="465">
        <f t="shared" si="10"/>
        <v>0</v>
      </c>
      <c r="AN43" s="466" t="str">
        <f t="shared" si="11"/>
        <v>0 pts.</v>
      </c>
      <c r="AO43" s="11"/>
    </row>
    <row r="44" spans="1:41" x14ac:dyDescent="0.25">
      <c r="A44" s="65" t="s">
        <v>25</v>
      </c>
      <c r="B44" s="66"/>
      <c r="C44" s="11"/>
      <c r="D44" s="11"/>
      <c r="E44" s="11"/>
      <c r="F44" s="11"/>
      <c r="G44" s="11"/>
      <c r="H44" s="88" t="s">
        <v>923</v>
      </c>
      <c r="I44" s="122" t="str">
        <f>IF(_epmOfflineCondition_,"N",_xll.EVPRO($B$1,$H44,"STYLE"))</f>
        <v>N</v>
      </c>
      <c r="J44" s="122" t="str">
        <f>IF(_epmOfflineCondition_,"N",_xll.EVPRO($B$1,$H44,"CALC"))</f>
        <v>N</v>
      </c>
      <c r="K44" s="179" t="str">
        <f t="shared" si="0"/>
        <v/>
      </c>
      <c r="L44" s="90" t="str">
        <f>IF(_epmOfflineCondition_,"692300",_xll.EVPRO($B$1,H44,"JDEID"))</f>
        <v>692300</v>
      </c>
      <c r="M44" s="90" t="str">
        <f>IF(_epmOfflineCondition_,"490111",IF(AND(I44="N",J44="N"),_xll.EVPRO($B$1,H44,"PSFTID"),""))</f>
        <v>490111</v>
      </c>
      <c r="N44" s="90" t="str">
        <f>IF(_epmOfflineCondition_,"Severance Pay",IF(_xll.EVDES(H44,$B$1)="#NODATA","",_xll.EVDES(H44,$B$1)))</f>
        <v>Severance Pay</v>
      </c>
      <c r="O44" s="138"/>
      <c r="P44" s="138"/>
      <c r="Q44" s="138"/>
      <c r="R44" s="138"/>
      <c r="S44" s="138"/>
      <c r="T44" s="138"/>
      <c r="U44" s="138"/>
      <c r="V44" s="138"/>
      <c r="W44" s="138"/>
      <c r="X44" s="138"/>
      <c r="Y44" s="138"/>
      <c r="Z44" s="138"/>
      <c r="AA44" s="138">
        <f t="shared" si="1"/>
        <v>0</v>
      </c>
      <c r="AB44" s="142" t="str">
        <f t="shared" si="2"/>
        <v/>
      </c>
      <c r="AC44" s="140"/>
      <c r="AD44" s="138"/>
      <c r="AE44" s="142" t="str">
        <f t="shared" si="3"/>
        <v/>
      </c>
      <c r="AF44" s="141">
        <f t="shared" si="4"/>
        <v>0</v>
      </c>
      <c r="AG44" s="138">
        <v>24285.68</v>
      </c>
      <c r="AH44" s="142">
        <f t="shared" si="5"/>
        <v>2.0396951405236359E-3</v>
      </c>
      <c r="AI44" s="141">
        <f t="shared" si="6"/>
        <v>-24285.68</v>
      </c>
      <c r="AJ44" s="462">
        <f t="shared" si="7"/>
        <v>0</v>
      </c>
      <c r="AK44" s="463">
        <f t="shared" si="8"/>
        <v>0</v>
      </c>
      <c r="AL44" s="464">
        <f t="shared" si="9"/>
        <v>0.50406143628061439</v>
      </c>
      <c r="AM44" s="465">
        <f t="shared" si="10"/>
        <v>0</v>
      </c>
      <c r="AN44" s="466">
        <f t="shared" si="11"/>
        <v>0</v>
      </c>
      <c r="AO44" s="11"/>
    </row>
    <row r="45" spans="1:41" x14ac:dyDescent="0.25">
      <c r="A45" s="65" t="s">
        <v>26</v>
      </c>
      <c r="B45" s="66"/>
      <c r="C45" s="11"/>
      <c r="D45" s="11"/>
      <c r="E45" s="11"/>
      <c r="F45" s="11"/>
      <c r="G45" s="11"/>
      <c r="H45" s="88" t="s">
        <v>924</v>
      </c>
      <c r="I45" s="122" t="str">
        <f>IF(_epmOfflineCondition_,"T4",_xll.EVPRO($B$1,$H45,"STYLE"))</f>
        <v>T4</v>
      </c>
      <c r="J45" s="122" t="str">
        <f>IF(_epmOfflineCondition_,"Y",_xll.EVPRO($B$1,$H45,"CALC"))</f>
        <v>Y</v>
      </c>
      <c r="K45" s="179" t="str">
        <f t="shared" si="0"/>
        <v>&gt;</v>
      </c>
      <c r="L45" s="90" t="str">
        <f>IF(_epmOfflineCondition_,"",_xll.EVPRO($B$1,H45,"JDEID"))</f>
        <v/>
      </c>
      <c r="M45" s="90" t="str">
        <f>IF(_epmOfflineCondition_,"",IF(AND(I45="N",J45="N"),_xll.EVPRO($B$1,H45,"PSFTID"),""))</f>
        <v/>
      </c>
      <c r="N45" s="90" t="str">
        <f>IF(_epmOfflineCondition_,"Wellness Pay",IF(_xll.EVDES(H45,$B$1)="#NODATA","",_xll.EVDES(H45,$B$1)))</f>
        <v>Wellness Pay</v>
      </c>
      <c r="O45" s="138">
        <v>4225.6899999999996</v>
      </c>
      <c r="P45" s="138">
        <v>1187.5999999999999</v>
      </c>
      <c r="Q45" s="138">
        <v>1447.7</v>
      </c>
      <c r="R45" s="138">
        <v>2276.52</v>
      </c>
      <c r="S45" s="138">
        <v>2647.8</v>
      </c>
      <c r="T45" s="138">
        <v>2135.35</v>
      </c>
      <c r="U45" s="138">
        <v>2160.27</v>
      </c>
      <c r="V45" s="138">
        <v>1593.7</v>
      </c>
      <c r="W45" s="138">
        <v>2537.52</v>
      </c>
      <c r="X45" s="138">
        <v>-175.18</v>
      </c>
      <c r="Y45" s="138">
        <v>1945.63</v>
      </c>
      <c r="Z45" s="138">
        <v>-357.92</v>
      </c>
      <c r="AA45" s="138">
        <f t="shared" si="1"/>
        <v>21624.68</v>
      </c>
      <c r="AB45" s="142">
        <f t="shared" si="2"/>
        <v>1.4677976506447645E-3</v>
      </c>
      <c r="AC45" s="140"/>
      <c r="AD45" s="138">
        <v>41653.733595314101</v>
      </c>
      <c r="AE45" s="142">
        <f t="shared" si="3"/>
        <v>2.8480442800665065E-3</v>
      </c>
      <c r="AF45" s="141">
        <f t="shared" si="4"/>
        <v>-20029.053595314101</v>
      </c>
      <c r="AG45" s="138">
        <v>19082.580000000002</v>
      </c>
      <c r="AH45" s="142">
        <f t="shared" si="5"/>
        <v>1.6026994382967051E-3</v>
      </c>
      <c r="AI45" s="141">
        <f t="shared" si="6"/>
        <v>2542.0999999999985</v>
      </c>
      <c r="AJ45" s="462">
        <f t="shared" si="7"/>
        <v>0.44883105022831049</v>
      </c>
      <c r="AK45" s="463">
        <f t="shared" si="8"/>
        <v>0.86454407628298258</v>
      </c>
      <c r="AL45" s="464">
        <f t="shared" si="9"/>
        <v>0.39606849315068499</v>
      </c>
      <c r="AM45" s="465" t="str">
        <f t="shared" si="10"/>
        <v>-0.14 pts.</v>
      </c>
      <c r="AN45" s="466" t="str">
        <f t="shared" si="11"/>
        <v>-0.01 pts.</v>
      </c>
      <c r="AO45" s="11"/>
    </row>
    <row r="46" spans="1:41" x14ac:dyDescent="0.25">
      <c r="A46" s="65" t="s">
        <v>27</v>
      </c>
      <c r="B46" s="66"/>
      <c r="C46" s="11"/>
      <c r="D46" s="11"/>
      <c r="E46" s="11"/>
      <c r="F46" s="11"/>
      <c r="G46" s="11"/>
      <c r="H46" s="88" t="s">
        <v>925</v>
      </c>
      <c r="I46" s="122" t="str">
        <f>IF(_epmOfflineCondition_,"N",_xll.EVPRO($B$1,$H46,"STYLE"))</f>
        <v>N</v>
      </c>
      <c r="J46" s="122" t="str">
        <f>IF(_epmOfflineCondition_,"N",_xll.EVPRO($B$1,$H46,"CALC"))</f>
        <v>N</v>
      </c>
      <c r="K46" s="179" t="str">
        <f t="shared" si="0"/>
        <v/>
      </c>
      <c r="L46" s="90" t="str">
        <f>IF(_epmOfflineCondition_,"692500",_xll.EVPRO($B$1,H46,"JDEID"))</f>
        <v>692500</v>
      </c>
      <c r="M46" s="90" t="str">
        <f>IF(_epmOfflineCondition_,"490500",IF(AND(I46="N",J46="N"),_xll.EVPRO($B$1,H46,"PSFTID"),""))</f>
        <v>490500</v>
      </c>
      <c r="N46" s="90" t="str">
        <f>IF(_epmOfflineCondition_,"Holiday Pay",IF(_xll.EVDES(H46,$B$1)="#NODATA","",_xll.EVDES(H46,$B$1)))</f>
        <v>Holiday Pay</v>
      </c>
      <c r="O46" s="138">
        <v>8814.0300000000007</v>
      </c>
      <c r="P46" s="138">
        <v>740.87</v>
      </c>
      <c r="Q46" s="138">
        <v>196.98</v>
      </c>
      <c r="R46" s="138"/>
      <c r="S46" s="138">
        <v>6838.74</v>
      </c>
      <c r="T46" s="138">
        <v>277.31</v>
      </c>
      <c r="U46" s="138">
        <v>6091.64</v>
      </c>
      <c r="V46" s="138">
        <v>160</v>
      </c>
      <c r="W46" s="138">
        <v>5860.51</v>
      </c>
      <c r="X46" s="138"/>
      <c r="Y46" s="138">
        <v>6693.56</v>
      </c>
      <c r="Z46" s="138">
        <v>8616.58</v>
      </c>
      <c r="AA46" s="138">
        <f t="shared" si="1"/>
        <v>44290.22</v>
      </c>
      <c r="AB46" s="142">
        <f t="shared" si="2"/>
        <v>3.0062447565716468E-3</v>
      </c>
      <c r="AC46" s="140"/>
      <c r="AD46" s="138">
        <v>84309.777792142093</v>
      </c>
      <c r="AE46" s="142">
        <f t="shared" si="3"/>
        <v>5.764620831530955E-3</v>
      </c>
      <c r="AF46" s="141">
        <f t="shared" si="4"/>
        <v>-40019.557792142092</v>
      </c>
      <c r="AG46" s="138">
        <v>38469.01</v>
      </c>
      <c r="AH46" s="142">
        <f t="shared" si="5"/>
        <v>3.2309184983807392E-3</v>
      </c>
      <c r="AI46" s="141">
        <f t="shared" si="6"/>
        <v>5821.2099999999991</v>
      </c>
      <c r="AJ46" s="462">
        <f t="shared" si="7"/>
        <v>0.91926567040265672</v>
      </c>
      <c r="AK46" s="463">
        <f t="shared" si="8"/>
        <v>1.7498916104637212</v>
      </c>
      <c r="AL46" s="464">
        <f t="shared" si="9"/>
        <v>0.79844354503943549</v>
      </c>
      <c r="AM46" s="465" t="str">
        <f t="shared" si="10"/>
        <v>-0.28 pts.</v>
      </c>
      <c r="AN46" s="466" t="str">
        <f t="shared" si="11"/>
        <v>-0.02 pts.</v>
      </c>
      <c r="AO46" s="11"/>
    </row>
    <row r="47" spans="1:41" x14ac:dyDescent="0.25">
      <c r="A47" s="65" t="s">
        <v>28</v>
      </c>
      <c r="B47" s="66"/>
      <c r="C47" s="11"/>
      <c r="D47" s="11"/>
      <c r="E47" s="11"/>
      <c r="F47" s="11"/>
      <c r="G47" s="11"/>
      <c r="H47" s="88" t="s">
        <v>926</v>
      </c>
      <c r="I47" s="122" t="str">
        <f>IF(_epmOfflineCondition_,"T4",_xll.EVPRO($B$1,$H47,"STYLE"))</f>
        <v>T4</v>
      </c>
      <c r="J47" s="122" t="str">
        <f>IF(_epmOfflineCondition_,"Y",_xll.EVPRO($B$1,$H47,"CALC"))</f>
        <v>Y</v>
      </c>
      <c r="K47" s="179" t="str">
        <f t="shared" si="0"/>
        <v>&gt;</v>
      </c>
      <c r="L47" s="90" t="str">
        <f>IF(_epmOfflineCondition_,"",_xll.EVPRO($B$1,H47,"JDEID"))</f>
        <v/>
      </c>
      <c r="M47" s="90" t="str">
        <f>IF(_epmOfflineCondition_,"",IF(AND(I47="N",J47="N"),_xll.EVPRO($B$1,H47,"PSFTID"),""))</f>
        <v/>
      </c>
      <c r="N47" s="90" t="str">
        <f>IF(_epmOfflineCondition_,"Vacation Pay",IF(_xll.EVDES(H47,$B$1)="#NODATA","",_xll.EVDES(H47,$B$1)))</f>
        <v>Vacation Pay</v>
      </c>
      <c r="O47" s="215">
        <v>6087.3</v>
      </c>
      <c r="P47" s="215">
        <v>6344.82</v>
      </c>
      <c r="Q47" s="215">
        <v>3230.36</v>
      </c>
      <c r="R47" s="215">
        <v>7845.37</v>
      </c>
      <c r="S47" s="215">
        <v>7484.45</v>
      </c>
      <c r="T47" s="215">
        <v>7697.93</v>
      </c>
      <c r="U47" s="215">
        <v>6714.07</v>
      </c>
      <c r="V47" s="215">
        <v>11113.09</v>
      </c>
      <c r="W47" s="215">
        <v>5429.94</v>
      </c>
      <c r="X47" s="215">
        <v>5750.4</v>
      </c>
      <c r="Y47" s="215">
        <v>8374.57</v>
      </c>
      <c r="Z47" s="215">
        <v>7149.07</v>
      </c>
      <c r="AA47" s="215">
        <f t="shared" si="1"/>
        <v>83221.37</v>
      </c>
      <c r="AB47" s="217">
        <f t="shared" si="2"/>
        <v>5.6487370619791224E-3</v>
      </c>
      <c r="AC47" s="140"/>
      <c r="AD47" s="215">
        <v>76863.744307189205</v>
      </c>
      <c r="AE47" s="217">
        <f t="shared" si="3"/>
        <v>5.2555036109226821E-3</v>
      </c>
      <c r="AF47" s="218">
        <f t="shared" si="4"/>
        <v>6357.6256928107905</v>
      </c>
      <c r="AG47" s="215">
        <v>80433.350000000006</v>
      </c>
      <c r="AH47" s="217">
        <f t="shared" si="5"/>
        <v>6.755401254197403E-3</v>
      </c>
      <c r="AI47" s="218">
        <f t="shared" si="6"/>
        <v>2788.0199999999895</v>
      </c>
      <c r="AJ47" s="471">
        <f t="shared" si="7"/>
        <v>1.7273011623080115</v>
      </c>
      <c r="AK47" s="472">
        <f t="shared" si="8"/>
        <v>1.5953454609213202</v>
      </c>
      <c r="AL47" s="473">
        <f t="shared" si="9"/>
        <v>1.6694344126193443</v>
      </c>
      <c r="AM47" s="474" t="str">
        <f t="shared" si="10"/>
        <v>0.04 pts.</v>
      </c>
      <c r="AN47" s="475" t="str">
        <f t="shared" si="11"/>
        <v>-0.11 pts.</v>
      </c>
      <c r="AO47" s="11"/>
    </row>
    <row r="48" spans="1:41" x14ac:dyDescent="0.25">
      <c r="A48" s="65" t="s">
        <v>29</v>
      </c>
      <c r="B48" s="66"/>
      <c r="C48" s="11"/>
      <c r="D48" s="11"/>
      <c r="E48" s="11"/>
      <c r="F48" s="11"/>
      <c r="G48" s="11"/>
      <c r="H48" s="88" t="s">
        <v>851</v>
      </c>
      <c r="I48" s="188" t="str">
        <f>IF(_epmOfflineCondition_,"T3",_xll.EVPRO($B$1,$H48,"STYLE"))</f>
        <v>T3</v>
      </c>
      <c r="J48" s="188" t="str">
        <f>IF(_epmOfflineCondition_,"Y",_xll.EVPRO($B$1,$H48,"CALC"))</f>
        <v>Y</v>
      </c>
      <c r="K48" s="189" t="str">
        <f t="shared" si="0"/>
        <v/>
      </c>
      <c r="L48" s="190" t="str">
        <f>IF(_epmOfflineCondition_,"",_xll.EVPRO($B$1,H48,"JDEID"))</f>
        <v/>
      </c>
      <c r="M48" s="190" t="str">
        <f>IF(_epmOfflineCondition_,"",IF(AND(I48="N",J48="N"),_xll.EVPRO($B$1,H48,"PSFTID"),""))</f>
        <v/>
      </c>
      <c r="N48" s="190" t="str">
        <f>IF(_epmOfflineCondition_,"Supplemental Pay",IF(_xll.EVDES(H48,$B$1)="#NODATA","",_xll.EVDES(H48,$B$1)))</f>
        <v>Supplemental Pay</v>
      </c>
      <c r="O48" s="150">
        <v>19627.02</v>
      </c>
      <c r="P48" s="150">
        <v>8273.2900000000009</v>
      </c>
      <c r="Q48" s="150">
        <v>4875.04</v>
      </c>
      <c r="R48" s="150">
        <v>10121.89</v>
      </c>
      <c r="S48" s="150">
        <v>16970.990000000002</v>
      </c>
      <c r="T48" s="150">
        <v>10110.59</v>
      </c>
      <c r="U48" s="150">
        <v>14965.98</v>
      </c>
      <c r="V48" s="150">
        <v>13008.17</v>
      </c>
      <c r="W48" s="150">
        <v>14199.97</v>
      </c>
      <c r="X48" s="150">
        <v>5575.22</v>
      </c>
      <c r="Y48" s="150">
        <v>17013.759999999998</v>
      </c>
      <c r="Z48" s="150">
        <v>15407.73</v>
      </c>
      <c r="AA48" s="150">
        <f t="shared" si="1"/>
        <v>150149.65</v>
      </c>
      <c r="AB48" s="151">
        <f t="shared" si="2"/>
        <v>1.0191563690890856E-2</v>
      </c>
      <c r="AC48" s="244"/>
      <c r="AD48" s="150">
        <v>202827.25569464499</v>
      </c>
      <c r="AE48" s="151">
        <f t="shared" si="3"/>
        <v>1.3868168722520115E-2</v>
      </c>
      <c r="AF48" s="152">
        <f t="shared" si="4"/>
        <v>-52677.605694644997</v>
      </c>
      <c r="AG48" s="150">
        <v>162509.76000000001</v>
      </c>
      <c r="AH48" s="151">
        <f t="shared" si="5"/>
        <v>1.3648799117820144E-2</v>
      </c>
      <c r="AI48" s="152">
        <f t="shared" si="6"/>
        <v>-12360.110000000015</v>
      </c>
      <c r="AJ48" s="250">
        <f t="shared" si="7"/>
        <v>3.1164310917393108</v>
      </c>
      <c r="AK48" s="251">
        <f t="shared" si="8"/>
        <v>4.209781147668016</v>
      </c>
      <c r="AL48" s="253">
        <f t="shared" si="9"/>
        <v>3.372971357409714</v>
      </c>
      <c r="AM48" s="433" t="str">
        <f t="shared" si="10"/>
        <v>-0.37 pts.</v>
      </c>
      <c r="AN48" s="614" t="str">
        <f t="shared" si="11"/>
        <v>-0.35 pts.</v>
      </c>
      <c r="AO48" s="11"/>
    </row>
    <row r="49" spans="1:41" x14ac:dyDescent="0.25">
      <c r="A49" s="65" t="s">
        <v>30</v>
      </c>
      <c r="B49" s="66" t="s">
        <v>78</v>
      </c>
      <c r="C49" s="11"/>
      <c r="D49" s="11"/>
      <c r="E49" s="11"/>
      <c r="F49" s="11"/>
      <c r="G49" s="11"/>
      <c r="H49" s="11"/>
      <c r="I49" s="11"/>
      <c r="J49" s="11"/>
      <c r="K49" s="11"/>
      <c r="L49" s="11"/>
      <c r="M49" s="11"/>
      <c r="N49" s="90"/>
      <c r="O49" s="129"/>
      <c r="P49" s="130"/>
      <c r="Q49" s="130"/>
      <c r="R49" s="130"/>
      <c r="S49" s="130"/>
      <c r="T49" s="130"/>
      <c r="U49" s="130"/>
      <c r="V49" s="130"/>
      <c r="W49" s="130"/>
      <c r="X49" s="130"/>
      <c r="Y49" s="130"/>
      <c r="Z49" s="130"/>
      <c r="AA49" s="130"/>
      <c r="AB49" s="131"/>
      <c r="AC49" s="11"/>
      <c r="AD49" s="129"/>
      <c r="AE49" s="130"/>
      <c r="AF49" s="131"/>
      <c r="AG49" s="129"/>
      <c r="AH49" s="130"/>
      <c r="AI49" s="131"/>
      <c r="AJ49" s="11"/>
      <c r="AK49" s="11"/>
      <c r="AL49" s="11"/>
      <c r="AM49" s="11"/>
      <c r="AN49" s="11"/>
      <c r="AO49" s="11"/>
    </row>
    <row r="50" spans="1:41" x14ac:dyDescent="0.25">
      <c r="A50" s="65" t="s">
        <v>31</v>
      </c>
      <c r="B50" s="66" t="s">
        <v>78</v>
      </c>
      <c r="C50" s="11"/>
      <c r="D50" s="11"/>
      <c r="E50" s="11"/>
      <c r="F50" s="11"/>
      <c r="G50" s="11"/>
      <c r="H50" s="11"/>
      <c r="I50" s="59"/>
      <c r="J50" s="59"/>
      <c r="K50" s="11"/>
      <c r="L50" s="59"/>
      <c r="M50" s="59"/>
      <c r="N50" s="53" t="s">
        <v>562</v>
      </c>
      <c r="O50" s="119"/>
      <c r="P50" s="120"/>
      <c r="Q50" s="120"/>
      <c r="R50" s="120"/>
      <c r="S50" s="120"/>
      <c r="T50" s="120"/>
      <c r="U50" s="120"/>
      <c r="V50" s="120"/>
      <c r="W50" s="120"/>
      <c r="X50" s="120"/>
      <c r="Y50" s="120"/>
      <c r="Z50" s="120"/>
      <c r="AA50" s="120"/>
      <c r="AB50" s="121"/>
      <c r="AC50" s="11"/>
      <c r="AD50" s="119"/>
      <c r="AE50" s="120"/>
      <c r="AF50" s="121"/>
      <c r="AG50" s="119"/>
      <c r="AH50" s="120"/>
      <c r="AI50" s="121"/>
      <c r="AJ50" s="11"/>
      <c r="AK50" s="11"/>
      <c r="AL50" s="11"/>
      <c r="AM50" s="11"/>
      <c r="AN50" s="11"/>
      <c r="AO50" s="11"/>
    </row>
    <row r="51" spans="1:41" x14ac:dyDescent="0.25">
      <c r="A51" s="65" t="s">
        <v>32</v>
      </c>
      <c r="B51" s="66"/>
      <c r="C51" s="11"/>
      <c r="D51" s="11"/>
      <c r="E51" s="11"/>
      <c r="F51" s="11"/>
      <c r="G51" s="11"/>
      <c r="H51" s="88" t="s">
        <v>911</v>
      </c>
      <c r="I51" s="122" t="str">
        <f>IF(_epmOfflineCondition_,"N",_xll.EVPRO($B$1,$H51,"STYLE"))</f>
        <v>N</v>
      </c>
      <c r="J51" s="122" t="str">
        <f>IF(_epmOfflineCondition_,"N",_xll.EVPRO($B$1,$H51,"CALC"))</f>
        <v>N</v>
      </c>
      <c r="K51" s="179" t="str">
        <f t="shared" ref="K51:K61" si="12">IF(AND(I51&gt;="T4"),"&gt;","")</f>
        <v/>
      </c>
      <c r="L51" s="90" t="str">
        <f>IF(_epmOfflineCondition_,"693040",_xll.EVPRO($B$1,H51,"JDEID"))</f>
        <v>693040</v>
      </c>
      <c r="M51" s="90" t="str">
        <f>IF(_epmOfflineCondition_,"490120",IF(AND(I51="N",J51="N"),_xll.EVPRO($B$1,H51,"PSFTID"),""))</f>
        <v>490120</v>
      </c>
      <c r="N51" s="90" t="str">
        <f>IF(_epmOfflineCondition_,"Automobile Allowance",IF(_xll.EVDES(H51,$B$1)="#NODATA","",_xll.EVDES(H51,$B$1)))</f>
        <v>Automobile Allowance</v>
      </c>
      <c r="O51" s="138"/>
      <c r="P51" s="138"/>
      <c r="Q51" s="138"/>
      <c r="R51" s="138"/>
      <c r="S51" s="138"/>
      <c r="T51" s="138"/>
      <c r="U51" s="138"/>
      <c r="V51" s="138"/>
      <c r="W51" s="138"/>
      <c r="X51" s="138"/>
      <c r="Y51" s="138"/>
      <c r="Z51" s="138"/>
      <c r="AA51" s="138">
        <f t="shared" ref="AA51:AA61" si="13">IF($I51="B1","",SUM(O51:Z51))</f>
        <v>0</v>
      </c>
      <c r="AB51" s="142" t="str">
        <f t="shared" ref="AB51:AB61" si="14">IF(AA51=0,"",IFERROR(AA51/AA$19,""))</f>
        <v/>
      </c>
      <c r="AC51" s="140"/>
      <c r="AD51" s="138"/>
      <c r="AE51" s="142" t="str">
        <f t="shared" ref="AE51:AE61" si="15">IF(AD51=0,"",IFERROR(AD51/AD$19,""))</f>
        <v/>
      </c>
      <c r="AF51" s="141">
        <f t="shared" ref="AF51:AF61" si="16">IF(AND($AA51="",AD51=""),"",$AA51-AD51)</f>
        <v>0</v>
      </c>
      <c r="AG51" s="138">
        <v>-50</v>
      </c>
      <c r="AH51" s="142">
        <f t="shared" ref="AH51:AH61" si="17">IF(AG51=0,"",IFERROR(AG51/AG$19,""))</f>
        <v>-4.1993782766709343E-6</v>
      </c>
      <c r="AI51" s="141">
        <f t="shared" ref="AI51:AI61" si="18">IF(AND($AA51="",AG51=""),"",$AA51-AG51)</f>
        <v>50</v>
      </c>
      <c r="AJ51" s="462">
        <f t="shared" ref="AJ51:AJ61" si="19">IFERROR(AA51/AA$20,0)</f>
        <v>0</v>
      </c>
      <c r="AK51" s="463">
        <f t="shared" ref="AK51:AK61" si="20">IFERROR(AD51/AD$20,0)</f>
        <v>0</v>
      </c>
      <c r="AL51" s="464">
        <f t="shared" ref="AL51:AL61" si="21">IFERROR(AG51/AG$20,0)</f>
        <v>-1.0377750103777502E-3</v>
      </c>
      <c r="AM51" s="465">
        <f t="shared" ref="AM51:AM61" si="22">+IFERROR(ROUND(($AB51-AE51)*100,2)&amp;" pts.",0)</f>
        <v>0</v>
      </c>
      <c r="AN51" s="466">
        <f t="shared" ref="AN51:AN61" si="23">+IFERROR(ROUND(($AB51-AH51)*100,2)&amp;" pts.",0)</f>
        <v>0</v>
      </c>
      <c r="AO51" s="11"/>
    </row>
    <row r="52" spans="1:41" x14ac:dyDescent="0.25">
      <c r="A52" s="65" t="s">
        <v>33</v>
      </c>
      <c r="B52" s="66"/>
      <c r="C52" s="11"/>
      <c r="D52" s="11"/>
      <c r="E52" s="11"/>
      <c r="F52" s="11"/>
      <c r="G52" s="11"/>
      <c r="H52" s="88" t="s">
        <v>912</v>
      </c>
      <c r="I52" s="122" t="str">
        <f>IF(_epmOfflineCondition_,"T4",_xll.EVPRO($B$1,$H52,"STYLE"))</f>
        <v>T4</v>
      </c>
      <c r="J52" s="122" t="str">
        <f>IF(_epmOfflineCondition_,"Y",_xll.EVPRO($B$1,$H52,"CALC"))</f>
        <v>Y</v>
      </c>
      <c r="K52" s="179" t="str">
        <f t="shared" si="12"/>
        <v>&gt;</v>
      </c>
      <c r="L52" s="90" t="str">
        <f>IF(_epmOfflineCondition_,"",_xll.EVPRO($B$1,H52,"JDEID"))</f>
        <v/>
      </c>
      <c r="M52" s="90" t="str">
        <f>IF(_epmOfflineCondition_,"",IF(AND(I52="N",J52="N"),_xll.EVPRO($B$1,H52,"PSFTID"),""))</f>
        <v/>
      </c>
      <c r="N52" s="90" t="str">
        <f>IF(_epmOfflineCondition_,"Contributory Savings Plan",IF(_xll.EVDES(H52,$B$1)="#NODATA","",_xll.EVDES(H52,$B$1)))</f>
        <v>Contributory Savings Plan</v>
      </c>
      <c r="O52" s="138">
        <v>1129.94</v>
      </c>
      <c r="P52" s="138">
        <v>2798.57</v>
      </c>
      <c r="Q52" s="138">
        <v>2182.6999999999998</v>
      </c>
      <c r="R52" s="138">
        <v>2036.37</v>
      </c>
      <c r="S52" s="138">
        <v>2292.3000000000002</v>
      </c>
      <c r="T52" s="138">
        <v>2042.45</v>
      </c>
      <c r="U52" s="138">
        <v>1931.1</v>
      </c>
      <c r="V52" s="138">
        <v>2196.19</v>
      </c>
      <c r="W52" s="138">
        <v>1824.16</v>
      </c>
      <c r="X52" s="138">
        <v>1975.79</v>
      </c>
      <c r="Y52" s="138">
        <v>2183.6999999999998</v>
      </c>
      <c r="Z52" s="138">
        <v>2531.92</v>
      </c>
      <c r="AA52" s="138">
        <f t="shared" si="13"/>
        <v>25125.190000000002</v>
      </c>
      <c r="AB52" s="142">
        <f t="shared" si="14"/>
        <v>1.7053984083927871E-3</v>
      </c>
      <c r="AC52" s="140"/>
      <c r="AD52" s="138">
        <v>17019.003332726199</v>
      </c>
      <c r="AE52" s="142">
        <f t="shared" si="15"/>
        <v>1.1636621956898593E-3</v>
      </c>
      <c r="AF52" s="141">
        <f t="shared" si="16"/>
        <v>8106.1866672738033</v>
      </c>
      <c r="AG52" s="138">
        <v>14973.38</v>
      </c>
      <c r="AH52" s="142">
        <f t="shared" si="17"/>
        <v>1.2575777340067807E-3</v>
      </c>
      <c r="AI52" s="141">
        <f t="shared" si="18"/>
        <v>10151.810000000003</v>
      </c>
      <c r="AJ52" s="462">
        <f t="shared" si="19"/>
        <v>0.52148588625985892</v>
      </c>
      <c r="AK52" s="463">
        <f t="shared" si="20"/>
        <v>0.35323792720477787</v>
      </c>
      <c r="AL52" s="464">
        <f t="shared" si="21"/>
        <v>0.31077999169779991</v>
      </c>
      <c r="AM52" s="465" t="str">
        <f t="shared" si="22"/>
        <v>0.05 pts.</v>
      </c>
      <c r="AN52" s="466" t="str">
        <f t="shared" si="23"/>
        <v>0.04 pts.</v>
      </c>
      <c r="AO52" s="11"/>
    </row>
    <row r="53" spans="1:41" x14ac:dyDescent="0.25">
      <c r="A53" s="65" t="s">
        <v>34</v>
      </c>
      <c r="B53" s="66"/>
      <c r="C53" s="11"/>
      <c r="D53" s="11"/>
      <c r="E53" s="11"/>
      <c r="F53" s="11"/>
      <c r="G53" s="11"/>
      <c r="H53" s="88" t="s">
        <v>913</v>
      </c>
      <c r="I53" s="122" t="str">
        <f>IF(_epmOfflineCondition_,"N",_xll.EVPRO($B$1,$H53,"STYLE"))</f>
        <v>N</v>
      </c>
      <c r="J53" s="122" t="str">
        <f>IF(_epmOfflineCondition_,"N",_xll.EVPRO($B$1,$H53,"CALC"))</f>
        <v>N</v>
      </c>
      <c r="K53" s="179" t="str">
        <f t="shared" si="12"/>
        <v/>
      </c>
      <c r="L53" s="90" t="str">
        <f>IF(_epmOfflineCondition_,"693160",_xll.EVPRO($B$1,H53,"JDEID"))</f>
        <v>693160</v>
      </c>
      <c r="M53" s="90" t="str">
        <f>IF(_epmOfflineCondition_,"490700",IF(AND(I53="N",J53="N"),_xll.EVPRO($B$1,H53,"PSFTID"),""))</f>
        <v>490700</v>
      </c>
      <c r="N53" s="90" t="str">
        <f>IF(_epmOfflineCondition_,"Dental Insurance",IF(_xll.EVDES(H53,$B$1)="#NODATA","",_xll.EVDES(H53,$B$1)))</f>
        <v>Dental Insurance</v>
      </c>
      <c r="O53" s="138">
        <v>540.26</v>
      </c>
      <c r="P53" s="138">
        <v>314.73</v>
      </c>
      <c r="Q53" s="138">
        <v>313.81</v>
      </c>
      <c r="R53" s="138">
        <v>354.34</v>
      </c>
      <c r="S53" s="138">
        <v>330.4</v>
      </c>
      <c r="T53" s="138">
        <v>475</v>
      </c>
      <c r="U53" s="138">
        <v>368.44</v>
      </c>
      <c r="V53" s="138">
        <v>487.44</v>
      </c>
      <c r="W53" s="138">
        <v>-511.62</v>
      </c>
      <c r="X53" s="138">
        <v>1518.51</v>
      </c>
      <c r="Y53" s="138">
        <v>506.04</v>
      </c>
      <c r="Z53" s="138">
        <v>506.05</v>
      </c>
      <c r="AA53" s="138">
        <f t="shared" si="13"/>
        <v>5203.4000000000005</v>
      </c>
      <c r="AB53" s="142">
        <f t="shared" si="14"/>
        <v>3.5318618797434081E-4</v>
      </c>
      <c r="AC53" s="140"/>
      <c r="AD53" s="138">
        <v>8570.16</v>
      </c>
      <c r="AE53" s="142">
        <f t="shared" si="15"/>
        <v>5.8597856807728293E-4</v>
      </c>
      <c r="AF53" s="141">
        <f t="shared" si="16"/>
        <v>-3366.7599999999993</v>
      </c>
      <c r="AG53" s="138">
        <v>4448.6899999999996</v>
      </c>
      <c r="AH53" s="142">
        <f t="shared" si="17"/>
        <v>3.7363464291286435E-4</v>
      </c>
      <c r="AI53" s="141">
        <f t="shared" si="18"/>
        <v>754.71000000000095</v>
      </c>
      <c r="AJ53" s="462">
        <f t="shared" si="19"/>
        <v>0.1079991697799917</v>
      </c>
      <c r="AK53" s="463">
        <f t="shared" si="20"/>
        <v>0.17787795765877956</v>
      </c>
      <c r="AL53" s="464">
        <f t="shared" si="21"/>
        <v>9.2334786218347856E-2</v>
      </c>
      <c r="AM53" s="465" t="str">
        <f t="shared" si="22"/>
        <v>-0.02 pts.</v>
      </c>
      <c r="AN53" s="466" t="str">
        <f t="shared" si="23"/>
        <v>0 pts.</v>
      </c>
      <c r="AO53" s="11"/>
    </row>
    <row r="54" spans="1:41" x14ac:dyDescent="0.25">
      <c r="A54" s="65" t="s">
        <v>35</v>
      </c>
      <c r="B54" s="66"/>
      <c r="C54" s="11"/>
      <c r="D54" s="11"/>
      <c r="E54" s="11"/>
      <c r="F54" s="11"/>
      <c r="G54" s="11"/>
      <c r="H54" s="88" t="s">
        <v>914</v>
      </c>
      <c r="I54" s="122" t="str">
        <f>IF(_epmOfflineCondition_,"N",_xll.EVPRO($B$1,$H54,"STYLE"))</f>
        <v>N</v>
      </c>
      <c r="J54" s="122" t="str">
        <f>IF(_epmOfflineCondition_,"N",_xll.EVPRO($B$1,$H54,"CALC"))</f>
        <v>N</v>
      </c>
      <c r="K54" s="179" t="str">
        <f t="shared" si="12"/>
        <v/>
      </c>
      <c r="L54" s="90" t="str">
        <f>IF(_epmOfflineCondition_,"693200",_xll.EVPRO($B$1,H54,"JDEID"))</f>
        <v>693200</v>
      </c>
      <c r="M54" s="90" t="str">
        <f>IF(_epmOfflineCondition_,"490046",IF(AND(I54="N",J54="N"),_xll.EVPRO($B$1,H54,"PSFTID"),""))</f>
        <v>490046</v>
      </c>
      <c r="N54" s="90" t="str">
        <f>IF(_epmOfflineCondition_,"Disability Insurance",IF(_xll.EVDES(H54,$B$1)="#NODATA","",_xll.EVDES(H54,$B$1)))</f>
        <v>Disability Insurance</v>
      </c>
      <c r="O54" s="138">
        <v>44.15</v>
      </c>
      <c r="P54" s="138">
        <v>-0.05</v>
      </c>
      <c r="Q54" s="138">
        <v>-4.9999999999986902E-2</v>
      </c>
      <c r="R54" s="138">
        <v>-0.05</v>
      </c>
      <c r="S54" s="138">
        <v>-9.7899999999999991</v>
      </c>
      <c r="T54" s="138">
        <v>76.31</v>
      </c>
      <c r="U54" s="138">
        <v>-62.06</v>
      </c>
      <c r="V54" s="138">
        <v>-0.06</v>
      </c>
      <c r="W54" s="138">
        <v>-459.6</v>
      </c>
      <c r="X54" s="138">
        <v>476.71</v>
      </c>
      <c r="Y54" s="138">
        <v>-16.829999999999998</v>
      </c>
      <c r="Z54" s="138">
        <v>-0.04</v>
      </c>
      <c r="AA54" s="138">
        <f t="shared" si="13"/>
        <v>48.639999999999937</v>
      </c>
      <c r="AB54" s="142">
        <f t="shared" si="14"/>
        <v>3.301490599045223E-6</v>
      </c>
      <c r="AC54" s="140"/>
      <c r="AD54" s="138">
        <v>-775.45619999999997</v>
      </c>
      <c r="AE54" s="142">
        <f t="shared" si="15"/>
        <v>-5.3021263743343306E-5</v>
      </c>
      <c r="AF54" s="141">
        <f t="shared" si="16"/>
        <v>824.09619999999995</v>
      </c>
      <c r="AG54" s="138">
        <v>14.46</v>
      </c>
      <c r="AH54" s="142">
        <f t="shared" si="17"/>
        <v>1.2144601976132344E-6</v>
      </c>
      <c r="AI54" s="141">
        <f t="shared" si="18"/>
        <v>34.179999999999936</v>
      </c>
      <c r="AJ54" s="462">
        <f t="shared" si="19"/>
        <v>1.009547530095474E-3</v>
      </c>
      <c r="AK54" s="463">
        <f t="shared" si="20"/>
        <v>-1.6094981320049811E-2</v>
      </c>
      <c r="AL54" s="464">
        <f t="shared" si="21"/>
        <v>3.0012453300124533E-4</v>
      </c>
      <c r="AM54" s="465" t="str">
        <f t="shared" si="22"/>
        <v>0.01 pts.</v>
      </c>
      <c r="AN54" s="466" t="str">
        <f t="shared" si="23"/>
        <v>0 pts.</v>
      </c>
      <c r="AO54" s="11"/>
    </row>
    <row r="55" spans="1:41" x14ac:dyDescent="0.25">
      <c r="A55" s="65" t="s">
        <v>36</v>
      </c>
      <c r="B55" s="66"/>
      <c r="C55" s="11"/>
      <c r="D55" s="11"/>
      <c r="E55" s="11"/>
      <c r="F55" s="11"/>
      <c r="G55" s="11"/>
      <c r="H55" s="88" t="s">
        <v>915</v>
      </c>
      <c r="I55" s="122" t="str">
        <f>IF(_epmOfflineCondition_,"N",_xll.EVPRO($B$1,$H55,"STYLE"))</f>
        <v>N</v>
      </c>
      <c r="J55" s="122" t="str">
        <f>IF(_epmOfflineCondition_,"N",_xll.EVPRO($B$1,$H55,"CALC"))</f>
        <v>N</v>
      </c>
      <c r="K55" s="179" t="str">
        <f t="shared" si="12"/>
        <v/>
      </c>
      <c r="L55" s="90" t="str">
        <f>IF(_epmOfflineCondition_,"693280",_xll.EVPRO($B$1,H55,"JDEID"))</f>
        <v>693280</v>
      </c>
      <c r="M55" s="90" t="str">
        <f>IF(_epmOfflineCondition_,"490043",IF(AND(I55="N",J55="N"),_xll.EVPRO($B$1,H55,"PSFTID"),""))</f>
        <v>490043</v>
      </c>
      <c r="N55" s="90" t="str">
        <f>IF(_epmOfflineCondition_,"Group Life Insurance",IF(_xll.EVDES(H55,$B$1)="#NODATA","",_xll.EVDES(H55,$B$1)))</f>
        <v>Group Life Insurance</v>
      </c>
      <c r="O55" s="138">
        <v>72.77</v>
      </c>
      <c r="P55" s="138">
        <v>58.72</v>
      </c>
      <c r="Q55" s="138">
        <v>-39.6</v>
      </c>
      <c r="R55" s="138">
        <v>63.82</v>
      </c>
      <c r="S55" s="138">
        <v>65.95</v>
      </c>
      <c r="T55" s="138">
        <v>65.95</v>
      </c>
      <c r="U55" s="138">
        <v>50.47</v>
      </c>
      <c r="V55" s="138">
        <v>74.989999999999995</v>
      </c>
      <c r="W55" s="138">
        <v>-66.599999999999994</v>
      </c>
      <c r="X55" s="138">
        <v>211.9</v>
      </c>
      <c r="Y55" s="138">
        <v>73.64</v>
      </c>
      <c r="Z55" s="138">
        <v>75.98</v>
      </c>
      <c r="AA55" s="138">
        <f t="shared" si="13"/>
        <v>707.99</v>
      </c>
      <c r="AB55" s="142">
        <f t="shared" si="14"/>
        <v>4.8055557755304907E-5</v>
      </c>
      <c r="AC55" s="140"/>
      <c r="AD55" s="138">
        <v>4258.8489600000003</v>
      </c>
      <c r="AE55" s="142">
        <f t="shared" si="15"/>
        <v>2.9119575541626129E-4</v>
      </c>
      <c r="AF55" s="141">
        <f t="shared" si="16"/>
        <v>-3550.8589600000005</v>
      </c>
      <c r="AG55" s="138">
        <v>669.32</v>
      </c>
      <c r="AH55" s="142">
        <f t="shared" si="17"/>
        <v>5.6214557362827808E-5</v>
      </c>
      <c r="AI55" s="141">
        <f t="shared" si="18"/>
        <v>38.669999999999959</v>
      </c>
      <c r="AJ55" s="462">
        <f t="shared" si="19"/>
        <v>1.4694686591946867E-2</v>
      </c>
      <c r="AK55" s="463">
        <f t="shared" si="20"/>
        <v>8.8394540473225411E-2</v>
      </c>
      <c r="AL55" s="464">
        <f t="shared" si="21"/>
        <v>1.3892071398920715E-2</v>
      </c>
      <c r="AM55" s="465" t="str">
        <f t="shared" si="22"/>
        <v>-0.02 pts.</v>
      </c>
      <c r="AN55" s="466" t="str">
        <f t="shared" si="23"/>
        <v>0 pts.</v>
      </c>
      <c r="AO55" s="11"/>
    </row>
    <row r="56" spans="1:41" x14ac:dyDescent="0.25">
      <c r="A56" s="65" t="s">
        <v>37</v>
      </c>
      <c r="B56" s="66"/>
      <c r="C56" s="11"/>
      <c r="D56" s="11"/>
      <c r="E56" s="11"/>
      <c r="F56" s="11"/>
      <c r="G56" s="11"/>
      <c r="H56" s="88" t="s">
        <v>916</v>
      </c>
      <c r="I56" s="122" t="str">
        <f>IF(_epmOfflineCondition_,"T4",_xll.EVPRO($B$1,$H56,"STYLE"))</f>
        <v>T4</v>
      </c>
      <c r="J56" s="122" t="str">
        <f>IF(_epmOfflineCondition_,"Y",_xll.EVPRO($B$1,$H56,"CALC"))</f>
        <v>Y</v>
      </c>
      <c r="K56" s="179" t="str">
        <f t="shared" si="12"/>
        <v>&gt;</v>
      </c>
      <c r="L56" s="90" t="str">
        <f>IF(_epmOfflineCondition_,"",_xll.EVPRO($B$1,H56,"JDEID"))</f>
        <v/>
      </c>
      <c r="M56" s="90" t="str">
        <f>IF(_epmOfflineCondition_,"",IF(AND(I56="N",J56="N"),_xll.EVPRO($B$1,H56,"PSFTID"),""))</f>
        <v/>
      </c>
      <c r="N56" s="90" t="str">
        <f>IF(_epmOfflineCondition_,"Health Insurance",IF(_xll.EVDES(H56,$B$1)="#NODATA","",_xll.EVDES(H56,$B$1)))</f>
        <v>Health Insurance</v>
      </c>
      <c r="O56" s="138">
        <v>10442.290000000001</v>
      </c>
      <c r="P56" s="138">
        <v>14656.79</v>
      </c>
      <c r="Q56" s="138">
        <v>14088.43</v>
      </c>
      <c r="R56" s="138">
        <v>13023.44</v>
      </c>
      <c r="S56" s="138">
        <v>14634.49</v>
      </c>
      <c r="T56" s="138">
        <v>8225.84</v>
      </c>
      <c r="U56" s="138">
        <v>13355.51</v>
      </c>
      <c r="V56" s="138">
        <v>17168.3</v>
      </c>
      <c r="W56" s="138">
        <v>2929.23</v>
      </c>
      <c r="X56" s="138">
        <v>22270.91</v>
      </c>
      <c r="Y56" s="138">
        <v>15877.71</v>
      </c>
      <c r="Z56" s="138">
        <v>17547.93</v>
      </c>
      <c r="AA56" s="138">
        <f t="shared" si="13"/>
        <v>164220.87</v>
      </c>
      <c r="AB56" s="142">
        <f t="shared" si="14"/>
        <v>1.1146662386349268E-2</v>
      </c>
      <c r="AC56" s="140"/>
      <c r="AD56" s="138">
        <v>-11465.88</v>
      </c>
      <c r="AE56" s="142">
        <f t="shared" si="15"/>
        <v>-7.8397135457750565E-4</v>
      </c>
      <c r="AF56" s="141">
        <f t="shared" si="16"/>
        <v>175686.75</v>
      </c>
      <c r="AG56" s="138">
        <v>156576.57999999999</v>
      </c>
      <c r="AH56" s="142">
        <f t="shared" si="17"/>
        <v>1.3150485773748574E-2</v>
      </c>
      <c r="AI56" s="141">
        <f t="shared" si="18"/>
        <v>7644.2900000000081</v>
      </c>
      <c r="AJ56" s="462">
        <f t="shared" si="19"/>
        <v>3.4084863013698627</v>
      </c>
      <c r="AK56" s="463">
        <f t="shared" si="20"/>
        <v>-0.23798007471980073</v>
      </c>
      <c r="AL56" s="464">
        <f t="shared" si="21"/>
        <v>3.2498252386882522</v>
      </c>
      <c r="AM56" s="465" t="str">
        <f t="shared" si="22"/>
        <v>1.19 pts.</v>
      </c>
      <c r="AN56" s="466" t="str">
        <f t="shared" si="23"/>
        <v>-0.2 pts.</v>
      </c>
      <c r="AO56" s="11"/>
    </row>
    <row r="57" spans="1:41" x14ac:dyDescent="0.25">
      <c r="A57" s="65" t="s">
        <v>38</v>
      </c>
      <c r="B57" s="66"/>
      <c r="C57" s="11"/>
      <c r="D57" s="11"/>
      <c r="E57" s="11"/>
      <c r="F57" s="11"/>
      <c r="G57" s="11"/>
      <c r="H57" s="88" t="s">
        <v>917</v>
      </c>
      <c r="I57" s="122" t="str">
        <f>IF(_epmOfflineCondition_,"N",_xll.EVPRO($B$1,$H57,"STYLE"))</f>
        <v>N</v>
      </c>
      <c r="J57" s="122" t="str">
        <f>IF(_epmOfflineCondition_,"N",_xll.EVPRO($B$1,$H57,"CALC"))</f>
        <v>N</v>
      </c>
      <c r="K57" s="179" t="str">
        <f t="shared" si="12"/>
        <v/>
      </c>
      <c r="L57" s="90" t="str">
        <f>IF(_epmOfflineCondition_,"693360",_xll.EVPRO($B$1,H57,"JDEID"))</f>
        <v>693360</v>
      </c>
      <c r="M57" s="90" t="str">
        <f>IF(_epmOfflineCondition_,"490130",IF(AND(I57="N",J57="N"),_xll.EVPRO($B$1,H57,"PSFTID"),""))</f>
        <v>490130</v>
      </c>
      <c r="N57" s="90" t="str">
        <f>IF(_epmOfflineCondition_,"Housing and Educational",IF(_xll.EVDES(H57,$B$1)="#NODATA","",_xll.EVDES(H57,$B$1)))</f>
        <v>Housing and Educational</v>
      </c>
      <c r="O57" s="138"/>
      <c r="P57" s="138"/>
      <c r="Q57" s="138"/>
      <c r="R57" s="138"/>
      <c r="S57" s="138"/>
      <c r="T57" s="138"/>
      <c r="U57" s="138"/>
      <c r="V57" s="138"/>
      <c r="W57" s="138"/>
      <c r="X57" s="138"/>
      <c r="Y57" s="138"/>
      <c r="Z57" s="138"/>
      <c r="AA57" s="138">
        <f t="shared" si="13"/>
        <v>0</v>
      </c>
      <c r="AB57" s="142" t="str">
        <f t="shared" si="14"/>
        <v/>
      </c>
      <c r="AC57" s="140"/>
      <c r="AD57" s="138"/>
      <c r="AE57" s="142" t="str">
        <f t="shared" si="15"/>
        <v/>
      </c>
      <c r="AF57" s="141">
        <f t="shared" si="16"/>
        <v>0</v>
      </c>
      <c r="AG57" s="138">
        <v>600</v>
      </c>
      <c r="AH57" s="142">
        <f t="shared" si="17"/>
        <v>5.0392539320051219E-5</v>
      </c>
      <c r="AI57" s="141">
        <f t="shared" si="18"/>
        <v>-600</v>
      </c>
      <c r="AJ57" s="462">
        <f t="shared" si="19"/>
        <v>0</v>
      </c>
      <c r="AK57" s="463">
        <f t="shared" si="20"/>
        <v>0</v>
      </c>
      <c r="AL57" s="464">
        <f t="shared" si="21"/>
        <v>1.2453300124533001E-2</v>
      </c>
      <c r="AM57" s="465">
        <f t="shared" si="22"/>
        <v>0</v>
      </c>
      <c r="AN57" s="466">
        <f t="shared" si="23"/>
        <v>0</v>
      </c>
      <c r="AO57" s="11"/>
    </row>
    <row r="58" spans="1:41" x14ac:dyDescent="0.25">
      <c r="A58" s="65" t="s">
        <v>39</v>
      </c>
      <c r="B58" s="66"/>
      <c r="C58" s="11"/>
      <c r="D58" s="11"/>
      <c r="E58" s="11"/>
      <c r="F58" s="11"/>
      <c r="G58" s="11"/>
      <c r="H58" s="88" t="s">
        <v>918</v>
      </c>
      <c r="I58" s="122" t="str">
        <f>IF(_epmOfflineCondition_,"T4",_xll.EVPRO($B$1,$H58,"STYLE"))</f>
        <v>T4</v>
      </c>
      <c r="J58" s="122" t="str">
        <f>IF(_epmOfflineCondition_,"Y",_xll.EVPRO($B$1,$H58,"CALC"))</f>
        <v>Y</v>
      </c>
      <c r="K58" s="179" t="str">
        <f t="shared" si="12"/>
        <v>&gt;</v>
      </c>
      <c r="L58" s="90" t="str">
        <f>IF(_epmOfflineCondition_,"",_xll.EVPRO($B$1,H58,"JDEID"))</f>
        <v/>
      </c>
      <c r="M58" s="90" t="str">
        <f>IF(_epmOfflineCondition_,"",IF(AND(I58="N",J58="N"),_xll.EVPRO($B$1,H58,"PSFTID"),""))</f>
        <v/>
      </c>
      <c r="N58" s="90" t="str">
        <f>IF(_epmOfflineCondition_,"Meals",IF(_xll.EVDES(H58,$B$1)="#NODATA","",_xll.EVDES(H58,$B$1)))</f>
        <v>Meals</v>
      </c>
      <c r="O58" s="138">
        <v>2000</v>
      </c>
      <c r="P58" s="138">
        <v>3640</v>
      </c>
      <c r="Q58" s="138">
        <v>3720</v>
      </c>
      <c r="R58" s="138">
        <v>3712.5</v>
      </c>
      <c r="S58" s="138">
        <v>3712.5</v>
      </c>
      <c r="T58" s="138">
        <v>4200</v>
      </c>
      <c r="U58" s="138">
        <v>4340</v>
      </c>
      <c r="V58" s="138">
        <v>4340</v>
      </c>
      <c r="W58" s="138">
        <v>4200</v>
      </c>
      <c r="X58" s="138">
        <v>4340</v>
      </c>
      <c r="Y58" s="138">
        <v>4340</v>
      </c>
      <c r="Z58" s="138">
        <v>4340</v>
      </c>
      <c r="AA58" s="138">
        <f t="shared" si="13"/>
        <v>46885</v>
      </c>
      <c r="AB58" s="142">
        <f t="shared" si="14"/>
        <v>3.1823681483601047E-3</v>
      </c>
      <c r="AC58" s="140"/>
      <c r="AD58" s="138">
        <v>19103.341860311299</v>
      </c>
      <c r="AE58" s="142">
        <f t="shared" si="15"/>
        <v>1.306177353607871E-3</v>
      </c>
      <c r="AF58" s="141">
        <f t="shared" si="16"/>
        <v>27781.658139688701</v>
      </c>
      <c r="AG58" s="138">
        <v>21643.51</v>
      </c>
      <c r="AH58" s="142">
        <f t="shared" si="17"/>
        <v>1.8177857144982027E-3</v>
      </c>
      <c r="AI58" s="141">
        <f t="shared" si="18"/>
        <v>25241.49</v>
      </c>
      <c r="AJ58" s="462">
        <f t="shared" si="19"/>
        <v>0.97312162723121631</v>
      </c>
      <c r="AK58" s="463">
        <f t="shared" si="20"/>
        <v>0.39649941594668531</v>
      </c>
      <c r="AL58" s="464">
        <f t="shared" si="21"/>
        <v>0.44922187629721871</v>
      </c>
      <c r="AM58" s="465" t="str">
        <f t="shared" si="22"/>
        <v>0.19 pts.</v>
      </c>
      <c r="AN58" s="466" t="str">
        <f t="shared" si="23"/>
        <v>0.14 pts.</v>
      </c>
      <c r="AO58" s="11"/>
    </row>
    <row r="59" spans="1:41" x14ac:dyDescent="0.25">
      <c r="A59" s="65" t="s">
        <v>40</v>
      </c>
      <c r="B59" s="66"/>
      <c r="C59" s="11"/>
      <c r="D59" s="11"/>
      <c r="E59" s="11"/>
      <c r="F59" s="11"/>
      <c r="G59" s="11"/>
      <c r="H59" s="88" t="s">
        <v>919</v>
      </c>
      <c r="I59" s="122" t="str">
        <f>IF(_epmOfflineCondition_,"N",_xll.EVPRO($B$1,$H59,"STYLE"))</f>
        <v>N</v>
      </c>
      <c r="J59" s="122" t="str">
        <f>IF(_epmOfflineCondition_,"N",_xll.EVPRO($B$1,$H59,"CALC"))</f>
        <v>N</v>
      </c>
      <c r="K59" s="179" t="str">
        <f t="shared" si="12"/>
        <v/>
      </c>
      <c r="L59" s="90" t="str">
        <f>IF(_epmOfflineCondition_,"693480",_xll.EVPRO($B$1,H59,"JDEID"))</f>
        <v>693480</v>
      </c>
      <c r="M59" s="90" t="str">
        <f>IF(_epmOfflineCondition_,"490750",IF(AND(I59="N",J59="N"),_xll.EVPRO($B$1,H59,"PSFTID"),""))</f>
        <v>490750</v>
      </c>
      <c r="N59" s="90" t="str">
        <f>IF(_epmOfflineCondition_,"Nonunion Insurance",IF(_xll.EVDES(H59,$B$1)="#NODATA","",_xll.EVDES(H59,$B$1)))</f>
        <v>Nonunion Insurance</v>
      </c>
      <c r="O59" s="138">
        <v>-3932.31</v>
      </c>
      <c r="P59" s="138">
        <v>-4117.59</v>
      </c>
      <c r="Q59" s="138">
        <v>-4072.53</v>
      </c>
      <c r="R59" s="138">
        <v>-3730.4</v>
      </c>
      <c r="S59" s="138">
        <v>-5331.2</v>
      </c>
      <c r="T59" s="138">
        <v>-3690.15</v>
      </c>
      <c r="U59" s="138">
        <v>-4990.3900000000003</v>
      </c>
      <c r="V59" s="138">
        <v>-6259.61</v>
      </c>
      <c r="W59" s="138">
        <v>-5515.9</v>
      </c>
      <c r="X59" s="138">
        <v>-5890.5</v>
      </c>
      <c r="Y59" s="138">
        <v>-5747.33</v>
      </c>
      <c r="Z59" s="138">
        <v>-6010.67</v>
      </c>
      <c r="AA59" s="138">
        <f t="shared" si="13"/>
        <v>-59288.58</v>
      </c>
      <c r="AB59" s="142">
        <f t="shared" si="14"/>
        <v>-4.024274044011943E-3</v>
      </c>
      <c r="AC59" s="140"/>
      <c r="AD59" s="138">
        <v>112893.012</v>
      </c>
      <c r="AE59" s="142">
        <f t="shared" si="15"/>
        <v>7.7189790526304659E-3</v>
      </c>
      <c r="AF59" s="141">
        <f t="shared" si="16"/>
        <v>-172181.592</v>
      </c>
      <c r="AG59" s="138">
        <v>-67474.720000000001</v>
      </c>
      <c r="AH59" s="142">
        <f t="shared" si="17"/>
        <v>-5.667037467849077E-3</v>
      </c>
      <c r="AI59" s="141">
        <f t="shared" si="18"/>
        <v>8186.1399999999994</v>
      </c>
      <c r="AJ59" s="462">
        <f t="shared" si="19"/>
        <v>-1.2305641344956413</v>
      </c>
      <c r="AK59" s="463">
        <f t="shared" si="20"/>
        <v>2.3431509339975092</v>
      </c>
      <c r="AL59" s="464">
        <f t="shared" si="21"/>
        <v>-1.4004715649647157</v>
      </c>
      <c r="AM59" s="465" t="str">
        <f t="shared" si="22"/>
        <v>-1.17 pts.</v>
      </c>
      <c r="AN59" s="466" t="str">
        <f t="shared" si="23"/>
        <v>0.16 pts.</v>
      </c>
      <c r="AO59" s="11"/>
    </row>
    <row r="60" spans="1:41" x14ac:dyDescent="0.25">
      <c r="A60" s="65" t="s">
        <v>41</v>
      </c>
      <c r="B60" s="66"/>
      <c r="C60" s="11"/>
      <c r="D60" s="11"/>
      <c r="E60" s="11"/>
      <c r="F60" s="11"/>
      <c r="G60" s="11"/>
      <c r="H60" s="88" t="s">
        <v>920</v>
      </c>
      <c r="I60" s="122" t="str">
        <f>IF(_epmOfflineCondition_,"T4",_xll.EVPRO($B$1,$H60,"STYLE"))</f>
        <v>T4</v>
      </c>
      <c r="J60" s="122" t="str">
        <f>IF(_epmOfflineCondition_,"Y",_xll.EVPRO($B$1,$H60,"CALC"))</f>
        <v>Y</v>
      </c>
      <c r="K60" s="179" t="str">
        <f t="shared" si="12"/>
        <v>&gt;</v>
      </c>
      <c r="L60" s="90" t="str">
        <f>IF(_epmOfflineCondition_,"",_xll.EVPRO($B$1,H60,"JDEID"))</f>
        <v/>
      </c>
      <c r="M60" s="90" t="str">
        <f>IF(_epmOfflineCondition_,"",IF(AND(I60="N",J60="N"),_xll.EVPRO($B$1,H60,"PSFTID"),""))</f>
        <v/>
      </c>
      <c r="N60" s="90" t="str">
        <f>IF(_epmOfflineCondition_,"Workers Comp Expense",IF(_xll.EVDES(H60,$B$1)="#NODATA","",_xll.EVDES(H60,$B$1)))</f>
        <v>Workers Comp Expense</v>
      </c>
      <c r="O60" s="215">
        <v>2676.46</v>
      </c>
      <c r="P60" s="215">
        <v>1082.23</v>
      </c>
      <c r="Q60" s="215">
        <v>2695.72</v>
      </c>
      <c r="R60" s="215">
        <v>873.71</v>
      </c>
      <c r="S60" s="215">
        <v>2695.72</v>
      </c>
      <c r="T60" s="215">
        <v>5392.34</v>
      </c>
      <c r="U60" s="215"/>
      <c r="V60" s="215">
        <v>2695.72</v>
      </c>
      <c r="W60" s="215">
        <v>1824.2</v>
      </c>
      <c r="X60" s="215">
        <v>2477.84</v>
      </c>
      <c r="Y60" s="215">
        <v>2477.6</v>
      </c>
      <c r="Z60" s="215">
        <v>2783.84</v>
      </c>
      <c r="AA60" s="215">
        <f t="shared" si="13"/>
        <v>27675.38</v>
      </c>
      <c r="AB60" s="217">
        <f t="shared" si="14"/>
        <v>1.8784952075453188E-3</v>
      </c>
      <c r="AC60" s="140"/>
      <c r="AD60" s="215">
        <v>47182.3452065112</v>
      </c>
      <c r="AE60" s="217">
        <f t="shared" si="15"/>
        <v>3.2260591497287666E-3</v>
      </c>
      <c r="AF60" s="218">
        <f t="shared" si="16"/>
        <v>-19506.965206511199</v>
      </c>
      <c r="AG60" s="215">
        <v>25565.52</v>
      </c>
      <c r="AH60" s="217">
        <f t="shared" si="17"/>
        <v>2.1471857863959265E-3</v>
      </c>
      <c r="AI60" s="218">
        <f t="shared" si="18"/>
        <v>2109.8600000000006</v>
      </c>
      <c r="AJ60" s="471">
        <f t="shared" si="19"/>
        <v>0.57441635533416358</v>
      </c>
      <c r="AK60" s="472">
        <f t="shared" si="20"/>
        <v>0.97929317572667496</v>
      </c>
      <c r="AL60" s="473">
        <f t="shared" si="21"/>
        <v>0.53062515566625157</v>
      </c>
      <c r="AM60" s="474" t="str">
        <f t="shared" si="22"/>
        <v>-0.13 pts.</v>
      </c>
      <c r="AN60" s="475" t="str">
        <f t="shared" si="23"/>
        <v>-0.03 pts.</v>
      </c>
      <c r="AO60" s="11"/>
    </row>
    <row r="61" spans="1:41" x14ac:dyDescent="0.25">
      <c r="A61" s="65" t="s">
        <v>42</v>
      </c>
      <c r="B61" s="66"/>
      <c r="C61" s="11"/>
      <c r="D61" s="11"/>
      <c r="E61" s="11"/>
      <c r="F61" s="11"/>
      <c r="G61" s="11"/>
      <c r="H61" s="88" t="s">
        <v>852</v>
      </c>
      <c r="I61" s="188" t="str">
        <f>IF(_epmOfflineCondition_,"T3",_xll.EVPRO($B$1,$H61,"STYLE"))</f>
        <v>T3</v>
      </c>
      <c r="J61" s="188" t="str">
        <f>IF(_epmOfflineCondition_,"Y",_xll.EVPRO($B$1,$H61,"CALC"))</f>
        <v>Y</v>
      </c>
      <c r="K61" s="189" t="str">
        <f t="shared" si="12"/>
        <v/>
      </c>
      <c r="L61" s="190" t="str">
        <f>IF(_epmOfflineCondition_,"",_xll.EVPRO($B$1,H61,"JDEID"))</f>
        <v/>
      </c>
      <c r="M61" s="190" t="str">
        <f>IF(_epmOfflineCondition_,"",IF(AND(I61="N",J61="N"),_xll.EVPRO($B$1,H61,"PSFTID"),""))</f>
        <v/>
      </c>
      <c r="N61" s="190" t="str">
        <f>IF(_epmOfflineCondition_,"Employee Benefits",IF(_xll.EVDES(H61,$B$1)="#NODATA","",_xll.EVDES(H61,$B$1)))</f>
        <v>Employee Benefits</v>
      </c>
      <c r="O61" s="150">
        <v>12973.56</v>
      </c>
      <c r="P61" s="150">
        <v>18433.400000000001</v>
      </c>
      <c r="Q61" s="150">
        <v>18888.48</v>
      </c>
      <c r="R61" s="150">
        <v>16333.73</v>
      </c>
      <c r="S61" s="150">
        <v>18390.37</v>
      </c>
      <c r="T61" s="150">
        <v>16787.740000000002</v>
      </c>
      <c r="U61" s="150">
        <v>14993.07</v>
      </c>
      <c r="V61" s="150">
        <v>20702.97</v>
      </c>
      <c r="W61" s="150">
        <v>4223.87</v>
      </c>
      <c r="X61" s="150">
        <v>27381.16</v>
      </c>
      <c r="Y61" s="150">
        <v>19694.53</v>
      </c>
      <c r="Z61" s="150">
        <v>21775.01</v>
      </c>
      <c r="AA61" s="150">
        <f t="shared" si="13"/>
        <v>210577.89</v>
      </c>
      <c r="AB61" s="151">
        <f t="shared" si="14"/>
        <v>1.4293193342964227E-2</v>
      </c>
      <c r="AC61" s="244"/>
      <c r="AD61" s="150">
        <v>196785.375159549</v>
      </c>
      <c r="AE61" s="151">
        <f t="shared" si="15"/>
        <v>1.3455059456829678E-2</v>
      </c>
      <c r="AF61" s="152">
        <f t="shared" si="16"/>
        <v>13792.514840451011</v>
      </c>
      <c r="AG61" s="150">
        <v>156966.74</v>
      </c>
      <c r="AH61" s="151">
        <f t="shared" si="17"/>
        <v>1.3183254362317093E-2</v>
      </c>
      <c r="AI61" s="152">
        <f t="shared" si="18"/>
        <v>53611.150000000023</v>
      </c>
      <c r="AJ61" s="250">
        <f t="shared" si="19"/>
        <v>4.370649439601495</v>
      </c>
      <c r="AK61" s="251">
        <f t="shared" si="20"/>
        <v>4.0843788949678084</v>
      </c>
      <c r="AL61" s="253">
        <f t="shared" si="21"/>
        <v>3.2579232046492317</v>
      </c>
      <c r="AM61" s="433" t="str">
        <f t="shared" si="22"/>
        <v>0.08 pts.</v>
      </c>
      <c r="AN61" s="614" t="str">
        <f t="shared" si="23"/>
        <v>0.11 pts.</v>
      </c>
      <c r="AO61" s="11"/>
    </row>
    <row r="62" spans="1:41" x14ac:dyDescent="0.25">
      <c r="A62" s="65" t="s">
        <v>43</v>
      </c>
      <c r="B62" s="66"/>
      <c r="C62" s="11"/>
      <c r="D62" s="11"/>
      <c r="E62" s="11"/>
      <c r="F62" s="11"/>
      <c r="G62" s="11"/>
      <c r="H62" s="106"/>
      <c r="I62" s="106"/>
      <c r="J62" s="106"/>
      <c r="K62" s="106"/>
      <c r="L62" s="106"/>
      <c r="M62" s="106"/>
      <c r="N62" s="106"/>
      <c r="O62" s="203"/>
      <c r="P62" s="204"/>
      <c r="Q62" s="204"/>
      <c r="R62" s="204"/>
      <c r="S62" s="204"/>
      <c r="T62" s="204"/>
      <c r="U62" s="204"/>
      <c r="V62" s="204"/>
      <c r="W62" s="204"/>
      <c r="X62" s="204"/>
      <c r="Y62" s="204"/>
      <c r="Z62" s="204"/>
      <c r="AA62" s="204"/>
      <c r="AB62" s="118"/>
      <c r="AC62" s="11"/>
      <c r="AD62" s="203"/>
      <c r="AE62" s="204"/>
      <c r="AF62" s="118"/>
      <c r="AG62" s="203"/>
      <c r="AH62" s="204"/>
      <c r="AI62" s="118"/>
      <c r="AJ62" s="11"/>
      <c r="AK62" s="11"/>
      <c r="AL62" s="11"/>
      <c r="AM62" s="11"/>
      <c r="AN62" s="11"/>
      <c r="AO62" s="11"/>
    </row>
    <row r="63" spans="1:41" ht="15.75" thickBot="1" x14ac:dyDescent="0.3">
      <c r="A63" s="65" t="s">
        <v>44</v>
      </c>
      <c r="B63" s="66"/>
      <c r="C63" s="11"/>
      <c r="D63" s="11"/>
      <c r="E63" s="11"/>
      <c r="F63" s="11"/>
      <c r="G63" s="11"/>
      <c r="H63" s="88" t="s">
        <v>853</v>
      </c>
      <c r="I63" s="136" t="str">
        <f>IF(_epmOfflineCondition_,"T2",_xll.EVPRO($B$1,$H63,"STYLE"))</f>
        <v>T2</v>
      </c>
      <c r="J63" s="136" t="str">
        <f>IF(_epmOfflineCondition_,"Y",_xll.EVPRO($B$1,$H63,"CALC"))</f>
        <v>Y</v>
      </c>
      <c r="K63" s="106"/>
      <c r="L63" s="59"/>
      <c r="M63" s="59"/>
      <c r="N63" s="106" t="str">
        <f>IF(_epmOfflineCondition_,"Total Payroll Related",IF(_xll.EVDES(H63,$B$1)="#NODATA","",_xll.EVDES(H63,$B$1)))</f>
        <v>Total Payroll Related</v>
      </c>
      <c r="O63" s="165">
        <v>47064.26</v>
      </c>
      <c r="P63" s="165">
        <v>39459.9</v>
      </c>
      <c r="Q63" s="165">
        <v>34166.019999999997</v>
      </c>
      <c r="R63" s="165">
        <v>38041.93</v>
      </c>
      <c r="S63" s="165">
        <v>50321.02</v>
      </c>
      <c r="T63" s="165">
        <v>41442.720000000001</v>
      </c>
      <c r="U63" s="165">
        <v>43526</v>
      </c>
      <c r="V63" s="165">
        <v>47736.79</v>
      </c>
      <c r="W63" s="165">
        <v>30487.57</v>
      </c>
      <c r="X63" s="165">
        <v>48810.5</v>
      </c>
      <c r="Y63" s="165">
        <v>58451.49</v>
      </c>
      <c r="Z63" s="165">
        <v>58421.87</v>
      </c>
      <c r="AA63" s="165">
        <f>IF($I63="B1","",SUM(O63:Z63))</f>
        <v>537930.06999999995</v>
      </c>
      <c r="AB63" s="166">
        <f>IF(AA63=0,"",IFERROR(AA63/AA$19,""))</f>
        <v>3.6512563097219182E-2</v>
      </c>
      <c r="AC63" s="140"/>
      <c r="AD63" s="165">
        <v>688007.44505180698</v>
      </c>
      <c r="AE63" s="166">
        <f>IF(AD63=0,"",IFERROR(AD63/AD$19,""))</f>
        <v>4.7042017591033047E-2</v>
      </c>
      <c r="AF63" s="167">
        <f>IF(AND($AA63="",AD63=""),"",$AA63-AD63)</f>
        <v>-150077.37505180703</v>
      </c>
      <c r="AG63" s="165">
        <v>484681.79</v>
      </c>
      <c r="AH63" s="166">
        <f>IF(AG63=0,"",IFERROR(AG63/AG$19,""))</f>
        <v>4.0707243600479677E-2</v>
      </c>
      <c r="AI63" s="167">
        <f>IF(AND($AA63="",AG63=""),"",$AA63-AG63)</f>
        <v>53248.27999999997</v>
      </c>
      <c r="AJ63" s="452">
        <f>IFERROR(AA63/AA$20,0)</f>
        <v>11.165007679535076</v>
      </c>
      <c r="AK63" s="453">
        <f>IFERROR(AD63/AD$20,0)</f>
        <v>14.279938668572166</v>
      </c>
      <c r="AL63" s="454">
        <f>IFERROR(AG63/AG$20,0)</f>
        <v>10.059812992943129</v>
      </c>
      <c r="AM63" s="455" t="str">
        <f>+IFERROR(ROUND(($AB63-AE63)*100,2)&amp;" pts.",0)</f>
        <v>-1.05 pts.</v>
      </c>
      <c r="AN63" s="548" t="str">
        <f>+IFERROR(ROUND(($AB63-AH63)*100,2)&amp;" pts.",0)</f>
        <v>-0.42 pts.</v>
      </c>
      <c r="AO63" s="11"/>
    </row>
    <row r="64" spans="1:41" ht="16.5" hidden="1" thickTop="1" thickBot="1" x14ac:dyDescent="0.3">
      <c r="A64" s="65" t="s">
        <v>45</v>
      </c>
      <c r="B64" s="66"/>
      <c r="C64" s="11"/>
      <c r="D64" s="11"/>
      <c r="E64" s="11"/>
      <c r="F64" s="11"/>
      <c r="G64" s="11"/>
      <c r="H64" s="88"/>
      <c r="I64" s="136" t="str">
        <f>IF(_epmOfflineCondition_,"",_xll.EVPRO($B$1,$H64,"STYLE"))</f>
        <v/>
      </c>
      <c r="J64" s="136" t="str">
        <f>IF(_epmOfflineCondition_,"",_xll.EVPRO($B$1,$H64,"CALC"))</f>
        <v/>
      </c>
      <c r="K64" s="106"/>
      <c r="L64" s="59"/>
      <c r="M64" s="59"/>
      <c r="N64" s="106" t="str">
        <f>IF(_epmOfflineCondition_,"",IF(_xll.EVDES(H64,$B$1)="#NODATA","",_xll.EVDES(H64,$B$1)))</f>
        <v/>
      </c>
      <c r="O64" s="165"/>
      <c r="P64" s="165"/>
      <c r="Q64" s="165"/>
      <c r="R64" s="165"/>
      <c r="S64" s="165"/>
      <c r="T64" s="165"/>
      <c r="U64" s="165"/>
      <c r="V64" s="165"/>
      <c r="W64" s="165"/>
      <c r="X64" s="165"/>
      <c r="Y64" s="165"/>
      <c r="Z64" s="165"/>
      <c r="AA64" s="165">
        <f>IF($I64="B1","",SUM(O64:Z64))</f>
        <v>0</v>
      </c>
      <c r="AB64" s="166" t="str">
        <f>IF(AA64=0,"",IFERROR(AA64/AA$19,""))</f>
        <v/>
      </c>
      <c r="AC64" s="140"/>
      <c r="AD64" s="165"/>
      <c r="AE64" s="166" t="str">
        <f>IF(AD64=0,"",IFERROR(AD64/AD$19,""))</f>
        <v/>
      </c>
      <c r="AF64" s="167">
        <f>IF(AND($AA64="",AD64=""),"",$AA64-AD64)</f>
        <v>0</v>
      </c>
      <c r="AG64" s="165"/>
      <c r="AH64" s="166" t="str">
        <f>IF(AG64=0,"",IFERROR(AG64/AG$19,""))</f>
        <v/>
      </c>
      <c r="AI64" s="167">
        <f>IF(AND($AA64="",AG64=""),"",$AA64-AG64)</f>
        <v>0</v>
      </c>
      <c r="AJ64" s="452">
        <f>IFERROR(AA64/AA$20,0)</f>
        <v>0</v>
      </c>
      <c r="AK64" s="453">
        <f>IFERROR(AD64/AD$20,0)</f>
        <v>0</v>
      </c>
      <c r="AL64" s="454">
        <f>IFERROR(AG64/AG$20,0)</f>
        <v>0</v>
      </c>
      <c r="AM64" s="455">
        <f>+IFERROR(ROUND(($AB64-AE64)*100,2)&amp;" pts.",0)</f>
        <v>0</v>
      </c>
      <c r="AN64" s="548">
        <f>+IFERROR(ROUND(($AB64-AH64)*100,2)&amp;" pts.",0)</f>
        <v>0</v>
      </c>
      <c r="AO64" s="11"/>
    </row>
    <row r="65" spans="1:41" ht="15.75" thickTop="1" x14ac:dyDescent="0.25">
      <c r="A65" s="65" t="s">
        <v>46</v>
      </c>
      <c r="B65" s="66"/>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row>
    <row r="66" spans="1:41" x14ac:dyDescent="0.25">
      <c r="A66" s="11"/>
      <c r="B66" s="11"/>
      <c r="C66" s="11"/>
      <c r="D66" s="11"/>
      <c r="E66" s="11"/>
      <c r="F66" s="11"/>
      <c r="G66" s="11"/>
      <c r="H66" s="11"/>
      <c r="I66" s="59"/>
      <c r="J66" s="59"/>
      <c r="K66" s="11"/>
      <c r="L66" s="59"/>
      <c r="M66" s="59"/>
      <c r="N66" s="104" t="str">
        <f>N63&amp;" - Check"</f>
        <v>Total Payroll Related - Check</v>
      </c>
      <c r="O66" s="209">
        <f t="shared" ref="O66:AA66" si="24">SUMIF($H$35:$H$63,"PAY_TAXES",O$35:O$63)+SUMIF($H$35:$H$63,"SUP_PAY",O$35:O$63)+SUMIF($H$35:$H$63,"EMP_BEN",O$35:O$63)-SUMIF($H$35:$H$63,"PAY_RELATED",O$35:O$63)</f>
        <v>0</v>
      </c>
      <c r="P66" s="209">
        <f t="shared" si="24"/>
        <v>0</v>
      </c>
      <c r="Q66" s="209">
        <f t="shared" si="24"/>
        <v>0</v>
      </c>
      <c r="R66" s="209">
        <f t="shared" si="24"/>
        <v>0</v>
      </c>
      <c r="S66" s="209">
        <f t="shared" si="24"/>
        <v>0</v>
      </c>
      <c r="T66" s="209">
        <f t="shared" si="24"/>
        <v>0</v>
      </c>
      <c r="U66" s="209">
        <f t="shared" si="24"/>
        <v>0</v>
      </c>
      <c r="V66" s="209">
        <f t="shared" si="24"/>
        <v>0</v>
      </c>
      <c r="W66" s="209">
        <f t="shared" si="24"/>
        <v>0</v>
      </c>
      <c r="X66" s="209">
        <f t="shared" si="24"/>
        <v>0</v>
      </c>
      <c r="Y66" s="209">
        <f t="shared" si="24"/>
        <v>0</v>
      </c>
      <c r="Z66" s="209">
        <f t="shared" si="24"/>
        <v>0</v>
      </c>
      <c r="AA66" s="209">
        <f t="shared" si="24"/>
        <v>0</v>
      </c>
      <c r="AB66" s="100"/>
      <c r="AC66" s="11"/>
      <c r="AD66" s="209">
        <f>SUMIF($H$35:$H$63,"PAY_TAXES",AD$35:AD$63)+SUMIF($H$35:$H$63,"SUP_PAY",AD$35:AD$63)+SUMIF($H$35:$H$63,"EMP_BEN",AD$35:AD$63)-SUMIF($H$35:$H$63,"PAY_RELATED",AD$35:AD$63)</f>
        <v>0</v>
      </c>
      <c r="AE66" s="100"/>
      <c r="AF66" s="91"/>
      <c r="AG66" s="209">
        <f>SUMIF($H$35:$H$63,"PAY_TAXES",AG$35:AG$63)+SUMIF($H$35:$H$63,"SUP_PAY",AG$35:AG$63)+SUMIF($H$35:$H$63,"EMP_BEN",AG$35:AG$63)-SUMIF($H$35:$H$63,"PAY_RELATED",AG$35:AG$63)</f>
        <v>0</v>
      </c>
      <c r="AH66" s="100"/>
      <c r="AI66" s="91"/>
      <c r="AJ66" s="11"/>
      <c r="AK66" s="11"/>
      <c r="AL66" s="11"/>
      <c r="AM66" s="11"/>
      <c r="AN66" s="11"/>
      <c r="AO66" s="11"/>
    </row>
    <row r="67" spans="1:41" x14ac:dyDescent="0.25">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row>
    <row r="68" spans="1:41" x14ac:dyDescent="0.25">
      <c r="A68" s="11"/>
      <c r="B68" s="11"/>
      <c r="C68" s="11"/>
      <c r="D68" s="11"/>
      <c r="E68" s="11"/>
      <c r="F68" s="11"/>
      <c r="G68" s="11"/>
      <c r="H68" s="11"/>
      <c r="I68" s="59"/>
      <c r="J68" s="59"/>
      <c r="K68" s="11"/>
      <c r="L68" s="59"/>
      <c r="M68" s="59"/>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row>
    <row r="69" spans="1:41" x14ac:dyDescent="0.25">
      <c r="A69" s="11"/>
      <c r="B69" s="11"/>
      <c r="C69" s="11"/>
      <c r="D69" s="11"/>
      <c r="E69" s="11"/>
      <c r="F69" s="11"/>
      <c r="G69" s="11"/>
      <c r="H69" s="11"/>
      <c r="I69" s="59"/>
      <c r="J69" s="59"/>
      <c r="K69" s="11"/>
      <c r="L69" s="59"/>
      <c r="M69" s="59"/>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row>
    <row r="70" spans="1:41" x14ac:dyDescent="0.25">
      <c r="A70" s="11"/>
      <c r="B70" s="11"/>
      <c r="C70" s="11"/>
      <c r="D70" s="11"/>
      <c r="E70" s="11"/>
      <c r="F70" s="11"/>
      <c r="G70" s="11"/>
      <c r="H70" s="11"/>
      <c r="I70" s="59"/>
      <c r="J70" s="59"/>
      <c r="K70" s="11"/>
      <c r="L70" s="59"/>
      <c r="M70" s="59"/>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row>
    <row r="71" spans="1:41" x14ac:dyDescent="0.25">
      <c r="A71" s="11"/>
      <c r="B71" s="11"/>
      <c r="C71" s="11"/>
      <c r="D71" s="11"/>
      <c r="E71" s="11"/>
      <c r="F71" s="11"/>
      <c r="G71" s="11"/>
      <c r="H71" s="11"/>
      <c r="I71" s="59"/>
      <c r="J71" s="59"/>
      <c r="K71" s="11"/>
      <c r="L71" s="59"/>
      <c r="M71" s="59"/>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row>
    <row r="72" spans="1:41" x14ac:dyDescent="0.25">
      <c r="A72" s="11"/>
      <c r="B72" s="11"/>
      <c r="C72" s="11"/>
      <c r="D72" s="11"/>
      <c r="E72" s="11"/>
      <c r="F72" s="11"/>
      <c r="G72" s="11"/>
      <c r="H72" s="11"/>
      <c r="I72" s="59"/>
      <c r="J72" s="59"/>
      <c r="K72" s="11"/>
      <c r="L72" s="59"/>
      <c r="M72" s="59"/>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row>
    <row r="73" spans="1:41" x14ac:dyDescent="0.25">
      <c r="A73" s="11"/>
      <c r="B73" s="11"/>
      <c r="C73" s="11"/>
      <c r="D73" s="11"/>
      <c r="E73" s="11"/>
      <c r="F73" s="11"/>
      <c r="G73" s="11"/>
      <c r="H73" s="11"/>
      <c r="I73" s="59"/>
      <c r="J73" s="59"/>
      <c r="K73" s="11"/>
      <c r="L73" s="59"/>
      <c r="M73" s="59"/>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row>
    <row r="74" spans="1:41" x14ac:dyDescent="0.25">
      <c r="A74" s="11"/>
      <c r="B74" s="11"/>
      <c r="C74" s="11"/>
      <c r="D74" s="11"/>
      <c r="E74" s="11"/>
      <c r="F74" s="11"/>
      <c r="G74" s="11"/>
      <c r="H74" s="59"/>
      <c r="I74" s="59"/>
      <c r="J74" s="11"/>
      <c r="K74" s="11"/>
      <c r="L74" s="59"/>
      <c r="M74" s="59"/>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row>
    <row r="75" spans="1:41" x14ac:dyDescent="0.25">
      <c r="A75" s="11"/>
      <c r="B75" s="11"/>
      <c r="C75" s="11"/>
      <c r="D75" s="11"/>
      <c r="E75" s="11"/>
      <c r="F75" s="11"/>
      <c r="G75" s="11"/>
      <c r="H75" s="59"/>
      <c r="I75" s="59"/>
      <c r="J75" s="11"/>
      <c r="K75" s="11"/>
      <c r="L75" s="59"/>
      <c r="M75" s="59"/>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row>
    <row r="76" spans="1:41" x14ac:dyDescent="0.25">
      <c r="A76" s="11"/>
      <c r="B76" s="11"/>
      <c r="C76" s="11"/>
      <c r="D76" s="11"/>
      <c r="E76" s="11"/>
      <c r="F76" s="11"/>
      <c r="G76" s="11"/>
      <c r="H76" s="59"/>
      <c r="I76" s="59"/>
      <c r="J76" s="11"/>
      <c r="K76" s="11"/>
      <c r="L76" s="59"/>
      <c r="M76" s="59"/>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row>
    <row r="77" spans="1:41" x14ac:dyDescent="0.25">
      <c r="A77" s="11"/>
      <c r="B77" s="11"/>
      <c r="C77" s="11"/>
      <c r="D77" s="11"/>
      <c r="E77" s="11"/>
      <c r="F77" s="11"/>
      <c r="G77" s="11"/>
      <c r="H77" s="59"/>
      <c r="I77" s="59"/>
      <c r="J77" s="11"/>
      <c r="K77" s="11"/>
      <c r="L77" s="59"/>
      <c r="M77" s="59"/>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row>
    <row r="78" spans="1:41" x14ac:dyDescent="0.25">
      <c r="A78" s="11"/>
      <c r="B78" s="11"/>
      <c r="C78" s="11"/>
      <c r="D78" s="11"/>
      <c r="E78" s="11"/>
      <c r="F78" s="11"/>
      <c r="G78" s="11"/>
      <c r="H78" s="59"/>
      <c r="I78" s="59"/>
      <c r="J78" s="11"/>
      <c r="K78" s="11"/>
      <c r="L78" s="59"/>
      <c r="M78" s="59"/>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row>
    <row r="79" spans="1:41" x14ac:dyDescent="0.25">
      <c r="A79" s="11"/>
      <c r="B79" s="11"/>
      <c r="C79" s="11"/>
      <c r="D79" s="11"/>
      <c r="E79" s="11"/>
      <c r="F79" s="11"/>
      <c r="G79" s="11"/>
      <c r="H79" s="59"/>
      <c r="I79" s="59"/>
      <c r="J79" s="11"/>
      <c r="K79" s="11"/>
      <c r="L79" s="59"/>
      <c r="M79" s="59"/>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row>
    <row r="80" spans="1:41" x14ac:dyDescent="0.25">
      <c r="A80" s="11"/>
      <c r="B80" s="11"/>
      <c r="C80" s="11"/>
      <c r="D80" s="11"/>
      <c r="E80" s="11"/>
      <c r="F80" s="11"/>
      <c r="G80" s="11"/>
      <c r="H80" s="59"/>
      <c r="I80" s="59"/>
      <c r="J80" s="11"/>
      <c r="K80" s="11"/>
      <c r="L80" s="59"/>
      <c r="M80" s="59"/>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row>
    <row r="81" spans="1:41" x14ac:dyDescent="0.25">
      <c r="A81" s="11"/>
      <c r="B81" s="11"/>
      <c r="C81" s="11"/>
      <c r="D81" s="11"/>
      <c r="E81" s="11"/>
      <c r="F81" s="11"/>
      <c r="G81" s="11"/>
      <c r="H81" s="59"/>
      <c r="I81" s="59"/>
      <c r="J81" s="11"/>
      <c r="K81" s="11"/>
      <c r="L81" s="59"/>
      <c r="M81" s="59"/>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row>
    <row r="82" spans="1:41" x14ac:dyDescent="0.25">
      <c r="A82" s="11"/>
      <c r="B82" s="11"/>
      <c r="C82" s="11"/>
      <c r="D82" s="11"/>
      <c r="E82" s="11"/>
      <c r="F82" s="11"/>
      <c r="G82" s="11"/>
      <c r="H82" s="59"/>
      <c r="I82" s="59"/>
      <c r="J82" s="11"/>
      <c r="K82" s="11"/>
      <c r="L82" s="59"/>
      <c r="M82" s="59"/>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row>
    <row r="83" spans="1:41" x14ac:dyDescent="0.25">
      <c r="A83" s="11"/>
      <c r="B83" s="11"/>
      <c r="C83" s="11"/>
      <c r="D83" s="11"/>
      <c r="E83" s="11"/>
      <c r="F83" s="11"/>
      <c r="G83" s="11"/>
      <c r="H83" s="59"/>
      <c r="I83" s="59"/>
      <c r="J83" s="11"/>
      <c r="K83" s="11"/>
      <c r="L83" s="59"/>
      <c r="M83" s="59"/>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row>
    <row r="84" spans="1:41" x14ac:dyDescent="0.25">
      <c r="A84" s="11"/>
      <c r="B84" s="11"/>
      <c r="C84" s="11"/>
      <c r="D84" s="11"/>
      <c r="E84" s="11"/>
      <c r="F84" s="11"/>
      <c r="G84" s="11"/>
      <c r="H84" s="59"/>
      <c r="I84" s="59"/>
      <c r="J84" s="11"/>
      <c r="K84" s="11"/>
      <c r="L84" s="59"/>
      <c r="M84" s="59"/>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row>
    <row r="85" spans="1:41" x14ac:dyDescent="0.25">
      <c r="A85" s="11"/>
      <c r="B85" s="11"/>
      <c r="C85" s="11"/>
      <c r="D85" s="11"/>
      <c r="E85" s="11"/>
      <c r="F85" s="11"/>
      <c r="G85" s="11"/>
      <c r="H85" s="59"/>
      <c r="I85" s="59"/>
      <c r="J85" s="11"/>
      <c r="K85" s="11"/>
      <c r="L85" s="59"/>
      <c r="M85" s="59"/>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row>
    <row r="86" spans="1:41" x14ac:dyDescent="0.25">
      <c r="A86" s="11"/>
      <c r="B86" s="11"/>
      <c r="C86" s="11"/>
      <c r="D86" s="11"/>
      <c r="E86" s="11"/>
      <c r="F86" s="11"/>
      <c r="G86" s="11"/>
      <c r="H86" s="59"/>
      <c r="I86" s="59"/>
      <c r="J86" s="11"/>
      <c r="K86" s="11"/>
      <c r="L86" s="59"/>
      <c r="M86" s="59"/>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row>
    <row r="87" spans="1:41" x14ac:dyDescent="0.25">
      <c r="A87" s="11"/>
      <c r="B87" s="11"/>
      <c r="C87" s="11"/>
      <c r="D87" s="11"/>
      <c r="E87" s="11"/>
      <c r="F87" s="11"/>
      <c r="G87" s="11"/>
      <c r="H87" s="59"/>
      <c r="I87" s="59"/>
      <c r="J87" s="11"/>
      <c r="K87" s="11"/>
      <c r="L87" s="59"/>
      <c r="M87" s="59"/>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row>
    <row r="88" spans="1:41" x14ac:dyDescent="0.25">
      <c r="A88" s="11"/>
      <c r="B88" s="11"/>
      <c r="C88" s="11"/>
      <c r="D88" s="11"/>
      <c r="E88" s="11"/>
      <c r="F88" s="11"/>
      <c r="G88" s="11"/>
      <c r="H88" s="59"/>
      <c r="I88" s="59"/>
      <c r="J88" s="11"/>
      <c r="K88" s="11"/>
      <c r="L88" s="59"/>
      <c r="M88" s="59"/>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row>
    <row r="89" spans="1:41" x14ac:dyDescent="0.25">
      <c r="A89" s="11"/>
      <c r="B89" s="11"/>
      <c r="C89" s="11"/>
      <c r="D89" s="11"/>
      <c r="E89" s="11"/>
      <c r="F89" s="11"/>
      <c r="G89" s="11"/>
      <c r="H89" s="59"/>
      <c r="I89" s="59"/>
      <c r="J89" s="11"/>
      <c r="K89" s="11"/>
      <c r="L89" s="59"/>
      <c r="M89" s="59"/>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row>
    <row r="90" spans="1:41" x14ac:dyDescent="0.25">
      <c r="A90" s="11"/>
      <c r="B90" s="11"/>
      <c r="C90" s="11"/>
      <c r="D90" s="11"/>
      <c r="E90" s="11"/>
      <c r="F90" s="11"/>
      <c r="G90" s="11"/>
      <c r="H90" s="59"/>
      <c r="I90" s="59"/>
      <c r="J90" s="11"/>
      <c r="K90" s="11"/>
      <c r="L90" s="59"/>
      <c r="M90" s="59"/>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row>
    <row r="91" spans="1:41" x14ac:dyDescent="0.25">
      <c r="A91" s="11"/>
      <c r="B91" s="11"/>
      <c r="C91" s="11"/>
      <c r="D91" s="11"/>
      <c r="E91" s="11"/>
      <c r="F91" s="11"/>
      <c r="G91" s="11"/>
      <c r="H91" s="59"/>
      <c r="I91" s="59"/>
      <c r="J91" s="11"/>
      <c r="K91" s="11"/>
      <c r="L91" s="59"/>
      <c r="M91" s="59"/>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row>
    <row r="92" spans="1:41" x14ac:dyDescent="0.25">
      <c r="A92" s="11"/>
      <c r="B92" s="11"/>
      <c r="C92" s="11"/>
      <c r="D92" s="11"/>
      <c r="E92" s="11"/>
      <c r="F92" s="11"/>
      <c r="G92" s="11"/>
      <c r="H92" s="59"/>
      <c r="I92" s="59"/>
      <c r="J92" s="11"/>
      <c r="K92" s="11"/>
      <c r="L92" s="59"/>
      <c r="M92" s="59"/>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row>
    <row r="93" spans="1:41" x14ac:dyDescent="0.25">
      <c r="A93" s="11"/>
      <c r="B93" s="11"/>
      <c r="C93" s="11"/>
      <c r="D93" s="11"/>
      <c r="E93" s="11"/>
      <c r="F93" s="11"/>
      <c r="G93" s="11"/>
      <c r="H93" s="59"/>
      <c r="I93" s="59"/>
      <c r="J93" s="11"/>
      <c r="K93" s="11"/>
      <c r="L93" s="59"/>
      <c r="M93" s="59"/>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row>
    <row r="94" spans="1:41" x14ac:dyDescent="0.25">
      <c r="A94" s="11"/>
      <c r="B94" s="11"/>
      <c r="C94" s="11"/>
      <c r="D94" s="11"/>
      <c r="E94" s="11"/>
      <c r="F94" s="11"/>
      <c r="G94" s="11"/>
      <c r="H94" s="59"/>
      <c r="I94" s="59"/>
      <c r="J94" s="11"/>
      <c r="K94" s="11"/>
      <c r="L94" s="59"/>
      <c r="M94" s="59"/>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row>
    <row r="95" spans="1:41" x14ac:dyDescent="0.25">
      <c r="A95" s="11"/>
      <c r="B95" s="11"/>
      <c r="C95" s="11"/>
      <c r="D95" s="11"/>
      <c r="E95" s="11"/>
      <c r="F95" s="11"/>
      <c r="G95" s="11"/>
      <c r="H95" s="59"/>
      <c r="I95" s="59"/>
      <c r="J95" s="11"/>
      <c r="K95" s="11"/>
      <c r="L95" s="59"/>
      <c r="M95" s="59"/>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row>
    <row r="96" spans="1:41" x14ac:dyDescent="0.25">
      <c r="A96" s="11"/>
      <c r="B96" s="11"/>
      <c r="C96" s="11"/>
      <c r="D96" s="11"/>
      <c r="E96" s="11"/>
      <c r="F96" s="11"/>
      <c r="G96" s="11"/>
      <c r="H96" s="59"/>
      <c r="I96" s="59"/>
      <c r="J96" s="11"/>
      <c r="K96" s="11"/>
      <c r="L96" s="59"/>
      <c r="M96" s="59"/>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row>
  </sheetData>
  <sheetProtection algorithmName="SHA-512" hashValue="zw7aDtLDlc74F0PduxP+ZQHaJ68lKCee3t/3svlKlKC7OYiDC8J9kJvUfUnC4ecG+LvAi/ev6r8dbdH4Y6vEUw==" saltValue="J2emd2D3cX7Tu8UCrABaGw==" spinCount="100000" sheet="1" scenarios="1"/>
  <mergeCells count="2">
    <mergeCell ref="AD31:AE31"/>
    <mergeCell ref="AG31:AH31"/>
  </mergeCells>
  <dataValidations disablePrompts="1" count="2">
    <dataValidation type="list" allowBlank="1" sqref="B29" xr:uid="{00000000-0002-0000-3000-000000000000}">
      <formula1>"SELF,ALL,BAS,DEP,BASMEMBERS,MEMBERS,NOEXPAND,GDEP"</formula1>
    </dataValidation>
    <dataValidation type="list" allowBlank="1" sqref="B28" xr:uid="{00000000-0002-0000-3000-000001000000}">
      <formula1>"ACCOUNT,BUSINESSUNIT,CATEGORY,DATASRC,DEPARTMENT,INTCO,MEASURES,RPTCURRENCY,TIME"</formula1>
    </dataValidation>
  </dataValidations>
  <pageMargins left="0.25" right="0.25" top="0.5" bottom="0.5" header="0.3" footer="0.3"/>
  <pageSetup scale="50" fitToHeight="0" orientation="landscape" r:id="rId1"/>
  <headerFooter>
    <oddFooter>&amp;L&amp;F&amp;C&amp;P of &amp;N&amp;R&amp;D</oddFooter>
  </headerFooter>
  <customProperties>
    <customPr name="EpmWorksheetKeyString_GUID" r:id="rId2"/>
    <customPr name="FPMExcelClientCellBasedFunctionStatus" r:id="rId3"/>
    <customPr name="FPMExcelClientRefreshTime" r:id="rId4"/>
  </customProperties>
  <drawing r:id="rId5"/>
  <legacyDrawing r:id="rId6"/>
  <controls>
    <mc:AlternateContent xmlns:mc="http://schemas.openxmlformats.org/markup-compatibility/2006">
      <mc:Choice Requires="x14">
        <control shapeId="67587" r:id="rId7" name="FPMExcelClientSheetOptionstb1">
          <controlPr defaultSize="0" autoLine="0" r:id="rId8">
            <anchor moveWithCells="1" sizeWithCells="1">
              <from>
                <xdr:col>0</xdr:col>
                <xdr:colOff>0</xdr:colOff>
                <xdr:row>0</xdr:row>
                <xdr:rowOff>0</xdr:rowOff>
              </from>
              <to>
                <xdr:col>13</xdr:col>
                <xdr:colOff>904875</xdr:colOff>
                <xdr:row>0</xdr:row>
                <xdr:rowOff>0</xdr:rowOff>
              </to>
            </anchor>
          </controlPr>
        </control>
      </mc:Choice>
      <mc:Fallback>
        <control shapeId="67587" r:id="rId7"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95</vt:i4>
      </vt:variant>
    </vt:vector>
  </HeadingPairs>
  <TitlesOfParts>
    <vt:vector size="144" baseType="lpstr">
      <vt:lpstr>SetUp</vt:lpstr>
      <vt:lpstr>Summary</vt:lpstr>
      <vt:lpstr>Rooms</vt:lpstr>
      <vt:lpstr>MMA</vt:lpstr>
      <vt:lpstr>Resv</vt:lpstr>
      <vt:lpstr>FB_Cons</vt:lpstr>
      <vt:lpstr>FB_KPI</vt:lpstr>
      <vt:lpstr>Venue1</vt:lpstr>
      <vt:lpstr>Venue1_KPI</vt:lpstr>
      <vt:lpstr>Venue2</vt:lpstr>
      <vt:lpstr>Venue2_KPI</vt:lpstr>
      <vt:lpstr>Venue3</vt:lpstr>
      <vt:lpstr>Venue3_KPI</vt:lpstr>
      <vt:lpstr>Venue4</vt:lpstr>
      <vt:lpstr>Venue4_KPI</vt:lpstr>
      <vt:lpstr>Venue5</vt:lpstr>
      <vt:lpstr>Venue5_KPI</vt:lpstr>
      <vt:lpstr>Venue6</vt:lpstr>
      <vt:lpstr>Venue6_KPI</vt:lpstr>
      <vt:lpstr>VenueBar</vt:lpstr>
      <vt:lpstr>VenueBar_KPI</vt:lpstr>
      <vt:lpstr>IRD</vt:lpstr>
      <vt:lpstr>IRD_KPI</vt:lpstr>
      <vt:lpstr>BCC_CONS</vt:lpstr>
      <vt:lpstr>BCC_CONS_KPI</vt:lpstr>
      <vt:lpstr>BCC_Group</vt:lpstr>
      <vt:lpstr>BCC_KPI_Group</vt:lpstr>
      <vt:lpstr>BCC_Local</vt:lpstr>
      <vt:lpstr>BCC_KPI_Local</vt:lpstr>
      <vt:lpstr>Mini_Bar</vt:lpstr>
      <vt:lpstr>OTH_OP</vt:lpstr>
      <vt:lpstr>Telcom_Legacy</vt:lpstr>
      <vt:lpstr>HC_SPA</vt:lpstr>
      <vt:lpstr>Parking</vt:lpstr>
      <vt:lpstr>Retail</vt:lpstr>
      <vt:lpstr>FB_Retail</vt:lpstr>
      <vt:lpstr>Minor_Op</vt:lpstr>
      <vt:lpstr>MISC_INC</vt:lpstr>
      <vt:lpstr>AG</vt:lpstr>
      <vt:lpstr>HR_Detail</vt:lpstr>
      <vt:lpstr>IT</vt:lpstr>
      <vt:lpstr>SM</vt:lpstr>
      <vt:lpstr>POM</vt:lpstr>
      <vt:lpstr>EC</vt:lpstr>
      <vt:lpstr>Mgt_Fees</vt:lpstr>
      <vt:lpstr>Non_Op</vt:lpstr>
      <vt:lpstr>Laundry</vt:lpstr>
      <vt:lpstr>Dining</vt:lpstr>
      <vt:lpstr>PR_Related</vt:lpstr>
      <vt:lpstr>AG!Print_Area</vt:lpstr>
      <vt:lpstr>BCC_CONS!Print_Area</vt:lpstr>
      <vt:lpstr>BCC_CONS_KPI!Print_Area</vt:lpstr>
      <vt:lpstr>BCC_Group!Print_Area</vt:lpstr>
      <vt:lpstr>BCC_KPI_Group!Print_Area</vt:lpstr>
      <vt:lpstr>BCC_KPI_Local!Print_Area</vt:lpstr>
      <vt:lpstr>BCC_Local!Print_Area</vt:lpstr>
      <vt:lpstr>Dining!Print_Area</vt:lpstr>
      <vt:lpstr>EC!Print_Area</vt:lpstr>
      <vt:lpstr>FB_Cons!Print_Area</vt:lpstr>
      <vt:lpstr>FB_KPI!Print_Area</vt:lpstr>
      <vt:lpstr>FB_Retail!Print_Area</vt:lpstr>
      <vt:lpstr>HC_SPA!Print_Area</vt:lpstr>
      <vt:lpstr>HR_Detail!Print_Area</vt:lpstr>
      <vt:lpstr>IRD!Print_Area</vt:lpstr>
      <vt:lpstr>IRD_KPI!Print_Area</vt:lpstr>
      <vt:lpstr>IT!Print_Area</vt:lpstr>
      <vt:lpstr>Laundry!Print_Area</vt:lpstr>
      <vt:lpstr>Mgt_Fees!Print_Area</vt:lpstr>
      <vt:lpstr>Mini_Bar!Print_Area</vt:lpstr>
      <vt:lpstr>Minor_Op!Print_Area</vt:lpstr>
      <vt:lpstr>MISC_INC!Print_Area</vt:lpstr>
      <vt:lpstr>MMA!Print_Area</vt:lpstr>
      <vt:lpstr>Non_Op!Print_Area</vt:lpstr>
      <vt:lpstr>OTH_OP!Print_Area</vt:lpstr>
      <vt:lpstr>Parking!Print_Area</vt:lpstr>
      <vt:lpstr>POM!Print_Area</vt:lpstr>
      <vt:lpstr>PR_Related!Print_Area</vt:lpstr>
      <vt:lpstr>Resv!Print_Area</vt:lpstr>
      <vt:lpstr>Retail!Print_Area</vt:lpstr>
      <vt:lpstr>Rooms!Print_Area</vt:lpstr>
      <vt:lpstr>SM!Print_Area</vt:lpstr>
      <vt:lpstr>Summary!Print_Area</vt:lpstr>
      <vt:lpstr>Telcom_Legacy!Print_Area</vt:lpstr>
      <vt:lpstr>Venue1!Print_Area</vt:lpstr>
      <vt:lpstr>Venue1_KPI!Print_Area</vt:lpstr>
      <vt:lpstr>Venue2!Print_Area</vt:lpstr>
      <vt:lpstr>Venue2_KPI!Print_Area</vt:lpstr>
      <vt:lpstr>Venue3!Print_Area</vt:lpstr>
      <vt:lpstr>Venue3_KPI!Print_Area</vt:lpstr>
      <vt:lpstr>Venue4!Print_Area</vt:lpstr>
      <vt:lpstr>Venue4_KPI!Print_Area</vt:lpstr>
      <vt:lpstr>Venue5!Print_Area</vt:lpstr>
      <vt:lpstr>Venue5_KPI!Print_Area</vt:lpstr>
      <vt:lpstr>Venue6!Print_Area</vt:lpstr>
      <vt:lpstr>Venue6_KPI!Print_Area</vt:lpstr>
      <vt:lpstr>VenueBar!Print_Area</vt:lpstr>
      <vt:lpstr>VenueBar_KPI!Print_Area</vt:lpstr>
      <vt:lpstr>AG!Print_Titles</vt:lpstr>
      <vt:lpstr>BCC_CONS_KPI!Print_Titles</vt:lpstr>
      <vt:lpstr>BCC_Group!Print_Titles</vt:lpstr>
      <vt:lpstr>BCC_KPI_Group!Print_Titles</vt:lpstr>
      <vt:lpstr>BCC_KPI_Local!Print_Titles</vt:lpstr>
      <vt:lpstr>BCC_Local!Print_Titles</vt:lpstr>
      <vt:lpstr>Dining!Print_Titles</vt:lpstr>
      <vt:lpstr>EC!Print_Titles</vt:lpstr>
      <vt:lpstr>FB_Cons!Print_Titles</vt:lpstr>
      <vt:lpstr>FB_KPI!Print_Titles</vt:lpstr>
      <vt:lpstr>FB_Retail!Print_Titles</vt:lpstr>
      <vt:lpstr>HC_SPA!Print_Titles</vt:lpstr>
      <vt:lpstr>HR_Detail!Print_Titles</vt:lpstr>
      <vt:lpstr>IRD!Print_Titles</vt:lpstr>
      <vt:lpstr>IRD_KPI!Print_Titles</vt:lpstr>
      <vt:lpstr>IT!Print_Titles</vt:lpstr>
      <vt:lpstr>Laundry!Print_Titles</vt:lpstr>
      <vt:lpstr>Mgt_Fees!Print_Titles</vt:lpstr>
      <vt:lpstr>Mini_Bar!Print_Titles</vt:lpstr>
      <vt:lpstr>Minor_Op!Print_Titles</vt:lpstr>
      <vt:lpstr>MISC_INC!Print_Titles</vt:lpstr>
      <vt:lpstr>MMA!Print_Titles</vt:lpstr>
      <vt:lpstr>Non_Op!Print_Titles</vt:lpstr>
      <vt:lpstr>OTH_OP!Print_Titles</vt:lpstr>
      <vt:lpstr>Parking!Print_Titles</vt:lpstr>
      <vt:lpstr>POM!Print_Titles</vt:lpstr>
      <vt:lpstr>PR_Related!Print_Titles</vt:lpstr>
      <vt:lpstr>Resv!Print_Titles</vt:lpstr>
      <vt:lpstr>Retail!Print_Titles</vt:lpstr>
      <vt:lpstr>Rooms!Print_Titles</vt:lpstr>
      <vt:lpstr>SM!Print_Titles</vt:lpstr>
      <vt:lpstr>Summary!Print_Titles</vt:lpstr>
      <vt:lpstr>Telcom_Legacy!Print_Titles</vt:lpstr>
      <vt:lpstr>Venue1!Print_Titles</vt:lpstr>
      <vt:lpstr>Venue1_KPI!Print_Titles</vt:lpstr>
      <vt:lpstr>Venue2!Print_Titles</vt:lpstr>
      <vt:lpstr>Venue2_KPI!Print_Titles</vt:lpstr>
      <vt:lpstr>Venue3!Print_Titles</vt:lpstr>
      <vt:lpstr>Venue3_KPI!Print_Titles</vt:lpstr>
      <vt:lpstr>Venue4!Print_Titles</vt:lpstr>
      <vt:lpstr>Venue4_KPI!Print_Titles</vt:lpstr>
      <vt:lpstr>Venue5!Print_Titles</vt:lpstr>
      <vt:lpstr>Venue5_KPI!Print_Titles</vt:lpstr>
      <vt:lpstr>Venue6!Print_Titles</vt:lpstr>
      <vt:lpstr>Venue6_KPI!Print_Titles</vt:lpstr>
      <vt:lpstr>VenueBar!Print_Titles</vt:lpstr>
      <vt:lpstr>VenueBar_KPI!Print_Titles</vt:lpstr>
    </vt:vector>
  </TitlesOfParts>
  <Company>Kimpton Hotels &amp; Restaurants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Kaitlyn Pressley</dc:creator>
  <cp:lastModifiedBy>Louis Petauton</cp:lastModifiedBy>
  <cp:lastPrinted>2020-07-07T15:00:22Z</cp:lastPrinted>
  <dcterms:created xsi:type="dcterms:W3CDTF">2014-09-26T18:28:08Z</dcterms:created>
  <dcterms:modified xsi:type="dcterms:W3CDTF">2023-01-11T00:36:21Z</dcterms:modified>
</cp:coreProperties>
</file>