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F:\TFS-Workbench-clone\tfsworkbench-fork\solutions\WpfUI\Resources\"/>
    </mc:Choice>
  </mc:AlternateContent>
  <bookViews>
    <workbookView xWindow="12156" yWindow="228" windowWidth="8208" windowHeight="7212"/>
  </bookViews>
  <sheets>
    <sheet name="Kanban" sheetId="7" r:id="rId1"/>
    <sheet name="Meta da sprint" sheetId="8" r:id="rId2"/>
    <sheet name="Conceito de Pronto" sheetId="9" r:id="rId3"/>
    <sheet name="DV-IDENTITY-0" sheetId="10" state="veryHidden" r:id="rId4"/>
  </sheets>
  <calcPr calcId="152511"/>
</workbook>
</file>

<file path=xl/calcChain.xml><?xml version="1.0" encoding="utf-8"?>
<calcChain xmlns="http://schemas.openxmlformats.org/spreadsheetml/2006/main">
  <c r="AL19" i="10" l="1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A1" i="10" l="1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4" i="10"/>
  <c r="B4" i="10"/>
  <c r="C4" i="10"/>
  <c r="D4" i="10"/>
  <c r="E4" i="10"/>
  <c r="F4" i="10"/>
  <c r="G4" i="10"/>
  <c r="H4" i="10"/>
  <c r="I4" i="10"/>
  <c r="A5" i="10"/>
  <c r="B5" i="10"/>
  <c r="C5" i="10"/>
  <c r="D5" i="10"/>
  <c r="E5" i="10"/>
  <c r="A6" i="10"/>
  <c r="B6" i="10"/>
  <c r="C6" i="10"/>
  <c r="D6" i="10"/>
  <c r="A7" i="10"/>
  <c r="B7" i="10"/>
  <c r="C7" i="10"/>
  <c r="D7" i="10"/>
  <c r="E7" i="10"/>
  <c r="F7" i="10"/>
  <c r="G7" i="10"/>
  <c r="H7" i="10"/>
  <c r="I7" i="10"/>
  <c r="J7" i="10"/>
  <c r="A8" i="10"/>
  <c r="B8" i="10"/>
  <c r="C8" i="10"/>
  <c r="D8" i="10"/>
  <c r="E8" i="10"/>
  <c r="F8" i="10"/>
  <c r="G8" i="10"/>
  <c r="H8" i="10"/>
  <c r="A9" i="10"/>
  <c r="B9" i="10"/>
  <c r="C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12" i="10"/>
  <c r="B12" i="10"/>
  <c r="A13" i="10"/>
  <c r="B13" i="10"/>
  <c r="C13" i="10"/>
  <c r="D13" i="10"/>
  <c r="E13" i="10"/>
  <c r="A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A18" i="10"/>
</calcChain>
</file>

<file path=xl/sharedStrings.xml><?xml version="1.0" encoding="utf-8"?>
<sst xmlns="http://schemas.openxmlformats.org/spreadsheetml/2006/main" count="7" uniqueCount="7">
  <si>
    <t>Estórias</t>
  </si>
  <si>
    <t>Tarefas</t>
  </si>
  <si>
    <t>Andamento</t>
  </si>
  <si>
    <t>Impedidas</t>
  </si>
  <si>
    <t>Finalizadas</t>
  </si>
  <si>
    <t>Retiradas</t>
  </si>
  <si>
    <t>AAAAAF9VuyM=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</si>
</sst>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1733550</xdr:rowOff>
    </xdr:from>
    <xdr:to>
      <xdr:col>27</xdr:col>
      <xdr:colOff>1047750</xdr:colOff>
      <xdr:row>8</xdr:row>
      <xdr:rowOff>10834</xdr:rowOff>
    </xdr:to>
    <xdr:cxnSp macro="">
      <xdr:nvCxnSpPr>
        <xdr:cNvPr id="3" name="Conector reto 2"/>
        <xdr:cNvCxnSpPr/>
      </xdr:nvCxnSpPr>
      <xdr:spPr>
        <a:xfrm flipV="1">
          <a:off x="95250" y="13468350"/>
          <a:ext cx="70675500" cy="4893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14</xdr:row>
      <xdr:rowOff>1704975</xdr:rowOff>
    </xdr:from>
    <xdr:to>
      <xdr:col>27</xdr:col>
      <xdr:colOff>952500</xdr:colOff>
      <xdr:row>14</xdr:row>
      <xdr:rowOff>1753909</xdr:rowOff>
    </xdr:to>
    <xdr:cxnSp macro="">
      <xdr:nvCxnSpPr>
        <xdr:cNvPr id="5" name="Conector reto 4"/>
        <xdr:cNvCxnSpPr/>
      </xdr:nvCxnSpPr>
      <xdr:spPr>
        <a:xfrm flipV="1">
          <a:off x="0" y="25707975"/>
          <a:ext cx="70675500" cy="4893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3810</xdr:rowOff>
    </xdr:from>
    <xdr:to>
      <xdr:col>27</xdr:col>
      <xdr:colOff>952500</xdr:colOff>
      <xdr:row>1</xdr:row>
      <xdr:rowOff>7024</xdr:rowOff>
    </xdr:to>
    <xdr:cxnSp macro="">
      <xdr:nvCxnSpPr>
        <xdr:cNvPr id="6" name="Conector reto 5"/>
        <xdr:cNvCxnSpPr/>
      </xdr:nvCxnSpPr>
      <xdr:spPr>
        <a:xfrm flipV="1">
          <a:off x="0" y="1089660"/>
          <a:ext cx="72390000" cy="321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2367017</xdr:colOff>
      <xdr:row>0</xdr:row>
      <xdr:rowOff>1</xdr:rowOff>
    </xdr:from>
    <xdr:to>
      <xdr:col>16</xdr:col>
      <xdr:colOff>148308</xdr:colOff>
      <xdr:row>188</xdr:row>
      <xdr:rowOff>1500187</xdr:rowOff>
    </xdr:to>
    <xdr:cxnSp macro="">
      <xdr:nvCxnSpPr>
        <xdr:cNvPr id="9" name="Conector reto 8"/>
        <xdr:cNvCxnSpPr/>
      </xdr:nvCxnSpPr>
      <xdr:spPr>
        <a:xfrm>
          <a:off x="43515017" y="1"/>
          <a:ext cx="162541" cy="33113662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2263671</xdr:colOff>
      <xdr:row>0</xdr:row>
      <xdr:rowOff>0</xdr:rowOff>
    </xdr:from>
    <xdr:to>
      <xdr:col>18</xdr:col>
      <xdr:colOff>2367019</xdr:colOff>
      <xdr:row>189</xdr:row>
      <xdr:rowOff>23813</xdr:rowOff>
    </xdr:to>
    <xdr:cxnSp macro="">
      <xdr:nvCxnSpPr>
        <xdr:cNvPr id="10" name="Conector reto 9"/>
        <xdr:cNvCxnSpPr/>
      </xdr:nvCxnSpPr>
      <xdr:spPr>
        <a:xfrm flipH="1">
          <a:off x="50555421" y="0"/>
          <a:ext cx="103348" cy="33130331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22</xdr:row>
      <xdr:rowOff>9525</xdr:rowOff>
    </xdr:from>
    <xdr:to>
      <xdr:col>27</xdr:col>
      <xdr:colOff>952500</xdr:colOff>
      <xdr:row>22</xdr:row>
      <xdr:rowOff>34647</xdr:rowOff>
    </xdr:to>
    <xdr:cxnSp macro="">
      <xdr:nvCxnSpPr>
        <xdr:cNvPr id="18" name="Conector reto 17"/>
        <xdr:cNvCxnSpPr/>
      </xdr:nvCxnSpPr>
      <xdr:spPr>
        <a:xfrm flipV="1">
          <a:off x="0" y="38109525"/>
          <a:ext cx="70675500" cy="2512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14292</xdr:colOff>
      <xdr:row>0</xdr:row>
      <xdr:rowOff>0</xdr:rowOff>
    </xdr:from>
    <xdr:to>
      <xdr:col>8</xdr:col>
      <xdr:colOff>14292</xdr:colOff>
      <xdr:row>188</xdr:row>
      <xdr:rowOff>1547812</xdr:rowOff>
    </xdr:to>
    <xdr:cxnSp macro="">
      <xdr:nvCxnSpPr>
        <xdr:cNvPr id="19" name="Conector reto 18"/>
        <xdr:cNvCxnSpPr/>
      </xdr:nvCxnSpPr>
      <xdr:spPr>
        <a:xfrm>
          <a:off x="24493542" y="0"/>
          <a:ext cx="0" cy="33118425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2303438</xdr:colOff>
      <xdr:row>0</xdr:row>
      <xdr:rowOff>2</xdr:rowOff>
    </xdr:from>
    <xdr:to>
      <xdr:col>6</xdr:col>
      <xdr:colOff>23818</xdr:colOff>
      <xdr:row>188</xdr:row>
      <xdr:rowOff>1500187</xdr:rowOff>
    </xdr:to>
    <xdr:cxnSp macro="">
      <xdr:nvCxnSpPr>
        <xdr:cNvPr id="20" name="Conector reto 19"/>
        <xdr:cNvCxnSpPr/>
      </xdr:nvCxnSpPr>
      <xdr:spPr>
        <a:xfrm flipH="1">
          <a:off x="19638938" y="2"/>
          <a:ext cx="101630" cy="33113662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7561032</xdr:colOff>
      <xdr:row>0</xdr:row>
      <xdr:rowOff>0</xdr:rowOff>
    </xdr:from>
    <xdr:to>
      <xdr:col>1</xdr:col>
      <xdr:colOff>33344</xdr:colOff>
      <xdr:row>188</xdr:row>
      <xdr:rowOff>1595437</xdr:rowOff>
    </xdr:to>
    <xdr:cxnSp macro="">
      <xdr:nvCxnSpPr>
        <xdr:cNvPr id="21" name="Conector reto 20"/>
        <xdr:cNvCxnSpPr/>
      </xdr:nvCxnSpPr>
      <xdr:spPr>
        <a:xfrm flipH="1">
          <a:off x="7561032" y="0"/>
          <a:ext cx="282812" cy="33123187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</xdr:colOff>
      <xdr:row>0</xdr:row>
      <xdr:rowOff>9522</xdr:rowOff>
    </xdr:from>
    <xdr:to>
      <xdr:col>10</xdr:col>
      <xdr:colOff>100</xdr:colOff>
      <xdr:row>189</xdr:row>
      <xdr:rowOff>23813</xdr:rowOff>
    </xdr:to>
    <xdr:cxnSp macro="">
      <xdr:nvCxnSpPr>
        <xdr:cNvPr id="17" name="Conector reto 16"/>
        <xdr:cNvCxnSpPr/>
      </xdr:nvCxnSpPr>
      <xdr:spPr>
        <a:xfrm>
          <a:off x="29241850" y="9522"/>
          <a:ext cx="0" cy="33129379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1614523</xdr:rowOff>
    </xdr:from>
    <xdr:to>
      <xdr:col>27</xdr:col>
      <xdr:colOff>952500</xdr:colOff>
      <xdr:row>28</xdr:row>
      <xdr:rowOff>1639645</xdr:rowOff>
    </xdr:to>
    <xdr:cxnSp macro="">
      <xdr:nvCxnSpPr>
        <xdr:cNvPr id="22" name="Conector reto 21"/>
        <xdr:cNvCxnSpPr/>
      </xdr:nvCxnSpPr>
      <xdr:spPr>
        <a:xfrm flipV="1">
          <a:off x="0" y="50287273"/>
          <a:ext cx="70675500" cy="2512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9522</xdr:colOff>
      <xdr:row>36</xdr:row>
      <xdr:rowOff>0</xdr:rowOff>
    </xdr:from>
    <xdr:to>
      <xdr:col>27</xdr:col>
      <xdr:colOff>962022</xdr:colOff>
      <xdr:row>36</xdr:row>
      <xdr:rowOff>6380</xdr:rowOff>
    </xdr:to>
    <xdr:cxnSp macro="">
      <xdr:nvCxnSpPr>
        <xdr:cNvPr id="24" name="Conector reto 23"/>
        <xdr:cNvCxnSpPr/>
      </xdr:nvCxnSpPr>
      <xdr:spPr>
        <a:xfrm flipV="1">
          <a:off x="9522" y="63441571"/>
          <a:ext cx="70675500" cy="2512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33335</xdr:colOff>
      <xdr:row>43</xdr:row>
      <xdr:rowOff>52696</xdr:rowOff>
    </xdr:from>
    <xdr:to>
      <xdr:col>27</xdr:col>
      <xdr:colOff>985835</xdr:colOff>
      <xdr:row>43</xdr:row>
      <xdr:rowOff>77817</xdr:rowOff>
    </xdr:to>
    <xdr:cxnSp macro="">
      <xdr:nvCxnSpPr>
        <xdr:cNvPr id="26" name="Conector reto 25"/>
        <xdr:cNvCxnSpPr/>
      </xdr:nvCxnSpPr>
      <xdr:spPr>
        <a:xfrm flipV="1">
          <a:off x="33335" y="75014446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49</xdr:row>
      <xdr:rowOff>1595438</xdr:rowOff>
    </xdr:from>
    <xdr:to>
      <xdr:col>27</xdr:col>
      <xdr:colOff>952500</xdr:colOff>
      <xdr:row>49</xdr:row>
      <xdr:rowOff>1620559</xdr:rowOff>
    </xdr:to>
    <xdr:cxnSp macro="">
      <xdr:nvCxnSpPr>
        <xdr:cNvPr id="42" name="Conector reto 41"/>
        <xdr:cNvCxnSpPr/>
      </xdr:nvCxnSpPr>
      <xdr:spPr>
        <a:xfrm flipV="1">
          <a:off x="0" y="88058626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57</xdr:row>
      <xdr:rowOff>1</xdr:rowOff>
    </xdr:from>
    <xdr:to>
      <xdr:col>27</xdr:col>
      <xdr:colOff>952500</xdr:colOff>
      <xdr:row>57</xdr:row>
      <xdr:rowOff>25122</xdr:rowOff>
    </xdr:to>
    <xdr:cxnSp macro="">
      <xdr:nvCxnSpPr>
        <xdr:cNvPr id="46" name="Conector reto 45"/>
        <xdr:cNvCxnSpPr/>
      </xdr:nvCxnSpPr>
      <xdr:spPr>
        <a:xfrm flipV="1">
          <a:off x="0" y="99607689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64</xdr:row>
      <xdr:rowOff>1</xdr:rowOff>
    </xdr:from>
    <xdr:to>
      <xdr:col>27</xdr:col>
      <xdr:colOff>952500</xdr:colOff>
      <xdr:row>64</xdr:row>
      <xdr:rowOff>25122</xdr:rowOff>
    </xdr:to>
    <xdr:cxnSp macro="">
      <xdr:nvCxnSpPr>
        <xdr:cNvPr id="48" name="Conector reto 47"/>
        <xdr:cNvCxnSpPr/>
      </xdr:nvCxnSpPr>
      <xdr:spPr>
        <a:xfrm flipV="1">
          <a:off x="0" y="112752189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71</xdr:row>
      <xdr:rowOff>1</xdr:rowOff>
    </xdr:from>
    <xdr:to>
      <xdr:col>27</xdr:col>
      <xdr:colOff>952500</xdr:colOff>
      <xdr:row>71</xdr:row>
      <xdr:rowOff>25122</xdr:rowOff>
    </xdr:to>
    <xdr:cxnSp macro="">
      <xdr:nvCxnSpPr>
        <xdr:cNvPr id="50" name="Conector reto 49"/>
        <xdr:cNvCxnSpPr/>
      </xdr:nvCxnSpPr>
      <xdr:spPr>
        <a:xfrm flipV="1">
          <a:off x="0" y="125896689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78</xdr:row>
      <xdr:rowOff>1</xdr:rowOff>
    </xdr:from>
    <xdr:to>
      <xdr:col>27</xdr:col>
      <xdr:colOff>952500</xdr:colOff>
      <xdr:row>78</xdr:row>
      <xdr:rowOff>25122</xdr:rowOff>
    </xdr:to>
    <xdr:cxnSp macro="">
      <xdr:nvCxnSpPr>
        <xdr:cNvPr id="52" name="Conector reto 51"/>
        <xdr:cNvCxnSpPr/>
      </xdr:nvCxnSpPr>
      <xdr:spPr>
        <a:xfrm flipV="1">
          <a:off x="0" y="139041189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85</xdr:row>
      <xdr:rowOff>1</xdr:rowOff>
    </xdr:from>
    <xdr:to>
      <xdr:col>27</xdr:col>
      <xdr:colOff>952500</xdr:colOff>
      <xdr:row>85</xdr:row>
      <xdr:rowOff>25122</xdr:rowOff>
    </xdr:to>
    <xdr:cxnSp macro="">
      <xdr:nvCxnSpPr>
        <xdr:cNvPr id="54" name="Conector reto 53"/>
        <xdr:cNvCxnSpPr/>
      </xdr:nvCxnSpPr>
      <xdr:spPr>
        <a:xfrm flipV="1">
          <a:off x="0" y="152185689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91</xdr:row>
      <xdr:rowOff>1595439</xdr:rowOff>
    </xdr:from>
    <xdr:to>
      <xdr:col>27</xdr:col>
      <xdr:colOff>952500</xdr:colOff>
      <xdr:row>91</xdr:row>
      <xdr:rowOff>1620560</xdr:rowOff>
    </xdr:to>
    <xdr:cxnSp macro="">
      <xdr:nvCxnSpPr>
        <xdr:cNvPr id="56" name="Conector reto 55"/>
        <xdr:cNvCxnSpPr/>
      </xdr:nvCxnSpPr>
      <xdr:spPr>
        <a:xfrm flipV="1">
          <a:off x="0" y="165282564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98</xdr:row>
      <xdr:rowOff>1619252</xdr:rowOff>
    </xdr:from>
    <xdr:to>
      <xdr:col>27</xdr:col>
      <xdr:colOff>952500</xdr:colOff>
      <xdr:row>99</xdr:row>
      <xdr:rowOff>1310</xdr:rowOff>
    </xdr:to>
    <xdr:cxnSp macro="">
      <xdr:nvCxnSpPr>
        <xdr:cNvPr id="64" name="Conector reto 63"/>
        <xdr:cNvCxnSpPr/>
      </xdr:nvCxnSpPr>
      <xdr:spPr>
        <a:xfrm flipV="1">
          <a:off x="0" y="178450877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105</xdr:row>
      <xdr:rowOff>1619252</xdr:rowOff>
    </xdr:from>
    <xdr:to>
      <xdr:col>27</xdr:col>
      <xdr:colOff>952500</xdr:colOff>
      <xdr:row>106</xdr:row>
      <xdr:rowOff>1310</xdr:rowOff>
    </xdr:to>
    <xdr:cxnSp macro="">
      <xdr:nvCxnSpPr>
        <xdr:cNvPr id="66" name="Conector reto 65"/>
        <xdr:cNvCxnSpPr/>
      </xdr:nvCxnSpPr>
      <xdr:spPr>
        <a:xfrm flipV="1">
          <a:off x="0" y="191595377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113</xdr:row>
      <xdr:rowOff>2</xdr:rowOff>
    </xdr:from>
    <xdr:to>
      <xdr:col>27</xdr:col>
      <xdr:colOff>952500</xdr:colOff>
      <xdr:row>113</xdr:row>
      <xdr:rowOff>25123</xdr:rowOff>
    </xdr:to>
    <xdr:cxnSp macro="">
      <xdr:nvCxnSpPr>
        <xdr:cNvPr id="68" name="Conector reto 67"/>
        <xdr:cNvCxnSpPr/>
      </xdr:nvCxnSpPr>
      <xdr:spPr>
        <a:xfrm flipV="1">
          <a:off x="0" y="204763690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119</xdr:row>
      <xdr:rowOff>1619253</xdr:rowOff>
    </xdr:from>
    <xdr:to>
      <xdr:col>27</xdr:col>
      <xdr:colOff>952500</xdr:colOff>
      <xdr:row>120</xdr:row>
      <xdr:rowOff>1311</xdr:rowOff>
    </xdr:to>
    <xdr:cxnSp macro="">
      <xdr:nvCxnSpPr>
        <xdr:cNvPr id="70" name="Conector reto 69"/>
        <xdr:cNvCxnSpPr/>
      </xdr:nvCxnSpPr>
      <xdr:spPr>
        <a:xfrm flipV="1">
          <a:off x="0" y="217884378"/>
          <a:ext cx="70675500" cy="251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268569</xdr:colOff>
      <xdr:row>8</xdr:row>
      <xdr:rowOff>168771</xdr:rowOff>
    </xdr:to>
    <xdr:sp macro="" textlink="">
      <xdr:nvSpPr>
        <xdr:cNvPr id="2" name="CaixaDeTexto 50"/>
        <xdr:cNvSpPr txBox="1">
          <a:spLocks noChangeArrowheads="1"/>
        </xdr:cNvSpPr>
      </xdr:nvSpPr>
      <xdr:spPr bwMode="auto">
        <a:xfrm>
          <a:off x="0" y="0"/>
          <a:ext cx="2706969" cy="1692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r>
            <a:rPr lang="pt-BR" sz="1600" b="1">
              <a:solidFill>
                <a:srgbClr val="0070C0"/>
              </a:solidFill>
            </a:rPr>
            <a:t>META DA </a:t>
          </a:r>
          <a:r>
            <a:rPr lang="pt-BR" sz="2400" b="1">
              <a:solidFill>
                <a:srgbClr val="0070C0"/>
              </a:solidFill>
            </a:rPr>
            <a:t>SPRINT 04</a:t>
          </a:r>
        </a:p>
        <a:p>
          <a:r>
            <a:rPr lang="pt-BR" sz="1600">
              <a:solidFill>
                <a:srgbClr val="0070C0"/>
              </a:solidFill>
              <a:latin typeface="Calibri" pitchFamily="34" charset="0"/>
            </a:rPr>
            <a:t>Garantir migração de controles com produtividade no cadastro de arquivos e performance na entrega de conteúdos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23781</xdr:colOff>
      <xdr:row>6</xdr:row>
      <xdr:rowOff>75793</xdr:rowOff>
    </xdr:from>
    <xdr:to>
      <xdr:col>14</xdr:col>
      <xdr:colOff>415896</xdr:colOff>
      <xdr:row>17</xdr:row>
      <xdr:rowOff>137294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23781" y="1218793"/>
          <a:ext cx="8926515" cy="21570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lvl="0">
            <a:buFont typeface="Arial" pitchFamily="34" charset="0"/>
            <a:buChar char="•"/>
          </a:pPr>
          <a:r>
            <a:rPr lang="pt-BR" sz="2000"/>
            <a:t> Gerar roteiros de teste funcional para todas as funcionalidades criadas</a:t>
          </a:r>
          <a:br>
            <a:rPr lang="pt-BR" sz="2000"/>
          </a:br>
          <a:endParaRPr lang="pt-BR" sz="2000"/>
        </a:p>
        <a:p>
          <a:pPr lvl="0">
            <a:buFont typeface="Arial" pitchFamily="34" charset="0"/>
            <a:buChar char="•"/>
          </a:pPr>
          <a:r>
            <a:rPr lang="pt-BR" sz="2000"/>
            <a:t> Executar teste de regressão ao final da sprint</a:t>
          </a:r>
        </a:p>
        <a:p>
          <a:pPr lvl="0"/>
          <a:endParaRPr lang="pt-BR" sz="2000"/>
        </a:p>
        <a:p>
          <a:pPr lvl="0">
            <a:buFont typeface="Arial" pitchFamily="34" charset="0"/>
            <a:buChar char="•"/>
          </a:pPr>
          <a:r>
            <a:rPr lang="pt-BR" sz="2000"/>
            <a:t> Executar funcionais no ambiente de homologação da ManyToOne nos browsers IE 9, Firefox e Chrome</a:t>
          </a:r>
        </a:p>
        <a:p>
          <a:pPr lvl="0">
            <a:buFont typeface="Arial" pitchFamily="34" charset="0"/>
            <a:buChar char="•"/>
          </a:pPr>
          <a:endParaRPr lang="pt-BR" sz="20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319087</xdr:colOff>
      <xdr:row>3</xdr:row>
      <xdr:rowOff>136525</xdr:rowOff>
    </xdr:to>
    <xdr:sp macro="" textlink="">
      <xdr:nvSpPr>
        <xdr:cNvPr id="3" name="CaixaDeTexto 4"/>
        <xdr:cNvSpPr txBox="1">
          <a:spLocks noChangeArrowheads="1"/>
        </xdr:cNvSpPr>
      </xdr:nvSpPr>
      <xdr:spPr bwMode="auto">
        <a:xfrm>
          <a:off x="0" y="0"/>
          <a:ext cx="7024687" cy="708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r>
            <a:rPr lang="pt-BR" sz="4000" b="1"/>
            <a:t>Conceito de pronto</a:t>
          </a:r>
          <a:endParaRPr lang="pt-BR" sz="4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53"/>
  <sheetViews>
    <sheetView tabSelected="1" zoomScale="40" zoomScaleNormal="40" workbookViewId="0"/>
  </sheetViews>
  <sheetFormatPr defaultColWidth="35.6640625" defaultRowHeight="129.9" customHeight="1" x14ac:dyDescent="0.5"/>
  <cols>
    <col min="1" max="1" width="117.109375" style="1" customWidth="1"/>
    <col min="2" max="6" width="35.6640625" style="2"/>
    <col min="7" max="8" width="35.6640625" style="1"/>
    <col min="9" max="9" width="35.6640625" style="2"/>
    <col min="10" max="10" width="35.6640625" style="1"/>
    <col min="11" max="16384" width="35.6640625" style="2"/>
  </cols>
  <sheetData>
    <row r="1" spans="1:22" s="4" customFormat="1" ht="86.25" customHeight="1" x14ac:dyDescent="0.3">
      <c r="A1" s="4" t="s">
        <v>0</v>
      </c>
      <c r="B1" s="7" t="s">
        <v>1</v>
      </c>
      <c r="C1" s="7"/>
      <c r="D1" s="7"/>
      <c r="E1" s="7"/>
      <c r="F1" s="7"/>
      <c r="G1" s="5" t="s">
        <v>2</v>
      </c>
      <c r="H1" s="5"/>
      <c r="I1" s="5" t="s">
        <v>3</v>
      </c>
      <c r="J1" s="5"/>
      <c r="K1" s="8" t="s">
        <v>4</v>
      </c>
      <c r="L1" s="6"/>
      <c r="M1" s="6"/>
      <c r="N1" s="6"/>
      <c r="O1" s="6"/>
      <c r="P1" s="6"/>
      <c r="Q1" s="5" t="s">
        <v>5</v>
      </c>
      <c r="R1" s="6"/>
      <c r="S1" s="6"/>
    </row>
    <row r="2" spans="1:22" s="1" customFormat="1" ht="140.1" customHeight="1" x14ac:dyDescent="0.5"/>
    <row r="3" spans="1:22" s="1" customFormat="1" ht="140.1" customHeight="1" x14ac:dyDescent="0.5"/>
    <row r="4" spans="1:22" s="1" customFormat="1" ht="140.1" customHeight="1" x14ac:dyDescent="0.5"/>
    <row r="5" spans="1:22" s="1" customFormat="1" ht="140.1" customHeight="1" x14ac:dyDescent="0.5"/>
    <row r="6" spans="1:22" s="1" customFormat="1" ht="140.1" customHeight="1" x14ac:dyDescent="0.5"/>
    <row r="7" spans="1:22" s="1" customFormat="1" ht="140.1" customHeight="1" x14ac:dyDescent="0.5"/>
    <row r="8" spans="1:22" s="1" customFormat="1" ht="140.1" customHeight="1" x14ac:dyDescent="0.5"/>
    <row r="9" spans="1:22" s="1" customFormat="1" ht="140.1" customHeight="1" x14ac:dyDescent="0.5"/>
    <row r="10" spans="1:22" ht="140.1" customHeight="1" x14ac:dyDescent="0.5">
      <c r="B10" s="1"/>
      <c r="C10" s="1"/>
      <c r="D10" s="1"/>
      <c r="E10" s="1"/>
      <c r="F10" s="1"/>
      <c r="H10" s="2"/>
      <c r="J10" s="2"/>
      <c r="K10" s="1"/>
      <c r="N10" s="1"/>
      <c r="O10" s="1"/>
      <c r="P10" s="1"/>
    </row>
    <row r="11" spans="1:22" ht="140.1" customHeight="1" x14ac:dyDescent="0.5">
      <c r="B11" s="1"/>
      <c r="C11" s="1"/>
      <c r="D11" s="1"/>
      <c r="E11" s="1"/>
      <c r="F11" s="1"/>
      <c r="H11" s="2"/>
      <c r="J11" s="2"/>
      <c r="K11" s="1"/>
      <c r="L11" s="1"/>
      <c r="N11" s="1"/>
      <c r="O11" s="1"/>
      <c r="P11" s="1"/>
    </row>
    <row r="12" spans="1:22" ht="140.1" customHeight="1" x14ac:dyDescent="0.5">
      <c r="B12" s="1"/>
      <c r="E12" s="1"/>
      <c r="F12" s="1"/>
      <c r="I12" s="1"/>
      <c r="K12" s="1"/>
      <c r="L12" s="1"/>
      <c r="N12" s="1"/>
      <c r="O12" s="1"/>
      <c r="P12" s="1"/>
    </row>
    <row r="13" spans="1:22" ht="140.1" customHeight="1" x14ac:dyDescent="0.5">
      <c r="I13" s="1"/>
      <c r="N13" s="1"/>
      <c r="O13" s="1"/>
      <c r="P13" s="1"/>
      <c r="T13" s="1"/>
      <c r="U13" s="1"/>
      <c r="V13" s="1"/>
    </row>
    <row r="14" spans="1:22" ht="140.1" customHeight="1" x14ac:dyDescent="0.5">
      <c r="B14" s="1"/>
      <c r="E14" s="1"/>
      <c r="F14" s="1"/>
      <c r="J14" s="2"/>
      <c r="N14" s="1"/>
      <c r="O14" s="1"/>
      <c r="P14" s="1"/>
    </row>
    <row r="15" spans="1:22" ht="140.1" customHeight="1" x14ac:dyDescent="0.5">
      <c r="C15" s="1"/>
      <c r="D15" s="1"/>
      <c r="G15" s="2"/>
      <c r="J15" s="2"/>
      <c r="K15" s="1"/>
      <c r="L15" s="1"/>
      <c r="M15" s="1"/>
      <c r="P15" s="1"/>
    </row>
    <row r="16" spans="1:22" ht="140.1" customHeight="1" x14ac:dyDescent="0.5">
      <c r="E16" s="3"/>
      <c r="F16" s="3"/>
      <c r="L16" s="1"/>
      <c r="O16" s="1"/>
      <c r="P16" s="1"/>
    </row>
    <row r="17" spans="1:16" ht="140.1" customHeight="1" x14ac:dyDescent="0.5">
      <c r="A17" s="2"/>
      <c r="G17" s="2"/>
      <c r="N17" s="1"/>
      <c r="O17" s="1"/>
      <c r="P17" s="1"/>
    </row>
    <row r="18" spans="1:16" ht="140.1" customHeight="1" x14ac:dyDescent="0.5">
      <c r="A18" s="2"/>
      <c r="E18" s="3"/>
      <c r="L18" s="1"/>
      <c r="N18" s="1"/>
      <c r="O18" s="1"/>
      <c r="P18" s="1"/>
    </row>
    <row r="19" spans="1:16" ht="140.1" customHeight="1" x14ac:dyDescent="0.5">
      <c r="A19" s="2"/>
      <c r="G19" s="2"/>
      <c r="J19" s="2"/>
      <c r="P19" s="1"/>
    </row>
    <row r="20" spans="1:16" ht="140.1" customHeight="1" x14ac:dyDescent="0.5">
      <c r="A20" s="2"/>
      <c r="E20" s="3"/>
      <c r="J20" s="2"/>
      <c r="P20" s="1"/>
    </row>
    <row r="21" spans="1:16" ht="140.1" customHeight="1" x14ac:dyDescent="0.5">
      <c r="A21" s="2"/>
      <c r="E21" s="3"/>
      <c r="F21" s="3"/>
      <c r="J21" s="2"/>
      <c r="M21" s="1"/>
      <c r="P21" s="1"/>
    </row>
    <row r="22" spans="1:16" ht="140.1" customHeight="1" x14ac:dyDescent="0.5">
      <c r="A22" s="2"/>
      <c r="K22" s="1"/>
      <c r="L22" s="1"/>
      <c r="M22" s="1"/>
      <c r="P22" s="1"/>
    </row>
    <row r="23" spans="1:16" ht="140.1" customHeight="1" x14ac:dyDescent="0.5">
      <c r="A23" s="2"/>
      <c r="H23" s="2"/>
      <c r="N23" s="1"/>
      <c r="P23" s="1"/>
    </row>
    <row r="24" spans="1:16" ht="140.1" customHeight="1" x14ac:dyDescent="0.5">
      <c r="A24" s="2"/>
      <c r="E24" s="1"/>
      <c r="H24" s="2"/>
      <c r="K24" s="1"/>
      <c r="N24" s="1"/>
      <c r="P24" s="1"/>
    </row>
    <row r="25" spans="1:16" ht="140.1" customHeight="1" x14ac:dyDescent="0.5">
      <c r="A25" s="2"/>
      <c r="F25" s="1"/>
      <c r="G25" s="2"/>
      <c r="H25" s="2"/>
      <c r="K25" s="1"/>
      <c r="M25" s="3"/>
      <c r="N25" s="1"/>
    </row>
    <row r="26" spans="1:16" ht="140.1" customHeight="1" x14ac:dyDescent="0.5">
      <c r="A26" s="2"/>
      <c r="F26" s="1"/>
      <c r="G26" s="2"/>
      <c r="H26" s="2"/>
      <c r="I26" s="1"/>
      <c r="K26" s="1"/>
      <c r="M26" s="3"/>
      <c r="N26" s="1"/>
    </row>
    <row r="27" spans="1:16" ht="140.1" customHeight="1" x14ac:dyDescent="0.5">
      <c r="A27" s="2"/>
      <c r="F27" s="1"/>
      <c r="G27" s="2"/>
      <c r="H27" s="2"/>
      <c r="I27" s="1"/>
    </row>
    <row r="28" spans="1:16" ht="140.1" customHeight="1" x14ac:dyDescent="0.5">
      <c r="A28" s="2"/>
      <c r="D28" s="1"/>
      <c r="F28" s="1"/>
      <c r="G28" s="2"/>
      <c r="H28" s="2"/>
      <c r="I28" s="1"/>
    </row>
    <row r="29" spans="1:16" ht="129.9" customHeight="1" x14ac:dyDescent="0.5">
      <c r="A29" s="2"/>
      <c r="D29" s="1"/>
      <c r="E29" s="1"/>
      <c r="F29" s="1"/>
      <c r="K29" s="1"/>
      <c r="P29" s="1"/>
    </row>
    <row r="30" spans="1:16" ht="129.9" customHeight="1" x14ac:dyDescent="0.5">
      <c r="A30" s="2"/>
      <c r="P30" s="1"/>
    </row>
    <row r="31" spans="1:16" ht="129.9" customHeight="1" x14ac:dyDescent="0.5">
      <c r="B31" s="1"/>
      <c r="G31" s="2"/>
      <c r="P31" s="1"/>
    </row>
    <row r="32" spans="1:16" ht="129.9" customHeight="1" x14ac:dyDescent="0.5">
      <c r="B32" s="1"/>
      <c r="C32" s="1"/>
      <c r="P32" s="1"/>
    </row>
    <row r="33" spans="1:12" ht="129.9" customHeight="1" x14ac:dyDescent="0.5">
      <c r="A33" s="2"/>
      <c r="B33" s="1"/>
      <c r="K33" s="1"/>
      <c r="L33" s="1"/>
    </row>
    <row r="34" spans="1:12" ht="129.9" customHeight="1" x14ac:dyDescent="0.5">
      <c r="A34" s="2"/>
      <c r="E34" s="1"/>
      <c r="K34" s="1"/>
      <c r="L34" s="1"/>
    </row>
    <row r="35" spans="1:12" ht="129.9" customHeight="1" x14ac:dyDescent="0.5">
      <c r="C35" s="1"/>
      <c r="F35" s="1"/>
      <c r="G35" s="2"/>
      <c r="K35" s="1"/>
    </row>
    <row r="36" spans="1:12" ht="129.9" customHeight="1" x14ac:dyDescent="0.5">
      <c r="C36" s="1"/>
      <c r="D36" s="1"/>
      <c r="E36" s="1"/>
      <c r="F36" s="1"/>
      <c r="K36" s="1"/>
      <c r="L36" s="1"/>
    </row>
    <row r="37" spans="1:12" ht="129.9" customHeight="1" x14ac:dyDescent="0.5">
      <c r="K37" s="1"/>
    </row>
    <row r="38" spans="1:12" ht="129.9" customHeight="1" x14ac:dyDescent="0.5">
      <c r="B38" s="1"/>
      <c r="D38" s="1"/>
      <c r="E38" s="1"/>
      <c r="F38" s="1"/>
    </row>
    <row r="39" spans="1:12" ht="129.9" customHeight="1" x14ac:dyDescent="0.5">
      <c r="C39" s="1"/>
      <c r="E39" s="1"/>
      <c r="F39" s="1"/>
      <c r="K39" s="1"/>
    </row>
    <row r="40" spans="1:12" ht="129.9" customHeight="1" x14ac:dyDescent="0.5">
      <c r="C40" s="1"/>
      <c r="D40" s="1"/>
      <c r="E40" s="1"/>
      <c r="F40" s="1"/>
      <c r="K40" s="1"/>
    </row>
    <row r="41" spans="1:12" ht="129.9" customHeight="1" x14ac:dyDescent="0.5">
      <c r="C41" s="1"/>
      <c r="D41" s="1"/>
      <c r="E41" s="1"/>
      <c r="F41" s="1"/>
      <c r="K41" s="1"/>
    </row>
    <row r="42" spans="1:12" ht="129.9" customHeight="1" x14ac:dyDescent="0.5">
      <c r="C42" s="1"/>
      <c r="D42" s="1"/>
      <c r="E42" s="1"/>
      <c r="F42" s="1"/>
      <c r="K42" s="1"/>
    </row>
    <row r="43" spans="1:12" ht="129.9" customHeight="1" x14ac:dyDescent="0.5">
      <c r="C43" s="1"/>
      <c r="D43" s="1"/>
      <c r="E43" s="1"/>
      <c r="F43" s="1"/>
      <c r="K43" s="1"/>
    </row>
    <row r="44" spans="1:12" ht="129.9" customHeight="1" x14ac:dyDescent="0.5">
      <c r="F44" s="1"/>
      <c r="K44" s="1"/>
    </row>
    <row r="45" spans="1:12" ht="129.9" customHeight="1" x14ac:dyDescent="0.5">
      <c r="C45" s="1"/>
      <c r="D45" s="1"/>
      <c r="E45" s="1"/>
      <c r="F45" s="1"/>
      <c r="K45" s="1"/>
    </row>
    <row r="46" spans="1:12" ht="129.9" customHeight="1" x14ac:dyDescent="0.5">
      <c r="C46" s="1"/>
      <c r="D46" s="1"/>
      <c r="E46" s="1"/>
      <c r="F46" s="1"/>
      <c r="K46" s="1"/>
    </row>
    <row r="47" spans="1:12" ht="129.9" customHeight="1" x14ac:dyDescent="0.5">
      <c r="B47" s="1"/>
      <c r="C47" s="1"/>
      <c r="D47" s="1"/>
      <c r="E47" s="1"/>
      <c r="F47" s="1"/>
    </row>
    <row r="48" spans="1:12" ht="129.9" customHeight="1" x14ac:dyDescent="0.5">
      <c r="C48" s="1"/>
      <c r="D48" s="1"/>
      <c r="E48" s="1"/>
      <c r="F48" s="1"/>
      <c r="K48" s="1"/>
    </row>
    <row r="49" spans="3:12" ht="129.9" customHeight="1" x14ac:dyDescent="0.5">
      <c r="C49" s="1"/>
      <c r="D49" s="1"/>
      <c r="E49" s="1"/>
      <c r="F49" s="1"/>
      <c r="K49" s="1"/>
      <c r="L49" s="1"/>
    </row>
    <row r="50" spans="3:12" ht="129.9" customHeight="1" x14ac:dyDescent="0.5">
      <c r="C50" s="1"/>
      <c r="D50" s="1"/>
      <c r="E50" s="1"/>
      <c r="F50" s="1"/>
      <c r="K50" s="1"/>
      <c r="L50" s="1"/>
    </row>
    <row r="51" spans="3:12" ht="129.9" customHeight="1" x14ac:dyDescent="0.5">
      <c r="E51" s="1"/>
      <c r="F51" s="1"/>
      <c r="K51" s="1"/>
    </row>
    <row r="52" spans="3:12" ht="129.9" customHeight="1" x14ac:dyDescent="0.5">
      <c r="C52" s="1"/>
      <c r="D52" s="1"/>
      <c r="E52" s="1"/>
      <c r="F52" s="1"/>
      <c r="K52" s="1"/>
    </row>
    <row r="53" spans="3:12" ht="129.9" customHeight="1" x14ac:dyDescent="0.5">
      <c r="C53" s="1"/>
      <c r="D53" s="1"/>
      <c r="E53" s="1"/>
      <c r="F53" s="1"/>
      <c r="K53" s="1"/>
    </row>
  </sheetData>
  <mergeCells count="5">
    <mergeCell ref="Q1:S1"/>
    <mergeCell ref="B1:F1"/>
    <mergeCell ref="G1:H1"/>
    <mergeCell ref="I1:J1"/>
    <mergeCell ref="K1:P1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DVSECTION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G7" sqref="G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customProperties>
    <customPr name="DVSECTION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>
      <selection activeCell="H19" sqref="H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customProperties>
    <customPr name="DVSECTION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IV19"/>
  <sheetViews>
    <sheetView workbookViewId="0">
      <selection activeCell="AJ3" sqref="AJ3"/>
    </sheetView>
  </sheetViews>
  <sheetFormatPr defaultRowHeight="14.4" x14ac:dyDescent="0.3"/>
  <sheetData>
    <row r="1" spans="1:256" x14ac:dyDescent="0.3">
      <c r="A1" t="e">
        <f>IF(Kanban!1:1,"AAAAAH3/WwA=",0)</f>
        <v>#VALUE!</v>
      </c>
      <c r="B1" t="e">
        <f>AND(Kanban!A1,"AAAAAH3/WwE=")</f>
        <v>#VALUE!</v>
      </c>
      <c r="C1" t="e">
        <f>AND(Kanban!B1,"AAAAAH3/WwI=")</f>
        <v>#VALUE!</v>
      </c>
      <c r="D1" t="e">
        <f>AND(Kanban!C1,"AAAAAH3/WwM=")</f>
        <v>#VALUE!</v>
      </c>
      <c r="E1" t="e">
        <f>AND(Kanban!F1,"AAAAAH3/WwQ=")</f>
        <v>#VALUE!</v>
      </c>
      <c r="F1" t="e">
        <f>AND(Kanban!G1,"AAAAAH3/WwU=")</f>
        <v>#VALUE!</v>
      </c>
      <c r="G1" t="e">
        <f>AND(Kanban!H1,"AAAAAH3/WwY=")</f>
        <v>#VALUE!</v>
      </c>
      <c r="H1" t="e">
        <f>AND(Kanban!I1,"AAAAAH3/Wwc=")</f>
        <v>#VALUE!</v>
      </c>
      <c r="I1" t="e">
        <f>AND(Kanban!J1,"AAAAAH3/Wwg=")</f>
        <v>#VALUE!</v>
      </c>
      <c r="J1" t="e">
        <f>AND(Kanban!#REF!,"AAAAAH3/Wwk=")</f>
        <v>#REF!</v>
      </c>
      <c r="K1" t="e">
        <f>AND(Kanban!#REF!,"AAAAAH3/Wwo=")</f>
        <v>#REF!</v>
      </c>
      <c r="L1" t="e">
        <f>AND(Kanban!K1,"AAAAAH3/Wws=")</f>
        <v>#VALUE!</v>
      </c>
      <c r="M1" t="e">
        <f>AND(Kanban!L1,"AAAAAH3/Www=")</f>
        <v>#VALUE!</v>
      </c>
      <c r="N1" t="e">
        <f>AND(Kanban!M1,"AAAAAH3/Ww0=")</f>
        <v>#VALUE!</v>
      </c>
      <c r="O1" t="e">
        <f>AND(Kanban!N1,"AAAAAH3/Ww4=")</f>
        <v>#VALUE!</v>
      </c>
      <c r="P1" t="e">
        <f>AND(Kanban!O1,"AAAAAH3/Ww8=")</f>
        <v>#VALUE!</v>
      </c>
      <c r="Q1" t="e">
        <f>AND(Kanban!Q1,"AAAAAH3/WxA=")</f>
        <v>#VALUE!</v>
      </c>
      <c r="R1" t="e">
        <f>AND(Kanban!#REF!,"AAAAAH3/WxE=")</f>
        <v>#REF!</v>
      </c>
      <c r="S1" t="e">
        <f>AND(Kanban!R1,"AAAAAH3/WxI=")</f>
        <v>#VALUE!</v>
      </c>
      <c r="T1">
        <f>IF(Kanban!2:2,"AAAAAH3/WxM=",0)</f>
        <v>0</v>
      </c>
      <c r="U1" t="e">
        <f>AND(Kanban!A2,"AAAAAH3/WxQ=")</f>
        <v>#VALUE!</v>
      </c>
      <c r="V1" t="e">
        <f>AND(Kanban!#REF!,"AAAAAH3/WxU=")</f>
        <v>#REF!</v>
      </c>
      <c r="W1" t="e">
        <f>AND(Kanban!#REF!,"AAAAAH3/WxY=")</f>
        <v>#REF!</v>
      </c>
      <c r="X1" t="e">
        <f>AND(Kanban!#REF!,"AAAAAH3/Wxc=")</f>
        <v>#REF!</v>
      </c>
      <c r="Y1" t="e">
        <f>AND(Kanban!#REF!,"AAAAAH3/Wxg=")</f>
        <v>#REF!</v>
      </c>
      <c r="Z1" t="e">
        <f>AND(Kanban!#REF!,"AAAAAH3/Wxk=")</f>
        <v>#REF!</v>
      </c>
      <c r="AA1" t="e">
        <f>AND(Kanban!#REF!,"AAAAAH3/Wxo=")</f>
        <v>#REF!</v>
      </c>
      <c r="AB1" t="e">
        <f>AND(Kanban!#REF!,"AAAAAH3/Wxs=")</f>
        <v>#REF!</v>
      </c>
      <c r="AC1" t="e">
        <f>AND(Kanban!#REF!,"AAAAAH3/Wxw=")</f>
        <v>#REF!</v>
      </c>
      <c r="AD1" t="e">
        <f>AND(Kanban!#REF!,"AAAAAH3/Wx0=")</f>
        <v>#REF!</v>
      </c>
      <c r="AE1" t="e">
        <f>AND(Kanban!#REF!,"AAAAAH3/Wx4=")</f>
        <v>#REF!</v>
      </c>
      <c r="AF1" t="e">
        <f>AND(Kanban!#REF!,"AAAAAH3/Wx8=")</f>
        <v>#REF!</v>
      </c>
      <c r="AG1" t="e">
        <f>AND(Kanban!#REF!,"AAAAAH3/WyA=")</f>
        <v>#REF!</v>
      </c>
      <c r="AH1" t="e">
        <f>AND(Kanban!#REF!,"AAAAAH3/WyE=")</f>
        <v>#REF!</v>
      </c>
      <c r="AI1" t="e">
        <f>AND(Kanban!#REF!,"AAAAAH3/WyI=")</f>
        <v>#REF!</v>
      </c>
      <c r="AJ1" t="e">
        <f>AND(Kanban!#REF!,"AAAAAH3/WyM=")</f>
        <v>#REF!</v>
      </c>
      <c r="AK1" t="e">
        <f>AND(Kanban!#REF!,"AAAAAH3/WyQ=")</f>
        <v>#REF!</v>
      </c>
      <c r="AL1" t="e">
        <f>AND(Kanban!R2,"AAAAAH3/WyU=")</f>
        <v>#VALUE!</v>
      </c>
      <c r="AM1">
        <f>IF(Kanban!3:3,"AAAAAH3/WyY=",0)</f>
        <v>0</v>
      </c>
      <c r="AN1" t="e">
        <f>AND(Kanban!A3,"AAAAAH3/Wyc=")</f>
        <v>#VALUE!</v>
      </c>
      <c r="AO1" t="e">
        <f>AND(Kanban!#REF!,"AAAAAH3/Wyg=")</f>
        <v>#REF!</v>
      </c>
      <c r="AP1" t="e">
        <f>AND(Kanban!#REF!,"AAAAAH3/Wyk=")</f>
        <v>#REF!</v>
      </c>
      <c r="AQ1" t="e">
        <f>AND(Kanban!#REF!,"AAAAAH3/Wyo=")</f>
        <v>#REF!</v>
      </c>
      <c r="AR1" t="e">
        <f>AND(Kanban!#REF!,"AAAAAH3/Wys=")</f>
        <v>#REF!</v>
      </c>
      <c r="AS1" t="e">
        <f>AND(Kanban!H3,"AAAAAH3/Wyw=")</f>
        <v>#VALUE!</v>
      </c>
      <c r="AT1" t="e">
        <f>AND(Kanban!#REF!,"AAAAAH3/Wy0=")</f>
        <v>#REF!</v>
      </c>
      <c r="AU1" t="e">
        <f>AND(Kanban!J3,"AAAAAH3/Wy4=")</f>
        <v>#VALUE!</v>
      </c>
      <c r="AV1" t="e">
        <f>AND(Kanban!#REF!,"AAAAAH3/Wy8=")</f>
        <v>#REF!</v>
      </c>
      <c r="AW1" t="e">
        <f>AND(Kanban!#REF!,"AAAAAH3/WzA=")</f>
        <v>#REF!</v>
      </c>
      <c r="AX1" t="e">
        <f>AND(Kanban!#REF!,"AAAAAH3/WzE=")</f>
        <v>#REF!</v>
      </c>
      <c r="AY1" t="e">
        <f>AND(Kanban!#REF!,"AAAAAH3/WzI=")</f>
        <v>#REF!</v>
      </c>
      <c r="AZ1" t="e">
        <f>AND(Kanban!#REF!,"AAAAAH3/WzM=")</f>
        <v>#REF!</v>
      </c>
      <c r="BA1" t="e">
        <f>AND(Kanban!#REF!,"AAAAAH3/WzQ=")</f>
        <v>#REF!</v>
      </c>
      <c r="BB1" t="e">
        <f>AND(Kanban!#REF!,"AAAAAH3/WzU=")</f>
        <v>#REF!</v>
      </c>
      <c r="BC1" t="e">
        <f>AND(Kanban!#REF!,"AAAAAH3/WzY=")</f>
        <v>#REF!</v>
      </c>
      <c r="BD1" t="e">
        <f>AND(Kanban!Q3,"AAAAAH3/Wzc=")</f>
        <v>#VALUE!</v>
      </c>
      <c r="BE1" t="e">
        <f>AND(Kanban!R3,"AAAAAH3/Wzg=")</f>
        <v>#VALUE!</v>
      </c>
      <c r="BF1">
        <f>IF(Kanban!4:4,"AAAAAH3/Wzk=",0)</f>
        <v>0</v>
      </c>
      <c r="BG1" t="e">
        <f>AND(Kanban!A4,"AAAAAH3/Wzo=")</f>
        <v>#VALUE!</v>
      </c>
      <c r="BH1" t="e">
        <f>AND(Kanban!#REF!,"AAAAAH3/Wzs=")</f>
        <v>#REF!</v>
      </c>
      <c r="BI1" t="e">
        <f>AND(Kanban!#REF!,"AAAAAH3/Wzw=")</f>
        <v>#REF!</v>
      </c>
      <c r="BJ1" t="e">
        <f>AND(Kanban!#REF!,"AAAAAH3/Wz0=")</f>
        <v>#REF!</v>
      </c>
      <c r="BK1" t="e">
        <f>AND(Kanban!#REF!,"AAAAAH3/Wz4=")</f>
        <v>#REF!</v>
      </c>
      <c r="BL1" t="e">
        <f>AND(Kanban!H4,"AAAAAH3/Wz8=")</f>
        <v>#VALUE!</v>
      </c>
      <c r="BM1" t="e">
        <f>AND(Kanban!I4,"AAAAAH3/W0A=")</f>
        <v>#VALUE!</v>
      </c>
      <c r="BN1" t="e">
        <f>AND(Kanban!J4,"AAAAAH3/W0E=")</f>
        <v>#VALUE!</v>
      </c>
      <c r="BO1" t="e">
        <f>AND(Kanban!#REF!,"AAAAAH3/W0I=")</f>
        <v>#REF!</v>
      </c>
      <c r="BP1" t="e">
        <f>AND(Kanban!#REF!,"AAAAAH3/W0M=")</f>
        <v>#REF!</v>
      </c>
      <c r="BQ1" t="e">
        <f>AND(Kanban!#REF!,"AAAAAH3/W0Q=")</f>
        <v>#REF!</v>
      </c>
      <c r="BR1" t="e">
        <f>AND(Kanban!#REF!,"AAAAAH3/W0U=")</f>
        <v>#REF!</v>
      </c>
      <c r="BS1" t="e">
        <f>AND(Kanban!#REF!,"AAAAAH3/W0Y=")</f>
        <v>#REF!</v>
      </c>
      <c r="BT1" t="e">
        <f>AND(Kanban!#REF!,"AAAAAH3/W0c=")</f>
        <v>#REF!</v>
      </c>
      <c r="BU1" t="e">
        <f>AND(Kanban!#REF!,"AAAAAH3/W0g=")</f>
        <v>#REF!</v>
      </c>
      <c r="BV1" t="e">
        <f>AND(Kanban!#REF!,"AAAAAH3/W0k=")</f>
        <v>#REF!</v>
      </c>
      <c r="BW1" t="e">
        <f>AND(Kanban!Q4,"AAAAAH3/W0o=")</f>
        <v>#VALUE!</v>
      </c>
      <c r="BX1" t="e">
        <f>AND(Kanban!R4,"AAAAAH3/W0s=")</f>
        <v>#VALUE!</v>
      </c>
      <c r="BY1">
        <f>IF(Kanban!5:5,"AAAAAH3/W0w=",0)</f>
        <v>0</v>
      </c>
      <c r="BZ1" t="e">
        <f>AND(Kanban!A5,"AAAAAH3/W00=")</f>
        <v>#VALUE!</v>
      </c>
      <c r="CA1" t="e">
        <f>AND(Kanban!#REF!,"AAAAAH3/W04=")</f>
        <v>#REF!</v>
      </c>
      <c r="CB1" t="e">
        <f>AND(Kanban!#REF!,"AAAAAH3/W08=")</f>
        <v>#REF!</v>
      </c>
      <c r="CC1" t="e">
        <f>AND(Kanban!#REF!,"AAAAAH3/W1A=")</f>
        <v>#REF!</v>
      </c>
      <c r="CD1" t="e">
        <f>AND(Kanban!#REF!,"AAAAAH3/W1E=")</f>
        <v>#REF!</v>
      </c>
      <c r="CE1" t="e">
        <f>AND(Kanban!H7,"AAAAAH3/W1I=")</f>
        <v>#VALUE!</v>
      </c>
      <c r="CF1" t="e">
        <f>AND(Kanban!I5,"AAAAAH3/W1M=")</f>
        <v>#VALUE!</v>
      </c>
      <c r="CG1" t="e">
        <f>AND(Kanban!J5,"AAAAAH3/W1Q=")</f>
        <v>#VALUE!</v>
      </c>
      <c r="CH1" t="e">
        <f>AND(Kanban!#REF!,"AAAAAH3/W1U=")</f>
        <v>#REF!</v>
      </c>
      <c r="CI1" t="e">
        <f>AND(Kanban!#REF!,"AAAAAH3/W1Y=")</f>
        <v>#REF!</v>
      </c>
      <c r="CJ1" t="e">
        <f>AND(Kanban!#REF!,"AAAAAH3/W1c=")</f>
        <v>#REF!</v>
      </c>
      <c r="CK1" t="e">
        <f>AND(Kanban!#REF!,"AAAAAH3/W1g=")</f>
        <v>#REF!</v>
      </c>
      <c r="CL1" t="e">
        <f>AND(Kanban!#REF!,"AAAAAH3/W1k=")</f>
        <v>#REF!</v>
      </c>
      <c r="CM1" t="e">
        <f>AND(Kanban!#REF!,"AAAAAH3/W1o=")</f>
        <v>#REF!</v>
      </c>
      <c r="CN1" t="e">
        <f>AND(Kanban!#REF!,"AAAAAH3/W1s=")</f>
        <v>#REF!</v>
      </c>
      <c r="CO1" t="e">
        <f>AND(Kanban!#REF!,"AAAAAH3/W1w=")</f>
        <v>#REF!</v>
      </c>
      <c r="CP1" t="e">
        <f>AND(Kanban!Q5,"AAAAAH3/W10=")</f>
        <v>#VALUE!</v>
      </c>
      <c r="CQ1" t="e">
        <f>AND(Kanban!R5,"AAAAAH3/W14=")</f>
        <v>#VALUE!</v>
      </c>
      <c r="CR1">
        <f>IF(Kanban!6:6,"AAAAAH3/W18=",0)</f>
        <v>0</v>
      </c>
      <c r="CS1" t="e">
        <f>AND(Kanban!A6,"AAAAAH3/W2A=")</f>
        <v>#VALUE!</v>
      </c>
      <c r="CT1" t="e">
        <f>AND(Kanban!#REF!,"AAAAAH3/W2E=")</f>
        <v>#REF!</v>
      </c>
      <c r="CU1" t="e">
        <f>AND(Kanban!#REF!,"AAAAAH3/W2I=")</f>
        <v>#REF!</v>
      </c>
      <c r="CV1" t="e">
        <f>AND(Kanban!#REF!,"AAAAAH3/W2M=")</f>
        <v>#REF!</v>
      </c>
      <c r="CW1" t="e">
        <f>AND(Kanban!G6,"AAAAAH3/W2Q=")</f>
        <v>#VALUE!</v>
      </c>
      <c r="CX1" t="e">
        <f>AND(Kanban!#REF!,"AAAAAH3/W2U=")</f>
        <v>#REF!</v>
      </c>
      <c r="CY1" t="e">
        <f>AND(Kanban!I6,"AAAAAH3/W2Y=")</f>
        <v>#VALUE!</v>
      </c>
      <c r="CZ1" t="e">
        <f>AND(Kanban!J6,"AAAAAH3/W2c=")</f>
        <v>#VALUE!</v>
      </c>
      <c r="DA1" t="e">
        <f>AND(Kanban!#REF!,"AAAAAH3/W2g=")</f>
        <v>#REF!</v>
      </c>
      <c r="DB1" t="e">
        <f>AND(Kanban!#REF!,"AAAAAH3/W2k=")</f>
        <v>#REF!</v>
      </c>
      <c r="DC1" t="e">
        <f>AND(Kanban!#REF!,"AAAAAH3/W2o=")</f>
        <v>#REF!</v>
      </c>
      <c r="DD1" t="e">
        <f>AND(Kanban!#REF!,"AAAAAH3/W2s=")</f>
        <v>#REF!</v>
      </c>
      <c r="DE1" t="e">
        <f>AND(Kanban!#REF!,"AAAAAH3/W2w=")</f>
        <v>#REF!</v>
      </c>
      <c r="DF1" t="e">
        <f>AND(Kanban!#REF!,"AAAAAH3/W20=")</f>
        <v>#REF!</v>
      </c>
      <c r="DG1" t="e">
        <f>AND(Kanban!#REF!,"AAAAAH3/W24=")</f>
        <v>#REF!</v>
      </c>
      <c r="DH1" t="e">
        <f>AND(Kanban!#REF!,"AAAAAH3/W28=")</f>
        <v>#REF!</v>
      </c>
      <c r="DI1" t="e">
        <f>AND(Kanban!Q6,"AAAAAH3/W3A=")</f>
        <v>#VALUE!</v>
      </c>
      <c r="DJ1" t="e">
        <f>AND(Kanban!R6,"AAAAAH3/W3E=")</f>
        <v>#VALUE!</v>
      </c>
      <c r="DK1">
        <f>IF(Kanban!7:7,"AAAAAH3/W3I=",0)</f>
        <v>0</v>
      </c>
      <c r="DL1" t="e">
        <f>AND(Kanban!A7,"AAAAAH3/W3M=")</f>
        <v>#VALUE!</v>
      </c>
      <c r="DM1" t="e">
        <f>AND(Kanban!#REF!,"AAAAAH3/W3Q=")</f>
        <v>#REF!</v>
      </c>
      <c r="DN1" t="e">
        <f>AND(Kanban!L3,"AAAAAH3/W3U=")</f>
        <v>#VALUE!</v>
      </c>
      <c r="DO1" t="e">
        <f>AND(Kanban!F7,"AAAAAH3/W3Y=")</f>
        <v>#VALUE!</v>
      </c>
      <c r="DP1" t="e">
        <f>AND(Kanban!#REF!,"AAAAAH3/W3c=")</f>
        <v>#REF!</v>
      </c>
      <c r="DQ1" t="e">
        <f>AND(Kanban!#REF!,"AAAAAH3/W3g=")</f>
        <v>#REF!</v>
      </c>
      <c r="DR1" t="e">
        <f>AND(Kanban!I7,"AAAAAH3/W3k=")</f>
        <v>#VALUE!</v>
      </c>
      <c r="DS1" t="e">
        <f>AND(Kanban!J7,"AAAAAH3/W3o=")</f>
        <v>#VALUE!</v>
      </c>
      <c r="DT1" t="e">
        <f>AND(Kanban!#REF!,"AAAAAH3/W3s=")</f>
        <v>#REF!</v>
      </c>
      <c r="DU1" t="e">
        <f>AND(Kanban!#REF!,"AAAAAH3/W3w=")</f>
        <v>#REF!</v>
      </c>
      <c r="DV1" t="e">
        <f>AND(Kanban!#REF!,"AAAAAH3/W30=")</f>
        <v>#REF!</v>
      </c>
      <c r="DW1" t="e">
        <f>AND(Kanban!#REF!,"AAAAAH3/W34=")</f>
        <v>#REF!</v>
      </c>
      <c r="DX1" t="e">
        <f>AND(Kanban!#REF!,"AAAAAH3/W38=")</f>
        <v>#REF!</v>
      </c>
      <c r="DY1" t="e">
        <f>AND(Kanban!#REF!,"AAAAAH3/W4A=")</f>
        <v>#REF!</v>
      </c>
      <c r="DZ1" t="e">
        <f>AND(Kanban!#REF!,"AAAAAH3/W4E=")</f>
        <v>#REF!</v>
      </c>
      <c r="EA1" t="e">
        <f>AND(Kanban!#REF!,"AAAAAH3/W4I=")</f>
        <v>#REF!</v>
      </c>
      <c r="EB1" t="e">
        <f>AND(Kanban!#REF!,"AAAAAH3/W4M=")</f>
        <v>#REF!</v>
      </c>
      <c r="EC1" t="e">
        <f>AND(Kanban!#REF!,"AAAAAH3/W4Q=")</f>
        <v>#REF!</v>
      </c>
      <c r="ED1">
        <f>IF(Kanban!8:8,"AAAAAH3/W4U=",0)</f>
        <v>0</v>
      </c>
      <c r="EE1" t="e">
        <f>AND(Kanban!A8,"AAAAAH3/W4Y=")</f>
        <v>#VALUE!</v>
      </c>
      <c r="EF1" t="e">
        <f>AND(Kanban!O5,"AAAAAH3/W4c=")</f>
        <v>#VALUE!</v>
      </c>
      <c r="EG1" t="e">
        <f>AND(Kanban!#REF!,"AAAAAH3/W4g=")</f>
        <v>#REF!</v>
      </c>
      <c r="EH1" t="e">
        <f>AND(Kanban!#REF!,"AAAAAH3/W4k=")</f>
        <v>#REF!</v>
      </c>
      <c r="EI1" t="e">
        <f>AND(Kanban!#REF!,"AAAAAH3/W4o=")</f>
        <v>#REF!</v>
      </c>
      <c r="EJ1" t="e">
        <f>AND(Kanban!H8,"AAAAAH3/W4s=")</f>
        <v>#VALUE!</v>
      </c>
      <c r="EK1" t="e">
        <f>AND(Kanban!I8,"AAAAAH3/W4w=")</f>
        <v>#VALUE!</v>
      </c>
      <c r="EL1" t="e">
        <f>AND(Kanban!J8,"AAAAAH3/W40=")</f>
        <v>#VALUE!</v>
      </c>
      <c r="EM1" t="e">
        <f>AND(Kanban!#REF!,"AAAAAH3/W44=")</f>
        <v>#REF!</v>
      </c>
      <c r="EN1" t="e">
        <f>AND(Kanban!#REF!,"AAAAAH3/W48=")</f>
        <v>#REF!</v>
      </c>
      <c r="EO1" t="e">
        <f>AND(Kanban!#REF!,"AAAAAH3/W5A=")</f>
        <v>#REF!</v>
      </c>
      <c r="EP1" t="e">
        <f>AND(Kanban!#REF!,"AAAAAH3/W5E=")</f>
        <v>#REF!</v>
      </c>
      <c r="EQ1" t="e">
        <f>AND(Kanban!#REF!,"AAAAAH3/W5I=")</f>
        <v>#REF!</v>
      </c>
      <c r="ER1" t="e">
        <f>AND(Kanban!#REF!,"AAAAAH3/W5M=")</f>
        <v>#REF!</v>
      </c>
      <c r="ES1" t="e">
        <f>AND(Kanban!#REF!,"AAAAAH3/W5Q=")</f>
        <v>#REF!</v>
      </c>
      <c r="ET1" t="e">
        <f>AND(Kanban!#REF!,"AAAAAH3/W5U=")</f>
        <v>#REF!</v>
      </c>
      <c r="EU1" t="e">
        <f>AND(Kanban!Q8,"AAAAAH3/W5Y=")</f>
        <v>#VALUE!</v>
      </c>
      <c r="EV1" t="e">
        <f>AND(Kanban!R8,"AAAAAH3/W5c=")</f>
        <v>#VALUE!</v>
      </c>
      <c r="EW1">
        <f>IF(Kanban!9:9,"AAAAAH3/W5g=",0)</f>
        <v>0</v>
      </c>
      <c r="EX1" t="e">
        <f>AND(Kanban!A9,"AAAAAH3/W5k=")</f>
        <v>#VALUE!</v>
      </c>
      <c r="EY1" t="e">
        <f>AND(Kanban!#REF!,"AAAAAH3/W5o=")</f>
        <v>#REF!</v>
      </c>
      <c r="EZ1" t="e">
        <f>AND(Kanban!#REF!,"AAAAAH3/W5s=")</f>
        <v>#REF!</v>
      </c>
      <c r="FA1" t="e">
        <f>AND(Kanban!#REF!,"AAAAAH3/W5w=")</f>
        <v>#REF!</v>
      </c>
      <c r="FB1" t="e">
        <f>AND(Kanban!#REF!,"AAAAAH3/W50=")</f>
        <v>#REF!</v>
      </c>
      <c r="FC1" t="e">
        <f>AND(Kanban!H9,"AAAAAH3/W54=")</f>
        <v>#VALUE!</v>
      </c>
      <c r="FD1" t="e">
        <f>AND(Kanban!#REF!,"AAAAAH3/W58=")</f>
        <v>#REF!</v>
      </c>
      <c r="FE1" t="e">
        <f>AND(Kanban!J9,"AAAAAH3/W6A=")</f>
        <v>#VALUE!</v>
      </c>
      <c r="FF1" t="e">
        <f>AND(Kanban!#REF!,"AAAAAH3/W6E=")</f>
        <v>#REF!</v>
      </c>
      <c r="FG1" t="e">
        <f>AND(Kanban!#REF!,"AAAAAH3/W6I=")</f>
        <v>#REF!</v>
      </c>
      <c r="FH1" t="e">
        <f>AND(Kanban!#REF!,"AAAAAH3/W6M=")</f>
        <v>#REF!</v>
      </c>
      <c r="FI1" t="e">
        <f>AND(Kanban!#REF!,"AAAAAH3/W6Q=")</f>
        <v>#REF!</v>
      </c>
      <c r="FJ1" t="e">
        <f>AND(Kanban!#REF!,"AAAAAH3/W6U=")</f>
        <v>#REF!</v>
      </c>
      <c r="FK1" t="e">
        <f>AND(Kanban!#REF!,"AAAAAH3/W6Y=")</f>
        <v>#REF!</v>
      </c>
      <c r="FL1" t="e">
        <f>AND(Kanban!#REF!,"AAAAAH3/W6c=")</f>
        <v>#REF!</v>
      </c>
      <c r="FM1" t="e">
        <f>AND(Kanban!#REF!,"AAAAAH3/W6g=")</f>
        <v>#REF!</v>
      </c>
      <c r="FN1" t="e">
        <f>AND(Kanban!#REF!,"AAAAAH3/W6k=")</f>
        <v>#REF!</v>
      </c>
      <c r="FO1" t="e">
        <f>AND(Kanban!Q9,"AAAAAH3/W6o=")</f>
        <v>#VALUE!</v>
      </c>
      <c r="FP1">
        <f>IF(Kanban!10:10,"AAAAAH3/W6s=",0)</f>
        <v>0</v>
      </c>
      <c r="FQ1" t="e">
        <f>AND(Kanban!A10,"AAAAAH3/W6w=")</f>
        <v>#VALUE!</v>
      </c>
      <c r="FR1" t="e">
        <f>AND(Kanban!P9,"AAAAAH3/W60=")</f>
        <v>#VALUE!</v>
      </c>
      <c r="FS1" t="e">
        <f>AND(Kanban!#REF!,"AAAAAH3/W64=")</f>
        <v>#REF!</v>
      </c>
      <c r="FT1" t="e">
        <f>AND(Kanban!#REF!,"AAAAAH3/W68=")</f>
        <v>#REF!</v>
      </c>
      <c r="FU1" t="e">
        <f>AND(Kanban!#REF!,"AAAAAH3/W7A=")</f>
        <v>#REF!</v>
      </c>
      <c r="FV1" t="e">
        <f>AND(Kanban!H10,"AAAAAH3/W7E=")</f>
        <v>#VALUE!</v>
      </c>
      <c r="FW1" t="e">
        <f>AND(Kanban!I10,"AAAAAH3/W7I=")</f>
        <v>#VALUE!</v>
      </c>
      <c r="FX1" t="e">
        <f>AND(Kanban!J10,"AAAAAH3/W7M=")</f>
        <v>#VALUE!</v>
      </c>
      <c r="FY1" t="e">
        <f>AND(Kanban!#REF!,"AAAAAH3/W7Q=")</f>
        <v>#REF!</v>
      </c>
      <c r="FZ1" t="e">
        <f>AND(Kanban!#REF!,"AAAAAH3/W7U=")</f>
        <v>#REF!</v>
      </c>
      <c r="GA1" t="e">
        <f>AND(Kanban!#REF!,"AAAAAH3/W7Y=")</f>
        <v>#REF!</v>
      </c>
      <c r="GB1" t="e">
        <f>AND(Kanban!#REF!,"AAAAAH3/W7c=")</f>
        <v>#REF!</v>
      </c>
      <c r="GC1" t="e">
        <f>AND(Kanban!#REF!,"AAAAAH3/W7g=")</f>
        <v>#REF!</v>
      </c>
      <c r="GD1" t="e">
        <f>AND(Kanban!#REF!,"AAAAAH3/W7k=")</f>
        <v>#REF!</v>
      </c>
      <c r="GE1" t="e">
        <f>AND(Kanban!#REF!,"AAAAAH3/W7o=")</f>
        <v>#REF!</v>
      </c>
      <c r="GF1" t="e">
        <f>AND(Kanban!#REF!,"AAAAAH3/W7s=")</f>
        <v>#REF!</v>
      </c>
      <c r="GG1" t="e">
        <f>AND(Kanban!#REF!,"AAAAAH3/W7w=")</f>
        <v>#REF!</v>
      </c>
      <c r="GH1" t="e">
        <f>AND(Kanban!#REF!,"AAAAAH3/W70=")</f>
        <v>#REF!</v>
      </c>
      <c r="GI1">
        <f>IF(Kanban!11:11,"AAAAAH3/W74=",0)</f>
        <v>0</v>
      </c>
      <c r="GJ1" t="e">
        <f>AND(Kanban!A11,"AAAAAH3/W78=")</f>
        <v>#VALUE!</v>
      </c>
      <c r="GK1" t="e">
        <f>AND(Kanban!#REF!,"AAAAAH3/W8A=")</f>
        <v>#REF!</v>
      </c>
      <c r="GL1" t="e">
        <f>AND(Kanban!#REF!,"AAAAAH3/W8E=")</f>
        <v>#REF!</v>
      </c>
      <c r="GM1" t="e">
        <f>AND(Kanban!#REF!,"AAAAAH3/W8I=")</f>
        <v>#REF!</v>
      </c>
      <c r="GN1" t="e">
        <f>AND(Kanban!#REF!,"AAAAAH3/W8M=")</f>
        <v>#REF!</v>
      </c>
      <c r="GO1" t="e">
        <f>AND(Kanban!H11,"AAAAAH3/W8Q=")</f>
        <v>#VALUE!</v>
      </c>
      <c r="GP1" t="e">
        <f>AND(Kanban!I11,"AAAAAH3/W8U=")</f>
        <v>#VALUE!</v>
      </c>
      <c r="GQ1" t="e">
        <f>AND(Kanban!J11,"AAAAAH3/W8Y=")</f>
        <v>#VALUE!</v>
      </c>
      <c r="GR1" t="e">
        <f>AND(Kanban!#REF!,"AAAAAH3/W8c=")</f>
        <v>#REF!</v>
      </c>
      <c r="GS1" t="e">
        <f>AND(Kanban!#REF!,"AAAAAH3/W8g=")</f>
        <v>#REF!</v>
      </c>
      <c r="GT1" t="e">
        <f>AND(Kanban!#REF!,"AAAAAH3/W8k=")</f>
        <v>#REF!</v>
      </c>
      <c r="GU1" t="e">
        <f>AND(Kanban!#REF!,"AAAAAH3/W8o=")</f>
        <v>#REF!</v>
      </c>
      <c r="GV1" t="e">
        <f>AND(Kanban!K11,"AAAAAH3/W8s=")</f>
        <v>#VALUE!</v>
      </c>
      <c r="GW1" t="e">
        <f>AND(Kanban!N11,"AAAAAH3/W8w=")</f>
        <v>#VALUE!</v>
      </c>
      <c r="GX1" t="e">
        <f>AND(Kanban!O11,"AAAAAH3/W80=")</f>
        <v>#VALUE!</v>
      </c>
      <c r="GY1" t="e">
        <f>AND(Kanban!#REF!,"AAAAAH3/W84=")</f>
        <v>#REF!</v>
      </c>
      <c r="GZ1" t="e">
        <f>AND(Kanban!#REF!,"AAAAAH3/W88=")</f>
        <v>#REF!</v>
      </c>
      <c r="HA1" t="e">
        <f>AND(Kanban!#REF!,"AAAAAH3/W9A=")</f>
        <v>#REF!</v>
      </c>
      <c r="HB1">
        <f>IF(Kanban!12:12,"AAAAAH3/W9E=",0)</f>
        <v>0</v>
      </c>
      <c r="HC1" t="e">
        <f>AND(Kanban!A12,"AAAAAH3/W9I=")</f>
        <v>#VALUE!</v>
      </c>
      <c r="HD1" t="e">
        <f>AND(Kanban!#REF!,"AAAAAH3/W9M=")</f>
        <v>#REF!</v>
      </c>
      <c r="HE1" t="e">
        <f>AND(Kanban!#REF!,"AAAAAH3/W9Q=")</f>
        <v>#REF!</v>
      </c>
      <c r="HF1" t="e">
        <f>AND(Kanban!#REF!,"AAAAAH3/W9U=")</f>
        <v>#REF!</v>
      </c>
      <c r="HG1" t="e">
        <f>AND(Kanban!#REF!,"AAAAAH3/W9Y=")</f>
        <v>#REF!</v>
      </c>
      <c r="HH1" t="e">
        <f>AND(Kanban!#REF!,"AAAAAH3/W9c=")</f>
        <v>#REF!</v>
      </c>
      <c r="HI1" t="e">
        <f>AND(Kanban!I12,"AAAAAH3/W9g=")</f>
        <v>#VALUE!</v>
      </c>
      <c r="HJ1" t="e">
        <f>AND(Kanban!J12,"AAAAAH3/W9k=")</f>
        <v>#VALUE!</v>
      </c>
      <c r="HK1" t="e">
        <f>AND(Kanban!#REF!,"AAAAAH3/W9o=")</f>
        <v>#REF!</v>
      </c>
      <c r="HL1" t="e">
        <f>AND(Kanban!#REF!,"AAAAAH3/W9s=")</f>
        <v>#REF!</v>
      </c>
      <c r="HM1" t="e">
        <f>AND(Kanban!#REF!,"AAAAAH3/W9w=")</f>
        <v>#REF!</v>
      </c>
      <c r="HN1" t="e">
        <f>AND(Kanban!#REF!,"AAAAAH3/W90=")</f>
        <v>#REF!</v>
      </c>
      <c r="HO1" t="e">
        <f>AND(Kanban!K12,"AAAAAH3/W94=")</f>
        <v>#VALUE!</v>
      </c>
      <c r="HP1" t="e">
        <f>AND(Kanban!#REF!,"AAAAAH3/W98=")</f>
        <v>#REF!</v>
      </c>
      <c r="HQ1" t="e">
        <f>AND(Kanban!O12,"AAAAAH3/W+A=")</f>
        <v>#VALUE!</v>
      </c>
      <c r="HR1" t="e">
        <f>AND(Kanban!#REF!,"AAAAAH3/W+E=")</f>
        <v>#REF!</v>
      </c>
      <c r="HS1" t="e">
        <f>AND(Kanban!Q13,"AAAAAH3/W+I=")</f>
        <v>#VALUE!</v>
      </c>
      <c r="HT1" t="e">
        <f>AND(Kanban!R13,"AAAAAH3/W+M=")</f>
        <v>#VALUE!</v>
      </c>
      <c r="HU1">
        <f>IF(Kanban!13:13,"AAAAAH3/W+Q=",0)</f>
        <v>0</v>
      </c>
      <c r="HV1" t="e">
        <f>AND(Kanban!A13,"AAAAAH3/W+U=")</f>
        <v>#VALUE!</v>
      </c>
      <c r="HW1" t="e">
        <f>AND(Kanban!#REF!,"AAAAAH3/W+Y=")</f>
        <v>#REF!</v>
      </c>
      <c r="HX1" t="e">
        <f>AND(Kanban!#REF!,"AAAAAH3/W+c=")</f>
        <v>#REF!</v>
      </c>
      <c r="HY1" t="e">
        <f>AND(Kanban!#REF!,"AAAAAH3/W+g=")</f>
        <v>#REF!</v>
      </c>
      <c r="HZ1" t="e">
        <f>AND(Kanban!G13,"AAAAAH3/W+k=")</f>
        <v>#VALUE!</v>
      </c>
      <c r="IA1" t="e">
        <f>AND(Kanban!H12,"AAAAAH3/W+o=")</f>
        <v>#VALUE!</v>
      </c>
      <c r="IB1" t="e">
        <f>AND(Kanban!I13,"AAAAAH3/W+s=")</f>
        <v>#VALUE!</v>
      </c>
      <c r="IC1" t="e">
        <f>AND(Kanban!J13,"AAAAAH3/W+w=")</f>
        <v>#VALUE!</v>
      </c>
      <c r="ID1" t="e">
        <f>AND(Kanban!#REF!,"AAAAAH3/W+0=")</f>
        <v>#REF!</v>
      </c>
      <c r="IE1" t="e">
        <f>AND(Kanban!#REF!,"AAAAAH3/W+4=")</f>
        <v>#REF!</v>
      </c>
      <c r="IF1" t="e">
        <f>AND(Kanban!#REF!,"AAAAAH3/W+8=")</f>
        <v>#REF!</v>
      </c>
      <c r="IG1" t="e">
        <f>AND(Kanban!#REF!,"AAAAAH3/W/A=")</f>
        <v>#REF!</v>
      </c>
      <c r="IH1" t="e">
        <f>AND(Kanban!M9,"AAAAAH3/W/E=")</f>
        <v>#VALUE!</v>
      </c>
      <c r="II1" t="e">
        <f>AND(Kanban!N13,"AAAAAH3/W/I=")</f>
        <v>#VALUE!</v>
      </c>
      <c r="IJ1" t="e">
        <f>AND(Kanban!#REF!,"AAAAAH3/W/M=")</f>
        <v>#REF!</v>
      </c>
      <c r="IK1" t="e">
        <f>AND(Kanban!#REF!,"AAAAAH3/W/Q=")</f>
        <v>#REF!</v>
      </c>
      <c r="IL1" t="e">
        <f>AND(Kanban!#REF!,"AAAAAH3/W/U=")</f>
        <v>#REF!</v>
      </c>
      <c r="IM1" t="e">
        <f>AND(Kanban!#REF!,"AAAAAH3/W/Y=")</f>
        <v>#REF!</v>
      </c>
      <c r="IN1">
        <f>IF(Kanban!14:14,"AAAAAH3/W/c=",0)</f>
        <v>0</v>
      </c>
      <c r="IO1" t="e">
        <f>AND(Kanban!A14,"AAAAAH3/W/g=")</f>
        <v>#VALUE!</v>
      </c>
      <c r="IP1" t="e">
        <f>AND(Kanban!P12,"AAAAAH3/W/k=")</f>
        <v>#VALUE!</v>
      </c>
      <c r="IQ1" t="e">
        <f>AND(Kanban!#REF!,"AAAAAH3/W/o=")</f>
        <v>#REF!</v>
      </c>
      <c r="IR1" t="e">
        <f>AND(Kanban!#REF!,"AAAAAH3/W/s=")</f>
        <v>#REF!</v>
      </c>
      <c r="IS1" t="e">
        <f>AND(Kanban!#REF!,"AAAAAH3/W/w=")</f>
        <v>#REF!</v>
      </c>
      <c r="IT1" t="e">
        <f>AND(#REF!,"AAAAAH3/W/0=")</f>
        <v>#REF!</v>
      </c>
      <c r="IU1" t="e">
        <f>AND(Kanban!I14,"AAAAAH3/W/4=")</f>
        <v>#VALUE!</v>
      </c>
      <c r="IV1" t="e">
        <f>AND(Kanban!J14,"AAAAAH3/W/8=")</f>
        <v>#VALUE!</v>
      </c>
    </row>
    <row r="2" spans="1:256" x14ac:dyDescent="0.3">
      <c r="A2" t="e">
        <f>AND(Kanban!#REF!,"AAAAAGjd/QA=")</f>
        <v>#REF!</v>
      </c>
      <c r="B2" t="e">
        <f>AND(Kanban!#REF!,"AAAAAGjd/QE=")</f>
        <v>#REF!</v>
      </c>
      <c r="C2" t="e">
        <f>AND(Kanban!#REF!,"AAAAAGjd/QI=")</f>
        <v>#REF!</v>
      </c>
      <c r="D2" t="e">
        <f>AND(Kanban!#REF!,"AAAAAGjd/QM=")</f>
        <v>#REF!</v>
      </c>
      <c r="E2" t="e">
        <f>AND(Kanban!K10,"AAAAAGjd/QQ=")</f>
        <v>#VALUE!</v>
      </c>
      <c r="F2" t="e">
        <f>AND(Kanban!#REF!,"AAAAAGjd/QU=")</f>
        <v>#REF!</v>
      </c>
      <c r="G2" t="e">
        <f>AND(Kanban!#REF!,"AAAAAGjd/QY=")</f>
        <v>#REF!</v>
      </c>
      <c r="H2" t="e">
        <f>AND(Kanban!Q14,"AAAAAGjd/Qc=")</f>
        <v>#VALUE!</v>
      </c>
      <c r="I2" t="e">
        <f>AND(Kanban!#REF!,"AAAAAGjd/Qg=")</f>
        <v>#REF!</v>
      </c>
      <c r="J2" t="e">
        <f>AND(Kanban!#REF!,"AAAAAGjd/Qk=")</f>
        <v>#REF!</v>
      </c>
      <c r="K2">
        <f>IF(Kanban!15:15,"AAAAAGjd/Qo=",0)</f>
        <v>0</v>
      </c>
      <c r="L2" t="e">
        <f>AND(Kanban!A15,"AAAAAGjd/Qs=")</f>
        <v>#VALUE!</v>
      </c>
      <c r="M2" t="e">
        <f>AND(Kanban!#REF!,"AAAAAGjd/Qw=")</f>
        <v>#REF!</v>
      </c>
      <c r="N2" t="e">
        <f>AND(Kanban!#REF!,"AAAAAGjd/Q0=")</f>
        <v>#REF!</v>
      </c>
      <c r="O2" t="e">
        <f>AND(Kanban!F15,"AAAAAGjd/Q4=")</f>
        <v>#VALUE!</v>
      </c>
      <c r="P2" t="e">
        <f>AND(Kanban!G15,"AAAAAGjd/Q8=")</f>
        <v>#VALUE!</v>
      </c>
      <c r="Q2" t="e">
        <f>AND(Kanban!H15,"AAAAAGjd/RA=")</f>
        <v>#VALUE!</v>
      </c>
      <c r="R2" t="e">
        <f>AND(Kanban!I15,"AAAAAGjd/RE=")</f>
        <v>#VALUE!</v>
      </c>
      <c r="S2" t="e">
        <f>AND(Kanban!J15,"AAAAAGjd/RI=")</f>
        <v>#VALUE!</v>
      </c>
      <c r="T2" t="e">
        <f>AND(Kanban!#REF!,"AAAAAGjd/RM=")</f>
        <v>#REF!</v>
      </c>
      <c r="U2" t="e">
        <f>AND(Kanban!#REF!,"AAAAAGjd/RQ=")</f>
        <v>#REF!</v>
      </c>
      <c r="V2" t="e">
        <f>AND(Kanban!K15,"AAAAAGjd/RU=")</f>
        <v>#VALUE!</v>
      </c>
      <c r="W2" t="e">
        <f>AND(Kanban!L15,"AAAAAGjd/RY=")</f>
        <v>#VALUE!</v>
      </c>
      <c r="X2" t="e">
        <f>AND(Kanban!M15,"AAAAAGjd/Rc=")</f>
        <v>#VALUE!</v>
      </c>
      <c r="Y2" t="e">
        <f>AND(Kanban!N15,"AAAAAGjd/Rg=")</f>
        <v>#VALUE!</v>
      </c>
      <c r="Z2" t="e">
        <f>AND(Kanban!O15,"AAAAAGjd/Rk=")</f>
        <v>#VALUE!</v>
      </c>
      <c r="AA2" t="e">
        <f>AND(Kanban!P15,"AAAAAGjd/Ro=")</f>
        <v>#VALUE!</v>
      </c>
      <c r="AB2" t="e">
        <f>AND(Kanban!Q15,"AAAAAGjd/Rs=")</f>
        <v>#VALUE!</v>
      </c>
      <c r="AC2" t="e">
        <f>AND(Kanban!R15,"AAAAAGjd/Rw=")</f>
        <v>#VALUE!</v>
      </c>
      <c r="AD2">
        <f>IF(Kanban!16:16,"AAAAAGjd/R0=",0)</f>
        <v>0</v>
      </c>
      <c r="AE2" t="e">
        <f>AND(Kanban!A16,"AAAAAGjd/R4=")</f>
        <v>#VALUE!</v>
      </c>
      <c r="AF2" t="e">
        <f>AND(Kanban!#REF!,"AAAAAGjd/R8=")</f>
        <v>#REF!</v>
      </c>
      <c r="AG2" t="e">
        <f>AND(Kanban!#REF!,"AAAAAGjd/SA=")</f>
        <v>#REF!</v>
      </c>
      <c r="AH2" t="e">
        <f>AND(Kanban!#REF!,"AAAAAGjd/SE=")</f>
        <v>#REF!</v>
      </c>
      <c r="AI2" t="e">
        <f>AND(Kanban!#REF!,"AAAAAGjd/SI=")</f>
        <v>#REF!</v>
      </c>
      <c r="AJ2" t="e">
        <f>AND(Kanban!H17,"AAAAAGjd/SM=")</f>
        <v>#VALUE!</v>
      </c>
      <c r="AK2" t="e">
        <f>AND(Kanban!#REF!,"AAAAAGjd/SQ=")</f>
        <v>#REF!</v>
      </c>
      <c r="AL2" t="e">
        <f>AND(Kanban!N16,"AAAAAGjd/SU=")</f>
        <v>#VALUE!</v>
      </c>
      <c r="AM2" t="e">
        <f>AND(Kanban!#REF!,"AAAAAGjd/SY=")</f>
        <v>#REF!</v>
      </c>
      <c r="AN2" t="e">
        <f>AND(Kanban!#REF!,"AAAAAGjd/Sc=")</f>
        <v>#REF!</v>
      </c>
      <c r="AO2" t="e">
        <f>AND(Kanban!#REF!,"AAAAAGjd/Sg=")</f>
        <v>#REF!</v>
      </c>
      <c r="AP2" t="e">
        <f>AND(Kanban!#REF!,"AAAAAGjd/Sk=")</f>
        <v>#REF!</v>
      </c>
      <c r="AQ2" t="e">
        <f>AND(Kanban!#REF!,"AAAAAGjd/So=")</f>
        <v>#REF!</v>
      </c>
      <c r="AR2" t="e">
        <f>AND(Kanban!#REF!,"AAAAAGjd/Ss=")</f>
        <v>#REF!</v>
      </c>
      <c r="AS2" t="e">
        <f>AND(Kanban!O16,"AAAAAGjd/Sw=")</f>
        <v>#VALUE!</v>
      </c>
      <c r="AT2" t="e">
        <f>AND(Kanban!P16,"AAAAAGjd/S0=")</f>
        <v>#VALUE!</v>
      </c>
      <c r="AU2" t="e">
        <f>AND(Kanban!Q16,"AAAAAGjd/S4=")</f>
        <v>#VALUE!</v>
      </c>
      <c r="AV2" t="e">
        <f>AND(Kanban!R16,"AAAAAGjd/S8=")</f>
        <v>#VALUE!</v>
      </c>
      <c r="AW2">
        <f>IF(Kanban!17:17,"AAAAAGjd/TA=",0)</f>
        <v>0</v>
      </c>
      <c r="AX2" t="e">
        <f>AND(Kanban!A17,"AAAAAGjd/TE=")</f>
        <v>#VALUE!</v>
      </c>
      <c r="AY2" t="e">
        <f>AND(Kanban!#REF!,"AAAAAGjd/TI=")</f>
        <v>#REF!</v>
      </c>
      <c r="AZ2" t="e">
        <f>AND(Kanban!E18,"AAAAAGjd/TM=")</f>
        <v>#VALUE!</v>
      </c>
      <c r="BA2" t="e">
        <f>AND(Kanban!P17,"AAAAAGjd/TQ=")</f>
        <v>#VALUE!</v>
      </c>
      <c r="BB2" t="e">
        <f>AND(Kanban!G17,"AAAAAGjd/TU=")</f>
        <v>#VALUE!</v>
      </c>
      <c r="BC2" t="e">
        <f>AND(Kanban!H18,"AAAAAGjd/TY=")</f>
        <v>#VALUE!</v>
      </c>
      <c r="BD2" t="e">
        <f>AND(Kanban!I17,"AAAAAGjd/Tc=")</f>
        <v>#VALUE!</v>
      </c>
      <c r="BE2" t="e">
        <f>AND(Kanban!M16,"AAAAAGjd/Tg=")</f>
        <v>#VALUE!</v>
      </c>
      <c r="BF2" t="e">
        <f>AND(Kanban!#REF!,"AAAAAGjd/Tk=")</f>
        <v>#REF!</v>
      </c>
      <c r="BG2" t="e">
        <f>AND(Kanban!#REF!,"AAAAAGjd/To=")</f>
        <v>#REF!</v>
      </c>
      <c r="BH2" t="e">
        <f>AND(#REF!,"AAAAAGjd/Ts=")</f>
        <v>#REF!</v>
      </c>
      <c r="BI2" t="e">
        <f>AND(Kanban!#REF!,"AAAAAGjd/Tw=")</f>
        <v>#REF!</v>
      </c>
      <c r="BJ2" t="e">
        <f>AND(Kanban!#REF!,"AAAAAGjd/T0=")</f>
        <v>#REF!</v>
      </c>
      <c r="BK2" t="e">
        <f>AND(Kanban!N17,"AAAAAGjd/T4=")</f>
        <v>#VALUE!</v>
      </c>
      <c r="BL2" t="e">
        <f>AND(Kanban!O17,"AAAAAGjd/T8=")</f>
        <v>#VALUE!</v>
      </c>
      <c r="BM2" t="e">
        <f>AND(Kanban!#REF!,"AAAAAGjd/UA=")</f>
        <v>#REF!</v>
      </c>
      <c r="BN2" t="e">
        <f>AND(Kanban!Q17,"AAAAAGjd/UE=")</f>
        <v>#VALUE!</v>
      </c>
      <c r="BO2" t="e">
        <f>AND(Kanban!R17,"AAAAAGjd/UI=")</f>
        <v>#VALUE!</v>
      </c>
      <c r="BP2">
        <f>IF(Kanban!18:18,"AAAAAGjd/UM=",0)</f>
        <v>0</v>
      </c>
      <c r="BQ2" t="e">
        <f>AND(Kanban!A18,"AAAAAGjd/UQ=")</f>
        <v>#VALUE!</v>
      </c>
      <c r="BR2" t="e">
        <f>AND(Kanban!#REF!,"AAAAAGjd/UU=")</f>
        <v>#REF!</v>
      </c>
      <c r="BS2" t="e">
        <f>AND(Kanban!#REF!,"AAAAAGjd/UY=")</f>
        <v>#REF!</v>
      </c>
      <c r="BT2" t="e">
        <f>AND(Kanban!#REF!,"AAAAAGjd/Uc=")</f>
        <v>#REF!</v>
      </c>
      <c r="BU2" t="e">
        <f>AND(#REF!,"AAAAAGjd/Ug=")</f>
        <v>#REF!</v>
      </c>
      <c r="BV2" t="e">
        <f>AND(Kanban!#REF!,"AAAAAGjd/Uk=")</f>
        <v>#REF!</v>
      </c>
      <c r="BW2" t="e">
        <f>AND(Kanban!I18,"AAAAAGjd/Uo=")</f>
        <v>#VALUE!</v>
      </c>
      <c r="BX2" t="e">
        <f>AND(Kanban!M20,"AAAAAGjd/Us=")</f>
        <v>#VALUE!</v>
      </c>
      <c r="BY2" t="e">
        <f>AND(Kanban!#REF!,"AAAAAGjd/Uw=")</f>
        <v>#REF!</v>
      </c>
      <c r="BZ2" t="e">
        <f>AND(Kanban!#REF!,"AAAAAGjd/U0=")</f>
        <v>#REF!</v>
      </c>
      <c r="CA2" t="e">
        <f>AND(Kanban!#REF!,"AAAAAGjd/U4=")</f>
        <v>#REF!</v>
      </c>
      <c r="CB2" t="e">
        <f>AND(Kanban!#REF!,"AAAAAGjd/U8=")</f>
        <v>#REF!</v>
      </c>
      <c r="CC2" t="e">
        <f>AND(Kanban!#REF!,"AAAAAGjd/VA=")</f>
        <v>#REF!</v>
      </c>
      <c r="CD2" t="e">
        <f>AND(Kanban!N18,"AAAAAGjd/VE=")</f>
        <v>#VALUE!</v>
      </c>
      <c r="CE2" t="e">
        <f>AND(Kanban!O18,"AAAAAGjd/VI=")</f>
        <v>#VALUE!</v>
      </c>
      <c r="CF2" t="e">
        <f>AND(Kanban!#REF!,"AAAAAGjd/VM=")</f>
        <v>#REF!</v>
      </c>
      <c r="CG2" t="e">
        <f>AND(Kanban!#REF!,"AAAAAGjd/VQ=")</f>
        <v>#REF!</v>
      </c>
      <c r="CH2" t="e">
        <f>AND(Kanban!#REF!,"AAAAAGjd/VU=")</f>
        <v>#REF!</v>
      </c>
      <c r="CI2">
        <f>IF(Kanban!19:19,"AAAAAGjd/VY=",0)</f>
        <v>0</v>
      </c>
      <c r="CJ2" t="e">
        <f>AND(Kanban!A19,"AAAAAGjd/Vc=")</f>
        <v>#VALUE!</v>
      </c>
      <c r="CK2" t="e">
        <f>AND(Kanban!#REF!,"AAAAAGjd/Vg=")</f>
        <v>#REF!</v>
      </c>
      <c r="CL2" t="e">
        <f>AND(Kanban!#REF!,"AAAAAGjd/Vk=")</f>
        <v>#REF!</v>
      </c>
      <c r="CM2" t="e">
        <f>AND(Kanban!#REF!,"AAAAAGjd/Vo=")</f>
        <v>#REF!</v>
      </c>
      <c r="CN2" t="e">
        <f>AND(Kanban!G19,"AAAAAGjd/Vs=")</f>
        <v>#VALUE!</v>
      </c>
      <c r="CO2" t="e">
        <f>AND(Kanban!H19,"AAAAAGjd/Vw=")</f>
        <v>#VALUE!</v>
      </c>
      <c r="CP2" t="e">
        <f>AND(Kanban!I19,"AAAAAGjd/V0=")</f>
        <v>#VALUE!</v>
      </c>
      <c r="CQ2" t="e">
        <f>AND(Kanban!J19,"AAAAAGjd/V4=")</f>
        <v>#VALUE!</v>
      </c>
      <c r="CR2" t="e">
        <f>AND(Kanban!#REF!,"AAAAAGjd/V8=")</f>
        <v>#REF!</v>
      </c>
      <c r="CS2" t="e">
        <f>AND(Kanban!#REF!,"AAAAAGjd/WA=")</f>
        <v>#REF!</v>
      </c>
      <c r="CT2" t="e">
        <f>AND(Kanban!K19,"AAAAAGjd/WE=")</f>
        <v>#VALUE!</v>
      </c>
      <c r="CU2" t="e">
        <f>AND(Kanban!L19,"AAAAAGjd/WI=")</f>
        <v>#VALUE!</v>
      </c>
      <c r="CV2" t="e">
        <f>AND(Kanban!#REF!,"AAAAAGjd/WM=")</f>
        <v>#REF!</v>
      </c>
      <c r="CW2" t="e">
        <f>AND(Kanban!N19,"AAAAAGjd/WQ=")</f>
        <v>#VALUE!</v>
      </c>
      <c r="CX2" t="e">
        <f>AND(Kanban!O19,"AAAAAGjd/WU=")</f>
        <v>#VALUE!</v>
      </c>
      <c r="CY2" t="e">
        <f>AND(Kanban!P19,"AAAAAGjd/WY=")</f>
        <v>#VALUE!</v>
      </c>
      <c r="CZ2" t="e">
        <f>AND(Kanban!Q19,"AAAAAGjd/Wc=")</f>
        <v>#VALUE!</v>
      </c>
      <c r="DA2" t="e">
        <f>AND(Kanban!R19,"AAAAAGjd/Wg=")</f>
        <v>#VALUE!</v>
      </c>
      <c r="DB2">
        <f>IF(Kanban!20:20,"AAAAAGjd/Wk=",0)</f>
        <v>0</v>
      </c>
      <c r="DC2" t="e">
        <f>AND(Kanban!A20,"AAAAAGjd/Wo=")</f>
        <v>#VALUE!</v>
      </c>
      <c r="DD2" t="e">
        <f>AND(Kanban!L22,"AAAAAGjd/Ws=")</f>
        <v>#VALUE!</v>
      </c>
      <c r="DE2" t="e">
        <f>AND(Kanban!K21,"AAAAAGjd/Ww=")</f>
        <v>#VALUE!</v>
      </c>
      <c r="DF2" t="e">
        <f>AND(Kanban!K20,"AAAAAGjd/W0=")</f>
        <v>#VALUE!</v>
      </c>
      <c r="DG2" t="e">
        <f>AND(Kanban!#REF!,"AAAAAGjd/W4=")</f>
        <v>#REF!</v>
      </c>
      <c r="DH2" t="e">
        <f>AND(Kanban!H20,"AAAAAGjd/W8=")</f>
        <v>#VALUE!</v>
      </c>
      <c r="DI2" t="e">
        <f>AND(Kanban!I20,"AAAAAGjd/XA=")</f>
        <v>#VALUE!</v>
      </c>
      <c r="DJ2" t="e">
        <f>AND(Kanban!J20,"AAAAAGjd/XE=")</f>
        <v>#VALUE!</v>
      </c>
      <c r="DK2" t="e">
        <f>AND(Kanban!#REF!,"AAAAAGjd/XI=")</f>
        <v>#REF!</v>
      </c>
      <c r="DL2" t="e">
        <f>AND(Kanban!#REF!,"AAAAAGjd/XM=")</f>
        <v>#REF!</v>
      </c>
      <c r="DM2" t="e">
        <f>AND(Kanban!#REF!,"AAAAAGjd/XQ=")</f>
        <v>#REF!</v>
      </c>
      <c r="DN2" t="e">
        <f>AND(Kanban!#REF!,"AAAAAGjd/XU=")</f>
        <v>#REF!</v>
      </c>
      <c r="DO2" t="e">
        <f>AND(Kanban!#REF!,"AAAAAGjd/XY=")</f>
        <v>#REF!</v>
      </c>
      <c r="DP2" t="e">
        <f>AND(Kanban!N20,"AAAAAGjd/Xc=")</f>
        <v>#VALUE!</v>
      </c>
      <c r="DQ2" t="e">
        <f>AND(Kanban!O20,"AAAAAGjd/Xg=")</f>
        <v>#VALUE!</v>
      </c>
      <c r="DR2" t="e">
        <f>AND(Kanban!P20,"AAAAAGjd/Xk=")</f>
        <v>#VALUE!</v>
      </c>
      <c r="DS2" t="e">
        <f>AND(Kanban!Q20,"AAAAAGjd/Xo=")</f>
        <v>#VALUE!</v>
      </c>
      <c r="DT2" t="e">
        <f>AND(Kanban!R20,"AAAAAGjd/Xs=")</f>
        <v>#VALUE!</v>
      </c>
      <c r="DU2">
        <f>IF(Kanban!21:21,"AAAAAGjd/Xw=",0)</f>
        <v>0</v>
      </c>
      <c r="DV2" t="e">
        <f>AND(Kanban!A21,"AAAAAGjd/X0=")</f>
        <v>#VALUE!</v>
      </c>
      <c r="DW2" t="e">
        <f>AND(Kanban!#REF!,"AAAAAGjd/X4=")</f>
        <v>#REF!</v>
      </c>
      <c r="DX2" t="e">
        <f>AND(Kanban!P21,"AAAAAGjd/X8=")</f>
        <v>#VALUE!</v>
      </c>
      <c r="DY2" t="e">
        <f>AND(Kanban!#REF!,"AAAAAGjd/YA=")</f>
        <v>#REF!</v>
      </c>
      <c r="DZ2" t="e">
        <f>AND(Kanban!#REF!,"AAAAAGjd/YE=")</f>
        <v>#REF!</v>
      </c>
      <c r="EA2" t="e">
        <f>AND(Kanban!H21,"AAAAAGjd/YI=")</f>
        <v>#VALUE!</v>
      </c>
      <c r="EB2" t="e">
        <f>AND(Kanban!I21,"AAAAAGjd/YM=")</f>
        <v>#VALUE!</v>
      </c>
      <c r="EC2" t="e">
        <f>AND(Kanban!J21,"AAAAAGjd/YQ=")</f>
        <v>#VALUE!</v>
      </c>
      <c r="ED2" t="e">
        <f>AND(Kanban!#REF!,"AAAAAGjd/YU=")</f>
        <v>#REF!</v>
      </c>
      <c r="EE2" t="e">
        <f>AND(Kanban!#REF!,"AAAAAGjd/YY=")</f>
        <v>#REF!</v>
      </c>
      <c r="EF2" t="e">
        <f>AND(Kanban!#REF!,"AAAAAGjd/Yc=")</f>
        <v>#REF!</v>
      </c>
      <c r="EG2" t="e">
        <f>AND(Kanban!#REF!,"AAAAAGjd/Yg=")</f>
        <v>#REF!</v>
      </c>
      <c r="EH2" t="e">
        <f>AND(Kanban!M21,"AAAAAGjd/Yk=")</f>
        <v>#VALUE!</v>
      </c>
      <c r="EI2" t="e">
        <f>AND(Kanban!N21,"AAAAAGjd/Yo=")</f>
        <v>#VALUE!</v>
      </c>
      <c r="EJ2" t="e">
        <f>AND(Kanban!O21,"AAAAAGjd/Ys=")</f>
        <v>#VALUE!</v>
      </c>
      <c r="EK2" t="e">
        <f>AND(Kanban!#REF!,"AAAAAGjd/Yw=")</f>
        <v>#REF!</v>
      </c>
      <c r="EL2" t="e">
        <f>AND(Kanban!Q21,"AAAAAGjd/Y0=")</f>
        <v>#VALUE!</v>
      </c>
      <c r="EM2" t="e">
        <f>AND(Kanban!R21,"AAAAAGjd/Y4=")</f>
        <v>#VALUE!</v>
      </c>
      <c r="EN2" t="e">
        <f>IF(Kanban!#REF!,"AAAAAGjd/Y8=",0)</f>
        <v>#REF!</v>
      </c>
      <c r="EO2" t="e">
        <f>AND(Kanban!#REF!,"AAAAAGjd/ZA=")</f>
        <v>#REF!</v>
      </c>
      <c r="EP2" t="e">
        <f>AND(Kanban!#REF!,"AAAAAGjd/ZE=")</f>
        <v>#REF!</v>
      </c>
      <c r="EQ2" t="e">
        <f>AND(Kanban!L21,"AAAAAGjd/ZI=")</f>
        <v>#VALUE!</v>
      </c>
      <c r="ER2" t="e">
        <f>AND(Kanban!K22,"AAAAAGjd/ZM=")</f>
        <v>#VALUE!</v>
      </c>
      <c r="ES2" t="e">
        <f>AND(Kanban!#REF!,"AAAAAGjd/ZQ=")</f>
        <v>#REF!</v>
      </c>
      <c r="ET2" t="e">
        <f>AND(Kanban!#REF!,"AAAAAGjd/ZU=")</f>
        <v>#REF!</v>
      </c>
      <c r="EU2" t="e">
        <f>AND(Kanban!#REF!,"AAAAAGjd/ZY=")</f>
        <v>#REF!</v>
      </c>
      <c r="EV2" t="e">
        <f>AND(Kanban!#REF!,"AAAAAGjd/Zc=")</f>
        <v>#REF!</v>
      </c>
      <c r="EW2" t="e">
        <f>AND(Kanban!#REF!,"AAAAAGjd/Zg=")</f>
        <v>#REF!</v>
      </c>
      <c r="EX2" t="e">
        <f>AND(Kanban!#REF!,"AAAAAGjd/Zk=")</f>
        <v>#REF!</v>
      </c>
      <c r="EY2" t="e">
        <f>AND(Kanban!#REF!,"AAAAAGjd/Zo=")</f>
        <v>#REF!</v>
      </c>
      <c r="EZ2" t="e">
        <f>AND(Kanban!#REF!,"AAAAAGjd/Zs=")</f>
        <v>#REF!</v>
      </c>
      <c r="FA2" t="e">
        <f>AND(Kanban!#REF!,"AAAAAGjd/Zw=")</f>
        <v>#REF!</v>
      </c>
      <c r="FB2" t="e">
        <f>AND(Kanban!#REF!,"AAAAAGjd/Z0=")</f>
        <v>#REF!</v>
      </c>
      <c r="FC2" t="e">
        <f>AND(Kanban!#REF!,"AAAAAGjd/Z4=")</f>
        <v>#REF!</v>
      </c>
      <c r="FD2" t="e">
        <f>AND(Kanban!#REF!,"AAAAAGjd/Z8=")</f>
        <v>#REF!</v>
      </c>
      <c r="FE2" t="e">
        <f>AND(Kanban!#REF!,"AAAAAGjd/aA=")</f>
        <v>#REF!</v>
      </c>
      <c r="FF2" t="e">
        <f>AND(Kanban!#REF!,"AAAAAGjd/aE=")</f>
        <v>#REF!</v>
      </c>
      <c r="FG2">
        <f>IF(Kanban!22:22,"AAAAAGjd/aI=",0)</f>
        <v>0</v>
      </c>
      <c r="FH2" t="e">
        <f>AND(Kanban!A22,"AAAAAGjd/aM=")</f>
        <v>#VALUE!</v>
      </c>
      <c r="FI2" t="e">
        <f>AND(Kanban!#REF!,"AAAAAGjd/aQ=")</f>
        <v>#REF!</v>
      </c>
      <c r="FJ2" t="e">
        <f>AND(Kanban!#REF!,"AAAAAGjd/aU=")</f>
        <v>#REF!</v>
      </c>
      <c r="FK2" t="e">
        <f>AND(Kanban!F22,"AAAAAGjd/aY=")</f>
        <v>#VALUE!</v>
      </c>
      <c r="FL2" t="e">
        <f>AND(Kanban!G22,"AAAAAGjd/ac=")</f>
        <v>#VALUE!</v>
      </c>
      <c r="FM2" t="e">
        <f>AND(Kanban!H22,"AAAAAGjd/ag=")</f>
        <v>#VALUE!</v>
      </c>
      <c r="FN2" t="e">
        <f>AND(Kanban!I22,"AAAAAGjd/ak=")</f>
        <v>#VALUE!</v>
      </c>
      <c r="FO2" t="e">
        <f>AND(Kanban!J22,"AAAAAGjd/ao=")</f>
        <v>#VALUE!</v>
      </c>
      <c r="FP2" t="e">
        <f>AND(Kanban!#REF!,"AAAAAGjd/as=")</f>
        <v>#REF!</v>
      </c>
      <c r="FQ2" t="e">
        <f>AND(Kanban!#REF!,"AAAAAGjd/aw=")</f>
        <v>#REF!</v>
      </c>
      <c r="FR2" t="e">
        <f>AND(Kanban!#REF!,"AAAAAGjd/a0=")</f>
        <v>#REF!</v>
      </c>
      <c r="FS2" t="e">
        <f>AND(Kanban!#REF!,"AAAAAGjd/a4=")</f>
        <v>#REF!</v>
      </c>
      <c r="FT2" t="e">
        <f>AND(Kanban!M22,"AAAAAGjd/a8=")</f>
        <v>#VALUE!</v>
      </c>
      <c r="FU2" t="e">
        <f>AND(Kanban!N22,"AAAAAGjd/bA=")</f>
        <v>#VALUE!</v>
      </c>
      <c r="FV2" t="e">
        <f>AND(Kanban!O22,"AAAAAGjd/bE=")</f>
        <v>#VALUE!</v>
      </c>
      <c r="FW2" t="e">
        <f>AND(Kanban!P22,"AAAAAGjd/bI=")</f>
        <v>#VALUE!</v>
      </c>
      <c r="FX2" t="e">
        <f>AND(Kanban!Q22,"AAAAAGjd/bM=")</f>
        <v>#VALUE!</v>
      </c>
      <c r="FY2" t="e">
        <f>AND(Kanban!R22,"AAAAAGjd/bQ=")</f>
        <v>#VALUE!</v>
      </c>
      <c r="FZ2">
        <f>IF(Kanban!23:23,"AAAAAGjd/bU=",0)</f>
        <v>0</v>
      </c>
      <c r="GA2" t="e">
        <f>AND(Kanban!A23,"AAAAAGjd/bY=")</f>
        <v>#VALUE!</v>
      </c>
      <c r="GB2" t="e">
        <f>AND(Kanban!#REF!,"AAAAAGjd/bc=")</f>
        <v>#REF!</v>
      </c>
      <c r="GC2" t="e">
        <f>AND(Kanban!C26,"AAAAAGjd/bg=")</f>
        <v>#VALUE!</v>
      </c>
      <c r="GD2" t="e">
        <f>AND(Kanban!F26,"AAAAAGjd/bk=")</f>
        <v>#VALUE!</v>
      </c>
      <c r="GE2" t="e">
        <f>AND(Kanban!#REF!,"AAAAAGjd/bo=")</f>
        <v>#REF!</v>
      </c>
      <c r="GF2" t="e">
        <f>AND(Kanban!H23,"AAAAAGjd/bs=")</f>
        <v>#VALUE!</v>
      </c>
      <c r="GG2" t="e">
        <f>AND(Kanban!#REF!,"AAAAAGjd/bw=")</f>
        <v>#REF!</v>
      </c>
      <c r="GH2" t="e">
        <f>AND(Kanban!#REF!,"AAAAAGjd/b0=")</f>
        <v>#REF!</v>
      </c>
      <c r="GI2" t="e">
        <f>AND(Kanban!#REF!,"AAAAAGjd/b4=")</f>
        <v>#REF!</v>
      </c>
      <c r="GJ2" t="e">
        <f>AND(Kanban!#REF!,"AAAAAGjd/b8=")</f>
        <v>#REF!</v>
      </c>
      <c r="GK2" t="e">
        <f>AND(Kanban!#REF!,"AAAAAGjd/cA=")</f>
        <v>#REF!</v>
      </c>
      <c r="GL2" t="e">
        <f>AND(Kanban!#REF!,"AAAAAGjd/cE=")</f>
        <v>#REF!</v>
      </c>
      <c r="GM2" t="e">
        <f>AND(Kanban!#REF!,"AAAAAGjd/cI=")</f>
        <v>#REF!</v>
      </c>
      <c r="GN2" t="e">
        <f>AND(Kanban!#REF!,"AAAAAGjd/cM=")</f>
        <v>#REF!</v>
      </c>
      <c r="GO2" t="e">
        <f>AND(Kanban!O23,"AAAAAGjd/cQ=")</f>
        <v>#VALUE!</v>
      </c>
      <c r="GP2" t="e">
        <f>AND(Kanban!P23,"AAAAAGjd/cU=")</f>
        <v>#VALUE!</v>
      </c>
      <c r="GQ2" t="e">
        <f>AND(Kanban!Q23,"AAAAAGjd/cY=")</f>
        <v>#VALUE!</v>
      </c>
      <c r="GR2" t="e">
        <f>AND(Kanban!R23,"AAAAAGjd/cc=")</f>
        <v>#VALUE!</v>
      </c>
      <c r="GS2">
        <f>IF(Kanban!24:24,"AAAAAGjd/cg=",0)</f>
        <v>0</v>
      </c>
      <c r="GT2" t="e">
        <f>AND(Kanban!A24,"AAAAAGjd/ck=")</f>
        <v>#VALUE!</v>
      </c>
      <c r="GU2" t="e">
        <f>AND(Kanban!#REF!,"AAAAAGjd/co=")</f>
        <v>#REF!</v>
      </c>
      <c r="GV2" t="e">
        <f>AND(Kanban!#REF!,"AAAAAGjd/cs=")</f>
        <v>#REF!</v>
      </c>
      <c r="GW2" t="e">
        <f>AND(Kanban!#REF!,"AAAAAGjd/cw=")</f>
        <v>#REF!</v>
      </c>
      <c r="GX2" t="e">
        <f>AND(Kanban!#REF!,"AAAAAGjd/c0=")</f>
        <v>#REF!</v>
      </c>
      <c r="GY2" t="e">
        <f>AND(Kanban!H26,"AAAAAGjd/c4=")</f>
        <v>#VALUE!</v>
      </c>
      <c r="GZ2" t="e">
        <f>AND(Kanban!#REF!,"AAAAAGjd/c8=")</f>
        <v>#REF!</v>
      </c>
      <c r="HA2" t="e">
        <f>AND(Kanban!#REF!,"AAAAAGjd/dA=")</f>
        <v>#REF!</v>
      </c>
      <c r="HB2" t="e">
        <f>AND(Kanban!#REF!,"AAAAAGjd/dE=")</f>
        <v>#REF!</v>
      </c>
      <c r="HC2" t="e">
        <f>AND(Kanban!#REF!,"AAAAAGjd/dI=")</f>
        <v>#REF!</v>
      </c>
      <c r="HD2" t="e">
        <f>AND(Kanban!#REF!,"AAAAAGjd/dM=")</f>
        <v>#REF!</v>
      </c>
      <c r="HE2" t="e">
        <f>AND(Kanban!#REF!,"AAAAAGjd/dQ=")</f>
        <v>#REF!</v>
      </c>
      <c r="HF2" t="e">
        <f>AND(Kanban!#REF!,"AAAAAGjd/dU=")</f>
        <v>#REF!</v>
      </c>
      <c r="HG2" t="e">
        <f>AND(Kanban!#REF!,"AAAAAGjd/dY=")</f>
        <v>#REF!</v>
      </c>
      <c r="HH2" t="e">
        <f>AND(Kanban!O24,"AAAAAGjd/dc=")</f>
        <v>#VALUE!</v>
      </c>
      <c r="HI2" t="e">
        <f>AND(Kanban!P24,"AAAAAGjd/dg=")</f>
        <v>#VALUE!</v>
      </c>
      <c r="HJ2" t="e">
        <f>AND(Kanban!Q24,"AAAAAGjd/dk=")</f>
        <v>#VALUE!</v>
      </c>
      <c r="HK2" t="e">
        <f>AND(Kanban!R24,"AAAAAGjd/do=")</f>
        <v>#VALUE!</v>
      </c>
      <c r="HL2">
        <f>IF(Kanban!25:25,"AAAAAGjd/ds=",0)</f>
        <v>0</v>
      </c>
      <c r="HM2" t="e">
        <f>AND(Kanban!A25,"AAAAAGjd/dw=")</f>
        <v>#VALUE!</v>
      </c>
      <c r="HN2" t="e">
        <f>AND(Kanban!#REF!,"AAAAAGjd/d0=")</f>
        <v>#REF!</v>
      </c>
      <c r="HO2" t="e">
        <f>AND(Kanban!#REF!,"AAAAAGjd/d4=")</f>
        <v>#REF!</v>
      </c>
      <c r="HP2" t="e">
        <f>AND(Kanban!#REF!,"AAAAAGjd/d8=")</f>
        <v>#REF!</v>
      </c>
      <c r="HQ2" t="e">
        <f>AND(Kanban!#REF!,"AAAAAGjd/eA=")</f>
        <v>#REF!</v>
      </c>
      <c r="HR2" t="e">
        <f>AND(Kanban!H25,"AAAAAGjd/eE=")</f>
        <v>#VALUE!</v>
      </c>
      <c r="HS2" t="e">
        <f>AND(Kanban!I25,"AAAAAGjd/eI=")</f>
        <v>#VALUE!</v>
      </c>
      <c r="HT2" t="e">
        <f>AND(Kanban!J25,"AAAAAGjd/eM=")</f>
        <v>#VALUE!</v>
      </c>
      <c r="HU2" t="e">
        <f>AND(Kanban!#REF!,"AAAAAGjd/eQ=")</f>
        <v>#REF!</v>
      </c>
      <c r="HV2" t="e">
        <f>AND(Kanban!#REF!,"AAAAAGjd/eU=")</f>
        <v>#REF!</v>
      </c>
      <c r="HW2" t="e">
        <f>AND(Kanban!#REF!,"AAAAAGjd/eY=")</f>
        <v>#REF!</v>
      </c>
      <c r="HX2" t="e">
        <f>AND(Kanban!#REF!,"AAAAAGjd/ec=")</f>
        <v>#REF!</v>
      </c>
      <c r="HY2" t="e">
        <f>AND(Kanban!K23,"AAAAAGjd/eg=")</f>
        <v>#VALUE!</v>
      </c>
      <c r="HZ2" t="e">
        <f>AND(Kanban!L23,"AAAAAGjd/ek=")</f>
        <v>#VALUE!</v>
      </c>
      <c r="IA2" t="e">
        <f>AND(Kanban!M23,"AAAAAGjd/eo=")</f>
        <v>#VALUE!</v>
      </c>
      <c r="IB2" t="e">
        <f>AND(Kanban!#REF!,"AAAAAGjd/es=")</f>
        <v>#REF!</v>
      </c>
      <c r="IC2" t="e">
        <f>AND(Kanban!Q25,"AAAAAGjd/ew=")</f>
        <v>#VALUE!</v>
      </c>
      <c r="ID2" t="e">
        <f>AND(Kanban!R25,"AAAAAGjd/e0=")</f>
        <v>#VALUE!</v>
      </c>
      <c r="IE2">
        <f>IF(Kanban!26:26,"AAAAAGjd/e4=",0)</f>
        <v>0</v>
      </c>
      <c r="IF2" t="e">
        <f>AND(Kanban!A26,"AAAAAGjd/e8=")</f>
        <v>#VALUE!</v>
      </c>
      <c r="IG2" t="e">
        <f>AND(Kanban!B26,"AAAAAGjd/fA=")</f>
        <v>#VALUE!</v>
      </c>
      <c r="IH2" t="e">
        <f>AND(Kanban!N23,"AAAAAGjd/fE=")</f>
        <v>#VALUE!</v>
      </c>
      <c r="II2" t="e">
        <f>AND(Kanban!#REF!,"AAAAAGjd/fI=")</f>
        <v>#REF!</v>
      </c>
      <c r="IJ2" t="e">
        <f>AND(Kanban!#REF!,"AAAAAGjd/fM=")</f>
        <v>#REF!</v>
      </c>
      <c r="IK2" t="e">
        <f>AND(Kanban!#REF!,"AAAAAGjd/fQ=")</f>
        <v>#REF!</v>
      </c>
      <c r="IL2" t="e">
        <f>AND(Kanban!I26,"AAAAAGjd/fU=")</f>
        <v>#VALUE!</v>
      </c>
      <c r="IM2" t="e">
        <f>AND(Kanban!J26,"AAAAAGjd/fY=")</f>
        <v>#VALUE!</v>
      </c>
      <c r="IN2" t="e">
        <f>AND(Kanban!#REF!,"AAAAAGjd/fc=")</f>
        <v>#REF!</v>
      </c>
      <c r="IO2" t="e">
        <f>AND(Kanban!#REF!,"AAAAAGjd/fg=")</f>
        <v>#REF!</v>
      </c>
      <c r="IP2" t="e">
        <f>AND(Kanban!#REF!,"AAAAAGjd/fk=")</f>
        <v>#REF!</v>
      </c>
      <c r="IQ2" t="e">
        <f>AND(Kanban!#REF!,"AAAAAGjd/fo=")</f>
        <v>#REF!</v>
      </c>
      <c r="IR2" t="e">
        <f>AND(Kanban!K24,"AAAAAGjd/fs=")</f>
        <v>#VALUE!</v>
      </c>
      <c r="IS2" t="e">
        <f>AND(Kanban!L24,"AAAAAGjd/fw=")</f>
        <v>#VALUE!</v>
      </c>
      <c r="IT2" t="e">
        <f>AND(Kanban!M24,"AAAAAGjd/f0=")</f>
        <v>#VALUE!</v>
      </c>
      <c r="IU2" t="e">
        <f>AND(Kanban!N24,"AAAAAGjd/f4=")</f>
        <v>#VALUE!</v>
      </c>
      <c r="IV2" t="e">
        <f>AND(Kanban!Q26,"AAAAAGjd/f8=")</f>
        <v>#VALUE!</v>
      </c>
    </row>
    <row r="3" spans="1:256" x14ac:dyDescent="0.3">
      <c r="A3" t="e">
        <f>AND(Kanban!R26,"AAAAAF9VuwA=")</f>
        <v>#VALUE!</v>
      </c>
      <c r="B3">
        <f>IF(Kanban!27:27,"AAAAAF9VuwE=",0)</f>
        <v>0</v>
      </c>
      <c r="C3" t="e">
        <f>AND(Kanban!A27,"AAAAAF9VuwI=")</f>
        <v>#VALUE!</v>
      </c>
      <c r="D3" t="e">
        <f>AND(Kanban!C24,"AAAAAF9VuwM=")</f>
        <v>#VALUE!</v>
      </c>
      <c r="E3" t="e">
        <f>AND(Kanban!#REF!,"AAAAAF9VuwQ=")</f>
        <v>#REF!</v>
      </c>
      <c r="F3" t="e">
        <f>AND(Kanban!K27,"AAAAAF9VuwU=")</f>
        <v>#VALUE!</v>
      </c>
      <c r="G3">
        <f>IF(Kanban!28:28,"AAAAAF9VuwY=",0)</f>
        <v>0</v>
      </c>
      <c r="H3" t="e">
        <f>AND(Kanban!A28,"AAAAAF9Vuwc=")</f>
        <v>#VALUE!</v>
      </c>
      <c r="I3" t="e">
        <f>AND(Kanban!B28,"AAAAAF9Vuwg=")</f>
        <v>#VALUE!</v>
      </c>
      <c r="J3" t="e">
        <f>AND(Kanban!C28,"AAAAAF9Vuwk=")</f>
        <v>#VALUE!</v>
      </c>
      <c r="K3" t="e">
        <f>AND(Kanban!K28,"AAAAAF9Vuwo=")</f>
        <v>#VALUE!</v>
      </c>
      <c r="L3">
        <f>IF(Kanban!A:A,"AAAAAF9Vuws=",0)</f>
        <v>0</v>
      </c>
      <c r="M3">
        <f>IF(Kanban!B:B,"AAAAAF9Vuww=",0)</f>
        <v>0</v>
      </c>
      <c r="N3">
        <f>IF(Kanban!C:C,"AAAAAF9Vuw0=",0)</f>
        <v>0</v>
      </c>
      <c r="O3">
        <f>IF(Kanban!F:F,"AAAAAF9Vuw4=",0)</f>
        <v>0</v>
      </c>
      <c r="P3">
        <f>IF(Kanban!G:G,"AAAAAF9Vuw8=",0)</f>
        <v>0</v>
      </c>
      <c r="Q3">
        <f>IF(Kanban!H:H,"AAAAAF9VuxA=",0)</f>
        <v>0</v>
      </c>
      <c r="R3">
        <f>IF(Kanban!I:I,"AAAAAF9VuxE=",0)</f>
        <v>0</v>
      </c>
      <c r="S3">
        <f>IF(Kanban!J:J,"AAAAAF9VuxI=",0)</f>
        <v>0</v>
      </c>
      <c r="T3" t="e">
        <f>IF(Kanban!#REF!,"AAAAAF9VuxM=",0)</f>
        <v>#REF!</v>
      </c>
      <c r="U3" t="e">
        <f>IF(Kanban!#REF!,"AAAAAF9VuxQ=",0)</f>
        <v>#REF!</v>
      </c>
      <c r="V3">
        <f>IF(Kanban!K:K,"AAAAAF9VuxU=",0)</f>
        <v>0</v>
      </c>
      <c r="W3">
        <f>IF(Kanban!L:L,"AAAAAF9VuxY=",0)</f>
        <v>0</v>
      </c>
      <c r="X3">
        <f>IF(Kanban!M:M,"AAAAAF9Vuxc=",0)</f>
        <v>0</v>
      </c>
      <c r="Y3">
        <f>IF(Kanban!N:N,"AAAAAF9Vuxg=",0)</f>
        <v>0</v>
      </c>
      <c r="Z3">
        <f>IF(Kanban!O:O,"AAAAAF9Vuxk=",0)</f>
        <v>0</v>
      </c>
      <c r="AA3">
        <f>IF(Kanban!P:P,"AAAAAF9Vuxo=",0)</f>
        <v>0</v>
      </c>
      <c r="AB3">
        <f>IF(Kanban!Q:Q,"AAAAAF9Vuxs=",0)</f>
        <v>0</v>
      </c>
      <c r="AC3">
        <f>IF(Kanban!R:R,"AAAAAF9Vuxw=",0)</f>
        <v>0</v>
      </c>
      <c r="AD3">
        <f>IF('Meta da sprint'!1:1,"AAAAAF9Vux0=",0)</f>
        <v>0</v>
      </c>
      <c r="AE3" t="e">
        <f>AND('Meta da sprint'!A1,"AAAAAF9Vux4=")</f>
        <v>#VALUE!</v>
      </c>
      <c r="AF3">
        <f>IF('Meta da sprint'!A:A,"AAAAAF9Vux8=",0)</f>
        <v>0</v>
      </c>
      <c r="AG3">
        <f>IF('Conceito de Pronto'!1:1,"AAAAAF9VuyA=",0)</f>
        <v>0</v>
      </c>
      <c r="AH3" t="e">
        <f>AND('Conceito de Pronto'!A1,"AAAAAF9VuyE=")</f>
        <v>#VALUE!</v>
      </c>
      <c r="AI3">
        <f>IF('Conceito de Pronto'!A:A,"AAAAAF9VuyI=",0)</f>
        <v>0</v>
      </c>
      <c r="AJ3" t="s">
        <v>6</v>
      </c>
    </row>
    <row r="4" spans="1:256" x14ac:dyDescent="0.3">
      <c r="A4" t="e">
        <f>AND(Kanban!#REF!,"AAAAAHl+fgA=")</f>
        <v>#REF!</v>
      </c>
      <c r="B4" t="e">
        <f>AND(Kanban!#REF!,"AAAAAHl+fgE=")</f>
        <v>#REF!</v>
      </c>
      <c r="C4" t="e">
        <f>AND(Kanban!#REF!,"AAAAAHl+fgI=")</f>
        <v>#REF!</v>
      </c>
      <c r="D4" t="e">
        <f>AND(Kanban!#REF!,"AAAAAHl+fgM=")</f>
        <v>#REF!</v>
      </c>
      <c r="E4" t="e">
        <f>AND(Kanban!#REF!,"AAAAAHl+fgQ=")</f>
        <v>#REF!</v>
      </c>
      <c r="F4" t="e">
        <f>AND(Kanban!#REF!,"AAAAAHl+fgU=")</f>
        <v>#REF!</v>
      </c>
      <c r="G4" t="e">
        <f>AND(Kanban!#REF!,"AAAAAHl+fgY=")</f>
        <v>#REF!</v>
      </c>
      <c r="H4" t="e">
        <f>AND(Kanban!#REF!,"AAAAAHl+fgc=")</f>
        <v>#REF!</v>
      </c>
      <c r="I4" t="e">
        <f>AND(Kanban!F6,"AAAAAHl+fgg=")</f>
        <v>#VALUE!</v>
      </c>
    </row>
    <row r="5" spans="1:256" x14ac:dyDescent="0.3">
      <c r="A5" t="e">
        <f>AND(Kanban!#REF!,"AAAAAGn+7QA=")</f>
        <v>#REF!</v>
      </c>
      <c r="B5" t="e">
        <f>AND(Kanban!#REF!,"AAAAAGn+7QE=")</f>
        <v>#REF!</v>
      </c>
      <c r="C5" t="e">
        <f>AND(Kanban!G8,"AAAAAGn+7QI=")</f>
        <v>#VALUE!</v>
      </c>
      <c r="D5" t="e">
        <f>AND(Kanban!#REF!,"AAAAAGn+7QM=")</f>
        <v>#REF!</v>
      </c>
      <c r="E5" t="e">
        <f>AND(Kanban!#REF!,"AAAAAGn+7QQ=")</f>
        <v>#REF!</v>
      </c>
    </row>
    <row r="6" spans="1:256" x14ac:dyDescent="0.3">
      <c r="A6" t="e">
        <f>AND(Kanban!#REF!,"AAAAABn73wA=")</f>
        <v>#REF!</v>
      </c>
      <c r="B6" t="e">
        <f>AND(Kanban!#REF!,"AAAAABn73wE=")</f>
        <v>#REF!</v>
      </c>
      <c r="C6" t="e">
        <f>AND(Kanban!#REF!,"AAAAABn73wI=")</f>
        <v>#REF!</v>
      </c>
      <c r="D6" t="e">
        <f>AND(Kanban!#REF!,"AAAAABn73wM=")</f>
        <v>#REF!</v>
      </c>
    </row>
    <row r="7" spans="1:256" x14ac:dyDescent="0.3">
      <c r="A7" t="e">
        <f>AND(Kanban!#REF!,"AAAAABdp5wA=")</f>
        <v>#REF!</v>
      </c>
      <c r="B7" t="e">
        <f>AND(Kanban!N10,"AAAAABdp5wE=")</f>
        <v>#VALUE!</v>
      </c>
      <c r="C7" t="e">
        <f>AND(Kanban!#REF!,"AAAAABdp5wI=")</f>
        <v>#REF!</v>
      </c>
      <c r="D7" t="e">
        <f>AND(Kanban!#REF!,"AAAAABdp5wM=")</f>
        <v>#REF!</v>
      </c>
      <c r="E7" t="e">
        <f>AND(Kanban!#REF!,"AAAAABdp5wQ=")</f>
        <v>#REF!</v>
      </c>
      <c r="F7" t="e">
        <f>AND(Kanban!#REF!,"AAAAABdp5wU=")</f>
        <v>#REF!</v>
      </c>
      <c r="G7" t="e">
        <f>AND(Kanban!#REF!,"AAAAABdp5wY=")</f>
        <v>#REF!</v>
      </c>
      <c r="H7" t="e">
        <f>AND(Kanban!#REF!,"AAAAABdp5wc=")</f>
        <v>#REF!</v>
      </c>
      <c r="I7" t="e">
        <f>AND(Kanban!#REF!,"AAAAABdp5wg=")</f>
        <v>#REF!</v>
      </c>
      <c r="J7" t="e">
        <f>AND(Kanban!#REF!,"AAAAABdp5wk=")</f>
        <v>#REF!</v>
      </c>
    </row>
    <row r="8" spans="1:256" x14ac:dyDescent="0.3">
      <c r="A8" t="e">
        <f>AND(Kanban!#REF!,"AAAAAH/2uwA=")</f>
        <v>#REF!</v>
      </c>
      <c r="B8" t="e">
        <f>AND(Kanban!#REF!,"AAAAAH/2uwE=")</f>
        <v>#REF!</v>
      </c>
      <c r="C8" t="e">
        <f>AND(Kanban!G20,"AAAAAH/2uwI=")</f>
        <v>#VALUE!</v>
      </c>
      <c r="D8" t="e">
        <f>AND(Kanban!#REF!,"AAAAAH/2uwM=")</f>
        <v>#REF!</v>
      </c>
      <c r="E8" t="e">
        <f>AND(Kanban!P18,"AAAAAH/2uwQ=")</f>
        <v>#VALUE!</v>
      </c>
      <c r="F8" t="e">
        <f>AND(Kanban!L20,"AAAAAH/2uwU=")</f>
        <v>#VALUE!</v>
      </c>
      <c r="G8" t="e">
        <f>AND(Kanban!#REF!,"AAAAAH/2uwY=")</f>
        <v>#REF!</v>
      </c>
      <c r="H8" t="e">
        <f>AND(Kanban!#REF!,"AAAAAH/2uwc=")</f>
        <v>#REF!</v>
      </c>
    </row>
    <row r="9" spans="1:256" x14ac:dyDescent="0.3">
      <c r="A9" t="e">
        <f>AND(Kanban!#REF!,"AAAAADr//wA=")</f>
        <v>#REF!</v>
      </c>
      <c r="B9" t="e">
        <f>AND(Kanban!#REF!,"AAAAADr//wE=")</f>
        <v>#REF!</v>
      </c>
      <c r="C9" t="e">
        <f>AND(Kanban!#REF!,"AAAAADr//wI=")</f>
        <v>#REF!</v>
      </c>
    </row>
    <row r="10" spans="1:256" x14ac:dyDescent="0.3">
      <c r="A10" t="e">
        <f>AND(Kanban!C25,"AAAAAFX//gA=")</f>
        <v>#VALUE!</v>
      </c>
      <c r="B10" t="e">
        <f>AND(Kanban!#REF!,"AAAAAFX//gE=")</f>
        <v>#REF!</v>
      </c>
      <c r="C10" t="e">
        <f>AND(Kanban!G25,"AAAAAFX//gI=")</f>
        <v>#VALUE!</v>
      </c>
      <c r="D10" t="e">
        <f>AND(Kanban!L27,"AAAAAFX//gM=")</f>
        <v>#VALUE!</v>
      </c>
      <c r="E10" t="e">
        <f>AND(Kanban!#REF!,"AAAAAFX//gQ=")</f>
        <v>#REF!</v>
      </c>
      <c r="F10" t="e">
        <f>AND(Kanban!F27,"AAAAAFX//gU=")</f>
        <v>#VALUE!</v>
      </c>
      <c r="G10" t="e">
        <f>AND(Kanban!G27,"AAAAAFX//gY=")</f>
        <v>#VALUE!</v>
      </c>
      <c r="H10" t="e">
        <f>AND(Kanban!H27,"AAAAAFX//gc=")</f>
        <v>#VALUE!</v>
      </c>
      <c r="I10" t="e">
        <f>AND(Kanban!I27,"AAAAAFX//gg=")</f>
        <v>#VALUE!</v>
      </c>
      <c r="J10" t="e">
        <f>AND(Kanban!J27,"AAAAAFX//gk=")</f>
        <v>#VALUE!</v>
      </c>
      <c r="K10" t="e">
        <f>AND(Kanban!#REF!,"AAAAAFX//go=")</f>
        <v>#REF!</v>
      </c>
      <c r="L10" t="e">
        <f>AND(Kanban!#REF!,"AAAAAFX//gs=")</f>
        <v>#REF!</v>
      </c>
      <c r="M10" t="e">
        <f>AND(Kanban!F28,"AAAAAFX//gw=")</f>
        <v>#VALUE!</v>
      </c>
      <c r="N10" t="e">
        <f>AND(Kanban!G28,"AAAAAFX//g0=")</f>
        <v>#VALUE!</v>
      </c>
      <c r="O10" t="e">
        <f>AND(Kanban!H28,"AAAAAFX//g4=")</f>
        <v>#VALUE!</v>
      </c>
      <c r="P10" t="e">
        <f>AND(Kanban!I28,"AAAAAFX//g8=")</f>
        <v>#VALUE!</v>
      </c>
      <c r="Q10" t="e">
        <f>AND(Kanban!J28,"AAAAAFX//hA=")</f>
        <v>#VALUE!</v>
      </c>
      <c r="R10" t="e">
        <f>AND(Kanban!#REF!,"AAAAAFX//hE=")</f>
        <v>#REF!</v>
      </c>
      <c r="S10" t="e">
        <f>AND(Kanban!#REF!,"AAAAAFX//hI=")</f>
        <v>#REF!</v>
      </c>
    </row>
    <row r="11" spans="1:256" x14ac:dyDescent="0.3">
      <c r="A11" t="e">
        <f>AND(Kanban!#REF!,"AAAAAGf32wA=")</f>
        <v>#REF!</v>
      </c>
      <c r="B11" t="e">
        <f>AND(Kanban!#REF!,"AAAAAGf32wE=")</f>
        <v>#REF!</v>
      </c>
      <c r="C11" t="e">
        <f>AND(Kanban!#REF!,"AAAAAGf32wI=")</f>
        <v>#REF!</v>
      </c>
      <c r="D11" t="e">
        <f>AND(Kanban!K25,"AAAAAGf32wM=")</f>
        <v>#VALUE!</v>
      </c>
      <c r="E11" t="e">
        <f>AND(Kanban!L25,"AAAAAGf32wQ=")</f>
        <v>#VALUE!</v>
      </c>
      <c r="F11" t="e">
        <f>AND(Kanban!M25,"AAAAAGf32wU=")</f>
        <v>#VALUE!</v>
      </c>
      <c r="G11" t="e">
        <f>AND(Kanban!N25,"AAAAAGf32wY=")</f>
        <v>#VALUE!</v>
      </c>
      <c r="H11" t="e">
        <f>AND(Kanban!Q27,"AAAAAGf32wc=")</f>
        <v>#VALUE!</v>
      </c>
      <c r="I11" t="e">
        <f>AND(Kanban!R27,"AAAAAGf32wg=")</f>
        <v>#VALUE!</v>
      </c>
      <c r="J11" t="e">
        <f>AND(Kanban!L28,"AAAAAGf32wk=")</f>
        <v>#VALUE!</v>
      </c>
      <c r="K11" t="e">
        <f>AND(Kanban!K26,"AAAAAGf32wo=")</f>
        <v>#VALUE!</v>
      </c>
      <c r="L11" t="e">
        <f>AND(Kanban!L26,"AAAAAGf32ws=")</f>
        <v>#VALUE!</v>
      </c>
      <c r="M11" t="e">
        <f>AND(Kanban!M26,"AAAAAGf32ww=")</f>
        <v>#VALUE!</v>
      </c>
      <c r="N11" t="e">
        <f>AND(Kanban!N26,"AAAAAGf32w0=")</f>
        <v>#VALUE!</v>
      </c>
      <c r="O11" t="e">
        <f>AND(Kanban!Q28,"AAAAAGf32w4=")</f>
        <v>#VALUE!</v>
      </c>
      <c r="P11" t="e">
        <f>AND(Kanban!R28,"AAAAAGf32w8=")</f>
        <v>#VALUE!</v>
      </c>
      <c r="Q11">
        <f>IF(Kanban!29:29,"AAAAAGf32xA=",0)</f>
        <v>0</v>
      </c>
      <c r="R11" t="e">
        <f>AND(Kanban!A29,"AAAAAGf32xE=")</f>
        <v>#VALUE!</v>
      </c>
      <c r="S11" t="e">
        <f>AND(Kanban!B29,"AAAAAGf32xI=")</f>
        <v>#VALUE!</v>
      </c>
      <c r="T11" t="e">
        <f>AND(Kanban!C29,"AAAAAGf32xM=")</f>
        <v>#VALUE!</v>
      </c>
      <c r="U11" t="e">
        <f>AND(Kanban!G29,"AAAAAGf32xQ=")</f>
        <v>#VALUE!</v>
      </c>
      <c r="V11">
        <f>IF(Kanban!30:30,"AAAAAGf32xU=",0)</f>
        <v>0</v>
      </c>
      <c r="W11" t="e">
        <f>AND(Kanban!A30,"AAAAAGf32xY=")</f>
        <v>#VALUE!</v>
      </c>
      <c r="X11" t="e">
        <f>AND(Kanban!#REF!,"AAAAAGf32xc=")</f>
        <v>#REF!</v>
      </c>
      <c r="Y11" t="e">
        <f>AND(Kanban!#REF!,"AAAAAGf32xg=")</f>
        <v>#REF!</v>
      </c>
      <c r="Z11" t="e">
        <f>AND(Kanban!#REF!,"AAAAAGf32xk=")</f>
        <v>#REF!</v>
      </c>
    </row>
    <row r="12" spans="1:256" x14ac:dyDescent="0.3">
      <c r="A12" t="e">
        <f>AND(Kanban!F21,"AAAAAH/v/AA=")</f>
        <v>#VALUE!</v>
      </c>
      <c r="B12" t="e">
        <f>AND(Kanban!#REF!,"AAAAAH/v/AE=")</f>
        <v>#REF!</v>
      </c>
    </row>
    <row r="13" spans="1:256" x14ac:dyDescent="0.3">
      <c r="A13" t="e">
        <f>AND(Kanban!#REF!,"AAAAABv7vwA=")</f>
        <v>#REF!</v>
      </c>
      <c r="B13" t="e">
        <f>AND(Kanban!#REF!,"AAAAABv7vwE=")</f>
        <v>#REF!</v>
      </c>
      <c r="C13" t="e">
        <f>AND(Kanban!#REF!,"AAAAABv7vwI=")</f>
        <v>#REF!</v>
      </c>
      <c r="D13" t="e">
        <f>AND(Kanban!#REF!,"AAAAABv7vwM=")</f>
        <v>#REF!</v>
      </c>
      <c r="E13" t="e">
        <f>AND(Kanban!G21,"AAAAABv7vwQ=")</f>
        <v>#VALUE!</v>
      </c>
    </row>
    <row r="14" spans="1:256" x14ac:dyDescent="0.3">
      <c r="A14" t="e">
        <f>AND(Kanban!#REF!,"AAAAADvvSwA=")</f>
        <v>#REF!</v>
      </c>
    </row>
    <row r="15" spans="1:256" x14ac:dyDescent="0.3">
      <c r="A15" t="e">
        <f>AND(Kanban!#REF!,"AAAAAHvv/wI=")</f>
        <v>#REF!</v>
      </c>
      <c r="B15" t="e">
        <f>AND(Kanban!#REF!,"AAAAABdp5wQ=")</f>
        <v>#REF!</v>
      </c>
      <c r="C15" t="e">
        <f>AND(Kanban!#REF!,"AAAAAH9/QAQ=")</f>
        <v>#REF!</v>
      </c>
      <c r="D15" t="e">
        <f>AND(Kanban!#REF!,"AAAAAGjd/Uc=")</f>
        <v>#REF!</v>
      </c>
      <c r="E15" t="e">
        <f>AND(Kanban!O14,"AAAAAGw/+wA=")</f>
        <v>#VALUE!</v>
      </c>
      <c r="F15" t="e">
        <f>AND(Kanban!O18,"AAAAAGw/+wU=")</f>
        <v>#VALUE!</v>
      </c>
      <c r="G15" t="e">
        <f>AND(Kanban!O20,"AAAAAD95+QQ=")</f>
        <v>#VALUE!</v>
      </c>
      <c r="H15" t="e">
        <f>AND(Kanban!#REF!,"AAAAAE/X7wA=")</f>
        <v>#REF!</v>
      </c>
      <c r="I15" t="e">
        <f>AND(Kanban!#REF!,"AAAAAHvv/wE=")</f>
        <v>#REF!</v>
      </c>
      <c r="J15" t="e">
        <f>AND(Kanban!P14,"AAAAAGw/+wE=")</f>
        <v>#VALUE!</v>
      </c>
      <c r="K15" t="e">
        <f>AND(Kanban!P16,"AAAAAGw/+wQ=")</f>
        <v>#VALUE!</v>
      </c>
      <c r="L15" t="e">
        <f>AND(Kanban!P20,"AAAAAD95+QU=")</f>
        <v>#VALUE!</v>
      </c>
      <c r="M15" t="e">
        <f>AND(Kanban!Q5,"AAAAAH3/W1w=")</f>
        <v>#VALUE!</v>
      </c>
      <c r="N15" t="e">
        <f>AND(Kanban!#REF!,"AAAAAHvv/wA=")</f>
        <v>#REF!</v>
      </c>
      <c r="O15" t="e">
        <f>AND(Kanban!Q13,"AAAAAH3/W+E=")</f>
        <v>#VALUE!</v>
      </c>
      <c r="P15" t="e">
        <f>AND(Kanban!#REF!,"AAAAAGw/+wI=")</f>
        <v>#REF!</v>
      </c>
      <c r="Q15" t="e">
        <f>AND(Kanban!Q14,"AAAAAGw/+wM=")</f>
        <v>#VALUE!</v>
      </c>
      <c r="R15" t="e">
        <f>AND(Kanban!Q16,"AAAAAGjd/S0=")</f>
        <v>#VALUE!</v>
      </c>
      <c r="S15" t="e">
        <f>AND(Kanban!Q18,"AAAAAGw/+wY=")</f>
        <v>#VALUE!</v>
      </c>
      <c r="T15" t="e">
        <f>AND(Kanban!R18,"AAAAAGw/+wc=")</f>
        <v>#VALUE!</v>
      </c>
      <c r="U15" t="e">
        <f>AND(Kanban!Q20,"AAAAAGjd/Xg=")</f>
        <v>#VALUE!</v>
      </c>
      <c r="V15" t="e">
        <f>AND(Kanban!R20,"AAAAAHvv/wM=")</f>
        <v>#VALUE!</v>
      </c>
      <c r="W15" t="e">
        <f>AND(Kanban!#REF!,"AAAAAGw/+wg=")</f>
        <v>#REF!</v>
      </c>
      <c r="X15" t="e">
        <f>AND(Kanban!Q24,"AAAAAGw/+wk=")</f>
        <v>#VALUE!</v>
      </c>
    </row>
    <row r="16" spans="1:256" x14ac:dyDescent="0.3">
      <c r="A16" t="e">
        <f>AND(Kanban!#REF!,"AAAAAGb12gA=")</f>
        <v>#REF!</v>
      </c>
      <c r="B16" t="e">
        <f>AND(Kanban!H6,"AAAAAGb12gE=")</f>
        <v>#VALUE!</v>
      </c>
      <c r="C16" t="e">
        <f>AND(Kanban!#REF!,"AAAAAGb12gI=")</f>
        <v>#REF!</v>
      </c>
      <c r="D16" t="e">
        <f>AND(Kanban!#REF!,"AAAAAGb12gM=")</f>
        <v>#REF!</v>
      </c>
      <c r="E16" t="e">
        <f>AND(Kanban!F20,"AAAAAGb12gQ=")</f>
        <v>#VALUE!</v>
      </c>
      <c r="F16" t="e">
        <f>AND(Kanban!#REF!,"AAAAAGb12gU=")</f>
        <v>#REF!</v>
      </c>
      <c r="G16" t="e">
        <f>AND(Kanban!#REF!,"AAAAAGb12gY=")</f>
        <v>#REF!</v>
      </c>
      <c r="H16" t="e">
        <f>AND(Kanban!#REF!,"AAAAAGb12gc=")</f>
        <v>#REF!</v>
      </c>
      <c r="I16" t="e">
        <f>AND(Kanban!#REF!,"AAAAAGb12gg=")</f>
        <v>#REF!</v>
      </c>
    </row>
    <row r="17" spans="1:63" x14ac:dyDescent="0.3">
      <c r="A17" t="e">
        <f>AND(Kanban!G26,"AAAAAF773QA=")</f>
        <v>#VALUE!</v>
      </c>
      <c r="B17" t="e">
        <f>AND(Kanban!K29,"AAAAAF773QE=")</f>
        <v>#VALUE!</v>
      </c>
      <c r="C17" t="e">
        <f>AND(Kanban!H29,"AAAAAF773QI=")</f>
        <v>#VALUE!</v>
      </c>
      <c r="D17" t="e">
        <f>AND(Kanban!I29,"AAAAAF773QM=")</f>
        <v>#VALUE!</v>
      </c>
      <c r="E17" t="e">
        <f>AND(Kanban!J29,"AAAAAF773QQ=")</f>
        <v>#VALUE!</v>
      </c>
      <c r="F17" t="e">
        <f>AND(Kanban!#REF!,"AAAAAF773QU=")</f>
        <v>#REF!</v>
      </c>
      <c r="G17" t="e">
        <f>AND(Kanban!#REF!,"AAAAAF773QY=")</f>
        <v>#REF!</v>
      </c>
      <c r="H17" t="e">
        <f>AND(#REF!,"AAAAAF773Qc=")</f>
        <v>#REF!</v>
      </c>
      <c r="I17" t="e">
        <f>AND(Kanban!#REF!,"AAAAAF773Qg=")</f>
        <v>#REF!</v>
      </c>
      <c r="J17" t="e">
        <f>AND(Kanban!H30,"AAAAAF773Qk=")</f>
        <v>#VALUE!</v>
      </c>
      <c r="K17" t="e">
        <f>AND(Kanban!#REF!,"AAAAAF773Qo=")</f>
        <v>#REF!</v>
      </c>
      <c r="L17" t="e">
        <f>AND(Kanban!J30,"AAAAAF773Qs=")</f>
        <v>#VALUE!</v>
      </c>
      <c r="M17" t="e">
        <f>AND(Kanban!#REF!,"AAAAAF773Qw=")</f>
        <v>#REF!</v>
      </c>
      <c r="N17" t="e">
        <f>AND(Kanban!#REF!,"AAAAAF773Q0=")</f>
        <v>#REF!</v>
      </c>
      <c r="O17" t="e">
        <f>AND(Kanban!#REF!,"AAAAAF773Q4=")</f>
        <v>#REF!</v>
      </c>
      <c r="P17">
        <f>IF(Kanban!31:31,"AAAAAF773Q8=",0)</f>
        <v>0</v>
      </c>
      <c r="Q17" t="e">
        <f>AND(Kanban!A31,"AAAAAF773RA=")</f>
        <v>#VALUE!</v>
      </c>
      <c r="R17" t="e">
        <f>AND(Kanban!#REF!,"AAAAAF773RE=")</f>
        <v>#REF!</v>
      </c>
      <c r="S17" t="e">
        <f>AND(Kanban!#REF!,"AAAAAF773RI=")</f>
        <v>#REF!</v>
      </c>
      <c r="T17" t="e">
        <f>AND(Kanban!B31,"AAAAAF773RM=")</f>
        <v>#VALUE!</v>
      </c>
      <c r="U17" t="e">
        <f>AND(Kanban!G31,"AAAAAF773RQ=")</f>
        <v>#VALUE!</v>
      </c>
      <c r="V17" t="e">
        <f>AND(Kanban!H31,"AAAAAF773RU=")</f>
        <v>#VALUE!</v>
      </c>
      <c r="W17" t="e">
        <f>AND(Kanban!#REF!,"AAAAAF773RY=")</f>
        <v>#REF!</v>
      </c>
      <c r="X17" t="e">
        <f>AND(Kanban!J31,"AAAAAF773Rc=")</f>
        <v>#VALUE!</v>
      </c>
      <c r="Y17" t="e">
        <f>AND(Kanban!#REF!,"AAAAAF773Rg=")</f>
        <v>#REF!</v>
      </c>
      <c r="Z17" t="e">
        <f>AND(Kanban!#REF!,"AAAAAF773Rk=")</f>
        <v>#REF!</v>
      </c>
      <c r="AA17" t="e">
        <f>AND(Kanban!#REF!,"AAAAAF773Ro=")</f>
        <v>#REF!</v>
      </c>
      <c r="AB17">
        <f>IF(Kanban!32:32,"AAAAAF773Rs=",0)</f>
        <v>0</v>
      </c>
      <c r="AC17" t="e">
        <f>AND(Kanban!A32,"AAAAAF773Rw=")</f>
        <v>#VALUE!</v>
      </c>
      <c r="AD17" t="e">
        <f>AND(Kanban!#REF!,"AAAAAF773R0=")</f>
        <v>#REF!</v>
      </c>
      <c r="AE17" t="e">
        <f>AND(Kanban!#REF!,"AAAAAF773R4=")</f>
        <v>#REF!</v>
      </c>
      <c r="AF17" t="e">
        <f>AND(Kanban!B32,"AAAAAF773R8=")</f>
        <v>#VALUE!</v>
      </c>
      <c r="AG17" t="e">
        <f>AND(Kanban!G32,"AAAAAF773SA=")</f>
        <v>#VALUE!</v>
      </c>
      <c r="AH17" t="e">
        <f>AND(Kanban!H32,"AAAAAF773SE=")</f>
        <v>#VALUE!</v>
      </c>
      <c r="AI17" t="e">
        <f>AND(Kanban!#REF!,"AAAAAF773SI=")</f>
        <v>#REF!</v>
      </c>
      <c r="AJ17" t="e">
        <f>AND(Kanban!J32,"AAAAAF773SM=")</f>
        <v>#VALUE!</v>
      </c>
      <c r="AK17" t="e">
        <f>AND(Kanban!#REF!,"AAAAAF773SQ=")</f>
        <v>#REF!</v>
      </c>
      <c r="AL17" t="e">
        <f>AND(Kanban!#REF!,"AAAAAF773SU=")</f>
        <v>#REF!</v>
      </c>
      <c r="AM17" t="e">
        <f>AND(Kanban!#REF!,"AAAAAF773SY=")</f>
        <v>#REF!</v>
      </c>
      <c r="AN17">
        <f>IF(Kanban!33:33,"AAAAAF773Sc=",0)</f>
        <v>0</v>
      </c>
      <c r="AO17" t="e">
        <f>AND(Kanban!A33,"AAAAAF773Sg=")</f>
        <v>#VALUE!</v>
      </c>
      <c r="AP17" t="e">
        <f>AND(Kanban!#REF!,"AAAAAF773Sk=")</f>
        <v>#REF!</v>
      </c>
      <c r="AQ17" t="e">
        <f>AND(Kanban!#REF!,"AAAAAF773So=")</f>
        <v>#REF!</v>
      </c>
      <c r="AR17" t="e">
        <f>AND(Kanban!L33,"AAAAAF773Ss=")</f>
        <v>#VALUE!</v>
      </c>
      <c r="AS17" t="e">
        <f>AND(Kanban!G33,"AAAAAF773Sw=")</f>
        <v>#VALUE!</v>
      </c>
      <c r="AT17" t="e">
        <f>AND(Kanban!H33,"AAAAAF773S0=")</f>
        <v>#VALUE!</v>
      </c>
      <c r="AU17" t="e">
        <f>AND(Kanban!#REF!,"AAAAAF773S4=")</f>
        <v>#REF!</v>
      </c>
      <c r="AV17" t="e">
        <f>AND(Kanban!J33,"AAAAAF773S8=")</f>
        <v>#VALUE!</v>
      </c>
      <c r="AW17" t="e">
        <f>AND(Kanban!#REF!,"AAAAAF773TA=")</f>
        <v>#REF!</v>
      </c>
      <c r="AX17" t="e">
        <f>AND(Kanban!#REF!,"AAAAAF773TE=")</f>
        <v>#REF!</v>
      </c>
      <c r="AY17" t="e">
        <f>AND(Kanban!K33,"AAAAAF773TI=")</f>
        <v>#VALUE!</v>
      </c>
      <c r="AZ17">
        <f>IF(Kanban!34:34,"AAAAAF773TM=",0)</f>
        <v>0</v>
      </c>
      <c r="BA17" t="e">
        <f>AND(Kanban!A34,"AAAAAF773TQ=")</f>
        <v>#VALUE!</v>
      </c>
      <c r="BB17" t="e">
        <f>AND(Kanban!#REF!,"AAAAAF773TU=")</f>
        <v>#REF!</v>
      </c>
      <c r="BC17" t="e">
        <f>AND(Kanban!#REF!,"AAAAAF773TY=")</f>
        <v>#REF!</v>
      </c>
      <c r="BD17" t="e">
        <f>AND(Kanban!B34,"AAAAAF773Tc=")</f>
        <v>#VALUE!</v>
      </c>
      <c r="BE17" t="e">
        <f>AND(Kanban!C35,"AAAAAF773Tg=")</f>
        <v>#VALUE!</v>
      </c>
      <c r="BF17" t="e">
        <f>AND(Kanban!H34,"AAAAAF773Tk=")</f>
        <v>#VALUE!</v>
      </c>
      <c r="BG17" t="e">
        <f>AND(Kanban!I34,"AAAAAF773To=")</f>
        <v>#VALUE!</v>
      </c>
      <c r="BH17" t="e">
        <f>AND(Kanban!J34,"AAAAAF773Ts=")</f>
        <v>#VALUE!</v>
      </c>
      <c r="BI17" t="e">
        <f>AND(Kanban!#REF!,"AAAAAF773Tw=")</f>
        <v>#REF!</v>
      </c>
      <c r="BJ17" t="e">
        <f>AND(Kanban!#REF!,"AAAAAF773T0=")</f>
        <v>#REF!</v>
      </c>
      <c r="BK17" t="e">
        <f>AND(Kanban!K34,"AAAAAF773T4=")</f>
        <v>#VALUE!</v>
      </c>
    </row>
    <row r="18" spans="1:63" x14ac:dyDescent="0.3">
      <c r="A18" t="e">
        <f>AND(Kanban!#REF!,"AAAAAG3e3gA=")</f>
        <v>#REF!</v>
      </c>
    </row>
    <row r="19" spans="1:63" x14ac:dyDescent="0.3">
      <c r="A19" t="e">
        <f>AND(Kanban!F29,"AAAAADHu1wE=")</f>
        <v>#VALUE!</v>
      </c>
      <c r="B19" t="e">
        <f>AND(Kanban!#REF!,"AAAAADHu1wA=")</f>
        <v>#REF!</v>
      </c>
      <c r="C19" t="e">
        <f>AND(Kanban!B33,"AAAAADHu1wI=")</f>
        <v>#VALUE!</v>
      </c>
      <c r="D19" t="e">
        <f>AND(Kanban!L29,"AAAAAB38+wA=")</f>
        <v>#VALUE!</v>
      </c>
      <c r="E19" t="e">
        <f>AND(Kanban!#REF!,"AAAAAB38+wc=")</f>
        <v>#REF!</v>
      </c>
      <c r="F19" t="e">
        <f>AND(Kanban!#REF!,"AAAAAB38+w4=")</f>
        <v>#REF!</v>
      </c>
      <c r="G19" t="e">
        <f>AND(Kanban!#REF!,"AAAAAB38+xU=")</f>
        <v>#REF!</v>
      </c>
      <c r="H19" t="e">
        <f>AND(Kanban!M29,"AAAAAB38+wE=")</f>
        <v>#VALUE!</v>
      </c>
      <c r="I19" t="e">
        <f>AND(Kanban!N29,"AAAAAB38+wI=")</f>
        <v>#VALUE!</v>
      </c>
      <c r="J19" t="e">
        <f>AND(Kanban!O29,"AAAAAB38+wM=")</f>
        <v>#VALUE!</v>
      </c>
      <c r="K19" t="e">
        <f>AND(Kanban!P29,"AAAAAB38+wQ=")</f>
        <v>#VALUE!</v>
      </c>
      <c r="L19" t="e">
        <f>AND(Kanban!Q29,"AAAAAB38+wU=")</f>
        <v>#VALUE!</v>
      </c>
      <c r="M19" t="e">
        <f>AND(Kanban!R29,"AAAAAB38+wY=")</f>
        <v>#VALUE!</v>
      </c>
      <c r="N19" t="e">
        <f>AND(Kanban!K30,"AAAAAB38+wg=")</f>
        <v>#VALUE!</v>
      </c>
      <c r="O19" t="e">
        <f>AND(Kanban!L30,"AAAAAB38+wk=")</f>
        <v>#VALUE!</v>
      </c>
      <c r="P19" t="e">
        <f>AND(Kanban!O30,"AAAAAB38+wo=")</f>
        <v>#VALUE!</v>
      </c>
      <c r="Q19" t="e">
        <f>AND(Kanban!P30,"AAAAAB38+ws=")</f>
        <v>#VALUE!</v>
      </c>
      <c r="R19" t="e">
        <f>AND(Kanban!Q30,"AAAAAB38+ww=")</f>
        <v>#VALUE!</v>
      </c>
      <c r="S19" t="e">
        <f>AND(Kanban!R30,"AAAAAB38+w0=")</f>
        <v>#VALUE!</v>
      </c>
      <c r="T19" t="e">
        <f>AND(Kanban!K31,"AAAAAB38+w8=")</f>
        <v>#VALUE!</v>
      </c>
      <c r="U19" t="e">
        <f>AND(Kanban!L31,"AAAAAB38+xA=")</f>
        <v>#VALUE!</v>
      </c>
      <c r="V19" t="e">
        <f>AND(Kanban!O31,"AAAAAB38+xE=")</f>
        <v>#VALUE!</v>
      </c>
      <c r="W19" t="e">
        <f>AND(Kanban!P31,"AAAAAB38+xI=")</f>
        <v>#VALUE!</v>
      </c>
      <c r="X19" t="e">
        <f>AND(Kanban!Q31,"AAAAAB38+xM=")</f>
        <v>#VALUE!</v>
      </c>
      <c r="Y19" t="e">
        <f>AND(Kanban!R31,"AAAAAB38+xQ=")</f>
        <v>#VALUE!</v>
      </c>
      <c r="Z19" t="e">
        <f>AND(Kanban!K32,"AAAAAB38+xY=")</f>
        <v>#VALUE!</v>
      </c>
      <c r="AA19" t="e">
        <f>AND(Kanban!L32,"AAAAAB38+xc=")</f>
        <v>#VALUE!</v>
      </c>
      <c r="AB19" t="e">
        <f>AND(Kanban!O32,"AAAAAB38+xg=")</f>
        <v>#VALUE!</v>
      </c>
      <c r="AC19" t="e">
        <f>AND(Kanban!P32,"AAAAAB38+xk=")</f>
        <v>#VALUE!</v>
      </c>
      <c r="AD19" t="e">
        <f>AND(Kanban!Q32,"AAAAAB38+xo=")</f>
        <v>#VALUE!</v>
      </c>
      <c r="AE19" t="e">
        <f>AND(Kanban!R32,"AAAAAB38+xs=")</f>
        <v>#VALUE!</v>
      </c>
      <c r="AF19" t="e">
        <f>AND(Kanban!G33,"AAAAAB38+xw=")</f>
        <v>#VALUE!</v>
      </c>
      <c r="AG19" t="e">
        <f>AND(Kanban!M33,"AAAAAB38+x0=")</f>
        <v>#VALUE!</v>
      </c>
      <c r="AH19" t="e">
        <f>AND(Kanban!N33,"AAAAAB38+x4=")</f>
        <v>#VALUE!</v>
      </c>
      <c r="AI19" t="e">
        <f>AND(Kanban!O33,"AAAAAB38+x8=")</f>
        <v>#VALUE!</v>
      </c>
      <c r="AJ19" t="e">
        <f>AND(Kanban!P33,"AAAAAB38+yA=")</f>
        <v>#VALUE!</v>
      </c>
      <c r="AK19" t="e">
        <f>AND(Kanban!Q33,"AAAAAB38+yE=")</f>
        <v>#VALUE!</v>
      </c>
      <c r="AL19" t="e">
        <f>AND(Kanban!R33,"AAAAAB38+yI=")</f>
        <v>#VALUE!</v>
      </c>
    </row>
  </sheetData>
  <pageMargins left="0.511811024" right="0.511811024" top="0.78740157499999996" bottom="0.78740157499999996" header="0.31496062000000002" footer="0.31496062000000002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Kanban</vt:lpstr>
      <vt:lpstr>Meta da sprint</vt:lpstr>
      <vt:lpstr>Conceito de Pronto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brq</dc:creator>
  <cp:lastModifiedBy>Leonardo Stern</cp:lastModifiedBy>
  <dcterms:created xsi:type="dcterms:W3CDTF">2011-08-02T21:53:55Z</dcterms:created>
  <dcterms:modified xsi:type="dcterms:W3CDTF">2013-10-11T21:23:48Z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false</vt:lpwstr>
  </property>
  <property fmtid="{D5CDD505-2E9C-101B-9397-08002B2CF9AE}" pid="3" name="Google.Documents.DocumentId">
    <vt:lpwstr>1MZleplPmv1G90lebbP367HXw4fjC-u82n69G1AbmIT8</vt:lpwstr>
  </property>
  <property fmtid="{D5CDD505-2E9C-101B-9397-08002B2CF9AE}" pid="4" name="Google.Documents.RevisionId">
    <vt:lpwstr>17569710836086996915</vt:lpwstr>
  </property>
  <property fmtid="{D5CDD505-2E9C-101B-9397-08002B2CF9AE}" pid="5" name="Google.Documents.PreviousRevisionId">
    <vt:lpwstr>07214006864236137465</vt:lpwstr>
  </property>
  <property fmtid="{D5CDD505-2E9C-101B-9397-08002B2CF9AE}" pid="6" name="Google.Documents.PluginVersion">
    <vt:lpwstr>2.0.2154.5604</vt:lpwstr>
  </property>
  <property fmtid="{D5CDD505-2E9C-101B-9397-08002B2CF9AE}" pid="7" name="Google.Documents.MergeIncapabilityFlags">
    <vt:i4>0</vt:i4>
  </property>
</Properties>
</file>