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apryet/mnt/obelix/srv/common/adeqwat/monav3/model/"/>
    </mc:Choice>
  </mc:AlternateContent>
  <xr:revisionPtr revIDLastSave="0" documentId="13_ncr:1_{7D392DBB-884A-F040-9F87-2062526E0E11}" xr6:coauthVersionLast="36" xr6:coauthVersionMax="36" xr10:uidLastSave="{00000000-0000-0000-0000-000000000000}"/>
  <bookViews>
    <workbookView xWindow="0" yWindow="460" windowWidth="22640" windowHeight="15600" tabRatio="958" firstSheet="2" activeTab="7" xr2:uid="{00000000-000D-0000-FFFF-FFFF00000000}"/>
  </bookViews>
  <sheets>
    <sheet name="synth" sheetId="46" r:id="rId1"/>
    <sheet name="T" sheetId="49" r:id="rId2"/>
    <sheet name="permh" sheetId="52" r:id="rId3"/>
    <sheet name="emmli" sheetId="47" r:id="rId4"/>
    <sheet name="w" sheetId="54" r:id="rId5"/>
    <sheet name="emmca" sheetId="50" r:id="rId6"/>
    <sheet name="Ss" sheetId="53" r:id="rId7"/>
    <sheet name="kepon" sheetId="51" r:id="rId8"/>
    <sheet name="QUAT" sheetId="18" r:id="rId9"/>
    <sheet name="HELV" sheetId="16" r:id="rId10"/>
    <sheet name="AQUI" sheetId="12" r:id="rId11"/>
    <sheet name="OLNP" sheetId="11" r:id="rId12"/>
    <sheet name="EPOL" sheetId="45" r:id="rId13"/>
    <sheet name="EOCS" sheetId="2" r:id="rId14"/>
    <sheet name="EOCM" sheetId="3" r:id="rId15"/>
    <sheet name="EOCI" sheetId="14" r:id="rId16"/>
    <sheet name="EPCA" sheetId="22" r:id="rId17"/>
    <sheet name="CAMP" sheetId="7" r:id="rId18"/>
    <sheet name="COST" sheetId="15" r:id="rId19"/>
    <sheet name="TURO" sheetId="24" r:id="rId20"/>
    <sheet name="CENO" sheetId="4" r:id="rId21"/>
    <sheet name="TITH" sheetId="29" r:id="rId22"/>
    <sheet name="KIMM" sheetId="17" r:id="rId23"/>
    <sheet name="BACX" sheetId="8" r:id="rId24"/>
    <sheet name="BAJO" sheetId="9" r:id="rId25"/>
    <sheet name="histo_Tolnp" sheetId="32" state="hidden" r:id="rId26"/>
    <sheet name="histo_olnp" sheetId="33" state="hidden" r:id="rId27"/>
    <sheet name="histo_Wolnp" sheetId="36" state="hidden" r:id="rId28"/>
    <sheet name="histo_Solnp" sheetId="35" state="hidden" r:id="rId29"/>
    <sheet name="histo_WEOCM" sheetId="37" state="hidden" r:id="rId30"/>
    <sheet name="histo_SEOCM" sheetId="39" state="hidden" r:id="rId31"/>
    <sheet name="histo_TEOCM" sheetId="40" state="hidden" r:id="rId32"/>
    <sheet name="Feuil12" sheetId="41" state="hidden" r:id="rId3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1" l="1"/>
  <c r="D2" i="51" s="1"/>
  <c r="B2" i="51"/>
  <c r="B3" i="51"/>
  <c r="C5" i="52" l="1"/>
  <c r="D13" i="53" l="1"/>
  <c r="C7" i="51"/>
  <c r="C6" i="51"/>
  <c r="B15" i="51"/>
  <c r="B13" i="51"/>
  <c r="C4" i="53"/>
  <c r="C14" i="53"/>
  <c r="E14" i="53" s="1"/>
  <c r="C16" i="53"/>
  <c r="D16" i="53"/>
  <c r="D14" i="53"/>
  <c r="D15" i="53"/>
  <c r="E15" i="53" s="1"/>
  <c r="C10" i="53"/>
  <c r="D2" i="53"/>
  <c r="C15" i="53"/>
  <c r="C13" i="53"/>
  <c r="E9" i="53"/>
  <c r="E11" i="53"/>
  <c r="E12" i="53"/>
  <c r="E13" i="53"/>
  <c r="E3" i="53"/>
  <c r="E5" i="53"/>
  <c r="C7" i="53"/>
  <c r="E7" i="53" s="1"/>
  <c r="I11" i="54"/>
  <c r="E3" i="54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C2" i="54"/>
  <c r="E2" i="54" s="1"/>
  <c r="D2" i="54"/>
  <c r="C16" i="51"/>
  <c r="C14" i="51"/>
  <c r="D15" i="51"/>
  <c r="C8" i="51"/>
  <c r="C4" i="51"/>
  <c r="C3" i="51"/>
  <c r="C5" i="51"/>
  <c r="C9" i="51"/>
  <c r="C10" i="51"/>
  <c r="C11" i="51"/>
  <c r="C12" i="51"/>
  <c r="C13" i="51"/>
  <c r="D13" i="51" s="1"/>
  <c r="C15" i="51"/>
  <c r="C16" i="52"/>
  <c r="D11" i="52"/>
  <c r="C8" i="52"/>
  <c r="D13" i="52"/>
  <c r="C13" i="52"/>
  <c r="C12" i="52"/>
  <c r="C11" i="52"/>
  <c r="C10" i="52"/>
  <c r="D9" i="52"/>
  <c r="C9" i="52"/>
  <c r="C6" i="52"/>
  <c r="D10" i="52"/>
  <c r="D7" i="52"/>
  <c r="D5" i="52"/>
  <c r="C3" i="52"/>
  <c r="C2" i="52"/>
  <c r="D6" i="53"/>
  <c r="E6" i="53" s="1"/>
  <c r="D4" i="53"/>
  <c r="D10" i="53" s="1"/>
  <c r="E10" i="53" s="1"/>
  <c r="D3" i="53"/>
  <c r="D8" i="53" l="1"/>
  <c r="E8" i="53" s="1"/>
  <c r="E4" i="53"/>
  <c r="E16" i="53"/>
  <c r="C2" i="53"/>
  <c r="E2" i="53" s="1"/>
  <c r="A16" i="53" l="1"/>
  <c r="A6" i="53"/>
  <c r="A7" i="53"/>
  <c r="A8" i="53"/>
  <c r="A9" i="53"/>
  <c r="A10" i="53"/>
  <c r="A11" i="53"/>
  <c r="A12" i="53"/>
  <c r="A13" i="53"/>
  <c r="A14" i="53"/>
  <c r="A15" i="53"/>
  <c r="A5" i="53"/>
  <c r="A4" i="53"/>
  <c r="A3" i="53"/>
  <c r="A2" i="53"/>
  <c r="A1" i="53"/>
  <c r="B6" i="51"/>
  <c r="D6" i="51" s="1"/>
  <c r="D2" i="52"/>
  <c r="E2" i="52" s="1"/>
  <c r="C4" i="52"/>
  <c r="E7" i="52"/>
  <c r="E9" i="52"/>
  <c r="E10" i="52"/>
  <c r="E11" i="52"/>
  <c r="E12" i="52"/>
  <c r="E13" i="52"/>
  <c r="E14" i="52"/>
  <c r="E15" i="52"/>
  <c r="E16" i="52"/>
  <c r="D8" i="52"/>
  <c r="E8" i="52" s="1"/>
  <c r="D3" i="52"/>
  <c r="E3" i="52" s="1"/>
  <c r="D4" i="52"/>
  <c r="E4" i="52" s="1"/>
  <c r="A1" i="52"/>
  <c r="A2" i="52"/>
  <c r="A3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C12" i="47"/>
  <c r="C11" i="47"/>
  <c r="C7" i="47"/>
  <c r="C3" i="47"/>
  <c r="C4" i="47"/>
  <c r="D6" i="52" l="1"/>
  <c r="E6" i="52" s="1"/>
  <c r="F12" i="18"/>
  <c r="F5" i="18"/>
  <c r="B4" i="51" l="1"/>
  <c r="D4" i="51" s="1"/>
  <c r="B5" i="51"/>
  <c r="D5" i="51" s="1"/>
  <c r="D3" i="51"/>
  <c r="B8" i="51"/>
  <c r="D8" i="51" s="1"/>
  <c r="B9" i="51"/>
  <c r="D9" i="51" s="1"/>
  <c r="B10" i="51"/>
  <c r="D10" i="51" s="1"/>
  <c r="B11" i="51"/>
  <c r="D11" i="51" s="1"/>
  <c r="B12" i="51"/>
  <c r="D12" i="51" s="1"/>
  <c r="B14" i="51"/>
  <c r="D14" i="51" s="1"/>
  <c r="B16" i="51"/>
  <c r="D16" i="51" s="1"/>
  <c r="B7" i="51"/>
  <c r="D7" i="51" s="1"/>
  <c r="F17" i="50" l="1"/>
  <c r="F16" i="50"/>
  <c r="F15" i="50"/>
  <c r="F14" i="50"/>
  <c r="F13" i="50"/>
  <c r="F12" i="50"/>
  <c r="F11" i="50"/>
  <c r="F10" i="50"/>
  <c r="F9" i="50"/>
  <c r="F8" i="50"/>
  <c r="F7" i="50"/>
  <c r="F5" i="50"/>
  <c r="F4" i="50"/>
  <c r="F3" i="50"/>
  <c r="F2" i="50"/>
  <c r="B2" i="9"/>
  <c r="B2" i="8"/>
  <c r="B2" i="17"/>
  <c r="B2" i="29"/>
  <c r="F13" i="29"/>
  <c r="G13" i="29" s="1"/>
  <c r="C3" i="8"/>
  <c r="C3" i="9"/>
  <c r="C3" i="29"/>
  <c r="C3" i="17"/>
  <c r="D2" i="18"/>
  <c r="C10" i="15"/>
  <c r="C14" i="2"/>
  <c r="C2" i="18"/>
  <c r="B12" i="15"/>
  <c r="B13" i="2"/>
  <c r="B4" i="12"/>
  <c r="E56" i="12" s="1"/>
  <c r="B7" i="16"/>
  <c r="F2" i="17"/>
  <c r="E2" i="17"/>
  <c r="E18" i="45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2" i="47"/>
  <c r="B1" i="47"/>
  <c r="C1" i="47"/>
  <c r="D1" i="47"/>
  <c r="A1" i="47"/>
  <c r="F14" i="49"/>
  <c r="F17" i="49" l="1"/>
  <c r="A3" i="49"/>
  <c r="F3" i="49"/>
  <c r="F16" i="49"/>
  <c r="F15" i="49"/>
  <c r="F13" i="49"/>
  <c r="F12" i="49"/>
  <c r="F11" i="49"/>
  <c r="F10" i="49"/>
  <c r="F9" i="49"/>
  <c r="F8" i="49"/>
  <c r="F7" i="49"/>
  <c r="F5" i="49"/>
  <c r="F4" i="49"/>
  <c r="F2" i="49"/>
  <c r="H2" i="45"/>
  <c r="A15" i="50"/>
  <c r="A16" i="50"/>
  <c r="A17" i="50"/>
  <c r="A3" i="50"/>
  <c r="A4" i="50"/>
  <c r="A5" i="50"/>
  <c r="A6" i="50"/>
  <c r="A7" i="50"/>
  <c r="A8" i="50"/>
  <c r="A9" i="50"/>
  <c r="A10" i="50"/>
  <c r="A11" i="50"/>
  <c r="A12" i="50"/>
  <c r="A13" i="50"/>
  <c r="A14" i="50"/>
  <c r="A2" i="50"/>
  <c r="B1" i="50"/>
  <c r="C1" i="50"/>
  <c r="D1" i="50"/>
  <c r="E1" i="50"/>
  <c r="A1" i="50"/>
  <c r="A17" i="49"/>
  <c r="A16" i="49"/>
  <c r="A4" i="49"/>
  <c r="A5" i="49"/>
  <c r="A6" i="49"/>
  <c r="A7" i="49"/>
  <c r="A8" i="49"/>
  <c r="A9" i="49"/>
  <c r="A10" i="49"/>
  <c r="A11" i="49"/>
  <c r="A12" i="49"/>
  <c r="A13" i="49"/>
  <c r="A14" i="49"/>
  <c r="A15" i="49"/>
  <c r="A2" i="49"/>
  <c r="B1" i="49"/>
  <c r="C1" i="49"/>
  <c r="D1" i="49"/>
  <c r="E1" i="49"/>
  <c r="A1" i="49"/>
  <c r="B92" i="46" l="1"/>
  <c r="C92" i="46"/>
  <c r="D92" i="46"/>
  <c r="E92" i="46"/>
  <c r="F92" i="46"/>
  <c r="F93" i="46"/>
  <c r="A93" i="46"/>
  <c r="A94" i="46"/>
  <c r="A95" i="46"/>
  <c r="A96" i="46"/>
  <c r="A92" i="46"/>
  <c r="B86" i="46"/>
  <c r="C86" i="46"/>
  <c r="D86" i="46"/>
  <c r="E86" i="46"/>
  <c r="F86" i="46"/>
  <c r="F87" i="46"/>
  <c r="A87" i="46"/>
  <c r="A88" i="46"/>
  <c r="A89" i="46"/>
  <c r="A90" i="46"/>
  <c r="A86" i="46"/>
  <c r="B80" i="46"/>
  <c r="C80" i="46"/>
  <c r="D80" i="46"/>
  <c r="E80" i="46"/>
  <c r="F80" i="46"/>
  <c r="F81" i="46"/>
  <c r="A81" i="46"/>
  <c r="A82" i="46"/>
  <c r="A83" i="46"/>
  <c r="A84" i="46"/>
  <c r="A80" i="46"/>
  <c r="B74" i="46"/>
  <c r="C74" i="46"/>
  <c r="D74" i="46"/>
  <c r="E74" i="46"/>
  <c r="F74" i="46"/>
  <c r="F75" i="46"/>
  <c r="A75" i="46"/>
  <c r="A76" i="46"/>
  <c r="A77" i="46"/>
  <c r="A78" i="46"/>
  <c r="A74" i="46"/>
  <c r="B68" i="46"/>
  <c r="C68" i="46"/>
  <c r="D68" i="46"/>
  <c r="E68" i="46"/>
  <c r="F68" i="46"/>
  <c r="F69" i="46"/>
  <c r="A69" i="46"/>
  <c r="A70" i="46"/>
  <c r="A71" i="46"/>
  <c r="A72" i="46"/>
  <c r="A68" i="46"/>
  <c r="A66" i="46"/>
  <c r="A63" i="46"/>
  <c r="F63" i="46"/>
  <c r="A64" i="46"/>
  <c r="A65" i="46"/>
  <c r="B62" i="46"/>
  <c r="C62" i="46"/>
  <c r="D62" i="46"/>
  <c r="E62" i="46"/>
  <c r="F62" i="46"/>
  <c r="A62" i="46"/>
  <c r="A57" i="46"/>
  <c r="F57" i="46"/>
  <c r="A58" i="46"/>
  <c r="A59" i="46"/>
  <c r="A60" i="46"/>
  <c r="B56" i="46"/>
  <c r="C56" i="46"/>
  <c r="D56" i="46"/>
  <c r="E56" i="46"/>
  <c r="F56" i="46"/>
  <c r="A56" i="46"/>
  <c r="A51" i="46"/>
  <c r="F51" i="46"/>
  <c r="A52" i="46"/>
  <c r="A53" i="46"/>
  <c r="A54" i="46"/>
  <c r="B50" i="46"/>
  <c r="C50" i="46"/>
  <c r="D50" i="46"/>
  <c r="E50" i="46"/>
  <c r="F50" i="46"/>
  <c r="A50" i="46"/>
  <c r="A45" i="46"/>
  <c r="F45" i="46"/>
  <c r="A46" i="46"/>
  <c r="A47" i="46"/>
  <c r="A48" i="46"/>
  <c r="B44" i="46"/>
  <c r="C44" i="46"/>
  <c r="D44" i="46"/>
  <c r="E44" i="46"/>
  <c r="F44" i="46"/>
  <c r="A44" i="46"/>
  <c r="A42" i="46"/>
  <c r="A39" i="46"/>
  <c r="F39" i="46"/>
  <c r="A40" i="46"/>
  <c r="A41" i="46"/>
  <c r="B38" i="46"/>
  <c r="C38" i="46"/>
  <c r="D38" i="46"/>
  <c r="E38" i="46"/>
  <c r="F38" i="46"/>
  <c r="A38" i="46"/>
  <c r="A36" i="46"/>
  <c r="A33" i="46"/>
  <c r="F33" i="46"/>
  <c r="A34" i="46"/>
  <c r="A35" i="46"/>
  <c r="B32" i="46"/>
  <c r="C32" i="46"/>
  <c r="D32" i="46"/>
  <c r="E32" i="46"/>
  <c r="F32" i="46"/>
  <c r="A32" i="46"/>
  <c r="A27" i="46"/>
  <c r="D27" i="46"/>
  <c r="K26" i="46" s="1"/>
  <c r="E27" i="46"/>
  <c r="F27" i="46"/>
  <c r="A28" i="46"/>
  <c r="A29" i="46"/>
  <c r="A30" i="46"/>
  <c r="B26" i="46"/>
  <c r="C26" i="46"/>
  <c r="D26" i="46"/>
  <c r="E26" i="46"/>
  <c r="F26" i="46"/>
  <c r="A26" i="46"/>
  <c r="A21" i="46"/>
  <c r="F21" i="46"/>
  <c r="A22" i="46"/>
  <c r="A23" i="46"/>
  <c r="A24" i="46"/>
  <c r="B20" i="46"/>
  <c r="C20" i="46"/>
  <c r="D20" i="46"/>
  <c r="E20" i="46"/>
  <c r="F20" i="46"/>
  <c r="A20" i="46"/>
  <c r="A18" i="46"/>
  <c r="A15" i="46"/>
  <c r="E15" i="46"/>
  <c r="L24" i="46" s="1"/>
  <c r="D4" i="47" s="1"/>
  <c r="F15" i="46"/>
  <c r="A16" i="46"/>
  <c r="A17" i="46"/>
  <c r="B14" i="46"/>
  <c r="C14" i="46"/>
  <c r="D14" i="46"/>
  <c r="E14" i="46"/>
  <c r="F14" i="46"/>
  <c r="A14" i="46"/>
  <c r="A9" i="46"/>
  <c r="F9" i="46"/>
  <c r="A10" i="46"/>
  <c r="A11" i="46"/>
  <c r="A12" i="46"/>
  <c r="B8" i="46"/>
  <c r="C8" i="46"/>
  <c r="D8" i="46"/>
  <c r="E8" i="46"/>
  <c r="F8" i="46"/>
  <c r="A8" i="46"/>
  <c r="A3" i="46"/>
  <c r="F3" i="46"/>
  <c r="A4" i="46"/>
  <c r="A5" i="46"/>
  <c r="A6" i="46"/>
  <c r="B2" i="46"/>
  <c r="C2" i="46"/>
  <c r="D2" i="46"/>
  <c r="E2" i="46"/>
  <c r="F2" i="46"/>
  <c r="A2" i="46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8" i="9"/>
  <c r="I29" i="9"/>
  <c r="I30" i="9"/>
  <c r="I31" i="9"/>
  <c r="I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2" i="9"/>
  <c r="F10" i="17"/>
  <c r="H3" i="17"/>
  <c r="H2" i="17"/>
  <c r="F3" i="17"/>
  <c r="F9" i="17"/>
  <c r="D3" i="17"/>
  <c r="D2" i="1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4" i="8"/>
  <c r="I25" i="8"/>
  <c r="I26" i="8"/>
  <c r="I27" i="8"/>
  <c r="I28" i="8"/>
  <c r="I29" i="8"/>
  <c r="I30" i="8"/>
  <c r="I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2" i="3"/>
  <c r="H3" i="29"/>
  <c r="H2" i="29"/>
  <c r="F11" i="29" s="1"/>
  <c r="F3" i="29"/>
  <c r="F2" i="29"/>
  <c r="F10" i="29" s="1"/>
  <c r="D3" i="29"/>
  <c r="D2" i="29"/>
  <c r="I3" i="4"/>
  <c r="I4" i="4"/>
  <c r="I5" i="4"/>
  <c r="I6" i="4"/>
  <c r="I7" i="4"/>
  <c r="I8" i="4"/>
  <c r="I11" i="4"/>
  <c r="I12" i="4"/>
  <c r="I16" i="4"/>
  <c r="I17" i="4"/>
  <c r="I18" i="4"/>
  <c r="I21" i="4"/>
  <c r="F3" i="4"/>
  <c r="F4" i="4"/>
  <c r="F5" i="4"/>
  <c r="F6" i="4"/>
  <c r="F11" i="4"/>
  <c r="F12" i="4"/>
  <c r="F13" i="4"/>
  <c r="F14" i="4"/>
  <c r="F15" i="4"/>
  <c r="F16" i="4"/>
  <c r="F17" i="4"/>
  <c r="F18" i="4"/>
  <c r="F19" i="4"/>
  <c r="F20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I3" i="24"/>
  <c r="I4" i="24"/>
  <c r="I10" i="24"/>
  <c r="I11" i="24"/>
  <c r="I2" i="24"/>
  <c r="F4" i="24"/>
  <c r="F5" i="24"/>
  <c r="F8" i="24"/>
  <c r="F9" i="24"/>
  <c r="F10" i="24"/>
  <c r="F11" i="24"/>
  <c r="F16" i="24"/>
  <c r="F18" i="24"/>
  <c r="F19" i="24"/>
  <c r="F20" i="24"/>
  <c r="F21" i="24"/>
  <c r="F22" i="24"/>
  <c r="F2" i="24"/>
  <c r="D3" i="24"/>
  <c r="D4" i="24"/>
  <c r="D5" i="24"/>
  <c r="D6" i="24"/>
  <c r="D7" i="24"/>
  <c r="D8" i="24"/>
  <c r="D9" i="24"/>
  <c r="D10" i="24"/>
  <c r="D11" i="24"/>
  <c r="D13" i="24"/>
  <c r="D16" i="24"/>
  <c r="D17" i="24"/>
  <c r="D18" i="24"/>
  <c r="D19" i="24"/>
  <c r="D20" i="24"/>
  <c r="D22" i="24"/>
  <c r="D2" i="24"/>
  <c r="I3" i="15"/>
  <c r="I4" i="15"/>
  <c r="I5" i="15"/>
  <c r="I8" i="15"/>
  <c r="I11" i="15"/>
  <c r="I12" i="15"/>
  <c r="I13" i="15"/>
  <c r="I21" i="15"/>
  <c r="I22" i="15"/>
  <c r="I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" i="15"/>
  <c r="I8" i="7"/>
  <c r="I9" i="7"/>
  <c r="I10" i="7"/>
  <c r="I11" i="7"/>
  <c r="I12" i="7"/>
  <c r="I13" i="7"/>
  <c r="I15" i="7"/>
  <c r="I16" i="7"/>
  <c r="I17" i="7"/>
  <c r="I18" i="7"/>
  <c r="I19" i="7"/>
  <c r="I20" i="7"/>
  <c r="I21" i="7"/>
  <c r="F3" i="7"/>
  <c r="F4" i="7"/>
  <c r="F5" i="7"/>
  <c r="F6" i="7"/>
  <c r="F7" i="7"/>
  <c r="F8" i="7"/>
  <c r="F9" i="7"/>
  <c r="F10" i="7"/>
  <c r="F11" i="7"/>
  <c r="F12" i="7"/>
  <c r="F13" i="7"/>
  <c r="F14" i="7"/>
  <c r="F18" i="7"/>
  <c r="F19" i="7"/>
  <c r="F20" i="7"/>
  <c r="F21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F27" i="7" s="1"/>
  <c r="F36" i="22"/>
  <c r="G36" i="22" s="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2" i="22"/>
  <c r="F37" i="22" s="1"/>
  <c r="G37" i="22" s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2" i="22"/>
  <c r="F35" i="22" s="1"/>
  <c r="G35" i="22" s="1"/>
  <c r="I3" i="14"/>
  <c r="I4" i="14"/>
  <c r="I5" i="14"/>
  <c r="I7" i="14"/>
  <c r="I8" i="14"/>
  <c r="I9" i="14"/>
  <c r="I11" i="14"/>
  <c r="I12" i="14"/>
  <c r="I13" i="14"/>
  <c r="I14" i="14"/>
  <c r="I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" i="14"/>
  <c r="F30" i="14" s="1"/>
  <c r="D3" i="14"/>
  <c r="D4" i="14"/>
  <c r="F29" i="14" s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" i="14"/>
  <c r="I32" i="3"/>
  <c r="I33" i="3"/>
  <c r="I34" i="3"/>
  <c r="I35" i="3"/>
  <c r="I36" i="3"/>
  <c r="I43" i="3"/>
  <c r="I64" i="3"/>
  <c r="I65" i="3"/>
  <c r="I66" i="3"/>
  <c r="I67" i="3"/>
  <c r="I68" i="3"/>
  <c r="I69" i="3"/>
  <c r="I74" i="3"/>
  <c r="I75" i="3"/>
  <c r="I76" i="3"/>
  <c r="I77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5" i="3"/>
  <c r="F117" i="3"/>
  <c r="F118" i="3"/>
  <c r="F119" i="3"/>
  <c r="F120" i="3"/>
  <c r="F121" i="3"/>
  <c r="F122" i="3"/>
  <c r="F123" i="3"/>
  <c r="F124" i="3"/>
  <c r="F125" i="3"/>
  <c r="F126" i="3"/>
  <c r="F127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20" i="3"/>
  <c r="D121" i="3"/>
  <c r="D123" i="3"/>
  <c r="D124" i="3"/>
  <c r="D126" i="3"/>
  <c r="D127" i="3"/>
  <c r="I3" i="2"/>
  <c r="I4" i="2"/>
  <c r="I5" i="2"/>
  <c r="I6" i="2"/>
  <c r="I7" i="2"/>
  <c r="I8" i="2"/>
  <c r="I9" i="2"/>
  <c r="I10" i="2"/>
  <c r="I11" i="2"/>
  <c r="I12" i="2"/>
  <c r="I14" i="2"/>
  <c r="I15" i="2"/>
  <c r="I16" i="2"/>
  <c r="I2" i="2"/>
  <c r="F3" i="2"/>
  <c r="F4" i="2"/>
  <c r="F29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D3" i="45"/>
  <c r="D4" i="45"/>
  <c r="D5" i="45"/>
  <c r="D6" i="45"/>
  <c r="I2" i="45"/>
  <c r="I3" i="11"/>
  <c r="I4" i="11"/>
  <c r="I5" i="11"/>
  <c r="I6" i="11"/>
  <c r="I7" i="11"/>
  <c r="I8" i="11"/>
  <c r="I9" i="11"/>
  <c r="I10" i="11"/>
  <c r="I11" i="11"/>
  <c r="I12" i="11"/>
  <c r="I13" i="11"/>
  <c r="I14" i="11"/>
  <c r="I17" i="11"/>
  <c r="I18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5" i="11"/>
  <c r="I46" i="11"/>
  <c r="I47" i="11"/>
  <c r="I48" i="11"/>
  <c r="I49" i="11"/>
  <c r="I50" i="11"/>
  <c r="I51" i="11"/>
  <c r="I55" i="11"/>
  <c r="I68" i="11"/>
  <c r="I72" i="11"/>
  <c r="I73" i="11"/>
  <c r="I74" i="11"/>
  <c r="I75" i="11"/>
  <c r="I76" i="11"/>
  <c r="I77" i="11"/>
  <c r="I78" i="11"/>
  <c r="I90" i="11"/>
  <c r="I95" i="11"/>
  <c r="I125" i="11"/>
  <c r="I127" i="11"/>
  <c r="I128" i="11"/>
  <c r="I130" i="11"/>
  <c r="I131" i="11"/>
  <c r="I133" i="11"/>
  <c r="I134" i="11"/>
  <c r="I135" i="11"/>
  <c r="I136" i="11"/>
  <c r="I145" i="11"/>
  <c r="I146" i="11"/>
  <c r="I147" i="11"/>
  <c r="I152" i="11"/>
  <c r="I153" i="11"/>
  <c r="I161" i="11"/>
  <c r="I171" i="11"/>
  <c r="I174" i="11"/>
  <c r="I175" i="11"/>
  <c r="I176" i="11"/>
  <c r="I177" i="11"/>
  <c r="I178" i="11"/>
  <c r="I179" i="11"/>
  <c r="I180" i="11"/>
  <c r="I181" i="11"/>
  <c r="I182" i="11"/>
  <c r="I183" i="11"/>
  <c r="I184" i="11"/>
  <c r="I186" i="11"/>
  <c r="I189" i="11"/>
  <c r="I191" i="11"/>
  <c r="I192" i="11"/>
  <c r="I193" i="11"/>
  <c r="I196" i="11"/>
  <c r="I197" i="11"/>
  <c r="I199" i="11"/>
  <c r="I200" i="11"/>
  <c r="I202" i="11"/>
  <c r="I215" i="11"/>
  <c r="I219" i="11"/>
  <c r="I220" i="11"/>
  <c r="I221" i="11"/>
  <c r="F3" i="11"/>
  <c r="F234" i="11" s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2" i="12"/>
  <c r="F58" i="12" s="1"/>
  <c r="D3" i="12"/>
  <c r="D4" i="12"/>
  <c r="F57" i="12" s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2" i="12"/>
  <c r="E43" i="16"/>
  <c r="E9" i="46" s="1"/>
  <c r="L23" i="46" s="1"/>
  <c r="D3" i="47" s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3" i="16"/>
  <c r="I24" i="16"/>
  <c r="I25" i="16"/>
  <c r="I26" i="16"/>
  <c r="I27" i="16"/>
  <c r="I28" i="16"/>
  <c r="I29" i="16"/>
  <c r="I30" i="16"/>
  <c r="I31" i="16"/>
  <c r="I32" i="16"/>
  <c r="I33" i="16"/>
  <c r="I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2" i="16"/>
  <c r="I3" i="18"/>
  <c r="I4" i="18"/>
  <c r="I6" i="18"/>
  <c r="I7" i="18"/>
  <c r="I8" i="18"/>
  <c r="I9" i="18"/>
  <c r="I10" i="18"/>
  <c r="I12" i="18"/>
  <c r="I13" i="18"/>
  <c r="I2" i="18"/>
  <c r="D3" i="18"/>
  <c r="D4" i="18"/>
  <c r="D5" i="18"/>
  <c r="D6" i="18"/>
  <c r="D7" i="18"/>
  <c r="D8" i="18"/>
  <c r="D9" i="18"/>
  <c r="D10" i="18"/>
  <c r="D11" i="18"/>
  <c r="D12" i="18"/>
  <c r="D13" i="18"/>
  <c r="D14" i="18"/>
  <c r="G29" i="14" l="1"/>
  <c r="F46" i="46"/>
  <c r="T9" i="46" s="1"/>
  <c r="U9" i="46" s="1"/>
  <c r="G27" i="7"/>
  <c r="F52" i="46"/>
  <c r="T10" i="46" s="1"/>
  <c r="U10" i="46" s="1"/>
  <c r="G58" i="12"/>
  <c r="F17" i="46"/>
  <c r="M4" i="46" s="1"/>
  <c r="G29" i="2"/>
  <c r="F35" i="46"/>
  <c r="M7" i="46" s="1"/>
  <c r="N7" i="46" s="1"/>
  <c r="G234" i="11"/>
  <c r="F23" i="46"/>
  <c r="M5" i="46" s="1"/>
  <c r="N5" i="46" s="1"/>
  <c r="G57" i="12"/>
  <c r="F16" i="46"/>
  <c r="T4" i="46" s="1"/>
  <c r="E4" i="50" s="1"/>
  <c r="J4" i="50" s="1"/>
  <c r="K4" i="50" s="1"/>
  <c r="G30" i="14"/>
  <c r="F47" i="46"/>
  <c r="M9" i="46" s="1"/>
  <c r="N9" i="46" s="1"/>
  <c r="F44" i="16"/>
  <c r="F45" i="16"/>
  <c r="F233" i="11"/>
  <c r="F36" i="8"/>
  <c r="F27" i="4"/>
  <c r="G10" i="29"/>
  <c r="F77" i="46"/>
  <c r="M14" i="46" s="1"/>
  <c r="F37" i="9"/>
  <c r="F83" i="46"/>
  <c r="M15" i="46" s="1"/>
  <c r="N15" i="46" s="1"/>
  <c r="G9" i="17"/>
  <c r="G10" i="17"/>
  <c r="F84" i="46"/>
  <c r="F28" i="2"/>
  <c r="G11" i="29"/>
  <c r="F78" i="46"/>
  <c r="F9" i="29"/>
  <c r="F35" i="8"/>
  <c r="F36" i="9"/>
  <c r="F8" i="17"/>
  <c r="C6" i="47"/>
  <c r="F28" i="15"/>
  <c r="L26" i="46"/>
  <c r="N4" i="46"/>
  <c r="E4" i="49"/>
  <c r="E5" i="49"/>
  <c r="E9" i="49"/>
  <c r="J9" i="49" s="1"/>
  <c r="N14" i="46"/>
  <c r="E14" i="49"/>
  <c r="E19" i="18"/>
  <c r="E4" i="46" s="1"/>
  <c r="S2" i="46" s="1"/>
  <c r="D2" i="50" s="1"/>
  <c r="I2" i="50" s="1"/>
  <c r="B20" i="18"/>
  <c r="B19" i="18"/>
  <c r="F19" i="18"/>
  <c r="F3" i="18"/>
  <c r="F4" i="18"/>
  <c r="F6" i="18"/>
  <c r="F7" i="18"/>
  <c r="F8" i="18"/>
  <c r="F9" i="18"/>
  <c r="F10" i="18"/>
  <c r="F11" i="18"/>
  <c r="F13" i="18"/>
  <c r="F14" i="18"/>
  <c r="F2" i="18"/>
  <c r="C26" i="4"/>
  <c r="C69" i="46" s="1"/>
  <c r="J33" i="46" s="1"/>
  <c r="B13" i="47" s="1"/>
  <c r="E21" i="45"/>
  <c r="E30" i="46" s="1"/>
  <c r="E19" i="45"/>
  <c r="E28" i="46" s="1"/>
  <c r="S6" i="46" s="1"/>
  <c r="D6" i="50" s="1"/>
  <c r="I6" i="50" s="1"/>
  <c r="E2" i="45"/>
  <c r="F2" i="45" s="1"/>
  <c r="C19" i="45"/>
  <c r="C28" i="46" s="1"/>
  <c r="Q6" i="46" s="1"/>
  <c r="B6" i="50" s="1"/>
  <c r="G6" i="50" s="1"/>
  <c r="C18" i="45"/>
  <c r="C27" i="46" s="1"/>
  <c r="J26" i="46" s="1"/>
  <c r="B6" i="47" s="1"/>
  <c r="E5" i="45"/>
  <c r="F5" i="45" s="1"/>
  <c r="B18" i="45"/>
  <c r="B27" i="46" s="1"/>
  <c r="C2" i="45"/>
  <c r="H6" i="45"/>
  <c r="I6" i="45" s="1"/>
  <c r="H5" i="45"/>
  <c r="I5" i="45" s="1"/>
  <c r="H4" i="45"/>
  <c r="I4" i="45" s="1"/>
  <c r="H3" i="45"/>
  <c r="E20" i="18"/>
  <c r="E5" i="46" s="1"/>
  <c r="L2" i="46" s="1"/>
  <c r="D2" i="49" s="1"/>
  <c r="I2" i="49" s="1"/>
  <c r="D20" i="18"/>
  <c r="D5" i="46" s="1"/>
  <c r="K2" i="46" s="1"/>
  <c r="C2" i="49" s="1"/>
  <c r="H2" i="49" s="1"/>
  <c r="C20" i="18"/>
  <c r="C5" i="46" s="1"/>
  <c r="J2" i="46" s="1"/>
  <c r="B2" i="49" s="1"/>
  <c r="G2" i="49" s="1"/>
  <c r="D19" i="18"/>
  <c r="D4" i="46" s="1"/>
  <c r="R2" i="46" s="1"/>
  <c r="C2" i="50" s="1"/>
  <c r="H2" i="50" s="1"/>
  <c r="C19" i="18"/>
  <c r="C4" i="46" s="1"/>
  <c r="Q2" i="46" s="1"/>
  <c r="B2" i="50" s="1"/>
  <c r="G2" i="50" s="1"/>
  <c r="E15" i="49" l="1"/>
  <c r="E9" i="50"/>
  <c r="J9" i="50" s="1"/>
  <c r="K9" i="50" s="1"/>
  <c r="E7" i="49"/>
  <c r="U4" i="46"/>
  <c r="E10" i="50"/>
  <c r="J10" i="50" s="1"/>
  <c r="K10" i="50" s="1"/>
  <c r="F4" i="46"/>
  <c r="T2" i="46" s="1"/>
  <c r="G19" i="18"/>
  <c r="F94" i="46"/>
  <c r="T17" i="46" s="1"/>
  <c r="G36" i="9"/>
  <c r="G45" i="16"/>
  <c r="F11" i="46"/>
  <c r="M3" i="46" s="1"/>
  <c r="B4" i="46"/>
  <c r="L2" i="50"/>
  <c r="F58" i="46"/>
  <c r="T11" i="46" s="1"/>
  <c r="E11" i="50" s="1"/>
  <c r="J11" i="50" s="1"/>
  <c r="K11" i="50" s="1"/>
  <c r="G28" i="15"/>
  <c r="G35" i="8"/>
  <c r="F88" i="46"/>
  <c r="T16" i="46" s="1"/>
  <c r="G27" i="4"/>
  <c r="F70" i="46"/>
  <c r="T13" i="46" s="1"/>
  <c r="G36" i="8"/>
  <c r="F89" i="46"/>
  <c r="M16" i="46" s="1"/>
  <c r="G44" i="16"/>
  <c r="F10" i="46"/>
  <c r="T3" i="46" s="1"/>
  <c r="E6" i="45"/>
  <c r="F6" i="45" s="1"/>
  <c r="G5" i="45"/>
  <c r="I3" i="45"/>
  <c r="F21" i="45" s="1"/>
  <c r="B19" i="45"/>
  <c r="B28" i="46" s="1"/>
  <c r="D19" i="45"/>
  <c r="D28" i="46" s="1"/>
  <c r="R6" i="46" s="1"/>
  <c r="C6" i="50" s="1"/>
  <c r="H6" i="50" s="1"/>
  <c r="D2" i="45"/>
  <c r="F19" i="45" s="1"/>
  <c r="C21" i="45"/>
  <c r="C30" i="46" s="1"/>
  <c r="E4" i="45"/>
  <c r="F4" i="45" s="1"/>
  <c r="K2" i="49"/>
  <c r="B5" i="46"/>
  <c r="F76" i="46"/>
  <c r="T14" i="46" s="1"/>
  <c r="G9" i="29"/>
  <c r="F34" i="46"/>
  <c r="T7" i="46" s="1"/>
  <c r="G28" i="2"/>
  <c r="E3" i="45"/>
  <c r="D21" i="45"/>
  <c r="D30" i="46" s="1"/>
  <c r="C20" i="45"/>
  <c r="C29" i="46" s="1"/>
  <c r="F20" i="18"/>
  <c r="G20" i="18" s="1"/>
  <c r="G24" i="18" s="1"/>
  <c r="F82" i="46"/>
  <c r="T15" i="46" s="1"/>
  <c r="G8" i="17"/>
  <c r="G37" i="9"/>
  <c r="F95" i="46"/>
  <c r="M17" i="46" s="1"/>
  <c r="G233" i="11"/>
  <c r="F22" i="46"/>
  <c r="T5" i="46" s="1"/>
  <c r="D6" i="47"/>
  <c r="J15" i="49"/>
  <c r="J4" i="49"/>
  <c r="J7" i="49"/>
  <c r="J14" i="49"/>
  <c r="J5" i="49"/>
  <c r="F5" i="46"/>
  <c r="M2" i="46" s="1"/>
  <c r="E2" i="49" s="1"/>
  <c r="J2" i="49" s="1"/>
  <c r="U2" i="46"/>
  <c r="E2" i="50"/>
  <c r="J2" i="50" s="1"/>
  <c r="K2" i="50" s="1"/>
  <c r="B21" i="45"/>
  <c r="B30" i="46" s="1"/>
  <c r="D20" i="45"/>
  <c r="D29" i="46" s="1"/>
  <c r="K6" i="46" s="1"/>
  <c r="C6" i="49" s="1"/>
  <c r="H6" i="49" s="1"/>
  <c r="B20" i="45"/>
  <c r="U11" i="46" l="1"/>
  <c r="G19" i="45"/>
  <c r="F28" i="46"/>
  <c r="T6" i="46" s="1"/>
  <c r="E16" i="50"/>
  <c r="J16" i="50" s="1"/>
  <c r="K16" i="50" s="1"/>
  <c r="U16" i="46"/>
  <c r="E5" i="50"/>
  <c r="J5" i="50" s="1"/>
  <c r="K5" i="50" s="1"/>
  <c r="U5" i="46"/>
  <c r="E17" i="50"/>
  <c r="J17" i="50" s="1"/>
  <c r="K17" i="50" s="1"/>
  <c r="U17" i="46"/>
  <c r="E7" i="50"/>
  <c r="J7" i="50" s="1"/>
  <c r="K7" i="50" s="1"/>
  <c r="U7" i="46"/>
  <c r="U15" i="46"/>
  <c r="E15" i="50"/>
  <c r="J15" i="50" s="1"/>
  <c r="K15" i="50" s="1"/>
  <c r="F3" i="45"/>
  <c r="F20" i="45" s="1"/>
  <c r="E20" i="45"/>
  <c r="E29" i="46" s="1"/>
  <c r="L6" i="46" s="1"/>
  <c r="D6" i="49" s="1"/>
  <c r="I6" i="49" s="1"/>
  <c r="U14" i="46"/>
  <c r="E14" i="50"/>
  <c r="J14" i="50" s="1"/>
  <c r="K14" i="50" s="1"/>
  <c r="E3" i="50"/>
  <c r="J3" i="50" s="1"/>
  <c r="K3" i="50" s="1"/>
  <c r="U3" i="46"/>
  <c r="E13" i="50"/>
  <c r="J13" i="50" s="1"/>
  <c r="K13" i="50" s="1"/>
  <c r="U13" i="46"/>
  <c r="E3" i="49"/>
  <c r="J3" i="49" s="1"/>
  <c r="N3" i="46"/>
  <c r="K6" i="49"/>
  <c r="B29" i="46"/>
  <c r="J6" i="46"/>
  <c r="B6" i="49" s="1"/>
  <c r="G6" i="49" s="1"/>
  <c r="N16" i="46"/>
  <c r="E16" i="49"/>
  <c r="J16" i="49" s="1"/>
  <c r="E17" i="49"/>
  <c r="J17" i="49" s="1"/>
  <c r="N17" i="46"/>
  <c r="G21" i="45"/>
  <c r="F30" i="46"/>
  <c r="N2" i="46"/>
  <c r="C233" i="11"/>
  <c r="C22" i="46" s="1"/>
  <c r="Q5" i="46" s="1"/>
  <c r="B5" i="50" s="1"/>
  <c r="G5" i="50" s="1"/>
  <c r="D233" i="11"/>
  <c r="D22" i="46" s="1"/>
  <c r="R5" i="46" s="1"/>
  <c r="C5" i="50" s="1"/>
  <c r="H5" i="50" s="1"/>
  <c r="U6" i="46" l="1"/>
  <c r="E6" i="50"/>
  <c r="J6" i="50" s="1"/>
  <c r="K6" i="50" s="1"/>
  <c r="G20" i="45"/>
  <c r="F29" i="46"/>
  <c r="M6" i="46" s="1"/>
  <c r="G14" i="18"/>
  <c r="H14" i="18" s="1"/>
  <c r="I14" i="18" s="1"/>
  <c r="G11" i="18"/>
  <c r="H11" i="18" s="1"/>
  <c r="I11" i="18" s="1"/>
  <c r="G5" i="18"/>
  <c r="H5" i="18" s="1"/>
  <c r="I5" i="18" s="1"/>
  <c r="F21" i="18" s="1"/>
  <c r="B14" i="18"/>
  <c r="G27" i="9"/>
  <c r="H27" i="9" s="1"/>
  <c r="I27" i="9" s="1"/>
  <c r="G26" i="9"/>
  <c r="H26" i="9" s="1"/>
  <c r="I26" i="9" s="1"/>
  <c r="F38" i="9" s="1"/>
  <c r="G23" i="8"/>
  <c r="H23" i="8" s="1"/>
  <c r="I23" i="8" s="1"/>
  <c r="G22" i="8"/>
  <c r="H22" i="8" s="1"/>
  <c r="I22" i="8" s="1"/>
  <c r="H20" i="4"/>
  <c r="I20" i="4" s="1"/>
  <c r="H14" i="4"/>
  <c r="I14" i="4" s="1"/>
  <c r="H13" i="4"/>
  <c r="I13" i="4" s="1"/>
  <c r="G15" i="4"/>
  <c r="H15" i="4" s="1"/>
  <c r="I15" i="4" s="1"/>
  <c r="G14" i="4"/>
  <c r="G13" i="4"/>
  <c r="G10" i="4"/>
  <c r="G9" i="4"/>
  <c r="G20" i="4"/>
  <c r="G19" i="4"/>
  <c r="H19" i="4" s="1"/>
  <c r="I19" i="4" s="1"/>
  <c r="G2" i="4"/>
  <c r="H2" i="4" s="1"/>
  <c r="I2" i="4" s="1"/>
  <c r="H22" i="24"/>
  <c r="I22" i="24" s="1"/>
  <c r="G22" i="24"/>
  <c r="H18" i="24"/>
  <c r="I18" i="24" s="1"/>
  <c r="G2" i="24"/>
  <c r="G18" i="24"/>
  <c r="G20" i="24"/>
  <c r="H20" i="24" s="1"/>
  <c r="I20" i="24" s="1"/>
  <c r="G19" i="24"/>
  <c r="H19" i="24" s="1"/>
  <c r="I19" i="24" s="1"/>
  <c r="G17" i="24"/>
  <c r="G21" i="24"/>
  <c r="H21" i="24" s="1"/>
  <c r="I21" i="24" s="1"/>
  <c r="G16" i="24"/>
  <c r="H16" i="24" s="1"/>
  <c r="I16" i="24" s="1"/>
  <c r="G15" i="24"/>
  <c r="G14" i="24"/>
  <c r="G12" i="24"/>
  <c r="G13" i="24"/>
  <c r="G8" i="24"/>
  <c r="H8" i="24" s="1"/>
  <c r="I8" i="24" s="1"/>
  <c r="G9" i="24"/>
  <c r="H9" i="24" s="1"/>
  <c r="I9" i="24" s="1"/>
  <c r="G6" i="24"/>
  <c r="G7" i="24"/>
  <c r="G5" i="24"/>
  <c r="H5" i="24" s="1"/>
  <c r="I5" i="24" s="1"/>
  <c r="H15" i="15"/>
  <c r="I15" i="15" s="1"/>
  <c r="H16" i="15"/>
  <c r="I16" i="15" s="1"/>
  <c r="H9" i="15"/>
  <c r="I9" i="15" s="1"/>
  <c r="H7" i="15"/>
  <c r="I7" i="15" s="1"/>
  <c r="G19" i="15"/>
  <c r="H19" i="15" s="1"/>
  <c r="I19" i="15" s="1"/>
  <c r="G20" i="15"/>
  <c r="H20" i="15" s="1"/>
  <c r="I20" i="15" s="1"/>
  <c r="G18" i="15"/>
  <c r="H18" i="15" s="1"/>
  <c r="I18" i="15" s="1"/>
  <c r="G11" i="15"/>
  <c r="G12" i="15"/>
  <c r="G13" i="15"/>
  <c r="G14" i="15"/>
  <c r="H14" i="15" s="1"/>
  <c r="I14" i="15" s="1"/>
  <c r="G15" i="15"/>
  <c r="G16" i="15"/>
  <c r="G17" i="15"/>
  <c r="H17" i="15" s="1"/>
  <c r="I17" i="15" s="1"/>
  <c r="G10" i="15"/>
  <c r="G3" i="15"/>
  <c r="G4" i="15"/>
  <c r="G5" i="15"/>
  <c r="G6" i="15"/>
  <c r="H6" i="15" s="1"/>
  <c r="I6" i="15" s="1"/>
  <c r="G7" i="15"/>
  <c r="G2" i="15"/>
  <c r="H14" i="7"/>
  <c r="I14" i="7" s="1"/>
  <c r="H3" i="7"/>
  <c r="I3" i="7" s="1"/>
  <c r="H6" i="7"/>
  <c r="I6" i="7" s="1"/>
  <c r="H7" i="7"/>
  <c r="I7" i="7" s="1"/>
  <c r="G14" i="7"/>
  <c r="G3" i="7"/>
  <c r="G4" i="7"/>
  <c r="H4" i="7" s="1"/>
  <c r="I4" i="7" s="1"/>
  <c r="G6" i="7"/>
  <c r="G7" i="7"/>
  <c r="G5" i="7"/>
  <c r="H5" i="7" s="1"/>
  <c r="I5" i="7" s="1"/>
  <c r="G2" i="7"/>
  <c r="H2" i="7" s="1"/>
  <c r="I2" i="7" s="1"/>
  <c r="F29" i="7" s="1"/>
  <c r="H21" i="14"/>
  <c r="I21" i="14" s="1"/>
  <c r="H20" i="14"/>
  <c r="I20" i="14" s="1"/>
  <c r="H19" i="14"/>
  <c r="I19" i="14" s="1"/>
  <c r="G6" i="14"/>
  <c r="H6" i="14" s="1"/>
  <c r="I6" i="14" s="1"/>
  <c r="G15" i="14"/>
  <c r="H15" i="14" s="1"/>
  <c r="I15" i="14" s="1"/>
  <c r="G21" i="14"/>
  <c r="G19" i="14"/>
  <c r="G18" i="14"/>
  <c r="H18" i="14" s="1"/>
  <c r="I18" i="14" s="1"/>
  <c r="G22" i="14"/>
  <c r="H22" i="14" s="1"/>
  <c r="I22" i="14" s="1"/>
  <c r="G20" i="14"/>
  <c r="G10" i="14"/>
  <c r="H10" i="14" s="1"/>
  <c r="I10" i="14" s="1"/>
  <c r="G17" i="14"/>
  <c r="H17" i="14" s="1"/>
  <c r="I17" i="14" s="1"/>
  <c r="G16" i="14"/>
  <c r="H16" i="14" s="1"/>
  <c r="I16" i="14" s="1"/>
  <c r="H82" i="3"/>
  <c r="I82" i="3" s="1"/>
  <c r="G79" i="3"/>
  <c r="H79" i="3" s="1"/>
  <c r="I79" i="3" s="1"/>
  <c r="H72" i="3"/>
  <c r="I72" i="3" s="1"/>
  <c r="H46" i="3"/>
  <c r="I46" i="3" s="1"/>
  <c r="H50" i="3"/>
  <c r="I50" i="3" s="1"/>
  <c r="H54" i="3"/>
  <c r="I54" i="3" s="1"/>
  <c r="H61" i="3"/>
  <c r="I61" i="3" s="1"/>
  <c r="H62" i="3"/>
  <c r="I62" i="3" s="1"/>
  <c r="H38" i="3"/>
  <c r="I38" i="3" s="1"/>
  <c r="H39" i="3"/>
  <c r="I39" i="3" s="1"/>
  <c r="H37" i="3"/>
  <c r="I37" i="3" s="1"/>
  <c r="H6" i="3"/>
  <c r="I6" i="3" s="1"/>
  <c r="H9" i="3"/>
  <c r="I9" i="3" s="1"/>
  <c r="H10" i="3"/>
  <c r="I10" i="3" s="1"/>
  <c r="H13" i="3"/>
  <c r="I13" i="3" s="1"/>
  <c r="H14" i="3"/>
  <c r="I14" i="3" s="1"/>
  <c r="H21" i="3"/>
  <c r="I21" i="3" s="1"/>
  <c r="H22" i="3"/>
  <c r="I22" i="3" s="1"/>
  <c r="H25" i="3"/>
  <c r="I25" i="3" s="1"/>
  <c r="H26" i="3"/>
  <c r="I26" i="3" s="1"/>
  <c r="H30" i="3"/>
  <c r="I30" i="3" s="1"/>
  <c r="G78" i="3"/>
  <c r="H78" i="3" s="1"/>
  <c r="I78" i="3" s="1"/>
  <c r="G63" i="3"/>
  <c r="H63" i="3" s="1"/>
  <c r="I63" i="3" s="1"/>
  <c r="G62" i="3"/>
  <c r="G61" i="3"/>
  <c r="G60" i="3"/>
  <c r="H60" i="3" s="1"/>
  <c r="I60" i="3" s="1"/>
  <c r="G57" i="3"/>
  <c r="H57" i="3" s="1"/>
  <c r="I57" i="3" s="1"/>
  <c r="G56" i="3"/>
  <c r="H56" i="3" s="1"/>
  <c r="I56" i="3" s="1"/>
  <c r="G55" i="3"/>
  <c r="H55" i="3" s="1"/>
  <c r="I55" i="3" s="1"/>
  <c r="G59" i="3"/>
  <c r="H59" i="3" s="1"/>
  <c r="I59" i="3" s="1"/>
  <c r="G58" i="3"/>
  <c r="H58" i="3" s="1"/>
  <c r="I58" i="3" s="1"/>
  <c r="G49" i="3"/>
  <c r="H49" i="3" s="1"/>
  <c r="I49" i="3" s="1"/>
  <c r="G50" i="3"/>
  <c r="G48" i="3"/>
  <c r="H48" i="3" s="1"/>
  <c r="I48" i="3" s="1"/>
  <c r="G53" i="3"/>
  <c r="H53" i="3" s="1"/>
  <c r="I53" i="3" s="1"/>
  <c r="G52" i="3"/>
  <c r="H52" i="3" s="1"/>
  <c r="I52" i="3" s="1"/>
  <c r="G51" i="3"/>
  <c r="H51" i="3" s="1"/>
  <c r="I51" i="3" s="1"/>
  <c r="G54" i="3"/>
  <c r="G45" i="3"/>
  <c r="H45" i="3" s="1"/>
  <c r="I45" i="3" s="1"/>
  <c r="G46" i="3"/>
  <c r="G47" i="3"/>
  <c r="H47" i="3" s="1"/>
  <c r="I47" i="3" s="1"/>
  <c r="G44" i="3"/>
  <c r="H44" i="3" s="1"/>
  <c r="I44" i="3" s="1"/>
  <c r="G42" i="3"/>
  <c r="H42" i="3" s="1"/>
  <c r="I42" i="3" s="1"/>
  <c r="G39" i="3"/>
  <c r="G38" i="3"/>
  <c r="G41" i="3"/>
  <c r="H41" i="3" s="1"/>
  <c r="I41" i="3" s="1"/>
  <c r="G40" i="3"/>
  <c r="H40" i="3" s="1"/>
  <c r="I40" i="3" s="1"/>
  <c r="G82" i="3"/>
  <c r="G37" i="3"/>
  <c r="G71" i="3"/>
  <c r="H71" i="3" s="1"/>
  <c r="I71" i="3" s="1"/>
  <c r="G73" i="3"/>
  <c r="H73" i="3" s="1"/>
  <c r="I73" i="3" s="1"/>
  <c r="G72" i="3"/>
  <c r="G69" i="3"/>
  <c r="G80" i="3"/>
  <c r="H80" i="3" s="1"/>
  <c r="I80" i="3" s="1"/>
  <c r="G70" i="3"/>
  <c r="H70" i="3" s="1"/>
  <c r="I70" i="3" s="1"/>
  <c r="G12" i="3"/>
  <c r="H12" i="3" s="1"/>
  <c r="I12" i="3" s="1"/>
  <c r="G11" i="3"/>
  <c r="H11" i="3" s="1"/>
  <c r="I11" i="3" s="1"/>
  <c r="G28" i="3"/>
  <c r="H28" i="3" s="1"/>
  <c r="I28" i="3" s="1"/>
  <c r="G29" i="3"/>
  <c r="H29" i="3" s="1"/>
  <c r="I29" i="3" s="1"/>
  <c r="G30" i="3"/>
  <c r="G31" i="3"/>
  <c r="H31" i="3" s="1"/>
  <c r="I31" i="3" s="1"/>
  <c r="G22" i="3"/>
  <c r="G23" i="3"/>
  <c r="H23" i="3" s="1"/>
  <c r="I23" i="3" s="1"/>
  <c r="G24" i="3"/>
  <c r="H24" i="3" s="1"/>
  <c r="I24" i="3" s="1"/>
  <c r="G25" i="3"/>
  <c r="G26" i="3"/>
  <c r="G27" i="3"/>
  <c r="H27" i="3" s="1"/>
  <c r="I27" i="3" s="1"/>
  <c r="G21" i="3"/>
  <c r="G19" i="3"/>
  <c r="H19" i="3" s="1"/>
  <c r="I19" i="3" s="1"/>
  <c r="G20" i="3"/>
  <c r="H20" i="3" s="1"/>
  <c r="I20" i="3" s="1"/>
  <c r="G18" i="3"/>
  <c r="H18" i="3" s="1"/>
  <c r="I18" i="3" s="1"/>
  <c r="G14" i="3"/>
  <c r="G15" i="3"/>
  <c r="H15" i="3" s="1"/>
  <c r="I15" i="3" s="1"/>
  <c r="G16" i="3"/>
  <c r="H16" i="3" s="1"/>
  <c r="I16" i="3" s="1"/>
  <c r="G17" i="3"/>
  <c r="H17" i="3" s="1"/>
  <c r="I17" i="3" s="1"/>
  <c r="G13" i="3"/>
  <c r="G3" i="3"/>
  <c r="H3" i="3" s="1"/>
  <c r="I3" i="3" s="1"/>
  <c r="G4" i="3"/>
  <c r="H4" i="3" s="1"/>
  <c r="I4" i="3" s="1"/>
  <c r="G2" i="3"/>
  <c r="H2" i="3" s="1"/>
  <c r="I2" i="3" s="1"/>
  <c r="G8" i="3"/>
  <c r="H8" i="3" s="1"/>
  <c r="I8" i="3" s="1"/>
  <c r="G7" i="3"/>
  <c r="H7" i="3" s="1"/>
  <c r="I7" i="3" s="1"/>
  <c r="G6" i="3"/>
  <c r="G5" i="3"/>
  <c r="H5" i="3" s="1"/>
  <c r="I5" i="3" s="1"/>
  <c r="G9" i="3"/>
  <c r="G10" i="3"/>
  <c r="G81" i="3"/>
  <c r="H81" i="3" s="1"/>
  <c r="I81" i="3" s="1"/>
  <c r="H18" i="2"/>
  <c r="I18" i="2" s="1"/>
  <c r="G18" i="2"/>
  <c r="G17" i="2"/>
  <c r="H17" i="2" s="1"/>
  <c r="I17" i="2" s="1"/>
  <c r="F30" i="2" s="1"/>
  <c r="C234" i="11"/>
  <c r="C23" i="46" s="1"/>
  <c r="H198" i="11"/>
  <c r="I198" i="11" s="1"/>
  <c r="H172" i="11"/>
  <c r="I172" i="11" s="1"/>
  <c r="H156" i="11"/>
  <c r="I156" i="11" s="1"/>
  <c r="H157" i="11"/>
  <c r="I157" i="11" s="1"/>
  <c r="H109" i="11"/>
  <c r="I109" i="11" s="1"/>
  <c r="G194" i="11"/>
  <c r="H194" i="11" s="1"/>
  <c r="I194" i="11" s="1"/>
  <c r="G154" i="11"/>
  <c r="H154" i="11" s="1"/>
  <c r="I154" i="11" s="1"/>
  <c r="G155" i="11"/>
  <c r="H155" i="11" s="1"/>
  <c r="I155" i="11" s="1"/>
  <c r="G156" i="11"/>
  <c r="G163" i="11"/>
  <c r="H163" i="11" s="1"/>
  <c r="I163" i="11" s="1"/>
  <c r="G2" i="11"/>
  <c r="H2" i="11" s="1"/>
  <c r="G195" i="11"/>
  <c r="H195" i="11" s="1"/>
  <c r="I195" i="11" s="1"/>
  <c r="G162" i="11"/>
  <c r="H162" i="11" s="1"/>
  <c r="I162" i="11" s="1"/>
  <c r="G98" i="11"/>
  <c r="H98" i="11" s="1"/>
  <c r="I98" i="11" s="1"/>
  <c r="G212" i="11"/>
  <c r="H212" i="11" s="1"/>
  <c r="I212" i="11" s="1"/>
  <c r="G213" i="11"/>
  <c r="H213" i="11" s="1"/>
  <c r="I213" i="11" s="1"/>
  <c r="G157" i="11"/>
  <c r="G211" i="11"/>
  <c r="H211" i="11" s="1"/>
  <c r="I211" i="11" s="1"/>
  <c r="G97" i="11"/>
  <c r="H97" i="11" s="1"/>
  <c r="I97" i="11" s="1"/>
  <c r="G19" i="11"/>
  <c r="H19" i="11" s="1"/>
  <c r="I19" i="11" s="1"/>
  <c r="G96" i="11"/>
  <c r="H96" i="11" s="1"/>
  <c r="I96" i="11" s="1"/>
  <c r="G198" i="11"/>
  <c r="G169" i="11"/>
  <c r="H169" i="11" s="1"/>
  <c r="I169" i="11" s="1"/>
  <c r="G103" i="11"/>
  <c r="H103" i="11" s="1"/>
  <c r="I103" i="11" s="1"/>
  <c r="G172" i="11"/>
  <c r="G106" i="11"/>
  <c r="H106" i="11" s="1"/>
  <c r="I106" i="11" s="1"/>
  <c r="G203" i="11"/>
  <c r="H203" i="11" s="1"/>
  <c r="I203" i="11" s="1"/>
  <c r="G210" i="11"/>
  <c r="H210" i="11" s="1"/>
  <c r="I210" i="11" s="1"/>
  <c r="G88" i="11"/>
  <c r="H88" i="11" s="1"/>
  <c r="I88" i="11" s="1"/>
  <c r="G89" i="11"/>
  <c r="H89" i="11" s="1"/>
  <c r="I89" i="11" s="1"/>
  <c r="G204" i="11"/>
  <c r="H204" i="11" s="1"/>
  <c r="I204" i="11" s="1"/>
  <c r="G168" i="11"/>
  <c r="H168" i="11" s="1"/>
  <c r="I168" i="11" s="1"/>
  <c r="G16" i="11"/>
  <c r="H16" i="11" s="1"/>
  <c r="I16" i="11" s="1"/>
  <c r="G15" i="11"/>
  <c r="H15" i="11" s="1"/>
  <c r="I15" i="11" s="1"/>
  <c r="G90" i="11"/>
  <c r="G105" i="11"/>
  <c r="H105" i="11" s="1"/>
  <c r="I105" i="11" s="1"/>
  <c r="G91" i="11"/>
  <c r="H91" i="11" s="1"/>
  <c r="I91" i="11" s="1"/>
  <c r="G118" i="11"/>
  <c r="H118" i="11" s="1"/>
  <c r="I118" i="11" s="1"/>
  <c r="G167" i="11"/>
  <c r="H167" i="11" s="1"/>
  <c r="I167" i="11" s="1"/>
  <c r="G110" i="11"/>
  <c r="H110" i="11" s="1"/>
  <c r="I110" i="11" s="1"/>
  <c r="G111" i="11"/>
  <c r="H111" i="11" s="1"/>
  <c r="I111" i="11" s="1"/>
  <c r="G112" i="11"/>
  <c r="H112" i="11" s="1"/>
  <c r="I112" i="11" s="1"/>
  <c r="G170" i="11"/>
  <c r="H170" i="11" s="1"/>
  <c r="I170" i="11" s="1"/>
  <c r="G214" i="11"/>
  <c r="H214" i="11" s="1"/>
  <c r="I214" i="11" s="1"/>
  <c r="G100" i="11"/>
  <c r="H100" i="11" s="1"/>
  <c r="I100" i="11" s="1"/>
  <c r="G101" i="11"/>
  <c r="H101" i="11" s="1"/>
  <c r="I101" i="11" s="1"/>
  <c r="G108" i="11"/>
  <c r="H108" i="11" s="1"/>
  <c r="I108" i="11" s="1"/>
  <c r="G107" i="11"/>
  <c r="H107" i="11" s="1"/>
  <c r="I107" i="11" s="1"/>
  <c r="G114" i="11"/>
  <c r="H114" i="11" s="1"/>
  <c r="I114" i="11" s="1"/>
  <c r="G120" i="11"/>
  <c r="H120" i="11" s="1"/>
  <c r="I120" i="11" s="1"/>
  <c r="G217" i="11"/>
  <c r="H217" i="11" s="1"/>
  <c r="I217" i="11" s="1"/>
  <c r="G158" i="11"/>
  <c r="H158" i="11" s="1"/>
  <c r="I158" i="11" s="1"/>
  <c r="G104" i="11"/>
  <c r="H104" i="11" s="1"/>
  <c r="I104" i="11" s="1"/>
  <c r="G119" i="11"/>
  <c r="H119" i="11" s="1"/>
  <c r="I119" i="11" s="1"/>
  <c r="G115" i="11"/>
  <c r="H115" i="11" s="1"/>
  <c r="I115" i="11" s="1"/>
  <c r="G218" i="11"/>
  <c r="H218" i="11" s="1"/>
  <c r="I218" i="11" s="1"/>
  <c r="G99" i="11"/>
  <c r="H99" i="11" s="1"/>
  <c r="I99" i="11" s="1"/>
  <c r="G65" i="11"/>
  <c r="H65" i="11" s="1"/>
  <c r="I65" i="11" s="1"/>
  <c r="G140" i="11"/>
  <c r="H140" i="11" s="1"/>
  <c r="I140" i="11" s="1"/>
  <c r="G64" i="11"/>
  <c r="H64" i="11" s="1"/>
  <c r="I64" i="11" s="1"/>
  <c r="G117" i="11"/>
  <c r="H117" i="11" s="1"/>
  <c r="I117" i="11" s="1"/>
  <c r="G121" i="11"/>
  <c r="H121" i="11" s="1"/>
  <c r="I121" i="11" s="1"/>
  <c r="G53" i="11"/>
  <c r="H53" i="11" s="1"/>
  <c r="I53" i="11" s="1"/>
  <c r="G52" i="11"/>
  <c r="H52" i="11" s="1"/>
  <c r="I52" i="11" s="1"/>
  <c r="G164" i="11"/>
  <c r="H164" i="11" s="1"/>
  <c r="I164" i="11" s="1"/>
  <c r="G58" i="11"/>
  <c r="H58" i="11" s="1"/>
  <c r="I58" i="11" s="1"/>
  <c r="G57" i="11"/>
  <c r="H57" i="11" s="1"/>
  <c r="I57" i="11" s="1"/>
  <c r="G63" i="11"/>
  <c r="H63" i="11" s="1"/>
  <c r="I63" i="11" s="1"/>
  <c r="G62" i="11"/>
  <c r="H62" i="11" s="1"/>
  <c r="I62" i="11" s="1"/>
  <c r="G67" i="11"/>
  <c r="H67" i="11" s="1"/>
  <c r="I67" i="11" s="1"/>
  <c r="G66" i="11"/>
  <c r="H66" i="11" s="1"/>
  <c r="I66" i="11" s="1"/>
  <c r="G141" i="11"/>
  <c r="H141" i="11" s="1"/>
  <c r="I141" i="11" s="1"/>
  <c r="G59" i="11"/>
  <c r="H59" i="11" s="1"/>
  <c r="I59" i="11" s="1"/>
  <c r="G116" i="11"/>
  <c r="H116" i="11" s="1"/>
  <c r="I116" i="11" s="1"/>
  <c r="G122" i="11"/>
  <c r="H122" i="11" s="1"/>
  <c r="I122" i="11" s="1"/>
  <c r="G123" i="11"/>
  <c r="H123" i="11" s="1"/>
  <c r="I123" i="11" s="1"/>
  <c r="G54" i="11"/>
  <c r="H54" i="11" s="1"/>
  <c r="I54" i="11" s="1"/>
  <c r="G173" i="11"/>
  <c r="H173" i="11" s="1"/>
  <c r="I173" i="11" s="1"/>
  <c r="G143" i="11"/>
  <c r="H143" i="11" s="1"/>
  <c r="I143" i="11" s="1"/>
  <c r="G71" i="11"/>
  <c r="H71" i="11" s="1"/>
  <c r="I71" i="11" s="1"/>
  <c r="G216" i="11"/>
  <c r="H216" i="11" s="1"/>
  <c r="I216" i="11" s="1"/>
  <c r="G139" i="11"/>
  <c r="H139" i="11" s="1"/>
  <c r="I139" i="11" s="1"/>
  <c r="G61" i="11"/>
  <c r="H61" i="11" s="1"/>
  <c r="I61" i="11" s="1"/>
  <c r="G166" i="11"/>
  <c r="H166" i="11" s="1"/>
  <c r="I166" i="11" s="1"/>
  <c r="G109" i="11"/>
  <c r="G124" i="11"/>
  <c r="H124" i="11" s="1"/>
  <c r="I124" i="11" s="1"/>
  <c r="G56" i="11"/>
  <c r="H56" i="11" s="1"/>
  <c r="I56" i="11" s="1"/>
  <c r="G82" i="11"/>
  <c r="H82" i="11" s="1"/>
  <c r="I82" i="11" s="1"/>
  <c r="G81" i="11"/>
  <c r="H81" i="11" s="1"/>
  <c r="I81" i="11" s="1"/>
  <c r="G149" i="11"/>
  <c r="H149" i="11" s="1"/>
  <c r="I149" i="11" s="1"/>
  <c r="G113" i="11"/>
  <c r="H113" i="11" s="1"/>
  <c r="I113" i="11" s="1"/>
  <c r="G129" i="11"/>
  <c r="H129" i="11" s="1"/>
  <c r="I129" i="11" s="1"/>
  <c r="G93" i="11"/>
  <c r="H93" i="11" s="1"/>
  <c r="I93" i="11" s="1"/>
  <c r="G70" i="11"/>
  <c r="H70" i="11" s="1"/>
  <c r="I70" i="11" s="1"/>
  <c r="G102" i="11"/>
  <c r="H102" i="11" s="1"/>
  <c r="I102" i="11" s="1"/>
  <c r="G94" i="11"/>
  <c r="H94" i="11" s="1"/>
  <c r="I94" i="11" s="1"/>
  <c r="G92" i="11"/>
  <c r="H92" i="11" s="1"/>
  <c r="I92" i="11" s="1"/>
  <c r="G132" i="11"/>
  <c r="H132" i="11" s="1"/>
  <c r="I132" i="11" s="1"/>
  <c r="G126" i="11"/>
  <c r="H126" i="11" s="1"/>
  <c r="I126" i="11" s="1"/>
  <c r="G185" i="11"/>
  <c r="H185" i="11" s="1"/>
  <c r="I185" i="11" s="1"/>
  <c r="G188" i="11"/>
  <c r="H188" i="11" s="1"/>
  <c r="I188" i="11" s="1"/>
  <c r="G144" i="11"/>
  <c r="H144" i="11" s="1"/>
  <c r="I144" i="11" s="1"/>
  <c r="G80" i="11"/>
  <c r="H80" i="11" s="1"/>
  <c r="I80" i="11" s="1"/>
  <c r="G79" i="11"/>
  <c r="H79" i="11" s="1"/>
  <c r="I79" i="11" s="1"/>
  <c r="G148" i="11"/>
  <c r="H148" i="11" s="1"/>
  <c r="I148" i="11" s="1"/>
  <c r="G150" i="11"/>
  <c r="H150" i="11" s="1"/>
  <c r="I150" i="11" s="1"/>
  <c r="G151" i="11"/>
  <c r="H151" i="11" s="1"/>
  <c r="I151" i="11" s="1"/>
  <c r="G138" i="11"/>
  <c r="H138" i="11" s="1"/>
  <c r="I138" i="11" s="1"/>
  <c r="G60" i="11"/>
  <c r="H60" i="11" s="1"/>
  <c r="I60" i="11" s="1"/>
  <c r="G187" i="11"/>
  <c r="H187" i="11" s="1"/>
  <c r="I187" i="11" s="1"/>
  <c r="G190" i="11"/>
  <c r="H190" i="11" s="1"/>
  <c r="I190" i="11" s="1"/>
  <c r="G84" i="11"/>
  <c r="H84" i="11" s="1"/>
  <c r="I84" i="11" s="1"/>
  <c r="G83" i="11"/>
  <c r="H83" i="11" s="1"/>
  <c r="I83" i="11" s="1"/>
  <c r="G159" i="11"/>
  <c r="H159" i="11" s="1"/>
  <c r="I159" i="11" s="1"/>
  <c r="G44" i="11"/>
  <c r="H44" i="11" s="1"/>
  <c r="I44" i="11" s="1"/>
  <c r="G160" i="11"/>
  <c r="H160" i="11" s="1"/>
  <c r="I160" i="11" s="1"/>
  <c r="G86" i="11"/>
  <c r="H86" i="11" s="1"/>
  <c r="I86" i="11" s="1"/>
  <c r="G87" i="11"/>
  <c r="H87" i="11" s="1"/>
  <c r="I87" i="11" s="1"/>
  <c r="G85" i="11"/>
  <c r="H85" i="11" s="1"/>
  <c r="I85" i="11" s="1"/>
  <c r="G206" i="11"/>
  <c r="H206" i="11" s="1"/>
  <c r="I206" i="11" s="1"/>
  <c r="G201" i="11"/>
  <c r="H201" i="11" s="1"/>
  <c r="I201" i="11" s="1"/>
  <c r="G207" i="11"/>
  <c r="H207" i="11" s="1"/>
  <c r="I207" i="11" s="1"/>
  <c r="G208" i="11"/>
  <c r="H208" i="11" s="1"/>
  <c r="I208" i="11" s="1"/>
  <c r="G209" i="11"/>
  <c r="H209" i="11" s="1"/>
  <c r="I209" i="11" s="1"/>
  <c r="G205" i="11"/>
  <c r="H205" i="11" s="1"/>
  <c r="I205" i="11" s="1"/>
  <c r="G69" i="11"/>
  <c r="H69" i="11" s="1"/>
  <c r="I69" i="11" s="1"/>
  <c r="G142" i="11"/>
  <c r="H142" i="11" s="1"/>
  <c r="I142" i="11" s="1"/>
  <c r="G137" i="11"/>
  <c r="H137" i="11" s="1"/>
  <c r="I137" i="11" s="1"/>
  <c r="G165" i="11"/>
  <c r="H165" i="11" s="1"/>
  <c r="I165" i="11" s="1"/>
  <c r="H46" i="12"/>
  <c r="I46" i="12" s="1"/>
  <c r="H41" i="12"/>
  <c r="I41" i="12" s="1"/>
  <c r="H27" i="12"/>
  <c r="I27" i="12" s="1"/>
  <c r="G44" i="12"/>
  <c r="H44" i="12" s="1"/>
  <c r="I44" i="12" s="1"/>
  <c r="G43" i="12"/>
  <c r="H43" i="12" s="1"/>
  <c r="I43" i="12" s="1"/>
  <c r="G46" i="12"/>
  <c r="G41" i="12"/>
  <c r="G42" i="12"/>
  <c r="H42" i="12" s="1"/>
  <c r="I42" i="12" s="1"/>
  <c r="G28" i="12"/>
  <c r="H28" i="12" s="1"/>
  <c r="I28" i="12" s="1"/>
  <c r="G45" i="12"/>
  <c r="H45" i="12" s="1"/>
  <c r="I45" i="12" s="1"/>
  <c r="H22" i="16"/>
  <c r="I22" i="16" s="1"/>
  <c r="F46" i="16" s="1"/>
  <c r="G21" i="18" l="1"/>
  <c r="F6" i="46"/>
  <c r="F139" i="3"/>
  <c r="F31" i="14"/>
  <c r="G29" i="7"/>
  <c r="F54" i="46"/>
  <c r="G38" i="9"/>
  <c r="F96" i="46"/>
  <c r="F36" i="46"/>
  <c r="G30" i="2"/>
  <c r="F30" i="15"/>
  <c r="D235" i="11"/>
  <c r="D24" i="46" s="1"/>
  <c r="I2" i="11"/>
  <c r="F235" i="11" s="1"/>
  <c r="F37" i="8"/>
  <c r="G46" i="16"/>
  <c r="F12" i="46"/>
  <c r="F59" i="12"/>
  <c r="J5" i="46"/>
  <c r="B5" i="49" s="1"/>
  <c r="G5" i="49" s="1"/>
  <c r="N6" i="46"/>
  <c r="E6" i="49"/>
  <c r="J6" i="49" s="1"/>
  <c r="B18" i="18"/>
  <c r="C18" i="18"/>
  <c r="C3" i="46" s="1"/>
  <c r="J22" i="46" s="1"/>
  <c r="B2" i="47" s="1"/>
  <c r="E21" i="18"/>
  <c r="E6" i="46" s="1"/>
  <c r="B21" i="18"/>
  <c r="B6" i="46" s="1"/>
  <c r="D18" i="18"/>
  <c r="D3" i="46" s="1"/>
  <c r="K22" i="46" s="1"/>
  <c r="C2" i="47" s="1"/>
  <c r="E18" i="18"/>
  <c r="E3" i="46" s="1"/>
  <c r="L22" i="46" s="1"/>
  <c r="D2" i="47" s="1"/>
  <c r="C235" i="11"/>
  <c r="C24" i="46" s="1"/>
  <c r="E38" i="9"/>
  <c r="E96" i="46" s="1"/>
  <c r="D38" i="9"/>
  <c r="D96" i="46" s="1"/>
  <c r="C38" i="9"/>
  <c r="C96" i="46" s="1"/>
  <c r="B38" i="9"/>
  <c r="B96" i="46" s="1"/>
  <c r="E37" i="9"/>
  <c r="E95" i="46" s="1"/>
  <c r="L17" i="46" s="1"/>
  <c r="D17" i="49" s="1"/>
  <c r="I17" i="49" s="1"/>
  <c r="D37" i="9"/>
  <c r="D95" i="46" s="1"/>
  <c r="K17" i="46" s="1"/>
  <c r="C17" i="49" s="1"/>
  <c r="H17" i="49" s="1"/>
  <c r="C37" i="9"/>
  <c r="C95" i="46" s="1"/>
  <c r="B37" i="9"/>
  <c r="E35" i="9"/>
  <c r="E93" i="46" s="1"/>
  <c r="L37" i="46" s="1"/>
  <c r="E36" i="9"/>
  <c r="E94" i="46" s="1"/>
  <c r="S17" i="46" s="1"/>
  <c r="D17" i="50" s="1"/>
  <c r="I17" i="50" s="1"/>
  <c r="D36" i="9"/>
  <c r="D94" i="46" s="1"/>
  <c r="R17" i="46" s="1"/>
  <c r="C17" i="50" s="1"/>
  <c r="H17" i="50" s="1"/>
  <c r="C36" i="9"/>
  <c r="C94" i="46" s="1"/>
  <c r="Q17" i="46" s="1"/>
  <c r="B17" i="50" s="1"/>
  <c r="G17" i="50" s="1"/>
  <c r="B36" i="9"/>
  <c r="D35" i="9"/>
  <c r="D93" i="46" s="1"/>
  <c r="K37" i="46" s="1"/>
  <c r="C35" i="9"/>
  <c r="C93" i="46" s="1"/>
  <c r="J37" i="46" s="1"/>
  <c r="B17" i="47" s="1"/>
  <c r="B35" i="9"/>
  <c r="D34" i="8"/>
  <c r="D87" i="46" s="1"/>
  <c r="K36" i="46" s="1"/>
  <c r="E37" i="8"/>
  <c r="E90" i="46" s="1"/>
  <c r="D37" i="8"/>
  <c r="D90" i="46" s="1"/>
  <c r="C37" i="8"/>
  <c r="C90" i="46" s="1"/>
  <c r="B37" i="8"/>
  <c r="B90" i="46" s="1"/>
  <c r="E36" i="8"/>
  <c r="E89" i="46" s="1"/>
  <c r="L16" i="46" s="1"/>
  <c r="D16" i="49" s="1"/>
  <c r="I16" i="49" s="1"/>
  <c r="D36" i="8"/>
  <c r="D89" i="46" s="1"/>
  <c r="K16" i="46" s="1"/>
  <c r="C16" i="49" s="1"/>
  <c r="H16" i="49" s="1"/>
  <c r="C36" i="8"/>
  <c r="C89" i="46" s="1"/>
  <c r="J16" i="46" s="1"/>
  <c r="B16" i="49" s="1"/>
  <c r="G16" i="49" s="1"/>
  <c r="B36" i="8"/>
  <c r="E35" i="8"/>
  <c r="E88" i="46" s="1"/>
  <c r="S16" i="46" s="1"/>
  <c r="D16" i="50" s="1"/>
  <c r="I16" i="50" s="1"/>
  <c r="D35" i="8"/>
  <c r="D88" i="46" s="1"/>
  <c r="R16" i="46" s="1"/>
  <c r="C16" i="50" s="1"/>
  <c r="H16" i="50" s="1"/>
  <c r="C35" i="8"/>
  <c r="C88" i="46" s="1"/>
  <c r="Q16" i="46" s="1"/>
  <c r="B16" i="50" s="1"/>
  <c r="G16" i="50" s="1"/>
  <c r="B35" i="8"/>
  <c r="E34" i="8"/>
  <c r="E87" i="46" s="1"/>
  <c r="L36" i="46" s="1"/>
  <c r="C34" i="8"/>
  <c r="C87" i="46" s="1"/>
  <c r="J36" i="46" s="1"/>
  <c r="B16" i="47" s="1"/>
  <c r="B34" i="8"/>
  <c r="E10" i="17"/>
  <c r="E84" i="46" s="1"/>
  <c r="D10" i="17"/>
  <c r="D84" i="46" s="1"/>
  <c r="C10" i="17"/>
  <c r="C84" i="46" s="1"/>
  <c r="B10" i="17"/>
  <c r="B84" i="46" s="1"/>
  <c r="E7" i="17"/>
  <c r="E81" i="46" s="1"/>
  <c r="L35" i="46" s="1"/>
  <c r="E9" i="17"/>
  <c r="E83" i="46" s="1"/>
  <c r="L15" i="46" s="1"/>
  <c r="D9" i="17"/>
  <c r="D83" i="46" s="1"/>
  <c r="K15" i="46" s="1"/>
  <c r="C9" i="17"/>
  <c r="C83" i="46" s="1"/>
  <c r="J15" i="46" s="1"/>
  <c r="B9" i="17"/>
  <c r="E8" i="17"/>
  <c r="E82" i="46" s="1"/>
  <c r="S15" i="46" s="1"/>
  <c r="D15" i="50" s="1"/>
  <c r="I15" i="50" s="1"/>
  <c r="D8" i="17"/>
  <c r="D82" i="46" s="1"/>
  <c r="R15" i="46" s="1"/>
  <c r="C15" i="50" s="1"/>
  <c r="H15" i="50" s="1"/>
  <c r="C8" i="17"/>
  <c r="C82" i="46" s="1"/>
  <c r="Q15" i="46" s="1"/>
  <c r="B15" i="50" s="1"/>
  <c r="G15" i="50" s="1"/>
  <c r="B8" i="17"/>
  <c r="D7" i="17"/>
  <c r="D81" i="46" s="1"/>
  <c r="K35" i="46" s="1"/>
  <c r="C7" i="17"/>
  <c r="C81" i="46" s="1"/>
  <c r="J35" i="46" s="1"/>
  <c r="B15" i="47" s="1"/>
  <c r="B7" i="17"/>
  <c r="E8" i="29"/>
  <c r="E75" i="46" s="1"/>
  <c r="L34" i="46" s="1"/>
  <c r="E11" i="29"/>
  <c r="E78" i="46" s="1"/>
  <c r="E10" i="29"/>
  <c r="E77" i="46" s="1"/>
  <c r="L14" i="46" s="1"/>
  <c r="D14" i="49" s="1"/>
  <c r="I14" i="49" s="1"/>
  <c r="D10" i="29"/>
  <c r="D77" i="46" s="1"/>
  <c r="K14" i="46" s="1"/>
  <c r="C14" i="49" s="1"/>
  <c r="H14" i="49" s="1"/>
  <c r="E9" i="29"/>
  <c r="E76" i="46" s="1"/>
  <c r="S14" i="46" s="1"/>
  <c r="D14" i="50" s="1"/>
  <c r="I14" i="50" s="1"/>
  <c r="D9" i="29"/>
  <c r="D76" i="46" s="1"/>
  <c r="R14" i="46" s="1"/>
  <c r="C14" i="50" s="1"/>
  <c r="H14" i="50" s="1"/>
  <c r="C8" i="29"/>
  <c r="C75" i="46" s="1"/>
  <c r="J34" i="46" s="1"/>
  <c r="B14" i="47" s="1"/>
  <c r="D8" i="29"/>
  <c r="D75" i="46" s="1"/>
  <c r="K34" i="46" s="1"/>
  <c r="D11" i="29"/>
  <c r="D78" i="46" s="1"/>
  <c r="C11" i="29"/>
  <c r="C78" i="46" s="1"/>
  <c r="C10" i="29"/>
  <c r="C77" i="46" s="1"/>
  <c r="C9" i="29"/>
  <c r="C76" i="46" s="1"/>
  <c r="Q14" i="46" s="1"/>
  <c r="B14" i="50" s="1"/>
  <c r="G14" i="50" s="1"/>
  <c r="B11" i="29"/>
  <c r="B78" i="46" s="1"/>
  <c r="B10" i="29"/>
  <c r="B9" i="29"/>
  <c r="B8" i="29"/>
  <c r="E26" i="4"/>
  <c r="E69" i="46" s="1"/>
  <c r="L33" i="46" s="1"/>
  <c r="D13" i="47" s="1"/>
  <c r="E27" i="4"/>
  <c r="E70" i="46" s="1"/>
  <c r="S13" i="46" s="1"/>
  <c r="D13" i="50" s="1"/>
  <c r="I13" i="50" s="1"/>
  <c r="D27" i="4"/>
  <c r="D70" i="46" s="1"/>
  <c r="R13" i="46" s="1"/>
  <c r="C13" i="50" s="1"/>
  <c r="H13" i="50" s="1"/>
  <c r="C27" i="4"/>
  <c r="C70" i="46" s="1"/>
  <c r="Q13" i="46" s="1"/>
  <c r="B13" i="50" s="1"/>
  <c r="G13" i="50" s="1"/>
  <c r="B27" i="4"/>
  <c r="D26" i="4"/>
  <c r="D69" i="46" s="1"/>
  <c r="K33" i="46" s="1"/>
  <c r="C13" i="47" s="1"/>
  <c r="B26" i="4"/>
  <c r="E26" i="24"/>
  <c r="E63" i="46" s="1"/>
  <c r="L32" i="46" s="1"/>
  <c r="D12" i="47" s="1"/>
  <c r="D26" i="24"/>
  <c r="D63" i="46" s="1"/>
  <c r="K32" i="46" s="1"/>
  <c r="C26" i="24"/>
  <c r="C63" i="46" s="1"/>
  <c r="J32" i="46" s="1"/>
  <c r="B12" i="47" s="1"/>
  <c r="B26" i="24"/>
  <c r="D28" i="15"/>
  <c r="D58" i="46" s="1"/>
  <c r="R11" i="46" s="1"/>
  <c r="C11" i="50" s="1"/>
  <c r="H11" i="50" s="1"/>
  <c r="C28" i="15"/>
  <c r="C58" i="46" s="1"/>
  <c r="Q11" i="46" s="1"/>
  <c r="B11" i="50" s="1"/>
  <c r="G11" i="50" s="1"/>
  <c r="B27" i="15"/>
  <c r="B28" i="15"/>
  <c r="D27" i="15"/>
  <c r="D57" i="46" s="1"/>
  <c r="K31" i="46" s="1"/>
  <c r="C27" i="15"/>
  <c r="C57" i="46" s="1"/>
  <c r="J31" i="46" s="1"/>
  <c r="B11" i="47" s="1"/>
  <c r="D30" i="15"/>
  <c r="D60" i="46" s="1"/>
  <c r="E30" i="15"/>
  <c r="E60" i="46" s="1"/>
  <c r="E28" i="15"/>
  <c r="E58" i="46" s="1"/>
  <c r="S11" i="46" s="1"/>
  <c r="D11" i="50" s="1"/>
  <c r="I11" i="50" s="1"/>
  <c r="C30" i="15"/>
  <c r="C60" i="46" s="1"/>
  <c r="B30" i="15"/>
  <c r="B60" i="46" s="1"/>
  <c r="E27" i="15"/>
  <c r="E57" i="46" s="1"/>
  <c r="L31" i="46" s="1"/>
  <c r="D11" i="47" s="1"/>
  <c r="E29" i="7"/>
  <c r="E54" i="46" s="1"/>
  <c r="B29" i="7"/>
  <c r="B54" i="46" s="1"/>
  <c r="C29" i="7"/>
  <c r="C54" i="46" s="1"/>
  <c r="D29" i="7"/>
  <c r="D54" i="46" s="1"/>
  <c r="B27" i="7"/>
  <c r="C27" i="7"/>
  <c r="C52" i="46" s="1"/>
  <c r="Q10" i="46" s="1"/>
  <c r="B10" i="50" s="1"/>
  <c r="G10" i="50" s="1"/>
  <c r="E27" i="7"/>
  <c r="E52" i="46" s="1"/>
  <c r="S10" i="46" s="1"/>
  <c r="D10" i="50" s="1"/>
  <c r="I10" i="50" s="1"/>
  <c r="D27" i="7"/>
  <c r="D52" i="46" s="1"/>
  <c r="R10" i="46" s="1"/>
  <c r="C10" i="50" s="1"/>
  <c r="H10" i="50" s="1"/>
  <c r="E37" i="22"/>
  <c r="D37" i="22"/>
  <c r="C37" i="22"/>
  <c r="B37" i="22"/>
  <c r="D36" i="22"/>
  <c r="C36" i="22"/>
  <c r="B36" i="22"/>
  <c r="E36" i="22"/>
  <c r="E34" i="22"/>
  <c r="E35" i="22"/>
  <c r="D35" i="22"/>
  <c r="C35" i="22"/>
  <c r="B35" i="22"/>
  <c r="B34" i="22"/>
  <c r="D34" i="22"/>
  <c r="C34" i="22"/>
  <c r="E31" i="14"/>
  <c r="E48" i="46" s="1"/>
  <c r="D31" i="14"/>
  <c r="D48" i="46" s="1"/>
  <c r="C31" i="14"/>
  <c r="C48" i="46" s="1"/>
  <c r="B31" i="14"/>
  <c r="B48" i="46" s="1"/>
  <c r="C30" i="14"/>
  <c r="C47" i="46" s="1"/>
  <c r="D30" i="14"/>
  <c r="D47" i="46" s="1"/>
  <c r="K9" i="46" s="1"/>
  <c r="C9" i="49" s="1"/>
  <c r="H9" i="49" s="1"/>
  <c r="C29" i="14"/>
  <c r="C46" i="46" s="1"/>
  <c r="Q9" i="46" s="1"/>
  <c r="B9" i="50" s="1"/>
  <c r="G9" i="50" s="1"/>
  <c r="B30" i="14"/>
  <c r="B29" i="14"/>
  <c r="D29" i="14"/>
  <c r="D46" i="46" s="1"/>
  <c r="R9" i="46" s="1"/>
  <c r="C9" i="50" s="1"/>
  <c r="H9" i="50" s="1"/>
  <c r="E30" i="14"/>
  <c r="E47" i="46" s="1"/>
  <c r="L9" i="46" s="1"/>
  <c r="D9" i="49" s="1"/>
  <c r="I9" i="49" s="1"/>
  <c r="E29" i="14"/>
  <c r="E46" i="46" s="1"/>
  <c r="S9" i="46" s="1"/>
  <c r="D9" i="50" s="1"/>
  <c r="I9" i="50" s="1"/>
  <c r="E28" i="14"/>
  <c r="E45" i="46" s="1"/>
  <c r="L29" i="46" s="1"/>
  <c r="D9" i="47" s="1"/>
  <c r="D28" i="14"/>
  <c r="D45" i="46" s="1"/>
  <c r="K29" i="46" s="1"/>
  <c r="C9" i="47" s="1"/>
  <c r="C28" i="14"/>
  <c r="C45" i="46" s="1"/>
  <c r="J29" i="46" s="1"/>
  <c r="B9" i="47" s="1"/>
  <c r="B28" i="14"/>
  <c r="C139" i="3"/>
  <c r="C42" i="46" s="1"/>
  <c r="D139" i="3"/>
  <c r="D42" i="46" s="1"/>
  <c r="E139" i="3"/>
  <c r="E42" i="46" s="1"/>
  <c r="D136" i="3"/>
  <c r="D39" i="46" s="1"/>
  <c r="K28" i="46" s="1"/>
  <c r="C8" i="47" s="1"/>
  <c r="E136" i="3"/>
  <c r="E39" i="46" s="1"/>
  <c r="L28" i="46" s="1"/>
  <c r="D8" i="47" s="1"/>
  <c r="C136" i="3"/>
  <c r="C39" i="46" s="1"/>
  <c r="J28" i="46" s="1"/>
  <c r="B8" i="47" s="1"/>
  <c r="B139" i="3"/>
  <c r="B42" i="46" s="1"/>
  <c r="B136" i="3"/>
  <c r="E28" i="2"/>
  <c r="E34" i="46" s="1"/>
  <c r="S7" i="46" s="1"/>
  <c r="D7" i="50" s="1"/>
  <c r="I7" i="50" s="1"/>
  <c r="E30" i="2"/>
  <c r="E36" i="46" s="1"/>
  <c r="E29" i="2"/>
  <c r="E35" i="46" s="1"/>
  <c r="L7" i="46" s="1"/>
  <c r="D7" i="49" s="1"/>
  <c r="I7" i="49" s="1"/>
  <c r="D29" i="2"/>
  <c r="D35" i="46" s="1"/>
  <c r="K7" i="46" s="1"/>
  <c r="C7" i="49" s="1"/>
  <c r="H7" i="49" s="1"/>
  <c r="D30" i="2"/>
  <c r="D36" i="46" s="1"/>
  <c r="D28" i="2"/>
  <c r="D34" i="46" s="1"/>
  <c r="R7" i="46" s="1"/>
  <c r="C7" i="50" s="1"/>
  <c r="H7" i="50" s="1"/>
  <c r="C30" i="2"/>
  <c r="C36" i="46" s="1"/>
  <c r="C29" i="2"/>
  <c r="C35" i="46" s="1"/>
  <c r="J7" i="46" s="1"/>
  <c r="B7" i="49" s="1"/>
  <c r="G7" i="49" s="1"/>
  <c r="C28" i="2"/>
  <c r="C34" i="46" s="1"/>
  <c r="Q7" i="46" s="1"/>
  <c r="B7" i="50" s="1"/>
  <c r="G7" i="50" s="1"/>
  <c r="B30" i="2"/>
  <c r="B36" i="46" s="1"/>
  <c r="B29" i="2"/>
  <c r="B28" i="2"/>
  <c r="E27" i="2"/>
  <c r="E33" i="46" s="1"/>
  <c r="L27" i="46" s="1"/>
  <c r="D7" i="47" s="1"/>
  <c r="D27" i="2"/>
  <c r="D33" i="46" s="1"/>
  <c r="K27" i="46" s="1"/>
  <c r="C27" i="2"/>
  <c r="C33" i="46" s="1"/>
  <c r="J27" i="46" s="1"/>
  <c r="B7" i="47" s="1"/>
  <c r="B27" i="2"/>
  <c r="E235" i="11"/>
  <c r="E24" i="46" s="1"/>
  <c r="E234" i="11"/>
  <c r="E23" i="46" s="1"/>
  <c r="L5" i="46" s="1"/>
  <c r="D5" i="49" s="1"/>
  <c r="I5" i="49" s="1"/>
  <c r="D234" i="11"/>
  <c r="D23" i="46" s="1"/>
  <c r="K5" i="46" s="1"/>
  <c r="C5" i="49" s="1"/>
  <c r="H5" i="49" s="1"/>
  <c r="B234" i="11"/>
  <c r="E233" i="11"/>
  <c r="E22" i="46" s="1"/>
  <c r="S5" i="46" s="1"/>
  <c r="D5" i="50" s="1"/>
  <c r="I5" i="50" s="1"/>
  <c r="B235" i="11"/>
  <c r="B24" i="46" s="1"/>
  <c r="B233" i="11"/>
  <c r="E232" i="11"/>
  <c r="E21" i="46" s="1"/>
  <c r="L25" i="46" s="1"/>
  <c r="D5" i="47" s="1"/>
  <c r="D232" i="11"/>
  <c r="D21" i="46" s="1"/>
  <c r="K25" i="46" s="1"/>
  <c r="C5" i="47" s="1"/>
  <c r="C232" i="11"/>
  <c r="C21" i="46" s="1"/>
  <c r="J25" i="46" s="1"/>
  <c r="B5" i="47" s="1"/>
  <c r="B232" i="11"/>
  <c r="E59" i="12"/>
  <c r="E18" i="46" s="1"/>
  <c r="D59" i="12"/>
  <c r="D18" i="46" s="1"/>
  <c r="C59" i="12"/>
  <c r="C18" i="46" s="1"/>
  <c r="B59" i="12"/>
  <c r="B18" i="46" s="1"/>
  <c r="E58" i="12"/>
  <c r="E17" i="46" s="1"/>
  <c r="L4" i="46" s="1"/>
  <c r="D4" i="49" s="1"/>
  <c r="I4" i="49" s="1"/>
  <c r="D58" i="12"/>
  <c r="D17" i="46" s="1"/>
  <c r="K4" i="46" s="1"/>
  <c r="C4" i="49" s="1"/>
  <c r="H4" i="49" s="1"/>
  <c r="C58" i="12"/>
  <c r="C17" i="46" s="1"/>
  <c r="B58" i="12"/>
  <c r="E57" i="12"/>
  <c r="E16" i="46" s="1"/>
  <c r="S4" i="46" s="1"/>
  <c r="D4" i="50" s="1"/>
  <c r="I4" i="50" s="1"/>
  <c r="D57" i="12"/>
  <c r="D16" i="46" s="1"/>
  <c r="R4" i="46" s="1"/>
  <c r="C4" i="50" s="1"/>
  <c r="H4" i="50" s="1"/>
  <c r="C57" i="12"/>
  <c r="C16" i="46" s="1"/>
  <c r="Q4" i="46" s="1"/>
  <c r="B4" i="50" s="1"/>
  <c r="G4" i="50" s="1"/>
  <c r="B57" i="12"/>
  <c r="D56" i="12"/>
  <c r="D15" i="46" s="1"/>
  <c r="K24" i="46" s="1"/>
  <c r="C56" i="12"/>
  <c r="C15" i="46" s="1"/>
  <c r="J24" i="46" s="1"/>
  <c r="B4" i="47" s="1"/>
  <c r="B56" i="12"/>
  <c r="E44" i="16"/>
  <c r="E10" i="46" s="1"/>
  <c r="S3" i="46" s="1"/>
  <c r="D3" i="50" s="1"/>
  <c r="I3" i="50" s="1"/>
  <c r="E46" i="16"/>
  <c r="E12" i="46" s="1"/>
  <c r="D46" i="16"/>
  <c r="D12" i="46" s="1"/>
  <c r="C46" i="16"/>
  <c r="C12" i="46" s="1"/>
  <c r="B46" i="16"/>
  <c r="B12" i="46" s="1"/>
  <c r="D45" i="16"/>
  <c r="D11" i="46" s="1"/>
  <c r="K3" i="46" s="1"/>
  <c r="C3" i="49" s="1"/>
  <c r="H3" i="49" s="1"/>
  <c r="C45" i="16"/>
  <c r="C11" i="46" s="1"/>
  <c r="B45" i="16"/>
  <c r="B44" i="16"/>
  <c r="C43" i="16"/>
  <c r="C9" i="46" s="1"/>
  <c r="J23" i="46" s="1"/>
  <c r="B3" i="47" s="1"/>
  <c r="B43" i="16"/>
  <c r="C21" i="18"/>
  <c r="C6" i="46" s="1"/>
  <c r="D43" i="16"/>
  <c r="D9" i="46" s="1"/>
  <c r="K23" i="46" s="1"/>
  <c r="E45" i="16"/>
  <c r="E11" i="46" s="1"/>
  <c r="L3" i="46" s="1"/>
  <c r="D3" i="49" s="1"/>
  <c r="I3" i="49" s="1"/>
  <c r="L3" i="50" l="1"/>
  <c r="B10" i="46"/>
  <c r="L4" i="50"/>
  <c r="B16" i="46"/>
  <c r="K4" i="49"/>
  <c r="B17" i="46"/>
  <c r="E5" i="47"/>
  <c r="B21" i="46"/>
  <c r="L5" i="50"/>
  <c r="B22" i="46"/>
  <c r="K7" i="49"/>
  <c r="B35" i="46"/>
  <c r="K14" i="49"/>
  <c r="B77" i="46"/>
  <c r="E2" i="47"/>
  <c r="B3" i="46"/>
  <c r="G37" i="8"/>
  <c r="F90" i="46"/>
  <c r="G30" i="15"/>
  <c r="F60" i="46"/>
  <c r="G139" i="3"/>
  <c r="F42" i="46"/>
  <c r="K3" i="49"/>
  <c r="B11" i="46"/>
  <c r="B58" i="46"/>
  <c r="L11" i="50"/>
  <c r="L13" i="50"/>
  <c r="B70" i="46"/>
  <c r="B82" i="46"/>
  <c r="L15" i="50"/>
  <c r="B83" i="46"/>
  <c r="K15" i="49"/>
  <c r="B88" i="46"/>
  <c r="L16" i="50"/>
  <c r="K16" i="49"/>
  <c r="B89" i="46"/>
  <c r="B94" i="46"/>
  <c r="L17" i="50"/>
  <c r="G59" i="12"/>
  <c r="F18" i="46"/>
  <c r="B15" i="46"/>
  <c r="E4" i="47"/>
  <c r="J4" i="46"/>
  <c r="B4" i="49" s="1"/>
  <c r="G4" i="49" s="1"/>
  <c r="B9" i="46"/>
  <c r="E3" i="47"/>
  <c r="J3" i="46"/>
  <c r="B3" i="49" s="1"/>
  <c r="G3" i="49" s="1"/>
  <c r="L9" i="50"/>
  <c r="B46" i="46"/>
  <c r="J9" i="46"/>
  <c r="B9" i="49" s="1"/>
  <c r="G9" i="49" s="1"/>
  <c r="B57" i="46"/>
  <c r="E11" i="47"/>
  <c r="B75" i="46"/>
  <c r="E14" i="47"/>
  <c r="B81" i="46"/>
  <c r="E15" i="47"/>
  <c r="B87" i="46"/>
  <c r="E16" i="47"/>
  <c r="B93" i="46"/>
  <c r="E17" i="47"/>
  <c r="K17" i="49"/>
  <c r="B95" i="46"/>
  <c r="G235" i="11"/>
  <c r="F24" i="46"/>
  <c r="K5" i="49"/>
  <c r="B23" i="46"/>
  <c r="B33" i="46"/>
  <c r="E7" i="47"/>
  <c r="B34" i="46"/>
  <c r="L7" i="50"/>
  <c r="E8" i="47"/>
  <c r="B39" i="46"/>
  <c r="E9" i="47"/>
  <c r="B45" i="46"/>
  <c r="K9" i="49"/>
  <c r="B47" i="46"/>
  <c r="L10" i="50"/>
  <c r="B52" i="46"/>
  <c r="E12" i="47"/>
  <c r="B63" i="46"/>
  <c r="E13" i="47"/>
  <c r="B69" i="46"/>
  <c r="B76" i="46"/>
  <c r="L14" i="50"/>
  <c r="J14" i="46"/>
  <c r="B14" i="49" s="1"/>
  <c r="G14" i="49" s="1"/>
  <c r="J17" i="46"/>
  <c r="B17" i="49" s="1"/>
  <c r="G17" i="49" s="1"/>
  <c r="G31" i="14"/>
  <c r="F48" i="46"/>
  <c r="C15" i="47"/>
  <c r="D16" i="47"/>
  <c r="C17" i="47"/>
  <c r="D14" i="47"/>
  <c r="D15" i="47"/>
  <c r="C16" i="47"/>
  <c r="D17" i="47"/>
  <c r="C14" i="47"/>
  <c r="B15" i="49"/>
  <c r="G15" i="49" s="1"/>
  <c r="C15" i="49"/>
  <c r="H15" i="49" s="1"/>
  <c r="D15" i="49"/>
  <c r="I15" i="49" s="1"/>
  <c r="D21" i="18"/>
  <c r="D6" i="46" s="1"/>
  <c r="C125" i="3" l="1"/>
  <c r="D125" i="3" s="1"/>
  <c r="C122" i="3"/>
  <c r="D122" i="3" s="1"/>
  <c r="C119" i="3"/>
  <c r="D119" i="3" s="1"/>
  <c r="C118" i="3"/>
  <c r="D118" i="3" s="1"/>
  <c r="C117" i="3"/>
  <c r="D117" i="3" s="1"/>
  <c r="E116" i="3"/>
  <c r="F116" i="3" s="1"/>
  <c r="E114" i="3"/>
  <c r="F114" i="3" s="1"/>
  <c r="F138" i="3" l="1"/>
  <c r="F137" i="3"/>
  <c r="C137" i="3"/>
  <c r="C40" i="46" s="1"/>
  <c r="Q8" i="46" s="1"/>
  <c r="B8" i="50" s="1"/>
  <c r="G8" i="50" s="1"/>
  <c r="E137" i="3"/>
  <c r="E40" i="46" s="1"/>
  <c r="S8" i="46" s="1"/>
  <c r="D8" i="50" s="1"/>
  <c r="I8" i="50" s="1"/>
  <c r="B137" i="3"/>
  <c r="D137" i="3"/>
  <c r="D40" i="46" s="1"/>
  <c r="R8" i="46" s="1"/>
  <c r="C8" i="50" s="1"/>
  <c r="H8" i="50" s="1"/>
  <c r="D138" i="3"/>
  <c r="D41" i="46" s="1"/>
  <c r="K8" i="46" s="1"/>
  <c r="C8" i="49" s="1"/>
  <c r="H8" i="49" s="1"/>
  <c r="B138" i="3"/>
  <c r="C138" i="3"/>
  <c r="C41" i="46" s="1"/>
  <c r="E138" i="3"/>
  <c r="E41" i="46" s="1"/>
  <c r="L8" i="46" s="1"/>
  <c r="D8" i="49" s="1"/>
  <c r="I8" i="49" s="1"/>
  <c r="C21" i="24"/>
  <c r="D21" i="24" s="1"/>
  <c r="E17" i="24"/>
  <c r="E15" i="24"/>
  <c r="C15" i="24"/>
  <c r="D15" i="24" s="1"/>
  <c r="E14" i="24"/>
  <c r="C14" i="24"/>
  <c r="D14" i="24" s="1"/>
  <c r="E13" i="24"/>
  <c r="E12" i="24"/>
  <c r="C12" i="24"/>
  <c r="D12" i="24" s="1"/>
  <c r="E7" i="24"/>
  <c r="E6" i="24"/>
  <c r="E3" i="24"/>
  <c r="F3" i="24" s="1"/>
  <c r="E21" i="15"/>
  <c r="E17" i="7"/>
  <c r="F17" i="7" s="1"/>
  <c r="E16" i="7"/>
  <c r="F16" i="7" s="1"/>
  <c r="B16" i="7"/>
  <c r="E15" i="7"/>
  <c r="E21" i="4"/>
  <c r="F21" i="4" s="1"/>
  <c r="E10" i="4"/>
  <c r="E9" i="4"/>
  <c r="E8" i="4"/>
  <c r="F8" i="4" s="1"/>
  <c r="E7" i="4"/>
  <c r="F15" i="7" l="1"/>
  <c r="F28" i="7" s="1"/>
  <c r="E28" i="7"/>
  <c r="E53" i="46" s="1"/>
  <c r="L10" i="46" s="1"/>
  <c r="D10" i="49" s="1"/>
  <c r="I10" i="49" s="1"/>
  <c r="D28" i="7"/>
  <c r="D53" i="46" s="1"/>
  <c r="K10" i="46" s="1"/>
  <c r="C10" i="49" s="1"/>
  <c r="H10" i="49" s="1"/>
  <c r="C28" i="7"/>
  <c r="C53" i="46" s="1"/>
  <c r="B28" i="7"/>
  <c r="F21" i="15"/>
  <c r="F29" i="15" s="1"/>
  <c r="C29" i="15"/>
  <c r="C59" i="46" s="1"/>
  <c r="J11" i="46" s="1"/>
  <c r="B11" i="49" s="1"/>
  <c r="G11" i="49" s="1"/>
  <c r="E29" i="15"/>
  <c r="E59" i="46" s="1"/>
  <c r="L11" i="46" s="1"/>
  <c r="D11" i="49" s="1"/>
  <c r="I11" i="49" s="1"/>
  <c r="D29" i="15"/>
  <c r="D59" i="46" s="1"/>
  <c r="K11" i="46" s="1"/>
  <c r="C11" i="49" s="1"/>
  <c r="H11" i="49" s="1"/>
  <c r="B29" i="15"/>
  <c r="F27" i="24"/>
  <c r="H14" i="24"/>
  <c r="I14" i="24" s="1"/>
  <c r="F14" i="24"/>
  <c r="G137" i="3"/>
  <c r="F40" i="46"/>
  <c r="T8" i="46" s="1"/>
  <c r="F7" i="4"/>
  <c r="C28" i="4"/>
  <c r="C71" i="46" s="1"/>
  <c r="B28" i="4"/>
  <c r="E28" i="4"/>
  <c r="E71" i="46" s="1"/>
  <c r="L13" i="46" s="1"/>
  <c r="D13" i="49" s="1"/>
  <c r="I13" i="49" s="1"/>
  <c r="D28" i="4"/>
  <c r="D71" i="46" s="1"/>
  <c r="K13" i="46" s="1"/>
  <c r="C13" i="49" s="1"/>
  <c r="H13" i="49" s="1"/>
  <c r="H7" i="24"/>
  <c r="I7" i="24" s="1"/>
  <c r="F7" i="24"/>
  <c r="H17" i="24"/>
  <c r="I17" i="24" s="1"/>
  <c r="F17" i="24"/>
  <c r="K8" i="49"/>
  <c r="B41" i="46"/>
  <c r="F9" i="4"/>
  <c r="H9" i="4"/>
  <c r="B26" i="7"/>
  <c r="E26" i="7"/>
  <c r="E51" i="46" s="1"/>
  <c r="L30" i="46" s="1"/>
  <c r="D10" i="47" s="1"/>
  <c r="D26" i="7"/>
  <c r="D51" i="46" s="1"/>
  <c r="K30" i="46" s="1"/>
  <c r="C10" i="47" s="1"/>
  <c r="C26" i="7"/>
  <c r="C51" i="46" s="1"/>
  <c r="J30" i="46" s="1"/>
  <c r="B10" i="47" s="1"/>
  <c r="H12" i="24"/>
  <c r="I12" i="24" s="1"/>
  <c r="F12" i="24"/>
  <c r="F10" i="4"/>
  <c r="H10" i="4"/>
  <c r="I10" i="4" s="1"/>
  <c r="H6" i="24"/>
  <c r="I6" i="24" s="1"/>
  <c r="F6" i="24"/>
  <c r="F28" i="24" s="1"/>
  <c r="H13" i="24"/>
  <c r="I13" i="24" s="1"/>
  <c r="F13" i="24"/>
  <c r="H15" i="24"/>
  <c r="I15" i="24" s="1"/>
  <c r="F15" i="24"/>
  <c r="J8" i="46"/>
  <c r="B8" i="49" s="1"/>
  <c r="G8" i="49" s="1"/>
  <c r="L8" i="50"/>
  <c r="B40" i="46"/>
  <c r="G138" i="3"/>
  <c r="F41" i="46"/>
  <c r="M8" i="46" s="1"/>
  <c r="B28" i="24"/>
  <c r="E28" i="24"/>
  <c r="E65" i="46" s="1"/>
  <c r="L12" i="46" s="1"/>
  <c r="D12" i="49" s="1"/>
  <c r="I12" i="49" s="1"/>
  <c r="D28" i="24"/>
  <c r="D65" i="46" s="1"/>
  <c r="K12" i="46" s="1"/>
  <c r="C12" i="49" s="1"/>
  <c r="H12" i="49" s="1"/>
  <c r="C28" i="24"/>
  <c r="C65" i="46" s="1"/>
  <c r="D29" i="24"/>
  <c r="D66" i="46" s="1"/>
  <c r="C27" i="24"/>
  <c r="C64" i="46" s="1"/>
  <c r="Q12" i="46" s="1"/>
  <c r="B12" i="50" s="1"/>
  <c r="G12" i="50" s="1"/>
  <c r="D27" i="24"/>
  <c r="D64" i="46" s="1"/>
  <c r="R12" i="46" s="1"/>
  <c r="C12" i="50" s="1"/>
  <c r="H12" i="50" s="1"/>
  <c r="E27" i="24"/>
  <c r="E64" i="46" s="1"/>
  <c r="S12" i="46" s="1"/>
  <c r="D12" i="50" s="1"/>
  <c r="I12" i="50" s="1"/>
  <c r="B27" i="24"/>
  <c r="C44" i="16"/>
  <c r="C10" i="46" s="1"/>
  <c r="Q3" i="46" s="1"/>
  <c r="B3" i="50" s="1"/>
  <c r="G3" i="50" s="1"/>
  <c r="D44" i="16"/>
  <c r="D10" i="46" s="1"/>
  <c r="R3" i="46" s="1"/>
  <c r="C3" i="50" s="1"/>
  <c r="H3" i="50" s="1"/>
  <c r="G28" i="24" l="1"/>
  <c r="F65" i="46"/>
  <c r="M12" i="46" s="1"/>
  <c r="J10" i="46"/>
  <c r="B10" i="49" s="1"/>
  <c r="G10" i="49" s="1"/>
  <c r="U8" i="46"/>
  <c r="E8" i="50"/>
  <c r="J8" i="50" s="1"/>
  <c r="K8" i="50" s="1"/>
  <c r="G27" i="24"/>
  <c r="F64" i="46"/>
  <c r="T12" i="46" s="1"/>
  <c r="I9" i="4"/>
  <c r="F29" i="4" s="1"/>
  <c r="C29" i="4"/>
  <c r="C72" i="46" s="1"/>
  <c r="B29" i="4"/>
  <c r="B72" i="46" s="1"/>
  <c r="E29" i="4"/>
  <c r="E72" i="46" s="1"/>
  <c r="D29" i="4"/>
  <c r="D72" i="46" s="1"/>
  <c r="F28" i="4"/>
  <c r="B29" i="24"/>
  <c r="B66" i="46" s="1"/>
  <c r="F29" i="24"/>
  <c r="K13" i="49"/>
  <c r="B71" i="46"/>
  <c r="K11" i="49"/>
  <c r="B59" i="46"/>
  <c r="G29" i="15"/>
  <c r="F59" i="46"/>
  <c r="M11" i="46" s="1"/>
  <c r="E29" i="24"/>
  <c r="E66" i="46" s="1"/>
  <c r="K12" i="49"/>
  <c r="B65" i="46"/>
  <c r="L12" i="50"/>
  <c r="B64" i="46"/>
  <c r="C29" i="24"/>
  <c r="C66" i="46" s="1"/>
  <c r="B12" i="49"/>
  <c r="G12" i="49" s="1"/>
  <c r="J12" i="46"/>
  <c r="N8" i="46"/>
  <c r="E8" i="49"/>
  <c r="J8" i="49" s="1"/>
  <c r="E10" i="47"/>
  <c r="B51" i="46"/>
  <c r="J13" i="46"/>
  <c r="B13" i="49" s="1"/>
  <c r="G13" i="49" s="1"/>
  <c r="K10" i="49"/>
  <c r="B53" i="46"/>
  <c r="G28" i="7"/>
  <c r="F53" i="46"/>
  <c r="M10" i="46" s="1"/>
  <c r="N10" i="46" l="1"/>
  <c r="E10" i="49"/>
  <c r="J10" i="49" s="1"/>
  <c r="G29" i="24"/>
  <c r="F66" i="46"/>
  <c r="N11" i="46"/>
  <c r="E11" i="49"/>
  <c r="J11" i="49" s="1"/>
  <c r="G28" i="4"/>
  <c r="F71" i="46"/>
  <c r="M13" i="46" s="1"/>
  <c r="N12" i="46"/>
  <c r="E12" i="49"/>
  <c r="J12" i="49" s="1"/>
  <c r="U12" i="46"/>
  <c r="E12" i="50"/>
  <c r="J12" i="50" s="1"/>
  <c r="K12" i="50" s="1"/>
  <c r="G29" i="4"/>
  <c r="F72" i="46"/>
  <c r="N13" i="46" l="1"/>
  <c r="E13" i="49"/>
  <c r="J13" i="49" s="1"/>
</calcChain>
</file>

<file path=xl/sharedStrings.xml><?xml version="1.0" encoding="utf-8"?>
<sst xmlns="http://schemas.openxmlformats.org/spreadsheetml/2006/main" count="3763" uniqueCount="976">
  <si>
    <t>Code BSS</t>
  </si>
  <si>
    <r>
      <t>Transmissivité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. s-1)</t>
    </r>
  </si>
  <si>
    <t>Perméabilité (m . s-1)</t>
  </si>
  <si>
    <t>Références</t>
  </si>
  <si>
    <t>Departement</t>
  </si>
  <si>
    <t>Commune</t>
  </si>
  <si>
    <t>Lieu_dit</t>
  </si>
  <si>
    <t>XL93</t>
  </si>
  <si>
    <t>YL93</t>
  </si>
  <si>
    <t>id</t>
  </si>
  <si>
    <t>code</t>
  </si>
  <si>
    <t>Scans BSS</t>
  </si>
  <si>
    <t>07298X0017</t>
  </si>
  <si>
    <t>GRAYAN-ET-L'HOPITAL</t>
  </si>
  <si>
    <t>VIDEAU 2</t>
  </si>
  <si>
    <t>EOCS</t>
  </si>
  <si>
    <t>07305X0047</t>
  </si>
  <si>
    <t>MAURELLES</t>
  </si>
  <si>
    <t>07542X0014</t>
  </si>
  <si>
    <t>CIVRAC-EN-MEDOC</t>
  </si>
  <si>
    <t>ESCURAC</t>
  </si>
  <si>
    <t>08045X0022</t>
  </si>
  <si>
    <t>VAYRES</t>
  </si>
  <si>
    <t>USINE DE VAYRES</t>
  </si>
  <si>
    <t>07788X0038</t>
  </si>
  <si>
    <t>AVENSAN</t>
  </si>
  <si>
    <t>STADE RAYMOND SABOURDY</t>
  </si>
  <si>
    <t>07298X0019</t>
  </si>
  <si>
    <t>VENSAC</t>
  </si>
  <si>
    <t>TASTE SOULE  G1</t>
  </si>
  <si>
    <t>EOCM</t>
  </si>
  <si>
    <t>07298X0020</t>
  </si>
  <si>
    <t>COUTRILLADE  G3</t>
  </si>
  <si>
    <t>07298X0021</t>
  </si>
  <si>
    <t>VENDAYS-MONTALIVET</t>
  </si>
  <si>
    <t>MONTALIVET</t>
  </si>
  <si>
    <t>07305X0036</t>
  </si>
  <si>
    <t>JAU-DIGNAC-ET-LOIRAC</t>
  </si>
  <si>
    <t>NOAILLAC</t>
  </si>
  <si>
    <t>07305X0049</t>
  </si>
  <si>
    <t>DEHES  G2</t>
  </si>
  <si>
    <t>07541X0028</t>
  </si>
  <si>
    <t>BOURG</t>
  </si>
  <si>
    <t>07552X0012</t>
  </si>
  <si>
    <t>SAINT-CIERS-SUR-GIRONDE</t>
  </si>
  <si>
    <t>GOURBEUIL</t>
  </si>
  <si>
    <t>07556X0046</t>
  </si>
  <si>
    <t>BRAUD-ET-SAINT-LOUIS</t>
  </si>
  <si>
    <t>LE BOURG NORD -STADE DE FOOTBALL-</t>
  </si>
  <si>
    <t>07784X0079</t>
  </si>
  <si>
    <t>BRGM/RP-53657-FR</t>
  </si>
  <si>
    <t>SAINT-JULIEN-BEYCHEVELLE</t>
  </si>
  <si>
    <t>COMMUNAL DU NORD</t>
  </si>
  <si>
    <t>07796X0101</t>
  </si>
  <si>
    <t>LANSAC</t>
  </si>
  <si>
    <t>DEMOISELLES</t>
  </si>
  <si>
    <t>07796X0102</t>
  </si>
  <si>
    <t>AMBES</t>
  </si>
  <si>
    <t>SAINT-VINCENT</t>
  </si>
  <si>
    <t>08033X0303</t>
  </si>
  <si>
    <t>R30005AQI4S89</t>
  </si>
  <si>
    <t>BASSENS</t>
  </si>
  <si>
    <t>QUAI ALFRED DE VIAL</t>
  </si>
  <si>
    <t>08037X0418</t>
  </si>
  <si>
    <t>CARBON-BLANC</t>
  </si>
  <si>
    <t>CHAMBOURCY</t>
  </si>
  <si>
    <t>08037X0425</t>
  </si>
  <si>
    <t>CENON</t>
  </si>
  <si>
    <t>LA MAREGUE</t>
  </si>
  <si>
    <t>08037X0426</t>
  </si>
  <si>
    <t>BOULIAC</t>
  </si>
  <si>
    <t>GENDARMERIE</t>
  </si>
  <si>
    <t>08037X0429</t>
  </si>
  <si>
    <t>LORMONT</t>
  </si>
  <si>
    <t>LA RAMADE</t>
  </si>
  <si>
    <t>08042X0039</t>
  </si>
  <si>
    <t>LIBOURNE</t>
  </si>
  <si>
    <t>BALASTIERE</t>
  </si>
  <si>
    <t>08042X0078</t>
  </si>
  <si>
    <t>BONZAC</t>
  </si>
  <si>
    <t>SYNDICAT GUITRES</t>
  </si>
  <si>
    <t>08045X0023</t>
  </si>
  <si>
    <t>Scans BSS + rapport 69SGL196AQI</t>
  </si>
  <si>
    <t>08764X0005</t>
  </si>
  <si>
    <t>CAUVIGNAC</t>
  </si>
  <si>
    <t>GRIGNOLS - RIPPES</t>
  </si>
  <si>
    <t>08764X0008</t>
  </si>
  <si>
    <t>GRIGNOLS</t>
  </si>
  <si>
    <t>BARRY</t>
  </si>
  <si>
    <t>07793X0004</t>
  </si>
  <si>
    <t>PUGNAC</t>
  </si>
  <si>
    <t>SAINT-URBAIN</t>
  </si>
  <si>
    <t>07805X0016</t>
  </si>
  <si>
    <t>SALIGNAC</t>
  </si>
  <si>
    <t>LES NAUVES - SECTION AC - PARCELLE 179</t>
  </si>
  <si>
    <t>07787X0011</t>
  </si>
  <si>
    <t xml:space="preserve"> Larroque (2004) Gestion globale d'un système aquifère complexe - Application à l'ensemble aquifère multicouche médocain, Thèse de doctorat, Université Michel de Montaigne - Bordeaux 3, 253p, 2004</t>
  </si>
  <si>
    <t>MOULIS-EN-MEDOC</t>
  </si>
  <si>
    <t>SIVAILLAN</t>
  </si>
  <si>
    <t>08022x0008</t>
  </si>
  <si>
    <t>SAINTE-HELENE</t>
  </si>
  <si>
    <t>ETANG DE LA LEVADE</t>
  </si>
  <si>
    <t>08028X0007</t>
  </si>
  <si>
    <t>Thèse Hosteins</t>
  </si>
  <si>
    <t>SAINT-MEDARD-EN-JALLES</t>
  </si>
  <si>
    <t>POUDRERIE</t>
  </si>
  <si>
    <t>07305X0022</t>
  </si>
  <si>
    <t>JAU 1</t>
  </si>
  <si>
    <t>CENO</t>
  </si>
  <si>
    <t>07355X0005</t>
  </si>
  <si>
    <t>SAINT-PIERRE-DE-COLE</t>
  </si>
  <si>
    <t>VALLEE DE LA COLE</t>
  </si>
  <si>
    <t>07583X0019</t>
  </si>
  <si>
    <t>PAUSSAC-ET-SAINT-VIVIEN</t>
  </si>
  <si>
    <t>LES GUICHARDS</t>
  </si>
  <si>
    <t>07071X0032</t>
  </si>
  <si>
    <t>H1 2001110042 HYDRO INVEST Méthode  de Eden-Hazel à l'ensemble des données 'niveaux-débits'. Page 9 et page 11. Fiig 10 - Forage de Mr LANGLAIS Lionel Le Pont de la Galoche 17 - RETAUD</t>
  </si>
  <si>
    <t>RETAUD</t>
  </si>
  <si>
    <t>PONT DE LA GALOCHE</t>
  </si>
  <si>
    <t>H1 2001110042 HYDRO INVEST Méthode  de Eden-Hazel à l'ensemble des données 'niveaux-débits'.Page 9 et page 11</t>
  </si>
  <si>
    <t>H1 2001110042 HYDRO INVEST Méthode de Theis sur un forage proche (300m). Page 9</t>
  </si>
  <si>
    <t>Etude de Monsieur LANGLAIS Lionel HYDRO INVEST.Distance au piézomètre Gilbert (300m)</t>
  </si>
  <si>
    <t>07081X0507</t>
  </si>
  <si>
    <t>Figure 6 BRGM73SGN348 AQI</t>
  </si>
  <si>
    <t>COGNAC</t>
  </si>
  <si>
    <t>PARC FRANCOIS I - ZII AC</t>
  </si>
  <si>
    <t>Evolution du niveau dynamique après un pompage de 72 heures sur le forage ZIIAC -Figure 8- BRGM 73SGN348AQI</t>
  </si>
  <si>
    <t>07081X0510</t>
  </si>
  <si>
    <t>Figue 6 BRGM 73SGN26AQUI. Evolution du niveau dynamique du forage ZIIBC2 pendant le le pompage de 72H  à 80m3/h</t>
  </si>
  <si>
    <t>FORAGE ZII BC 2 DU PARC FRANCOIS I</t>
  </si>
  <si>
    <t>Figue 7 BRGM 73SGN26AQUI. Evolution du niveau dynamique du forage ZIIBC2 pendant le le pompage de 72H  à 80m3/h</t>
  </si>
  <si>
    <t>07081X0513</t>
  </si>
  <si>
    <t>Evolution du niveau dynamique du forage ZIIEC au cours du pompage du 14 au 17 mars 1972 au débit 29m3/h</t>
  </si>
  <si>
    <t>FORAGE ZII EC DU PARC FRANCOIS I</t>
  </si>
  <si>
    <t>Evolution du niveau dynamique du forage ZIIEC</t>
  </si>
  <si>
    <t>07081X0528</t>
  </si>
  <si>
    <t xml:space="preserve">Evolution du niveau dynamique du forage ZIIDC </t>
  </si>
  <si>
    <t>FORAGE ZII DC DU PARC FRANCOIS 1ER</t>
  </si>
  <si>
    <t>Remontée du niveau d'eau après le pompage de 72h à 53m3/h</t>
  </si>
  <si>
    <t>Evolution du niveau dynamique du forage ZII DC</t>
  </si>
  <si>
    <t>07312X0002</t>
  </si>
  <si>
    <t>Document d'incidence / Evaluation de la ressource exploitable de la resurgence des fontaines bleues (Cne de St Dizant du GUA. Rapport Calligée 9-17001</t>
  </si>
  <si>
    <t>SAINT-QUANTIN-DE-RANCANNE</t>
  </si>
  <si>
    <t>FONT PRADELLE</t>
  </si>
  <si>
    <t>Document d'incidence / Evaluation de la ressource exploitable de la resurgence des fontaines bleues (Cne de St Dizant du GUA. Rapport Calligée 9-17001 page 16</t>
  </si>
  <si>
    <t>07312X0035</t>
  </si>
  <si>
    <t>Dossier d'incidence hydrogéologique -Prélèvement d'eaux souterraines.Décrets 93-742 et 93-743. Forage au lieu dit "Maine Chérac-Chez Fleuret". S.JOSENSIn°93970904  PAGE 8 -13. Bureau d'Etudes des Sols Antraize 17380 Tonnay-Boutonne</t>
  </si>
  <si>
    <t>BOIS</t>
  </si>
  <si>
    <t>LE PIS BAS</t>
  </si>
  <si>
    <t>07542X0044</t>
  </si>
  <si>
    <t>BRGM88SGN78AQI</t>
  </si>
  <si>
    <t>LESPARRE-MEDOC</t>
  </si>
  <si>
    <t>CHAMP-FOIRE</t>
  </si>
  <si>
    <t>07548X0010</t>
  </si>
  <si>
    <t>SAINT-ESTEPHE</t>
  </si>
  <si>
    <t>ZONE INDUSTRIELLE DE TROMPELOUP</t>
  </si>
  <si>
    <t>08294X0011</t>
  </si>
  <si>
    <t>Rapport BRGM</t>
  </si>
  <si>
    <t>MONESTIER</t>
  </si>
  <si>
    <t>CHATEAU LE VIGIER.GOLF</t>
  </si>
  <si>
    <t>07555X0030</t>
  </si>
  <si>
    <t>BRGM75AQI31</t>
  </si>
  <si>
    <t>CENTRE NUCLÃ‰AIRE DE PRODUCTION D'Ã‰LECTRICITÃ‰ DU BLAYAIS</t>
  </si>
  <si>
    <t>CAMP</t>
  </si>
  <si>
    <t>07555X0070</t>
  </si>
  <si>
    <t>07555X0072</t>
  </si>
  <si>
    <t>09261X0008</t>
  </si>
  <si>
    <t>ROQUEFORT</t>
  </si>
  <si>
    <t>CHEMIN DE CROUZE - STADE MICHEL SARRO</t>
  </si>
  <si>
    <t>09267X0014</t>
  </si>
  <si>
    <t>BETBEZER-D'ARMAGNAC</t>
  </si>
  <si>
    <t>BETBEZER</t>
  </si>
  <si>
    <t>08052X0013</t>
  </si>
  <si>
    <t>SAINT-MARTIN-DE-GURSON</t>
  </si>
  <si>
    <t>LAC OUEST</t>
  </si>
  <si>
    <t>08304X0023</t>
  </si>
  <si>
    <t>MONTAUT</t>
  </si>
  <si>
    <t>LE GRAND MOULIN (NOUVEAU)</t>
  </si>
  <si>
    <t>07315X0002</t>
  </si>
  <si>
    <t>Evaluation de la ressource exploitable de la resurgence des fontainesbleues (Cne de St Dizant du GUA).Rapport Calligée page  6</t>
  </si>
  <si>
    <t>SAINT-DIZANT-DU-GUA</t>
  </si>
  <si>
    <t>FONT GRANIER - LES FONTAINES BLEUES</t>
  </si>
  <si>
    <t>07321X0044</t>
  </si>
  <si>
    <t>Forage de MonsieurMANGUENAUD chez Boucher -SAINTE Lheurine(17) Niveaux en pompage à fifferents debits -Campagne de 1000 Heures. HYDRO INVEST (Fig 7)</t>
  </si>
  <si>
    <t>SAINTE-LHEURINE</t>
  </si>
  <si>
    <t>LES COMBAUTIERES</t>
  </si>
  <si>
    <t>07565X0074</t>
  </si>
  <si>
    <t xml:space="preserve">Rapport d'expertise à propos de la protection du forage A.E.P. dit du pénitencier. Commune de Bussac-Foret. parJ.VOUVE Hydrogéologue agrée en matière d'eau et d'hygiène publique pour le département de la Charente-Maritime. Centre d'Hydrogéologie Université de Bordeaux I.  Mars 85.Figure 1 et 2 Evolution du niveau dynamique observé le 05/11/1971 après un pompage de 44H. BEDENAC -17- Forage du pénitencier. </t>
  </si>
  <si>
    <t>BEDENAC</t>
  </si>
  <si>
    <t>FORAGE DU PENITENCIER DE BUSSAC-FORET</t>
  </si>
  <si>
    <t>07575X0501</t>
  </si>
  <si>
    <t>Page 11 BRGM80SGN009AQI. Synthèse Hydrogéologique du département de la Charente.Inventaire des ouvrages de captages - Captages A.E.P.</t>
  </si>
  <si>
    <t>MEDILLAC</t>
  </si>
  <si>
    <t>DEVANNE NÂ°2</t>
  </si>
  <si>
    <t>Figure 7 BRGM80SGN009AQI.Pompage de 24- Chalais(Charente)</t>
  </si>
  <si>
    <t>07597X0007</t>
  </si>
  <si>
    <t>CHANGE(LE)</t>
  </si>
  <si>
    <t>LA PRADE</t>
  </si>
  <si>
    <t>BACX</t>
  </si>
  <si>
    <t>08084X0009</t>
  </si>
  <si>
    <t>Rapport BRGM R 35051 AQI 4S 92</t>
  </si>
  <si>
    <t>BORREZE</t>
  </si>
  <si>
    <t>MOULIN DE CLAUD</t>
  </si>
  <si>
    <t>08773X0011</t>
  </si>
  <si>
    <t>Avis hydrogéologue agréé - 14/01/1991 - J. Aubic</t>
  </si>
  <si>
    <t>LAGRUERE</t>
  </si>
  <si>
    <t>MOULIOT</t>
  </si>
  <si>
    <t>08786X0003</t>
  </si>
  <si>
    <t>PRAYSSAS</t>
  </si>
  <si>
    <t>NEGUENOU - PARCELLE NUM. 466, SECTION D</t>
  </si>
  <si>
    <t>09023X0016</t>
  </si>
  <si>
    <t>AGEN</t>
  </si>
  <si>
    <t>AGEN-ROUQUET 1</t>
  </si>
  <si>
    <t>09023X0017</t>
  </si>
  <si>
    <t>AGEN-ROUQUET 2</t>
  </si>
  <si>
    <t>07356X0022</t>
  </si>
  <si>
    <t>Rapport BRGM/RP-29298-FR</t>
  </si>
  <si>
    <t>LEMPZOURS</t>
  </si>
  <si>
    <t>LES RENAUDIES - PARCELLE 81, PIÃˆCE B</t>
  </si>
  <si>
    <t>07587X0005</t>
  </si>
  <si>
    <t>MARSAC-SUR-L'ISLE</t>
  </si>
  <si>
    <t>FROMARSAC</t>
  </si>
  <si>
    <t>07828X0040</t>
  </si>
  <si>
    <t>VERGT</t>
  </si>
  <si>
    <t>PONT ROMIEU OUEST</t>
  </si>
  <si>
    <t>07836X0009</t>
  </si>
  <si>
    <t>CENDRIEUX</t>
  </si>
  <si>
    <t>LES VIGNES 1, AFFLUENT DU VERN</t>
  </si>
  <si>
    <t>08078X0071</t>
  </si>
  <si>
    <t>MOUZENS</t>
  </si>
  <si>
    <t>SOULEILLAL, SECTION A, PARCELLE NÂ° 926</t>
  </si>
  <si>
    <t>07834X0012</t>
  </si>
  <si>
    <t>AJAT</t>
  </si>
  <si>
    <t>LES JARISSOUX</t>
  </si>
  <si>
    <t>BAJO</t>
  </si>
  <si>
    <t>07841X0019</t>
  </si>
  <si>
    <t>Bernard Angéli - SIAEP de Condat-le-Lardin - Création d'une nouvelle ressource en eau sur la commune de La Bachellerie à paartir des nappes souterraines</t>
  </si>
  <si>
    <t>BACHELLERIE(LA)</t>
  </si>
  <si>
    <t>CHARNAILLAS</t>
  </si>
  <si>
    <t>07843X0014</t>
  </si>
  <si>
    <t>Bernard Angéli - SIAEP du Causse de Terrasson - Recherches d'eau souterraines - Rappoirt de fin de reconnaissance</t>
  </si>
  <si>
    <t>COLY</t>
  </si>
  <si>
    <t>PRÃˆS DE LA RIVIERE</t>
  </si>
  <si>
    <t>07843X0015</t>
  </si>
  <si>
    <t>LA RIVIERE</t>
  </si>
  <si>
    <t>07107X0031</t>
  </si>
  <si>
    <t>JAVERLHAC-ET-LA-CHAPELLE-SAINT-ROBERT</t>
  </si>
  <si>
    <t>CHANTEGROS OU LA FONDAINE DE CANAL</t>
  </si>
  <si>
    <t>07343X0009</t>
  </si>
  <si>
    <t>SAINT-FRONT-SUR-NIZONNE</t>
  </si>
  <si>
    <t>PUYBARONNEAU</t>
  </si>
  <si>
    <t>07588X0047</t>
  </si>
  <si>
    <t>CHANCELADE</t>
  </si>
  <si>
    <t>ZAE DES GABARES</t>
  </si>
  <si>
    <t>08316X0017</t>
  </si>
  <si>
    <t>GAUGEAC</t>
  </si>
  <si>
    <t>SEGALASSOU</t>
  </si>
  <si>
    <t>07844X0003</t>
  </si>
  <si>
    <t>PAZAYAC</t>
  </si>
  <si>
    <t>LE JABANEL</t>
  </si>
  <si>
    <t>MERIGNAC</t>
  </si>
  <si>
    <t>OLNP</t>
  </si>
  <si>
    <t>PARENTIS-EN-BORN</t>
  </si>
  <si>
    <t>08756X0030</t>
  </si>
  <si>
    <t>SORE</t>
  </si>
  <si>
    <t>LA COURGEYRE</t>
  </si>
  <si>
    <t>08974X0011</t>
  </si>
  <si>
    <t>PONTENX-LES-FORGES</t>
  </si>
  <si>
    <t>MENAUT, SAINTE-TROSSE</t>
  </si>
  <si>
    <t>08733X0016</t>
  </si>
  <si>
    <t>BISCARROSSE</t>
  </si>
  <si>
    <t>ISPE</t>
  </si>
  <si>
    <t>08775X0021</t>
  </si>
  <si>
    <t>RUFFIAC</t>
  </si>
  <si>
    <t>A 800 mÃ¨tres au Nord-Est du lieu-dit Bareyre</t>
  </si>
  <si>
    <t>09016X0008</t>
  </si>
  <si>
    <t>DURANCE</t>
  </si>
  <si>
    <t>LANDES DE LA GRAVETTE</t>
  </si>
  <si>
    <t>09016X0009</t>
  </si>
  <si>
    <t>09248X0113</t>
  </si>
  <si>
    <t>VILLENAVE</t>
  </si>
  <si>
    <t>LABASTIDE - FORAGE NÂ° 3</t>
  </si>
  <si>
    <t>09503X0048</t>
  </si>
  <si>
    <t>TARTAS</t>
  </si>
  <si>
    <t>CELLULOSE DU PIN</t>
  </si>
  <si>
    <t>09504X0001</t>
  </si>
  <si>
    <t>BOURGUIGNON</t>
  </si>
  <si>
    <t>09505X0011</t>
  </si>
  <si>
    <t>SAINT-VINCENT-DE-PAUL</t>
  </si>
  <si>
    <t>BEL AIR, F1 CHATEAU D'EAU</t>
  </si>
  <si>
    <t>09764X0024</t>
  </si>
  <si>
    <t>SAINT-PAUL-LES-DAX</t>
  </si>
  <si>
    <t>TALLEBAY</t>
  </si>
  <si>
    <t>09771X0007</t>
  </si>
  <si>
    <t>DAX</t>
  </si>
  <si>
    <t>SAUBAGNACQ</t>
  </si>
  <si>
    <t>07538X0002</t>
  </si>
  <si>
    <t>HOURTIN</t>
  </si>
  <si>
    <t>BASE AERONAVALE</t>
  </si>
  <si>
    <t>07538X0007</t>
  </si>
  <si>
    <t>07546X0042</t>
  </si>
  <si>
    <t>PARCELLE CADASTRALE : AM 17</t>
  </si>
  <si>
    <t>07546X0043</t>
  </si>
  <si>
    <t>07778X0033</t>
  </si>
  <si>
    <t>LACANAU</t>
  </si>
  <si>
    <t>HUGA</t>
  </si>
  <si>
    <t>07786X0057</t>
  </si>
  <si>
    <t>BRACH</t>
  </si>
  <si>
    <t>LE MAYNE BERNARD - SECTION OA, PARCELLE 521</t>
  </si>
  <si>
    <t>08018X0019</t>
  </si>
  <si>
    <t>PORGE(LE)</t>
  </si>
  <si>
    <t>CHATEAU D'EAU - PLACE SAINT SEURIN</t>
  </si>
  <si>
    <t>08031X0258</t>
  </si>
  <si>
    <t>PIAN-MEDOC(LE)</t>
  </si>
  <si>
    <t>DECONS SA ROUTE DE SOULAC  CHABENAU</t>
  </si>
  <si>
    <t>08031X0259</t>
  </si>
  <si>
    <t>DECONS SA - ROUTE DE SOULAC  CHABANNEAU</t>
  </si>
  <si>
    <t>08271X0237</t>
  </si>
  <si>
    <t>BRGM/RP-67254-FR</t>
  </si>
  <si>
    <t>PESSAC</t>
  </si>
  <si>
    <t>CAP-DE-BOS</t>
  </si>
  <si>
    <t>08271X0246</t>
  </si>
  <si>
    <t>CANEJAN</t>
  </si>
  <si>
    <t>PETIT BORDEAUX</t>
  </si>
  <si>
    <t>08271X0248</t>
  </si>
  <si>
    <t>GRANET</t>
  </si>
  <si>
    <t>08271X0250</t>
  </si>
  <si>
    <t>BACALAN</t>
  </si>
  <si>
    <t>08272X0456</t>
  </si>
  <si>
    <t>LEOGNAN</t>
  </si>
  <si>
    <t>SAUSSETTE</t>
  </si>
  <si>
    <t>08276X0006</t>
  </si>
  <si>
    <t>RAMBOUILLET</t>
  </si>
  <si>
    <t>08276X0067</t>
  </si>
  <si>
    <t>SAUCATS</t>
  </si>
  <si>
    <t>SABATEY</t>
  </si>
  <si>
    <t>08276X0068</t>
  </si>
  <si>
    <t>PINS VERTS</t>
  </si>
  <si>
    <t>08276X0088</t>
  </si>
  <si>
    <t>BONOIS</t>
  </si>
  <si>
    <t>08276X0089</t>
  </si>
  <si>
    <t>MIJELANE</t>
  </si>
  <si>
    <t>08276X0090</t>
  </si>
  <si>
    <t>BRGM/RP-65339-FR</t>
  </si>
  <si>
    <t>Ancien Moulin LaguÃ«s</t>
  </si>
  <si>
    <t>08276X0091</t>
  </si>
  <si>
    <t>MARTILLAC</t>
  </si>
  <si>
    <t>LA CAPE</t>
  </si>
  <si>
    <t>08277X0005</t>
  </si>
  <si>
    <t>CASTRES-GIRONDE</t>
  </si>
  <si>
    <t>BELLEFOND HYDRO TRAVAUX 2</t>
  </si>
  <si>
    <t>08277X0009</t>
  </si>
  <si>
    <t>ROCHER 3</t>
  </si>
  <si>
    <t>08277X0157</t>
  </si>
  <si>
    <t>BREDE(LA)</t>
  </si>
  <si>
    <t>GUIGEOT</t>
  </si>
  <si>
    <t>08277X0164</t>
  </si>
  <si>
    <t>SAINT-MEDARD-D'EYRANS</t>
  </si>
  <si>
    <t>BLAYET 2</t>
  </si>
  <si>
    <t>08277X0166</t>
  </si>
  <si>
    <t>LA-SAUQUE</t>
  </si>
  <si>
    <t>08277X0169</t>
  </si>
  <si>
    <t>HAUT NOUCHET</t>
  </si>
  <si>
    <t>08512X0019</t>
  </si>
  <si>
    <t>BRUYERES</t>
  </si>
  <si>
    <t>08512X0022</t>
  </si>
  <si>
    <t>CASSINEY</t>
  </si>
  <si>
    <t>08022X0009</t>
  </si>
  <si>
    <t>08022X0012</t>
  </si>
  <si>
    <t>TOURIAC</t>
  </si>
  <si>
    <t>08023X0039</t>
  </si>
  <si>
    <t xml:space="preserve"> R 34445 AQI 4S 92</t>
  </si>
  <si>
    <t>STATION</t>
  </si>
  <si>
    <t>08026X0034</t>
  </si>
  <si>
    <t xml:space="preserve">BRGM/RP-68406-FR </t>
  </si>
  <si>
    <t>SAUMOS</t>
  </si>
  <si>
    <t>COMMUNAL</t>
  </si>
  <si>
    <t>08277X0312</t>
  </si>
  <si>
    <t xml:space="preserve">BRGM/RP-65339-FR </t>
  </si>
  <si>
    <t>SAINT-MORILLON</t>
  </si>
  <si>
    <t>JACOULET</t>
  </si>
  <si>
    <t>08276X0131</t>
  </si>
  <si>
    <t>MOULIN D'AUGEY</t>
  </si>
  <si>
    <t>08276X0138</t>
  </si>
  <si>
    <t>Peloua - Parcelle 945, section C</t>
  </si>
  <si>
    <t>07298X0002</t>
  </si>
  <si>
    <t>07538X0009</t>
  </si>
  <si>
    <t>EX CENTRE D'ESSAIS DES LANDES</t>
  </si>
  <si>
    <t>07538X0010</t>
  </si>
  <si>
    <t>PLAGE - LES GENÃŠTS - HOURTIN 1 BIS</t>
  </si>
  <si>
    <t>07774X0002</t>
  </si>
  <si>
    <t>CENTRE D'ESSAIS DES LANDES - PHARE</t>
  </si>
  <si>
    <t>08035X0372</t>
  </si>
  <si>
    <t>54 AVENUE MARCEL DASSAULT</t>
  </si>
  <si>
    <t>08035X0379</t>
  </si>
  <si>
    <t>HAILLAN(LE)</t>
  </si>
  <si>
    <t>SNECMA (EX S.E.P.)</t>
  </si>
  <si>
    <t>08035X0382</t>
  </si>
  <si>
    <t>THALES AVIONICS - THOMSON - EX SUD-AVIATION</t>
  </si>
  <si>
    <t>08035X0398</t>
  </si>
  <si>
    <t>LE RUET</t>
  </si>
  <si>
    <t>08258X0004</t>
  </si>
  <si>
    <t>ARCACHON</t>
  </si>
  <si>
    <t>DOCKS</t>
  </si>
  <si>
    <t>08264X0012</t>
  </si>
  <si>
    <t>SAINT-JEAN-D'ILLAC</t>
  </si>
  <si>
    <t>BOULAC</t>
  </si>
  <si>
    <t>08265X0001</t>
  </si>
  <si>
    <t>AUDENGE</t>
  </si>
  <si>
    <t>CHATEAU D'EAU</t>
  </si>
  <si>
    <t>08266X0061</t>
  </si>
  <si>
    <t>BIGANOS</t>
  </si>
  <si>
    <t>TAGON</t>
  </si>
  <si>
    <t>08267X0014</t>
  </si>
  <si>
    <t>MARCHEPRIME</t>
  </si>
  <si>
    <t>08267X0017</t>
  </si>
  <si>
    <t>PRIM</t>
  </si>
  <si>
    <t>08268X0026</t>
  </si>
  <si>
    <t>BARP(LE)</t>
  </si>
  <si>
    <t>CEA - LE BARP</t>
  </si>
  <si>
    <t>08271X0007</t>
  </si>
  <si>
    <t>JACOB</t>
  </si>
  <si>
    <t>08271X0008</t>
  </si>
  <si>
    <t>08271X0009</t>
  </si>
  <si>
    <t>VICTOR</t>
  </si>
  <si>
    <t>08271X0012</t>
  </si>
  <si>
    <t>SAIGE</t>
  </si>
  <si>
    <t>08271X0102</t>
  </si>
  <si>
    <t>BASE AÃ‰RIENNE 106</t>
  </si>
  <si>
    <t>08271X0106</t>
  </si>
  <si>
    <t>LE LAC VERT (DUPRAT-DURAND)</t>
  </si>
  <si>
    <t>08271X0110</t>
  </si>
  <si>
    <t>08271X0113</t>
  </si>
  <si>
    <t>CESTAS</t>
  </si>
  <si>
    <t>LE BOUZET</t>
  </si>
  <si>
    <t>08271X0152</t>
  </si>
  <si>
    <t>PRINCESSE</t>
  </si>
  <si>
    <t>08271X0170</t>
  </si>
  <si>
    <t>MOUTINE</t>
  </si>
  <si>
    <t>08271X0236</t>
  </si>
  <si>
    <t>MAGONTY</t>
  </si>
  <si>
    <t>08271X0238</t>
  </si>
  <si>
    <t>LA HOUSE</t>
  </si>
  <si>
    <t>08272X0003</t>
  </si>
  <si>
    <t>GRADIGNAN</t>
  </si>
  <si>
    <t>CHATEAU LABURTHE - INSTITUT DES JEUNES SOURDS</t>
  </si>
  <si>
    <t>08272X0018</t>
  </si>
  <si>
    <t>COQS-ROUGES</t>
  </si>
  <si>
    <t>08272X0058</t>
  </si>
  <si>
    <t>MONJOUX</t>
  </si>
  <si>
    <t>08272X0116</t>
  </si>
  <si>
    <t>VILLENAVE-D'ORNON</t>
  </si>
  <si>
    <t>LA GRANDE FERRADE - PARCELLE CADASTRALE A1 61</t>
  </si>
  <si>
    <t>08272X0132</t>
  </si>
  <si>
    <t>MAUGUETTE</t>
  </si>
  <si>
    <t>08272X0285</t>
  </si>
  <si>
    <t>CAZEAUX 1</t>
  </si>
  <si>
    <t>08272X0292</t>
  </si>
  <si>
    <t>STADIUM</t>
  </si>
  <si>
    <t>08272X0316</t>
  </si>
  <si>
    <t>CENTRE D'Ã‰TUDES NUCLÃ‰AIRES</t>
  </si>
  <si>
    <t>08272X0328</t>
  </si>
  <si>
    <t>LA PAILLERE</t>
  </si>
  <si>
    <t>08272X0337</t>
  </si>
  <si>
    <t>LA GRANDE FERRADE - PARCELLE CADASTRALE AI 61</t>
  </si>
  <si>
    <t>08272X0384</t>
  </si>
  <si>
    <t>TALENCE</t>
  </si>
  <si>
    <t>Ecole de Management</t>
  </si>
  <si>
    <t>08272X0385</t>
  </si>
  <si>
    <t>BAGATELLE</t>
  </si>
  <si>
    <t>08276X0001</t>
  </si>
  <si>
    <t>08277X0123</t>
  </si>
  <si>
    <t>STADE</t>
  </si>
  <si>
    <t>08277X0163</t>
  </si>
  <si>
    <t>PONTET</t>
  </si>
  <si>
    <t>08277X0170</t>
  </si>
  <si>
    <t>MARSALETTE</t>
  </si>
  <si>
    <t>08277X0175</t>
  </si>
  <si>
    <t>SAINT-SELVE</t>
  </si>
  <si>
    <t>LAGRANGE</t>
  </si>
  <si>
    <t>08278X0125</t>
  </si>
  <si>
    <t>PORTETS</t>
  </si>
  <si>
    <t>CURCIE PETITON</t>
  </si>
  <si>
    <t>08285X0011</t>
  </si>
  <si>
    <t>PODENSAC</t>
  </si>
  <si>
    <t>COURS DU GÃ‰NÃ‰RAL DE GAULLE</t>
  </si>
  <si>
    <t>08498X0008</t>
  </si>
  <si>
    <t>TESTE-DE-BUCH(LA)</t>
  </si>
  <si>
    <t>CAZAUX 50</t>
  </si>
  <si>
    <t>08498X0017</t>
  </si>
  <si>
    <t>CAZAUX-24</t>
  </si>
  <si>
    <t>08498X0020</t>
  </si>
  <si>
    <t>CAZAUX 28</t>
  </si>
  <si>
    <t>08501X0005</t>
  </si>
  <si>
    <t>GUJAN-MESTRAS</t>
  </si>
  <si>
    <t>PASSERELLE</t>
  </si>
  <si>
    <t>08508X0016</t>
  </si>
  <si>
    <t>BELIN-BELIET</t>
  </si>
  <si>
    <t>BOURDIEU</t>
  </si>
  <si>
    <t>08527X0001</t>
  </si>
  <si>
    <t>AUROS</t>
  </si>
  <si>
    <t>FOIRAIL</t>
  </si>
  <si>
    <t>09505X0010</t>
  </si>
  <si>
    <t>HIPPODROME</t>
  </si>
  <si>
    <t>09506X0004</t>
  </si>
  <si>
    <t>PONTONX-SUR-L'ADOUR</t>
  </si>
  <si>
    <t>PETCHE</t>
  </si>
  <si>
    <t>08035X0483</t>
  </si>
  <si>
    <t>S.E.P. GRAVIÃˆRES</t>
  </si>
  <si>
    <t>AQUI</t>
  </si>
  <si>
    <t>08745X0070</t>
  </si>
  <si>
    <t>POMS</t>
  </si>
  <si>
    <t>08733X0003</t>
  </si>
  <si>
    <t>LA PLAGE</t>
  </si>
  <si>
    <t>08744X0028</t>
  </si>
  <si>
    <t>SAUGNACQ-ET-MURET</t>
  </si>
  <si>
    <t>MENAYE</t>
  </si>
  <si>
    <t>08984X0010</t>
  </si>
  <si>
    <t>COMMENSACQ</t>
  </si>
  <si>
    <t>08986X0002</t>
  </si>
  <si>
    <t>SOLFERINO</t>
  </si>
  <si>
    <t>COMMUNE</t>
  </si>
  <si>
    <t>09245X0128</t>
  </si>
  <si>
    <t>LESPERON</t>
  </si>
  <si>
    <t>CHARLOT, CHÃ‚TEAU D'EAU,  SECTION P, PARCELLES 366, 542</t>
  </si>
  <si>
    <t>09271X0003</t>
  </si>
  <si>
    <t>BAUDIGNAN</t>
  </si>
  <si>
    <t>09271X0004</t>
  </si>
  <si>
    <t>FORAGE COMMUNAL</t>
  </si>
  <si>
    <t>09491X0010</t>
  </si>
  <si>
    <t>MOLIETS-ET-MAA</t>
  </si>
  <si>
    <t>HOURON</t>
  </si>
  <si>
    <t>09497X0051</t>
  </si>
  <si>
    <t>MAGESCQ</t>
  </si>
  <si>
    <t>CERE</t>
  </si>
  <si>
    <t>09515X0036</t>
  </si>
  <si>
    <t>LAMOTHE</t>
  </si>
  <si>
    <t>BIDON</t>
  </si>
  <si>
    <t>07787X0002</t>
  </si>
  <si>
    <t>PARCELLE CADASTRALE : CA135</t>
  </si>
  <si>
    <t>08022X0010</t>
  </si>
  <si>
    <t>08026X0001</t>
  </si>
  <si>
    <t>08035X0352</t>
  </si>
  <si>
    <t>19 RUE MARCEL ISSARTIER</t>
  </si>
  <si>
    <t>08512X0021</t>
  </si>
  <si>
    <t>LES SAULES - DOMAINE</t>
  </si>
  <si>
    <t>09497X0014</t>
  </si>
  <si>
    <t>08081X0029</t>
  </si>
  <si>
    <t>MARQUAY</t>
  </si>
  <si>
    <t>LA GREZE</t>
  </si>
  <si>
    <t>08294X0014</t>
  </si>
  <si>
    <t>Rapport ANTEA - A 13082 - juin 1998</t>
  </si>
  <si>
    <t>LA BASTIDE FORAGE NÂ°2</t>
  </si>
  <si>
    <t>EOCI</t>
  </si>
  <si>
    <t>08771X0004</t>
  </si>
  <si>
    <t>ARGENTON</t>
  </si>
  <si>
    <t>LALUBIN</t>
  </si>
  <si>
    <t>08534X0009</t>
  </si>
  <si>
    <t>Rapport BRGM/RP-56846-FR</t>
  </si>
  <si>
    <t>PEYRIERE</t>
  </si>
  <si>
    <t>GRAND-GUILLEM - SECTION B - PARCELLE 669</t>
  </si>
  <si>
    <t>COST</t>
  </si>
  <si>
    <t>08537X0001</t>
  </si>
  <si>
    <t>VIRAZEIL</t>
  </si>
  <si>
    <t>LES CARBONNIERES PEYROUILLE</t>
  </si>
  <si>
    <t>08542X0002</t>
  </si>
  <si>
    <t>SAINT-COLOMB-DE-LAUZUN</t>
  </si>
  <si>
    <t>MAURILLAC</t>
  </si>
  <si>
    <t>08547X0008</t>
  </si>
  <si>
    <t>MONBAHUS</t>
  </si>
  <si>
    <t>AUX BIARDS - SECTION AO - PARCELLE 140</t>
  </si>
  <si>
    <t>08548X0001</t>
  </si>
  <si>
    <t>BOUDY-DE-BEAUREGARD</t>
  </si>
  <si>
    <t>L.D. MALARET</t>
  </si>
  <si>
    <t>07077X0016</t>
  </si>
  <si>
    <t xml:space="preserve">La Rochelle, le 15 DEC 1983. Hydrogéologue Departemental J.Y.LASPLACES </t>
  </si>
  <si>
    <t>AVY</t>
  </si>
  <si>
    <t>LES CORMIERS</t>
  </si>
  <si>
    <t>08752X0024</t>
  </si>
  <si>
    <t>LA MADRANGUES</t>
  </si>
  <si>
    <t>HELV</t>
  </si>
  <si>
    <t>08752X0047</t>
  </si>
  <si>
    <t>LA MADROUGUES</t>
  </si>
  <si>
    <t>08756X0016</t>
  </si>
  <si>
    <t>PINOT (S.C.A. NESTE JOUAN)</t>
  </si>
  <si>
    <t>08974X0014</t>
  </si>
  <si>
    <t>SAINT-PAUL-EN-BORN</t>
  </si>
  <si>
    <t>SUD-EST DU LIEU-DIT CARREYRE</t>
  </si>
  <si>
    <t>08733X0014</t>
  </si>
  <si>
    <t>MAOUAS</t>
  </si>
  <si>
    <t>08738X0207</t>
  </si>
  <si>
    <t>Route de Pontenx</t>
  </si>
  <si>
    <t>08752X0055</t>
  </si>
  <si>
    <t>MANO</t>
  </si>
  <si>
    <t>LA CAPE NORD</t>
  </si>
  <si>
    <t>08756X0004</t>
  </si>
  <si>
    <t>08978X0072</t>
  </si>
  <si>
    <t>MIMIZAN</t>
  </si>
  <si>
    <t>AÃ‰RODROME - SECTION C, PARCELLE 92</t>
  </si>
  <si>
    <t>09237X0020</t>
  </si>
  <si>
    <t>LINXE</t>
  </si>
  <si>
    <t>09265X0006</t>
  </si>
  <si>
    <t>POUYDESSEAUX</t>
  </si>
  <si>
    <t>09512X0008</t>
  </si>
  <si>
    <t>SAINT-PERDON</t>
  </si>
  <si>
    <t>09526X0039</t>
  </si>
  <si>
    <t>HONTANX</t>
  </si>
  <si>
    <t>BIROIS</t>
  </si>
  <si>
    <t>09771X0160</t>
  </si>
  <si>
    <t>SAUBAGNAC</t>
  </si>
  <si>
    <t>08023X0001</t>
  </si>
  <si>
    <t>08785X0002</t>
  </si>
  <si>
    <t>CLAIRAC</t>
  </si>
  <si>
    <t>BROC</t>
  </si>
  <si>
    <t>KIMM</t>
  </si>
  <si>
    <t>09032X0001</t>
  </si>
  <si>
    <t>CAUZAC</t>
  </si>
  <si>
    <t>TULET</t>
  </si>
  <si>
    <t>09234X0008</t>
  </si>
  <si>
    <t>MEZOS</t>
  </si>
  <si>
    <t>FORAGE COMMUNAL, AU BOURG</t>
  </si>
  <si>
    <t>QUAT</t>
  </si>
  <si>
    <t>07786X0010</t>
  </si>
  <si>
    <t>CARCANS</t>
  </si>
  <si>
    <t>PARCELLE CADASTRALE : AS 358</t>
  </si>
  <si>
    <t>08022X0004</t>
  </si>
  <si>
    <t>AU BOURG</t>
  </si>
  <si>
    <t>08022X0013</t>
  </si>
  <si>
    <t>Nadaud, H. &amp; Martin, G. (2006) Recherche de ressources nouvelles pour l'alimentation en eau potable dans l'aquifère de l'Oligocène dans les environs de SAINT-HELENE - Compte rendu des études 2000-2006 Géoaquitaine, 2006</t>
  </si>
  <si>
    <t>08022X0011</t>
  </si>
  <si>
    <t>08022X0031</t>
  </si>
  <si>
    <t>Marsac-Bernède (2014), M. Suivi de la nappe de l’Oligocène - Réalisation d’un piézomètre F SH1 Lieu-dit « Touriac » - Saint Hélène (33) (N° BSS 08022X0031) - Dossier des Ouvrages Exécutés (DOE) E.U.R.L. Marsac-Bernède Hydrogéologie Environnement Hydraulique, 2014</t>
  </si>
  <si>
    <t>08027X0153</t>
  </si>
  <si>
    <t>Marsac-Bernède (2014), M. Suivi de la nappe de l’Oligocène - Réalisation d’un piézomètre F SMJ Lieu-dit « Tournay » - Saint Médard en Jalles (33) (N° BSS 08027x0153) - Dossier des Ouvrages Exécutés (DOE) E.U.R.L. Marsac-Bernède Hydrogéologie Environnement Hydraulique, 2014</t>
  </si>
  <si>
    <t>08022X0016</t>
  </si>
  <si>
    <t>08276X0139</t>
  </si>
  <si>
    <t>08265X0056</t>
  </si>
  <si>
    <t>08261X0239</t>
  </si>
  <si>
    <t>08272X0014</t>
  </si>
  <si>
    <t>08272X0091</t>
  </si>
  <si>
    <t>08272X0103</t>
  </si>
  <si>
    <t>08272X0236</t>
  </si>
  <si>
    <t>08272X0238</t>
  </si>
  <si>
    <t>08272X0275</t>
  </si>
  <si>
    <t>08272X0281</t>
  </si>
  <si>
    <t>08272X0331</t>
  </si>
  <si>
    <t>08273X0293</t>
  </si>
  <si>
    <t>08276X0080</t>
  </si>
  <si>
    <t>08276X0081</t>
  </si>
  <si>
    <t>08277X0010</t>
  </si>
  <si>
    <t>08277X0014</t>
  </si>
  <si>
    <t>08277X0111</t>
  </si>
  <si>
    <t>08277X0156</t>
  </si>
  <si>
    <t>08277X0158</t>
  </si>
  <si>
    <t>08277X0160</t>
  </si>
  <si>
    <t>08523X0080</t>
  </si>
  <si>
    <t>08526X0051</t>
  </si>
  <si>
    <t>09506X0012</t>
  </si>
  <si>
    <t>09511X0001</t>
  </si>
  <si>
    <t>09764X0032</t>
  </si>
  <si>
    <t>09771X0006</t>
  </si>
  <si>
    <t>09763X0078</t>
  </si>
  <si>
    <t>SAUBUSSE</t>
  </si>
  <si>
    <t>THERMES DE SAUBUSSE - FORAGE BERAR</t>
  </si>
  <si>
    <t>CREsup</t>
  </si>
  <si>
    <t>09764X0048</t>
  </si>
  <si>
    <t>ANGOUME</t>
  </si>
  <si>
    <t>PELVEZIN</t>
  </si>
  <si>
    <t>09767X0010</t>
  </si>
  <si>
    <t>ORIST</t>
  </si>
  <si>
    <t>LOUS BARRATS</t>
  </si>
  <si>
    <t>09773X0008</t>
  </si>
  <si>
    <t>NOUSSE</t>
  </si>
  <si>
    <t>LA COUTURE</t>
  </si>
  <si>
    <t>09774X0026</t>
  </si>
  <si>
    <t>DONZACQ</t>
  </si>
  <si>
    <t>CAPTAGE DE BROUILLOUS</t>
  </si>
  <si>
    <t>10052X0006</t>
  </si>
  <si>
    <t>BUROSSE-MENDOUSSE</t>
  </si>
  <si>
    <t>Le Prince</t>
  </si>
  <si>
    <t>10052X0037</t>
  </si>
  <si>
    <t>LALONGUE</t>
  </si>
  <si>
    <t>LASSEPPE</t>
  </si>
  <si>
    <t>10053X0002</t>
  </si>
  <si>
    <t xml:space="preserve">BRGM/RP-66849-FR </t>
  </si>
  <si>
    <t>LESPIELLE</t>
  </si>
  <si>
    <t>10057X0003</t>
  </si>
  <si>
    <t>SIMACOURBE</t>
  </si>
  <si>
    <t>LESPIELLE - RD 543</t>
  </si>
  <si>
    <t>09287X0023</t>
  </si>
  <si>
    <t>Evolution du rabattement en fonction du temps-Courbe de descente-</t>
  </si>
  <si>
    <t>LECTOURE</t>
  </si>
  <si>
    <t>MOULIN DE REPASSAC</t>
  </si>
  <si>
    <t>Forage de LECTOURE (32) Courbesde remontée du niveau. Pompage du 1 au 15 octobre 1979. PL.11</t>
  </si>
  <si>
    <t>10071X0012</t>
  </si>
  <si>
    <t>Rapport établi par M.J.ROCHE -BRGM/SGR/MPY. 1007.1X.0012</t>
  </si>
  <si>
    <t>LAMAZERE</t>
  </si>
  <si>
    <t>LAMAZERE 1 - GLA 1</t>
  </si>
  <si>
    <t>1007.1X60012 pièce 48 - 5.2.5 Essai longue durée -&gt; formule de JACOB - P17</t>
  </si>
  <si>
    <t>1007.1X.0012 Pièce 51 è&gt; Approximation de Jacob P20</t>
  </si>
  <si>
    <t>09781X0005</t>
  </si>
  <si>
    <t>MAYLIS</t>
  </si>
  <si>
    <t>ABBAYE DE MAYLIS</t>
  </si>
  <si>
    <t>PALEO</t>
  </si>
  <si>
    <t>09781X0006</t>
  </si>
  <si>
    <t>SAINT-AUBIN</t>
  </si>
  <si>
    <t>LAGORCE</t>
  </si>
  <si>
    <t>09781X0007</t>
  </si>
  <si>
    <t>SARTOU</t>
  </si>
  <si>
    <t>09782X0008</t>
  </si>
  <si>
    <t>HAGETMAU</t>
  </si>
  <si>
    <t>09782X0021</t>
  </si>
  <si>
    <t>09783X0019</t>
  </si>
  <si>
    <t>FARGUES</t>
  </si>
  <si>
    <t>LARCUCHETTE</t>
  </si>
  <si>
    <t>09784X0021</t>
  </si>
  <si>
    <t>Gouaiilard-Cousso</t>
  </si>
  <si>
    <t>09784X0022</t>
  </si>
  <si>
    <t>Gardeli</t>
  </si>
  <si>
    <t>10052X0038</t>
  </si>
  <si>
    <t>LANNECAUBE</t>
  </si>
  <si>
    <t>07585X0013</t>
  </si>
  <si>
    <t>RIBERAC</t>
  </si>
  <si>
    <t>SAINT-MARTIAL-DE-RIBERAC- LES COUTURES</t>
  </si>
  <si>
    <t>07822X0035</t>
  </si>
  <si>
    <t>SAINT-GERMAIN-DU-SALEMBRE</t>
  </si>
  <si>
    <t>LA BOUREILLE</t>
  </si>
  <si>
    <t>TURO</t>
  </si>
  <si>
    <t>06824X0010</t>
  </si>
  <si>
    <t>0899/PP17/01 FONT QUERE (ST PORCHAIRE 17)</t>
  </si>
  <si>
    <t>SAINT-PORCHAIRE</t>
  </si>
  <si>
    <t>FORAGE DE FONT-QUERE</t>
  </si>
  <si>
    <t>06832X0004</t>
  </si>
  <si>
    <t>Syndicat d'Adduction de Distribution d'Eau Potable et d'Assainisssement de la Charente-Maritime Demande d'autorisation de prélèvement dans une napped'eau souterraine. Captage A.E.P. de "Gros Roc" - Commune du DOUHET -Page 9</t>
  </si>
  <si>
    <t>DOUHET(LE)</t>
  </si>
  <si>
    <t>GROS ROC</t>
  </si>
  <si>
    <t>07081X0508</t>
  </si>
  <si>
    <t>Figure 4 BRGM 72SGNO8ZAOI.COGNAC - Forage Z II AT. Evolutiondu niveau dynamique pendant le pompage du 28.02.72 à 175m3/h</t>
  </si>
  <si>
    <t>FORAGE ZII AT DU PARC FRANCOIS I</t>
  </si>
  <si>
    <t>Figure 6 BRGM 72SGNO8748 AQI- Cognac Forage Z II AT</t>
  </si>
  <si>
    <t>Figure 6 BRGM 72SGNO8748 AQI- Cognac Pièzomètre 1</t>
  </si>
  <si>
    <t>07081X0517</t>
  </si>
  <si>
    <t>FORAGE ZII QT DU PARC FRANCOIS I</t>
  </si>
  <si>
    <t>Evolution du niveau dynamique du forage ZIIQC après pompage de 72H au débit de 128 m3/h</t>
  </si>
  <si>
    <t>07081X0530</t>
  </si>
  <si>
    <t>Figure 5 BRGM 73SGN 181 1QI. Evolution du niveau dynamique dansle forage ZIITT pendant lepompage de 72h au débit de 164m3/h</t>
  </si>
  <si>
    <t>FORAGE ZII TT DU PARC FRANCOIS I</t>
  </si>
  <si>
    <t>07323X0042</t>
  </si>
  <si>
    <t xml:space="preserve">Document de synthèse preparatoire à la demande d'exploiter - Forage de Monsieur Jean Louis NAU "LE MAINE MARTIN " - SALLE DE BARBEZIEUX- H197110046. HYDRO INVEST Mission du 28 avril 1997. Niveaux en pompage à differents debits -CAMPAGNE DE 1200 HEURES (Fig 7). </t>
  </si>
  <si>
    <t>SALLES-DE-BARBEZIEUX</t>
  </si>
  <si>
    <t>LE MAINE MARTIN</t>
  </si>
  <si>
    <t>07325X0016</t>
  </si>
  <si>
    <t>Simulation d'évolution des niveaux en pompage à differents débits pour une durée de mois -Monsieurs RENAUD Forage de CHAMPAGNE- HYDRO INVEST</t>
  </si>
  <si>
    <t>BAIGNES-SAINTE-RADEGONDE</t>
  </si>
  <si>
    <t>LA CHAMPAGNE</t>
  </si>
  <si>
    <t>07328X0048</t>
  </si>
  <si>
    <t>Niveaux de pompage à differents debits -CAMPAGNE de 120 heures -HYDRO INVEST (Fig 6). Mr GOBIN CHABOSSON 16 POULLIGNAC</t>
  </si>
  <si>
    <t>POULLIGNAC</t>
  </si>
  <si>
    <t>CHABOSSON</t>
  </si>
  <si>
    <t>07331X0578</t>
  </si>
  <si>
    <t>Document d'incidence Project Number 3 forMonsieur BERTHAUD -HYDRO INVEST (Fig 7).Mr BERTHAUD PUYTILLAC 16 PERIGNAC</t>
  </si>
  <si>
    <t>PERIGNAC</t>
  </si>
  <si>
    <t>PUYTILLAC</t>
  </si>
  <si>
    <t>07332X0580</t>
  </si>
  <si>
    <t>Essai de pompagelongue durée-Courbe semi-logarithmique de Jacob.Stéphane JOSENSI Bureau d'Etudesdes Sols. Antraize 17380 Tonnay-Boutonne</t>
  </si>
  <si>
    <t>VOULGEZAC</t>
  </si>
  <si>
    <t>LA FONTAINE DU BOURNAT</t>
  </si>
  <si>
    <t>07334X0511</t>
  </si>
  <si>
    <t>GARDES-LE-PONTAROUX</t>
  </si>
  <si>
    <t>LA DAVIDIE</t>
  </si>
  <si>
    <t>07334X0532</t>
  </si>
  <si>
    <t xml:space="preserve">Programme ISAPE Numéro du programme aout 1990 Puits TTYF. Méthode utilisée FRACTURE VERTICALE UNIQUE </t>
  </si>
  <si>
    <t>BLANZAGUET-SAINT-CYBARD</t>
  </si>
  <si>
    <t>TOUT Y FAUT ZN 31</t>
  </si>
  <si>
    <t>Page 09 ISAPE Logiciel BRGM</t>
  </si>
  <si>
    <t>07336X0538</t>
  </si>
  <si>
    <t>Document d'incidence04/06/97 SAINTAMANT DE MONT MOREAU PROJECT NUMBER 1 FORM.THOMAS</t>
  </si>
  <si>
    <t>SAINT-AMANT</t>
  </si>
  <si>
    <t>SAINT-AMANT-DE-MONTMOREAU - LE RIGAUD</t>
  </si>
  <si>
    <t>08028X0160</t>
  </si>
  <si>
    <t>CENTRE D'ACHÃˆVEMENT ET D'ESSAIS DES PROPULSEURS ET ENGINS - BOIS CANDALE</t>
  </si>
  <si>
    <t>08253X0010</t>
  </si>
  <si>
    <t>LEGE-CAP-FERRET</t>
  </si>
  <si>
    <t>LES VIVIERS</t>
  </si>
  <si>
    <t>08268X0021</t>
  </si>
  <si>
    <t>08511X0040</t>
  </si>
  <si>
    <t>PARCELLE CADASTRALE : D 65</t>
  </si>
  <si>
    <t>06847X0041</t>
  </si>
  <si>
    <t>Document de synthèse préparatoire à la demande d'exploiter -Forage de Monsieur MOYET COURBILLAC. HYDRO INVEST Mission du 02.04.97 Mission du 02.04.97. JI 97080327 Alain CHAPITEAU. Conseil général de la Charente. Forage F3 de Mr MOYET. Niveaux en pompage à différents débits -Caampagne 1200 heures.</t>
  </si>
  <si>
    <t>COURBILLAC</t>
  </si>
  <si>
    <t>TITH</t>
  </si>
  <si>
    <t>Document d'incidence. COURBILAC Project Number 1 forMonsieur MOYET</t>
  </si>
  <si>
    <t xml:space="preserve">COST </t>
  </si>
  <si>
    <t xml:space="preserve">EOCM </t>
  </si>
  <si>
    <t xml:space="preserve"> EOCM</t>
  </si>
  <si>
    <t xml:space="preserve"> EOCI</t>
  </si>
  <si>
    <t xml:space="preserve"> EOCS</t>
  </si>
  <si>
    <t>08036X0016</t>
  </si>
  <si>
    <t>08037X0040</t>
  </si>
  <si>
    <t>08036X0019</t>
  </si>
  <si>
    <t>08037X0042</t>
  </si>
  <si>
    <t>08036X0018</t>
  </si>
  <si>
    <t>JOURDE</t>
  </si>
  <si>
    <t>AMELIN</t>
  </si>
  <si>
    <t>LUCIEN FAURE</t>
  </si>
  <si>
    <t>LA BENAUGE</t>
  </si>
  <si>
    <t>BOURBON</t>
  </si>
  <si>
    <t>TAUSSAC SUD</t>
  </si>
  <si>
    <t>Touriac</t>
  </si>
  <si>
    <t>St MEDARD</t>
  </si>
  <si>
    <t>Le petit cougas</t>
  </si>
  <si>
    <t>Parcelle 2, section M</t>
  </si>
  <si>
    <t>LANTON</t>
  </si>
  <si>
    <t>LENAN 1</t>
  </si>
  <si>
    <t>La Migelane - Parcelle 2, section M</t>
  </si>
  <si>
    <t>FORAGE DE M HUBERT AUX "ANCIENNES FORGES"</t>
  </si>
  <si>
    <t>CAMPAGNE</t>
  </si>
  <si>
    <t xml:space="preserve"> PRÈS DU PRESBYTÈRE</t>
  </si>
  <si>
    <t>TETHIEU</t>
  </si>
  <si>
    <t>COSLOUS</t>
  </si>
  <si>
    <t>MAZERES</t>
  </si>
  <si>
    <t xml:space="preserve"> FORAGE N. 2 DE LA STATION SHELL</t>
  </si>
  <si>
    <t>BARIE</t>
  </si>
  <si>
    <t>LOULOMA F3</t>
  </si>
  <si>
    <t>CHANTIER LE REYS</t>
  </si>
  <si>
    <t>CHANTIER BLAYET</t>
  </si>
  <si>
    <t xml:space="preserve"> FORAGE ETS COFALU</t>
  </si>
  <si>
    <t>MAISON DE REPOS MONTALLIER</t>
  </si>
  <si>
    <t>AYGUEMORTE-LES-GRAVES</t>
  </si>
  <si>
    <t>MAISON BLANCHE</t>
  </si>
  <si>
    <t xml:space="preserve"> ABATTOIRS N°1</t>
  </si>
  <si>
    <t xml:space="preserve"> ABATTOIR FORAGE N.3</t>
  </si>
  <si>
    <t>COUVENT ST-JOSEPH</t>
  </si>
  <si>
    <t>FAC DES SCIENCES - SONDAGE N.3</t>
  </si>
  <si>
    <t>Pessac</t>
  </si>
  <si>
    <t>CADAUJAC</t>
  </si>
  <si>
    <t xml:space="preserve"> M.MOULINIER - CHEMIN DE PAVIN</t>
  </si>
  <si>
    <t>-</t>
  </si>
  <si>
    <t xml:space="preserve"> FORAGE DE M.BRUN</t>
  </si>
  <si>
    <t xml:space="preserve"> CADAUJAC</t>
  </si>
  <si>
    <t xml:space="preserve"> LIEU-DIT ARMEAU</t>
  </si>
  <si>
    <t>PUITS DE M.HYERE</t>
  </si>
  <si>
    <t>BRED</t>
  </si>
  <si>
    <t>LYCEE CHATEAU LA SAUQUE</t>
  </si>
  <si>
    <t>FORAGE DE M.MONTUZET</t>
  </si>
  <si>
    <t>Tournay - Section AB, parcelle 20</t>
  </si>
  <si>
    <t>08031X0198</t>
  </si>
  <si>
    <t>TAILLAN-MEDOC(LE)</t>
  </si>
  <si>
    <t>L'ECUREUIL</t>
  </si>
  <si>
    <t>Paramètre</t>
  </si>
  <si>
    <t>Nombre de données</t>
  </si>
  <si>
    <t>Min</t>
  </si>
  <si>
    <t>Max</t>
  </si>
  <si>
    <t>Moy</t>
  </si>
  <si>
    <t>Perm (m . s-1)</t>
  </si>
  <si>
    <t>S libre</t>
  </si>
  <si>
    <t xml:space="preserve"> S cap</t>
  </si>
  <si>
    <t>S cap</t>
  </si>
  <si>
    <t>S  libre</t>
  </si>
  <si>
    <t>07305X0012</t>
  </si>
  <si>
    <t>07538X0001</t>
  </si>
  <si>
    <t>07542X0008</t>
  </si>
  <si>
    <t>07543X0001</t>
  </si>
  <si>
    <t>07547X0005</t>
  </si>
  <si>
    <t>07547X0033</t>
  </si>
  <si>
    <t>07778X0002</t>
  </si>
  <si>
    <t>07781X0005</t>
  </si>
  <si>
    <t>07782X0002</t>
  </si>
  <si>
    <t>07782X0003</t>
  </si>
  <si>
    <t>07782X0028</t>
  </si>
  <si>
    <t>07783X0006</t>
  </si>
  <si>
    <t>07783X0007</t>
  </si>
  <si>
    <t>08013X0001</t>
  </si>
  <si>
    <t>08014X0003</t>
  </si>
  <si>
    <t>08014X0004</t>
  </si>
  <si>
    <t>08018X0002</t>
  </si>
  <si>
    <t>08021X0001</t>
  </si>
  <si>
    <t>08024X0044</t>
  </si>
  <si>
    <t>08024X0049</t>
  </si>
  <si>
    <t>08028X0074</t>
  </si>
  <si>
    <t>08514X0004</t>
  </si>
  <si>
    <t>08514X0005</t>
  </si>
  <si>
    <t>08517X0001</t>
  </si>
  <si>
    <t>Données Moussie</t>
  </si>
  <si>
    <t xml:space="preserve"> VENSAC</t>
  </si>
  <si>
    <t xml:space="preserve"> GAILLAN-EN-MEDOC</t>
  </si>
  <si>
    <t>M.DELAVIERE - BOURGUEYRAUD</t>
  </si>
  <si>
    <t>SAINT-GERMAIN-D'ESTEUIL</t>
  </si>
  <si>
    <t>GARRAMEY</t>
  </si>
  <si>
    <t xml:space="preserve"> SAINT-LAURENT-MEDOC</t>
  </si>
  <si>
    <t>M.CONSTANTIN - DOMAINE SEMIGNAN</t>
  </si>
  <si>
    <t>BOUZAC - FERME - DOMAINE DE SEMIGNAN</t>
  </si>
  <si>
    <t>SAINT-LAURENT-MEDOC</t>
  </si>
  <si>
    <t>CENTRE D'ESSAIS DES LANDES - B551</t>
  </si>
  <si>
    <t>CARDIN</t>
  </si>
  <si>
    <t>BELLON - FERME - DOMAINE DE SEMIGNAN</t>
  </si>
  <si>
    <t>STAMPIEN - DOMAINE DES JONCS</t>
  </si>
  <si>
    <t>M.FERON - LANDES DE BERNADA</t>
  </si>
  <si>
    <t>DOMAINE LANDES DE BERNADA</t>
  </si>
  <si>
    <t>S1 - LES TROIS LAGUNES</t>
  </si>
  <si>
    <t>L'OCEAN</t>
  </si>
  <si>
    <t xml:space="preserve">LACANAU </t>
  </si>
  <si>
    <t>MOUTCHIC</t>
  </si>
  <si>
    <t xml:space="preserve"> ESCOURETTE</t>
  </si>
  <si>
    <t>COMMUNAL BOURG</t>
  </si>
  <si>
    <t>SAINT-AUBIN-DE-MEDOC</t>
  </si>
  <si>
    <t>CHATEAU DE CUJAC</t>
  </si>
  <si>
    <t>OUSTAU-VIEIL</t>
  </si>
  <si>
    <t>CENTRE D'ACHÈVEMENT ET D'ESSAIS DES PROPULSEURS ET ENGINS</t>
  </si>
  <si>
    <t xml:space="preserve">MERIGNAC </t>
  </si>
  <si>
    <t>SAINT-MICHEL-DE-RIEUFRET</t>
  </si>
  <si>
    <t>FORAGE DE M.HERAU</t>
  </si>
  <si>
    <t>LUGOT</t>
  </si>
  <si>
    <t>GUILLOS</t>
  </si>
  <si>
    <t>T (m2 . s-1)</t>
  </si>
  <si>
    <t>K (m . s-1)</t>
  </si>
  <si>
    <t>MIN</t>
  </si>
  <si>
    <t>Ep</t>
  </si>
  <si>
    <t>Ep (m)</t>
  </si>
  <si>
    <t>Ep(m)</t>
  </si>
  <si>
    <t>EP (m)</t>
  </si>
  <si>
    <t>F2</t>
  </si>
  <si>
    <t>Epaisseur(m)</t>
  </si>
  <si>
    <t>Classes</t>
  </si>
  <si>
    <t>ou plus...</t>
  </si>
  <si>
    <t>Fréquence</t>
  </si>
  <si>
    <t>log 10 T</t>
  </si>
  <si>
    <t>moy log</t>
  </si>
  <si>
    <t>log10 (S)</t>
  </si>
  <si>
    <t xml:space="preserve">AQUI </t>
  </si>
  <si>
    <t>EPOL</t>
  </si>
  <si>
    <t>OPURE</t>
  </si>
  <si>
    <t>Larroque 2013</t>
  </si>
  <si>
    <t>logK</t>
  </si>
  <si>
    <t>Moy log</t>
  </si>
  <si>
    <t>logS</t>
  </si>
  <si>
    <t>logT</t>
  </si>
  <si>
    <t>log moy</t>
  </si>
  <si>
    <t>log K</t>
  </si>
  <si>
    <t>Couche MONA</t>
  </si>
  <si>
    <t>Tmin</t>
  </si>
  <si>
    <t>Tmax</t>
  </si>
  <si>
    <t>Tmoy</t>
  </si>
  <si>
    <t>Smin</t>
  </si>
  <si>
    <t>Smax</t>
  </si>
  <si>
    <t>Smoy</t>
  </si>
  <si>
    <t>Wmin</t>
  </si>
  <si>
    <t>Wmax</t>
  </si>
  <si>
    <t>Wmoy</t>
  </si>
  <si>
    <t>Moy(logT)</t>
  </si>
  <si>
    <t>10^(Moy(logT))</t>
  </si>
  <si>
    <t>Moy(logS)</t>
  </si>
  <si>
    <t>1-^(Moy(logS))</t>
  </si>
  <si>
    <t>Serravalien</t>
  </si>
  <si>
    <t>Dmin</t>
  </si>
  <si>
    <t>Dmax</t>
  </si>
  <si>
    <t>Dmoy</t>
  </si>
  <si>
    <t>epaisseur</t>
  </si>
  <si>
    <t>kmin</t>
  </si>
  <si>
    <t>kmax</t>
  </si>
  <si>
    <t>kmoy</t>
  </si>
  <si>
    <t>warersheds,groundwater anddrinking water. A practical guide. Thomas Harter and Larry Rollins, Editors</t>
  </si>
  <si>
    <t>Physical and chemistry Hydrogeology</t>
  </si>
  <si>
    <t>http://www.aqtesolv.com/aquifer-tests/aquifer_properties.htm</t>
  </si>
  <si>
    <t>Ssmin</t>
  </si>
  <si>
    <t>Ssmax</t>
  </si>
  <si>
    <t>Ssmoy</t>
  </si>
  <si>
    <t>10^moylog</t>
  </si>
  <si>
    <t>MoyS</t>
  </si>
  <si>
    <t>MoySs</t>
  </si>
  <si>
    <t>MoyK</t>
  </si>
  <si>
    <t>nbre de données</t>
  </si>
  <si>
    <t>nbre données</t>
  </si>
  <si>
    <t>moyk</t>
  </si>
  <si>
    <t>Nombre d'obs</t>
  </si>
  <si>
    <t>Nbre d'obs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</si>
</sst>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Liberation Serif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2" borderId="0" xfId="0" applyFill="1" applyAlignment="1"/>
    <xf numFmtId="0" fontId="3" fillId="3" borderId="0" xfId="0" applyFont="1" applyFill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1" fontId="4" fillId="0" borderId="0" xfId="0" applyNumberFormat="1" applyFont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1" fontId="0" fillId="3" borderId="0" xfId="0" applyNumberFormat="1" applyFill="1" applyAlignment="1">
      <alignment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/>
    <xf numFmtId="11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1" fontId="6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horizontal="left"/>
    </xf>
    <xf numFmtId="11" fontId="5" fillId="0" borderId="0" xfId="0" applyNumberFormat="1" applyFont="1" applyAlignment="1">
      <alignment horizontal="center"/>
    </xf>
    <xf numFmtId="11" fontId="0" fillId="0" borderId="0" xfId="0" applyNumberFormat="1" applyAlignment="1"/>
    <xf numFmtId="11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11" fontId="8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5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1" fontId="16" fillId="0" borderId="0" xfId="0" applyNumberFormat="1" applyFont="1"/>
    <xf numFmtId="0" fontId="16" fillId="0" borderId="0" xfId="0" applyNumberFormat="1" applyFont="1" applyAlignment="1">
      <alignment horizontal="center"/>
    </xf>
    <xf numFmtId="0" fontId="13" fillId="0" borderId="5" xfId="0" applyFont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/>
    <xf numFmtId="0" fontId="17" fillId="0" borderId="0" xfId="0" applyFont="1" applyAlignment="1">
      <alignment horizontal="left" vertical="center"/>
    </xf>
    <xf numFmtId="0" fontId="18" fillId="3" borderId="0" xfId="1" applyFill="1" applyAlignment="1">
      <alignment vertical="center"/>
    </xf>
    <xf numFmtId="0" fontId="0" fillId="0" borderId="0" xfId="0" applyNumberFormat="1"/>
    <xf numFmtId="0" fontId="11" fillId="0" borderId="5" xfId="0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6"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left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5" formatCode="0.00E+00"/>
    </dxf>
    <dxf>
      <font>
        <strike val="0"/>
        <outline val="0"/>
        <shadow val="0"/>
        <u val="none"/>
        <vertAlign val="baseline"/>
        <color auto="1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5" formatCode="0.00E+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5" formatCode="0.00E+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numRef>
              <c:f>histo_Tolnp!$A$2:$A$38</c:f>
              <c:numCache>
                <c:formatCode>0.00E+00</c:formatCode>
                <c:ptCount val="37"/>
                <c:pt idx="0">
                  <c:v>2.0000000000000002E-5</c:v>
                </c:pt>
                <c:pt idx="1">
                  <c:v>3.0000000000000001E-5</c:v>
                </c:pt>
                <c:pt idx="2">
                  <c:v>4.0000000000000003E-5</c:v>
                </c:pt>
                <c:pt idx="3">
                  <c:v>5.0000000000000002E-5</c:v>
                </c:pt>
                <c:pt idx="4">
                  <c:v>6.0000000000000002E-5</c:v>
                </c:pt>
                <c:pt idx="5">
                  <c:v>6.9999999999999994E-5</c:v>
                </c:pt>
                <c:pt idx="6">
                  <c:v>8.0000000000000007E-5</c:v>
                </c:pt>
                <c:pt idx="7">
                  <c:v>9.0000000000000006E-5</c:v>
                </c:pt>
                <c:pt idx="8">
                  <c:v>1E-4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6.9999999999999999E-4</c:v>
                </c:pt>
                <c:pt idx="15">
                  <c:v>8.0000000000000004E-4</c:v>
                </c:pt>
                <c:pt idx="16">
                  <c:v>8.9999999999999998E-4</c:v>
                </c:pt>
                <c:pt idx="17">
                  <c:v>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0.01</c:v>
                </c:pt>
                <c:pt idx="27">
                  <c:v>0.02</c:v>
                </c:pt>
                <c:pt idx="28">
                  <c:v>0.03</c:v>
                </c:pt>
                <c:pt idx="29">
                  <c:v>0.04</c:v>
                </c:pt>
                <c:pt idx="30">
                  <c:v>0.05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0.08</c:v>
                </c:pt>
                <c:pt idx="34">
                  <c:v>0.09</c:v>
                </c:pt>
                <c:pt idx="35">
                  <c:v>0.1</c:v>
                </c:pt>
              </c:numCache>
            </c:numRef>
          </c:cat>
          <c:val>
            <c:numRef>
              <c:f>histo_Tolnp!$B$2:$B$38</c:f>
              <c:numCache>
                <c:formatCode>General</c:formatCode>
                <c:ptCount val="3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10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27</c:v>
                </c:pt>
                <c:pt idx="19">
                  <c:v>17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7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14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C-4363-931D-423F42083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177872"/>
        <c:axId val="466183696"/>
      </c:barChart>
      <c:catAx>
        <c:axId val="46617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Transmissivité</a:t>
                </a:r>
                <a:r>
                  <a:rPr lang="fr-FR" baseline="0"/>
                  <a:t> m²/s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3522905957510028"/>
              <c:y val="0.89495682210708127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466183696"/>
        <c:crosses val="autoZero"/>
        <c:auto val="1"/>
        <c:lblAlgn val="ctr"/>
        <c:lblOffset val="100"/>
        <c:noMultiLvlLbl val="0"/>
      </c:catAx>
      <c:valAx>
        <c:axId val="46618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17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histo_olnp!$A$2:$A$11</c:f>
              <c:strCache>
                <c:ptCount val="10"/>
                <c:pt idx="0">
                  <c:v>1,00E-06</c:v>
                </c:pt>
                <c:pt idx="1">
                  <c:v>5,00E-05</c:v>
                </c:pt>
                <c:pt idx="2">
                  <c:v>1,00E-04</c:v>
                </c:pt>
                <c:pt idx="3">
                  <c:v>5,00E-04</c:v>
                </c:pt>
                <c:pt idx="4">
                  <c:v>1,00E-03</c:v>
                </c:pt>
                <c:pt idx="5">
                  <c:v>5,00E-03</c:v>
                </c:pt>
                <c:pt idx="6">
                  <c:v>1,00E-02</c:v>
                </c:pt>
                <c:pt idx="7">
                  <c:v>5,00E-02</c:v>
                </c:pt>
                <c:pt idx="8">
                  <c:v>1,00E-01</c:v>
                </c:pt>
                <c:pt idx="9">
                  <c:v>ou plus...</c:v>
                </c:pt>
              </c:strCache>
            </c:strRef>
          </c:cat>
          <c:val>
            <c:numRef>
              <c:f>histo_olnp!$B$2:$B$11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21</c:v>
                </c:pt>
                <c:pt idx="4">
                  <c:v>16</c:v>
                </c:pt>
                <c:pt idx="5">
                  <c:v>73</c:v>
                </c:pt>
                <c:pt idx="6">
                  <c:v>30</c:v>
                </c:pt>
                <c:pt idx="7">
                  <c:v>22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C-4B6F-BE68-620CB99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172880"/>
        <c:axId val="466169552"/>
      </c:barChart>
      <c:catAx>
        <c:axId val="46617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900"/>
                  <a:t>T</a:t>
                </a:r>
                <a:r>
                  <a:rPr lang="fr-FR" sz="900" baseline="0"/>
                  <a:t>   (m².</a:t>
                </a:r>
                <a:r>
                  <a:rPr lang="fr-FR" sz="900" b="1" i="0" u="none" strike="noStrike" baseline="0">
                    <a:effectLst/>
                  </a:rPr>
                  <a:t>s</a:t>
                </a:r>
                <a:r>
                  <a:rPr lang="fr-FR" sz="900" b="1" i="0" u="none" strike="noStrike" baseline="30000">
                    <a:effectLst/>
                  </a:rPr>
                  <a:t>-1</a:t>
                </a:r>
                <a:r>
                  <a:rPr lang="fr-FR" sz="900" b="1" i="0" u="none" strike="noStrike" baseline="0">
                    <a:effectLst/>
                  </a:rPr>
                  <a:t>)</a:t>
                </a:r>
                <a:endParaRPr lang="fr-FR" sz="9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169552"/>
        <c:crosses val="autoZero"/>
        <c:auto val="1"/>
        <c:lblAlgn val="ctr"/>
        <c:lblOffset val="100"/>
        <c:noMultiLvlLbl val="0"/>
      </c:catAx>
      <c:valAx>
        <c:axId val="46616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17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histo_Wolnp!$A$2:$A$13</c:f>
              <c:strCache>
                <c:ptCount val="12"/>
                <c:pt idx="0">
                  <c:v>1,00E-03</c:v>
                </c:pt>
                <c:pt idx="1">
                  <c:v>2,00E-03</c:v>
                </c:pt>
                <c:pt idx="2">
                  <c:v>3,00E-03</c:v>
                </c:pt>
                <c:pt idx="3">
                  <c:v>4,00E-03</c:v>
                </c:pt>
                <c:pt idx="4">
                  <c:v>5,00E-03</c:v>
                </c:pt>
                <c:pt idx="5">
                  <c:v>1,00E-02</c:v>
                </c:pt>
                <c:pt idx="6">
                  <c:v>2,00E-02</c:v>
                </c:pt>
                <c:pt idx="7">
                  <c:v>3,00E-02</c:v>
                </c:pt>
                <c:pt idx="8">
                  <c:v>4,00E-02</c:v>
                </c:pt>
                <c:pt idx="9">
                  <c:v>5,00E-02</c:v>
                </c:pt>
                <c:pt idx="10">
                  <c:v>1,00E-01</c:v>
                </c:pt>
                <c:pt idx="11">
                  <c:v>ou plus...</c:v>
                </c:pt>
              </c:strCache>
            </c:strRef>
          </c:cat>
          <c:val>
            <c:numRef>
              <c:f>histo_Wolnp!$B$2:$B$13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6-4FA1-9930-59BB0A0D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654624"/>
        <c:axId val="382652128"/>
      </c:barChart>
      <c:catAx>
        <c:axId val="3826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i="1"/>
                  <a:t>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652128"/>
        <c:crosses val="autoZero"/>
        <c:auto val="1"/>
        <c:lblAlgn val="ctr"/>
        <c:lblOffset val="100"/>
        <c:noMultiLvlLbl val="0"/>
      </c:catAx>
      <c:valAx>
        <c:axId val="38265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65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histo_Solnp!$A$2:$A$11</c:f>
              <c:strCache>
                <c:ptCount val="10"/>
                <c:pt idx="0">
                  <c:v>1,00E-05</c:v>
                </c:pt>
                <c:pt idx="1">
                  <c:v>5,00E-05</c:v>
                </c:pt>
                <c:pt idx="2">
                  <c:v>1,00E-04</c:v>
                </c:pt>
                <c:pt idx="3">
                  <c:v>5,00E-04</c:v>
                </c:pt>
                <c:pt idx="4">
                  <c:v>1,00E-03</c:v>
                </c:pt>
                <c:pt idx="5">
                  <c:v>5,00E-03</c:v>
                </c:pt>
                <c:pt idx="6">
                  <c:v>1,00E-02</c:v>
                </c:pt>
                <c:pt idx="7">
                  <c:v>5,00E-02</c:v>
                </c:pt>
                <c:pt idx="8">
                  <c:v>1,00E-01</c:v>
                </c:pt>
                <c:pt idx="9">
                  <c:v>ou plus...</c:v>
                </c:pt>
              </c:strCache>
            </c:strRef>
          </c:cat>
          <c:val>
            <c:numRef>
              <c:f>histo_Solnp!$B$2:$B$11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C-4B8B-8A28-910FF65D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230736"/>
        <c:axId val="379230320"/>
      </c:barChart>
      <c:catAx>
        <c:axId val="37923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230320"/>
        <c:crosses val="autoZero"/>
        <c:auto val="1"/>
        <c:lblAlgn val="ctr"/>
        <c:lblOffset val="100"/>
        <c:noMultiLvlLbl val="0"/>
      </c:catAx>
      <c:valAx>
        <c:axId val="37923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23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5240594925634"/>
          <c:y val="4.2452310852447793E-2"/>
          <c:w val="0.80879333012817245"/>
          <c:h val="0.44344922971585071"/>
        </c:manualLayout>
      </c:layout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histo_WEOCM!$A$2:$A$13</c:f>
              <c:strCache>
                <c:ptCount val="12"/>
                <c:pt idx="0">
                  <c:v>1,00E-03</c:v>
                </c:pt>
                <c:pt idx="1">
                  <c:v>2,00E-03</c:v>
                </c:pt>
                <c:pt idx="2">
                  <c:v>3,00E-03</c:v>
                </c:pt>
                <c:pt idx="3">
                  <c:v>4,00E-03</c:v>
                </c:pt>
                <c:pt idx="4">
                  <c:v>5,00E-03</c:v>
                </c:pt>
                <c:pt idx="5">
                  <c:v>1,00E-02</c:v>
                </c:pt>
                <c:pt idx="6">
                  <c:v>2,00E-02</c:v>
                </c:pt>
                <c:pt idx="7">
                  <c:v>3,00E-02</c:v>
                </c:pt>
                <c:pt idx="8">
                  <c:v>4,00E-02</c:v>
                </c:pt>
                <c:pt idx="9">
                  <c:v>6,00E-02</c:v>
                </c:pt>
                <c:pt idx="10">
                  <c:v>1,00E-01</c:v>
                </c:pt>
                <c:pt idx="11">
                  <c:v>ou plus...</c:v>
                </c:pt>
              </c:strCache>
            </c:strRef>
          </c:cat>
          <c:val>
            <c:numRef>
              <c:f>histo_WEOCM!$B$2:$B$13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8-484E-837F-8EB05245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171216"/>
        <c:axId val="466182448"/>
      </c:barChart>
      <c:catAx>
        <c:axId val="46617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w</a:t>
                </a:r>
              </a:p>
            </c:rich>
          </c:tx>
          <c:layout>
            <c:manualLayout>
              <c:xMode val="edge"/>
              <c:yMode val="edge"/>
              <c:x val="0.44494221168126896"/>
              <c:y val="0.796834508729887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6182448"/>
        <c:crosses val="autoZero"/>
        <c:auto val="1"/>
        <c:lblAlgn val="ctr"/>
        <c:lblOffset val="100"/>
        <c:noMultiLvlLbl val="0"/>
      </c:catAx>
      <c:valAx>
        <c:axId val="46618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 sz="900"/>
                  <a:t>Fréquence</a:t>
                </a:r>
              </a:p>
            </c:rich>
          </c:tx>
          <c:layout>
            <c:manualLayout>
              <c:xMode val="edge"/>
              <c:yMode val="edge"/>
              <c:x val="2.174855905012207E-2"/>
              <c:y val="0.176611297500855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617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histo_SEOCM!$A$2:$A$11</c:f>
              <c:strCache>
                <c:ptCount val="10"/>
                <c:pt idx="0">
                  <c:v>1,00E-05</c:v>
                </c:pt>
                <c:pt idx="1">
                  <c:v>3,00E-05</c:v>
                </c:pt>
                <c:pt idx="2">
                  <c:v>5,00E-05</c:v>
                </c:pt>
                <c:pt idx="3">
                  <c:v>7,00E-05</c:v>
                </c:pt>
                <c:pt idx="4">
                  <c:v>1,00E-04</c:v>
                </c:pt>
                <c:pt idx="5">
                  <c:v>2,00E-04</c:v>
                </c:pt>
                <c:pt idx="6">
                  <c:v>3,00E-04</c:v>
                </c:pt>
                <c:pt idx="7">
                  <c:v>4,00E-04</c:v>
                </c:pt>
                <c:pt idx="8">
                  <c:v>5,00E-04</c:v>
                </c:pt>
                <c:pt idx="9">
                  <c:v>ou plus...</c:v>
                </c:pt>
              </c:strCache>
            </c:strRef>
          </c:cat>
          <c:val>
            <c:numRef>
              <c:f>histo_SEOCM!$B$2:$B$11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1-4272-B854-F39E3AD5F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953680"/>
        <c:axId val="619954512"/>
      </c:barChart>
      <c:catAx>
        <c:axId val="6199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954512"/>
        <c:crosses val="autoZero"/>
        <c:auto val="1"/>
        <c:lblAlgn val="ctr"/>
        <c:lblOffset val="100"/>
        <c:noMultiLvlLbl val="0"/>
      </c:catAx>
      <c:valAx>
        <c:axId val="61995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95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histo_TEOCM!$A$2:$A$11</c:f>
              <c:strCache>
                <c:ptCount val="10"/>
                <c:pt idx="0">
                  <c:v>1,00E-06</c:v>
                </c:pt>
                <c:pt idx="1">
                  <c:v>5,00E-05</c:v>
                </c:pt>
                <c:pt idx="2">
                  <c:v>1,00E-04</c:v>
                </c:pt>
                <c:pt idx="3">
                  <c:v>5,00E-04</c:v>
                </c:pt>
                <c:pt idx="4">
                  <c:v>1,00E-03</c:v>
                </c:pt>
                <c:pt idx="5">
                  <c:v>5,00E-03</c:v>
                </c:pt>
                <c:pt idx="6">
                  <c:v>1,00E-02</c:v>
                </c:pt>
                <c:pt idx="7">
                  <c:v>5,00E-02</c:v>
                </c:pt>
                <c:pt idx="8">
                  <c:v>1,00E-01</c:v>
                </c:pt>
                <c:pt idx="9">
                  <c:v>ou plus...</c:v>
                </c:pt>
              </c:strCache>
            </c:strRef>
          </c:cat>
          <c:val>
            <c:numRef>
              <c:f>histo_TEOCM!$B$2:$B$11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11</c:v>
                </c:pt>
                <c:pt idx="5">
                  <c:v>20</c:v>
                </c:pt>
                <c:pt idx="6">
                  <c:v>22</c:v>
                </c:pt>
                <c:pt idx="7">
                  <c:v>19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D-457D-8CDB-ACF49E280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952432"/>
        <c:axId val="619960336"/>
      </c:barChart>
      <c:catAx>
        <c:axId val="61995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  (</a:t>
                </a:r>
                <a:r>
                  <a:rPr lang="fr-FR" sz="1000" b="1" i="0" u="none" strike="noStrike" baseline="0">
                    <a:effectLst/>
                  </a:rPr>
                  <a:t>m</a:t>
                </a:r>
                <a:r>
                  <a:rPr lang="fr-FR" sz="1000" b="1" i="0" u="none" strike="noStrike" baseline="30000">
                    <a:effectLst/>
                  </a:rPr>
                  <a:t>2</a:t>
                </a:r>
                <a:r>
                  <a:rPr lang="fr-FR" sz="1000" b="1" i="0" u="none" strike="noStrike" baseline="0">
                    <a:effectLst/>
                  </a:rPr>
                  <a:t>.s </a:t>
                </a:r>
                <a:r>
                  <a:rPr lang="fr-FR" sz="1000" b="1" i="0" u="none" strike="noStrike" baseline="30000">
                    <a:effectLst/>
                  </a:rPr>
                  <a:t>-1 </a:t>
                </a:r>
                <a:r>
                  <a:rPr lang="fr-FR" sz="1000" b="1" i="0" u="none" strike="noStrike" baseline="0">
                    <a:effectLst/>
                  </a:rPr>
                  <a:t>)</a:t>
                </a:r>
                <a:r>
                  <a:rPr lang="fr-FR" sz="1000" b="1" i="0" u="none" strike="noStrike" baseline="30000">
                    <a:effectLst/>
                  </a:rPr>
                  <a:t> </a:t>
                </a: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960336"/>
        <c:crosses val="autoZero"/>
        <c:auto val="1"/>
        <c:lblAlgn val="ctr"/>
        <c:lblOffset val="100"/>
        <c:noMultiLvlLbl val="0"/>
      </c:catAx>
      <c:valAx>
        <c:axId val="61996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 sz="900"/>
                  <a:t>Fréquence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06985609557425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9952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Fréquence</c:v>
          </c:tx>
          <c:invertIfNegative val="0"/>
          <c:cat>
            <c:strRef>
              <c:f>Feuil12!$A$2:$A$42</c:f>
              <c:strCache>
                <c:ptCount val="41"/>
                <c:pt idx="0">
                  <c:v>1,00E-06</c:v>
                </c:pt>
                <c:pt idx="1">
                  <c:v>5,00E-06</c:v>
                </c:pt>
                <c:pt idx="2">
                  <c:v>9,00E-06</c:v>
                </c:pt>
                <c:pt idx="3">
                  <c:v>1,00E-05</c:v>
                </c:pt>
                <c:pt idx="4">
                  <c:v>2,00E-05</c:v>
                </c:pt>
                <c:pt idx="5">
                  <c:v>3,00E-05</c:v>
                </c:pt>
                <c:pt idx="6">
                  <c:v>4,00E-05</c:v>
                </c:pt>
                <c:pt idx="7">
                  <c:v>5,00E-05</c:v>
                </c:pt>
                <c:pt idx="8">
                  <c:v>6,00E-05</c:v>
                </c:pt>
                <c:pt idx="9">
                  <c:v>7,00E-05</c:v>
                </c:pt>
                <c:pt idx="10">
                  <c:v>8,00E-05</c:v>
                </c:pt>
                <c:pt idx="11">
                  <c:v>9,00E-05</c:v>
                </c:pt>
                <c:pt idx="12">
                  <c:v>1,00E-04</c:v>
                </c:pt>
                <c:pt idx="13">
                  <c:v>2,00E-04</c:v>
                </c:pt>
                <c:pt idx="14">
                  <c:v>3,00E-04</c:v>
                </c:pt>
                <c:pt idx="15">
                  <c:v>4,00E-04</c:v>
                </c:pt>
                <c:pt idx="16">
                  <c:v>5,00E-04</c:v>
                </c:pt>
                <c:pt idx="17">
                  <c:v>6,00E-04</c:v>
                </c:pt>
                <c:pt idx="18">
                  <c:v>7,00E-04</c:v>
                </c:pt>
                <c:pt idx="19">
                  <c:v>8,00E-04</c:v>
                </c:pt>
                <c:pt idx="20">
                  <c:v>9,00E-04</c:v>
                </c:pt>
                <c:pt idx="21">
                  <c:v>1,00E-03</c:v>
                </c:pt>
                <c:pt idx="22">
                  <c:v>2,00E-03</c:v>
                </c:pt>
                <c:pt idx="23">
                  <c:v>3,00E-03</c:v>
                </c:pt>
                <c:pt idx="24">
                  <c:v>4,00E-03</c:v>
                </c:pt>
                <c:pt idx="25">
                  <c:v>5,00E-03</c:v>
                </c:pt>
                <c:pt idx="26">
                  <c:v>6,00E-03</c:v>
                </c:pt>
                <c:pt idx="27">
                  <c:v>7,00E-03</c:v>
                </c:pt>
                <c:pt idx="28">
                  <c:v>8,00E-03</c:v>
                </c:pt>
                <c:pt idx="29">
                  <c:v>9,00E-03</c:v>
                </c:pt>
                <c:pt idx="30">
                  <c:v>1,00E-02</c:v>
                </c:pt>
                <c:pt idx="31">
                  <c:v>2,00E-02</c:v>
                </c:pt>
                <c:pt idx="32">
                  <c:v>3,00E-02</c:v>
                </c:pt>
                <c:pt idx="33">
                  <c:v>4,00E-02</c:v>
                </c:pt>
                <c:pt idx="34">
                  <c:v>5,00E-02</c:v>
                </c:pt>
                <c:pt idx="35">
                  <c:v>6,00E-02</c:v>
                </c:pt>
                <c:pt idx="36">
                  <c:v>7,00E-02</c:v>
                </c:pt>
                <c:pt idx="37">
                  <c:v>8,00E-02</c:v>
                </c:pt>
                <c:pt idx="38">
                  <c:v>9,00E-02</c:v>
                </c:pt>
                <c:pt idx="39">
                  <c:v>1,00E-01</c:v>
                </c:pt>
                <c:pt idx="40">
                  <c:v>ou plus...</c:v>
                </c:pt>
              </c:strCache>
            </c:strRef>
          </c:cat>
          <c:val>
            <c:numRef>
              <c:f>Feuil12!$B$2:$B$42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1</c:v>
                </c:pt>
                <c:pt idx="31">
                  <c:v>16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D-4A43-A09F-5FD2F75B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954096"/>
        <c:axId val="619958672"/>
      </c:barChart>
      <c:catAx>
        <c:axId val="61995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958672"/>
        <c:crosses val="autoZero"/>
        <c:auto val="1"/>
        <c:lblAlgn val="ctr"/>
        <c:lblOffset val="100"/>
        <c:noMultiLvlLbl val="0"/>
      </c:catAx>
      <c:valAx>
        <c:axId val="61995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Fréquence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9340798206967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995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31750</xdr:rowOff>
    </xdr:from>
    <xdr:to>
      <xdr:col>9</xdr:col>
      <xdr:colOff>742950</xdr:colOff>
      <xdr:row>20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177800</xdr:rowOff>
    </xdr:from>
    <xdr:to>
      <xdr:col>9</xdr:col>
      <xdr:colOff>266700</xdr:colOff>
      <xdr:row>10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177800</xdr:rowOff>
    </xdr:from>
    <xdr:to>
      <xdr:col>9</xdr:col>
      <xdr:colOff>266700</xdr:colOff>
      <xdr:row>10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177800</xdr:rowOff>
    </xdr:from>
    <xdr:to>
      <xdr:col>9</xdr:col>
      <xdr:colOff>266700</xdr:colOff>
      <xdr:row>10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2</xdr:row>
      <xdr:rowOff>26988</xdr:rowOff>
    </xdr:from>
    <xdr:to>
      <xdr:col>8</xdr:col>
      <xdr:colOff>210343</xdr:colOff>
      <xdr:row>12</xdr:row>
      <xdr:rowOff>26988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177800</xdr:rowOff>
    </xdr:from>
    <xdr:to>
      <xdr:col>9</xdr:col>
      <xdr:colOff>266700</xdr:colOff>
      <xdr:row>10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120650</xdr:rowOff>
    </xdr:from>
    <xdr:to>
      <xdr:col>9</xdr:col>
      <xdr:colOff>114300</xdr:colOff>
      <xdr:row>11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253093</xdr:colOff>
      <xdr:row>2</xdr:row>
      <xdr:rowOff>73478</xdr:rowOff>
    </xdr:from>
    <xdr:to>
      <xdr:col>9</xdr:col>
      <xdr:colOff>253093</xdr:colOff>
      <xdr:row>12</xdr:row>
      <xdr:rowOff>73479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H1:N17" totalsRowShown="0" headerRowDxfId="15" dataDxfId="14">
  <autoFilter ref="H1:N17" xr:uid="{00000000-0009-0000-0100-000001000000}"/>
  <tableColumns count="7">
    <tableColumn id="1" xr3:uid="{00000000-0010-0000-0000-000001000000}" name="Couche MONA" dataDxfId="13"/>
    <tableColumn id="2" xr3:uid="{00000000-0010-0000-0000-000002000000}" name="id" dataDxfId="12"/>
    <tableColumn id="3" xr3:uid="{00000000-0010-0000-0000-000003000000}" name="Tmin" dataDxfId="11">
      <calculatedColumnFormula>OFFSET($C$5,6*I1,)</calculatedColumnFormula>
    </tableColumn>
    <tableColumn id="4" xr3:uid="{00000000-0010-0000-0000-000004000000}" name="Tmax" dataDxfId="10">
      <calculatedColumnFormula>OFFSET($D$5,6*I1,)</calculatedColumnFormula>
    </tableColumn>
    <tableColumn id="5" xr3:uid="{00000000-0010-0000-0000-000005000000}" name="Tmoy" dataDxfId="9">
      <calculatedColumnFormula>OFFSET($E$5,6*I1,)</calculatedColumnFormula>
    </tableColumn>
    <tableColumn id="6" xr3:uid="{00000000-0010-0000-0000-000006000000}" name="Moy(logT)" dataDxfId="8">
      <calculatedColumnFormula>OFFSET($F$5,6*I1,)</calculatedColumnFormula>
    </tableColumn>
    <tableColumn id="7" xr3:uid="{00000000-0010-0000-0000-000007000000}" name="10^(Moy(logT))" dataDxfId="7">
      <calculatedColumnFormula>POWER(10,M2)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H21:L37" totalsRowShown="0" headerRowDxfId="6" dataDxfId="5">
  <autoFilter ref="H21:L37" xr:uid="{00000000-0009-0000-0100-000002000000}"/>
  <tableColumns count="5">
    <tableColumn id="1" xr3:uid="{00000000-0010-0000-0100-000001000000}" name="Couche MONA" dataDxfId="4"/>
    <tableColumn id="2" xr3:uid="{00000000-0010-0000-0100-000002000000}" name="id" dataDxfId="3"/>
    <tableColumn id="3" xr3:uid="{00000000-0010-0000-0100-000003000000}" name="Wmin" dataDxfId="2">
      <calculatedColumnFormula>OFFSET($C$3,6*I1,)</calculatedColumnFormula>
    </tableColumn>
    <tableColumn id="4" xr3:uid="{00000000-0010-0000-0100-000004000000}" name="Wmax" dataDxfId="1">
      <calculatedColumnFormula>OFFSET($D$3,6*I1,)</calculatedColumnFormula>
    </tableColumn>
    <tableColumn id="5" xr3:uid="{00000000-0010-0000-0100-000005000000}" name="Wmoy" dataDxfId="0">
      <calculatedColumnFormula>OFFSET($E$3,6*I1,)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qtesolv.com/aquifer-tests/aquifer_properti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zoomScale="70" zoomScaleNormal="70" workbookViewId="0">
      <selection activeCell="H6" sqref="H6"/>
    </sheetView>
  </sheetViews>
  <sheetFormatPr baseColWidth="10" defaultRowHeight="15"/>
  <cols>
    <col min="8" max="8" width="28" customWidth="1"/>
    <col min="9" max="9" width="13.33203125" customWidth="1"/>
    <col min="13" max="13" width="13.33203125" customWidth="1"/>
    <col min="14" max="14" width="15.1640625" customWidth="1"/>
  </cols>
  <sheetData>
    <row r="1" spans="1:21" ht="16" thickBot="1">
      <c r="A1" s="73" t="s">
        <v>621</v>
      </c>
      <c r="H1" s="66" t="s">
        <v>939</v>
      </c>
      <c r="I1" s="67" t="s">
        <v>9</v>
      </c>
      <c r="J1" s="67" t="s">
        <v>940</v>
      </c>
      <c r="K1" s="67" t="s">
        <v>941</v>
      </c>
      <c r="L1" s="67" t="s">
        <v>942</v>
      </c>
      <c r="M1" s="67" t="s">
        <v>949</v>
      </c>
      <c r="N1" s="67" t="s">
        <v>950</v>
      </c>
      <c r="O1" s="28"/>
      <c r="P1" s="28" t="s">
        <v>9</v>
      </c>
      <c r="Q1" s="28" t="s">
        <v>943</v>
      </c>
      <c r="R1" s="28" t="s">
        <v>944</v>
      </c>
      <c r="S1" s="28" t="s">
        <v>945</v>
      </c>
      <c r="T1" s="28" t="s">
        <v>951</v>
      </c>
      <c r="U1" s="28" t="s">
        <v>952</v>
      </c>
    </row>
    <row r="2" spans="1:21" ht="16" thickBot="1">
      <c r="A2" s="19" t="str">
        <f>QUAT!A17</f>
        <v>Paramètre</v>
      </c>
      <c r="B2" s="19" t="str">
        <f>QUAT!B17</f>
        <v>Nombre de données</v>
      </c>
      <c r="C2" s="19" t="str">
        <f>QUAT!C17</f>
        <v>Min</v>
      </c>
      <c r="D2" s="19" t="str">
        <f>QUAT!D17</f>
        <v>Max</v>
      </c>
      <c r="E2" s="19" t="str">
        <f>QUAT!E17</f>
        <v>Moy</v>
      </c>
      <c r="F2" s="19" t="str">
        <f>QUAT!F17</f>
        <v>moy log</v>
      </c>
      <c r="H2" s="65" t="s">
        <v>621</v>
      </c>
      <c r="I2" s="68">
        <v>1</v>
      </c>
      <c r="J2" s="69">
        <f>$C$5</f>
        <v>4.6999999999999999E-4</v>
      </c>
      <c r="K2" s="69">
        <f>$D$5</f>
        <v>2E-3</v>
      </c>
      <c r="L2" s="69">
        <f>$E$5</f>
        <v>1.1574999999999999E-3</v>
      </c>
      <c r="M2" s="69">
        <f>$F$5</f>
        <v>-3.0138990744155487</v>
      </c>
      <c r="N2" s="70">
        <f>POWER(10,M2)</f>
        <v>9.6850290025451849E-4</v>
      </c>
      <c r="O2" s="45"/>
      <c r="P2" s="51">
        <v>1</v>
      </c>
      <c r="Q2" s="45">
        <f>$C$4</f>
        <v>4.5500000000000002E-3</v>
      </c>
      <c r="R2" s="45">
        <f>$D$4</f>
        <v>4.5500000000000002E-3</v>
      </c>
      <c r="S2" s="45">
        <f>$E$4</f>
        <v>4.5500000000000002E-3</v>
      </c>
      <c r="T2" s="45">
        <f>$F$4</f>
        <v>-2.3419886033428874</v>
      </c>
      <c r="U2" s="45">
        <f>POWER(10,T2)</f>
        <v>4.5499999999999985E-3</v>
      </c>
    </row>
    <row r="3" spans="1:21" ht="16" thickBot="1">
      <c r="A3" s="19" t="str">
        <f>QUAT!A18</f>
        <v>S libre</v>
      </c>
      <c r="B3" s="19">
        <f>QUAT!B18</f>
        <v>2</v>
      </c>
      <c r="C3" s="27">
        <f>QUAT!C18</f>
        <v>5.0000000000000001E-3</v>
      </c>
      <c r="D3" s="27">
        <f>QUAT!D18</f>
        <v>0.11</v>
      </c>
      <c r="E3" s="27">
        <f>QUAT!E18</f>
        <v>5.7500000000000002E-2</v>
      </c>
      <c r="F3" s="27">
        <f>QUAT!F18</f>
        <v>0</v>
      </c>
      <c r="H3" s="63" t="s">
        <v>953</v>
      </c>
      <c r="I3" s="71">
        <v>2</v>
      </c>
      <c r="J3" s="69">
        <f ca="1">OFFSET($C$5,6*I2,)</f>
        <v>1.55E-4</v>
      </c>
      <c r="K3" s="69">
        <f ca="1">OFFSET($D$5,6*I2,)</f>
        <v>9.7000000000000005E-4</v>
      </c>
      <c r="L3" s="69">
        <f ca="1">OFFSET($E$5,6*I2,)</f>
        <v>6.9375000000000003E-4</v>
      </c>
      <c r="M3" s="69">
        <f ca="1">OFFSET($F$5,6*I2,)</f>
        <v>-3.2475969137143066</v>
      </c>
      <c r="N3" s="70">
        <f t="shared" ref="N3:N17" ca="1" si="0">POWER(10,M3)</f>
        <v>5.6546155908940028E-4</v>
      </c>
      <c r="O3" s="45"/>
      <c r="P3" s="33">
        <v>2</v>
      </c>
      <c r="Q3" s="45">
        <f ca="1">OFFSET($C$4,6*P2,)</f>
        <v>8.9999999999999998E-4</v>
      </c>
      <c r="R3" s="45">
        <f ca="1">OFFSET($D$4,6*P2,)</f>
        <v>8.9999999999999998E-4</v>
      </c>
      <c r="S3" s="27">
        <f ca="1">OFFSET($E$4,6*P2,)</f>
        <v>8.9999999999999998E-4</v>
      </c>
      <c r="T3" s="27">
        <f ca="1">OFFSET($F$4,6*P2,)</f>
        <v>-3.0457574905606752</v>
      </c>
      <c r="U3" s="45">
        <f t="shared" ref="U3:U17" ca="1" si="1">POWER(10,T3)</f>
        <v>8.9999999999999889E-4</v>
      </c>
    </row>
    <row r="4" spans="1:21" ht="16" thickBot="1">
      <c r="A4" s="19" t="str">
        <f>QUAT!A19</f>
        <v>S cap</v>
      </c>
      <c r="B4" s="19">
        <f>QUAT!B19</f>
        <v>1</v>
      </c>
      <c r="C4" s="27">
        <f>QUAT!C19</f>
        <v>4.5500000000000002E-3</v>
      </c>
      <c r="D4" s="27">
        <f>QUAT!D19</f>
        <v>4.5500000000000002E-3</v>
      </c>
      <c r="E4" s="27">
        <f>QUAT!E19</f>
        <v>4.5500000000000002E-3</v>
      </c>
      <c r="F4" s="27">
        <f>QUAT!F19</f>
        <v>-2.3419886033428874</v>
      </c>
      <c r="H4" s="72" t="s">
        <v>509</v>
      </c>
      <c r="I4" s="68">
        <v>3</v>
      </c>
      <c r="J4" s="69">
        <f t="shared" ref="J4:J17" ca="1" si="2">OFFSET($C$5,6*I3,)</f>
        <v>1.4999999999999999E-4</v>
      </c>
      <c r="K4" s="69">
        <f t="shared" ref="K4:K17" ca="1" si="3">OFFSET($D$5,6*I3,)</f>
        <v>4.3E-3</v>
      </c>
      <c r="L4" s="69">
        <f t="shared" ref="L4:L17" ca="1" si="4">OFFSET($E$5,6*I3,)</f>
        <v>1.7050000000000001E-3</v>
      </c>
      <c r="M4" s="69">
        <f t="shared" ref="M4:M17" ca="1" si="5">OFFSET($F$5,6*I3,)</f>
        <v>-3.0738636445262761</v>
      </c>
      <c r="N4" s="70">
        <f t="shared" ca="1" si="0"/>
        <v>8.4359958121774765E-4</v>
      </c>
      <c r="O4" s="45"/>
      <c r="P4" s="51">
        <v>3</v>
      </c>
      <c r="Q4" s="45">
        <f t="shared" ref="Q4:Q17" ca="1" si="6">OFFSET($C$4,6*P3,)</f>
        <v>2.9999999999999997E-4</v>
      </c>
      <c r="R4" s="45">
        <f t="shared" ref="R4:R17" ca="1" si="7">OFFSET($D$4,6*P3,)</f>
        <v>2.9999999999999997E-4</v>
      </c>
      <c r="S4" s="27">
        <f t="shared" ref="S4:S17" ca="1" si="8">OFFSET($E$4,6*P3,)</f>
        <v>2.9999999999999997E-4</v>
      </c>
      <c r="T4" s="27">
        <f t="shared" ref="T4:T17" ca="1" si="9">OFFSET($F$4,6*P3,)</f>
        <v>-3.5228787452803374</v>
      </c>
      <c r="U4" s="45">
        <f t="shared" ca="1" si="1"/>
        <v>3.0000000000000008E-4</v>
      </c>
    </row>
    <row r="5" spans="1:21" ht="16" thickBot="1">
      <c r="A5" s="19" t="str">
        <f>QUAT!A20</f>
        <v>T (m2 . s-1)</v>
      </c>
      <c r="B5" s="19">
        <f>QUAT!B20</f>
        <v>4</v>
      </c>
      <c r="C5" s="27">
        <f>QUAT!C20</f>
        <v>4.6999999999999999E-4</v>
      </c>
      <c r="D5" s="27">
        <f>QUAT!D20</f>
        <v>2E-3</v>
      </c>
      <c r="E5" s="27">
        <f>QUAT!E20</f>
        <v>1.1574999999999999E-3</v>
      </c>
      <c r="F5" s="27">
        <f>QUAT!F20</f>
        <v>-3.0138990744155487</v>
      </c>
      <c r="H5" s="63" t="s">
        <v>261</v>
      </c>
      <c r="I5" s="68">
        <v>4</v>
      </c>
      <c r="J5" s="69">
        <f t="shared" ca="1" si="2"/>
        <v>3.0000000000000001E-6</v>
      </c>
      <c r="K5" s="69">
        <f t="shared" ca="1" si="3"/>
        <v>0.12</v>
      </c>
      <c r="L5" s="69">
        <f t="shared" ca="1" si="4"/>
        <v>8.8523371428571342E-3</v>
      </c>
      <c r="M5" s="69">
        <f t="shared" ca="1" si="5"/>
        <v>-2.5788825074719366</v>
      </c>
      <c r="N5" s="70">
        <f t="shared" ca="1" si="0"/>
        <v>2.6370447062917107E-3</v>
      </c>
      <c r="O5" s="45"/>
      <c r="P5" s="51">
        <v>4</v>
      </c>
      <c r="Q5" s="45">
        <f t="shared" ca="1" si="6"/>
        <v>2.0000000000000002E-5</v>
      </c>
      <c r="R5" s="45">
        <f t="shared" ca="1" si="7"/>
        <v>2.5999999999999999E-2</v>
      </c>
      <c r="S5" s="27">
        <f t="shared" ca="1" si="8"/>
        <v>2.502121212121212E-3</v>
      </c>
      <c r="T5" s="27">
        <f t="shared" ca="1" si="9"/>
        <v>-3.3095363311650323</v>
      </c>
      <c r="U5" s="45">
        <f t="shared" ca="1" si="1"/>
        <v>4.9030200456832691E-4</v>
      </c>
    </row>
    <row r="6" spans="1:21" ht="16" thickBot="1">
      <c r="A6" s="19" t="str">
        <f>QUAT!A21</f>
        <v>K (m . s-1)</v>
      </c>
      <c r="B6" s="19">
        <f>QUAT!B21</f>
        <v>3</v>
      </c>
      <c r="C6" s="27">
        <f>QUAT!C21</f>
        <v>6.6852367688022278E-6</v>
      </c>
      <c r="D6" s="27">
        <f>QUAT!D21</f>
        <v>4.1666666666666665E-5</v>
      </c>
      <c r="E6" s="27">
        <f>QUAT!E21</f>
        <v>1.9381190034045188E-5</v>
      </c>
      <c r="F6" s="27">
        <f>QUAT!F21</f>
        <v>-4.8547459426727295</v>
      </c>
      <c r="H6" s="72" t="s">
        <v>930</v>
      </c>
      <c r="I6" s="71">
        <v>5</v>
      </c>
      <c r="J6" s="69">
        <f t="shared" ca="1" si="2"/>
        <v>5.0000000000000002E-11</v>
      </c>
      <c r="K6" s="69">
        <f t="shared" ca="1" si="3"/>
        <v>4.9999999999999996E-6</v>
      </c>
      <c r="L6" s="69">
        <f t="shared" ca="1" si="4"/>
        <v>1.1105100000000001E-6</v>
      </c>
      <c r="M6" s="69">
        <f t="shared" ca="1" si="5"/>
        <v>-7.6976233278042256</v>
      </c>
      <c r="N6" s="70">
        <f t="shared" ca="1" si="0"/>
        <v>2.0062112997524782E-8</v>
      </c>
      <c r="O6" s="45"/>
      <c r="P6" s="33">
        <v>5</v>
      </c>
      <c r="Q6" s="45">
        <f t="shared" ca="1" si="6"/>
        <v>4.0000000000000003E-5</v>
      </c>
      <c r="R6" s="45">
        <f t="shared" ca="1" si="7"/>
        <v>4.0000000000000003E-5</v>
      </c>
      <c r="S6" s="27">
        <f t="shared" ca="1" si="8"/>
        <v>4.0000000000000003E-5</v>
      </c>
      <c r="T6" s="27">
        <f t="shared" ca="1" si="9"/>
        <v>-4.3979400086720375</v>
      </c>
      <c r="U6" s="45">
        <f t="shared" ca="1" si="1"/>
        <v>4.0000000000000003E-5</v>
      </c>
    </row>
    <row r="7" spans="1:21" ht="16" thickBot="1">
      <c r="A7" s="74" t="s">
        <v>580</v>
      </c>
      <c r="B7" s="19"/>
      <c r="C7" s="19"/>
      <c r="D7" s="19"/>
      <c r="E7" s="19"/>
      <c r="F7" s="19"/>
      <c r="H7" s="63" t="s">
        <v>15</v>
      </c>
      <c r="I7" s="68">
        <v>6</v>
      </c>
      <c r="J7" s="69">
        <f t="shared" ca="1" si="2"/>
        <v>1.5E-5</v>
      </c>
      <c r="K7" s="69">
        <f t="shared" ca="1" si="3"/>
        <v>5.5999999999999999E-3</v>
      </c>
      <c r="L7" s="69">
        <f t="shared" ca="1" si="4"/>
        <v>1.9929166666666663E-3</v>
      </c>
      <c r="M7" s="69">
        <f t="shared" ca="1" si="5"/>
        <v>-2.8866525915083052</v>
      </c>
      <c r="N7" s="70">
        <f t="shared" ca="1" si="0"/>
        <v>1.2982173486184364E-3</v>
      </c>
      <c r="O7" s="45"/>
      <c r="P7" s="51">
        <v>6</v>
      </c>
      <c r="Q7" s="45">
        <f t="shared" ca="1" si="6"/>
        <v>1.4E-3</v>
      </c>
      <c r="R7" s="45">
        <f t="shared" ca="1" si="7"/>
        <v>1.4E-3</v>
      </c>
      <c r="S7" s="27">
        <f t="shared" ca="1" si="8"/>
        <v>1.4E-3</v>
      </c>
      <c r="T7" s="27">
        <f t="shared" ca="1" si="9"/>
        <v>-2.8538719643217618</v>
      </c>
      <c r="U7" s="45">
        <f t="shared" ca="1" si="1"/>
        <v>1.3999999999999991E-3</v>
      </c>
    </row>
    <row r="8" spans="1:21" ht="16" thickBot="1">
      <c r="A8" s="19" t="str">
        <f>HELV!A42</f>
        <v>Paramètre</v>
      </c>
      <c r="B8" s="19" t="str">
        <f>HELV!B42</f>
        <v>Nombre de données</v>
      </c>
      <c r="C8" s="19" t="str">
        <f>HELV!C42</f>
        <v>MIN</v>
      </c>
      <c r="D8" s="19" t="str">
        <f>HELV!D42</f>
        <v>Max</v>
      </c>
      <c r="E8" s="19" t="str">
        <f>HELV!E42</f>
        <v>Moy</v>
      </c>
      <c r="F8" s="19" t="str">
        <f>HELV!F42</f>
        <v>Moy log</v>
      </c>
      <c r="H8" s="72" t="s">
        <v>30</v>
      </c>
      <c r="I8" s="68">
        <v>7</v>
      </c>
      <c r="J8" s="69">
        <f t="shared" ca="1" si="2"/>
        <v>2.3E-6</v>
      </c>
      <c r="K8" s="69">
        <f t="shared" ca="1" si="3"/>
        <v>0.06</v>
      </c>
      <c r="L8" s="69">
        <f t="shared" ca="1" si="4"/>
        <v>8.6307537500000028E-3</v>
      </c>
      <c r="M8" s="69">
        <f t="shared" ca="1" si="5"/>
        <v>-2.4035320484978948</v>
      </c>
      <c r="N8" s="70">
        <f t="shared" ca="1" si="0"/>
        <v>3.9488255815487488E-3</v>
      </c>
      <c r="O8" s="45"/>
      <c r="P8" s="51">
        <v>7</v>
      </c>
      <c r="Q8" s="45">
        <f t="shared" ca="1" si="6"/>
        <v>1.0000000000000001E-5</v>
      </c>
      <c r="R8" s="45">
        <f t="shared" ca="1" si="7"/>
        <v>4.0000000000000002E-4</v>
      </c>
      <c r="S8" s="27">
        <f t="shared" ca="1" si="8"/>
        <v>1.5666666666666669E-4</v>
      </c>
      <c r="T8" s="27">
        <f t="shared" ca="1" si="9"/>
        <v>-4.0247974552962065</v>
      </c>
      <c r="U8" s="45">
        <f t="shared" ca="1" si="1"/>
        <v>9.4450126669940086E-5</v>
      </c>
    </row>
    <row r="9" spans="1:21" ht="16" thickBot="1">
      <c r="A9" s="19" t="str">
        <f>HELV!A43</f>
        <v>S libre</v>
      </c>
      <c r="B9" s="19">
        <f>HELV!B43</f>
        <v>1</v>
      </c>
      <c r="C9" s="27">
        <f>HELV!C43</f>
        <v>0.22</v>
      </c>
      <c r="D9" s="27">
        <f>HELV!D43</f>
        <v>0.22</v>
      </c>
      <c r="E9" s="27">
        <f>HELV!E43</f>
        <v>0.22</v>
      </c>
      <c r="F9" s="27">
        <f>HELV!F43</f>
        <v>0</v>
      </c>
      <c r="H9" s="63" t="s">
        <v>553</v>
      </c>
      <c r="I9" s="71">
        <v>8</v>
      </c>
      <c r="J9" s="69">
        <f t="shared" ca="1" si="2"/>
        <v>2.5000000000000001E-3</v>
      </c>
      <c r="K9" s="69">
        <f t="shared" ca="1" si="3"/>
        <v>0.02</v>
      </c>
      <c r="L9" s="69">
        <f t="shared" ca="1" si="4"/>
        <v>1.1646E-2</v>
      </c>
      <c r="M9" s="69">
        <f t="shared" ca="1" si="5"/>
        <v>-2.0130328795462256</v>
      </c>
      <c r="N9" s="70">
        <f t="shared" ca="1" si="0"/>
        <v>9.704364947037622E-3</v>
      </c>
      <c r="O9" s="45"/>
      <c r="P9" s="33">
        <v>8</v>
      </c>
      <c r="Q9" s="45">
        <f t="shared" ca="1" si="6"/>
        <v>1E-4</v>
      </c>
      <c r="R9" s="45">
        <f t="shared" ca="1" si="7"/>
        <v>2.9999999999999997E-4</v>
      </c>
      <c r="S9" s="27">
        <f t="shared" ca="1" si="8"/>
        <v>2.2666666666666666E-4</v>
      </c>
      <c r="T9" s="27">
        <f t="shared" ca="1" si="9"/>
        <v>-3.6919069046460393</v>
      </c>
      <c r="U9" s="45">
        <f t="shared" ca="1" si="1"/>
        <v>2.0327927136297064E-4</v>
      </c>
    </row>
    <row r="10" spans="1:21" ht="16" thickBot="1">
      <c r="A10" s="19" t="str">
        <f>HELV!A44</f>
        <v>S cap</v>
      </c>
      <c r="B10" s="19">
        <f>HELV!B44</f>
        <v>2</v>
      </c>
      <c r="C10" s="27">
        <f>HELV!C44</f>
        <v>8.9999999999999998E-4</v>
      </c>
      <c r="D10" s="27">
        <f>HELV!D44</f>
        <v>8.9999999999999998E-4</v>
      </c>
      <c r="E10" s="27">
        <f>HELV!E44</f>
        <v>8.9999999999999998E-4</v>
      </c>
      <c r="F10" s="27">
        <f>HELV!F44</f>
        <v>-3.0457574905606752</v>
      </c>
      <c r="H10" s="72" t="s">
        <v>163</v>
      </c>
      <c r="I10" s="68">
        <v>9</v>
      </c>
      <c r="J10" s="69">
        <f t="shared" ca="1" si="2"/>
        <v>1E-4</v>
      </c>
      <c r="K10" s="69">
        <f t="shared" ca="1" si="3"/>
        <v>7.4999999999999997E-2</v>
      </c>
      <c r="L10" s="69">
        <f t="shared" ca="1" si="4"/>
        <v>8.470833333333332E-3</v>
      </c>
      <c r="M10" s="69">
        <f t="shared" ca="1" si="5"/>
        <v>-2.7542819220935364</v>
      </c>
      <c r="N10" s="70">
        <f t="shared" ca="1" si="0"/>
        <v>1.760832631512157E-3</v>
      </c>
      <c r="O10" s="45"/>
      <c r="P10" s="51">
        <v>9</v>
      </c>
      <c r="Q10" s="45">
        <f t="shared" ca="1" si="6"/>
        <v>5.0000000000000001E-4</v>
      </c>
      <c r="R10" s="45">
        <f t="shared" ca="1" si="7"/>
        <v>5.0000000000000001E-4</v>
      </c>
      <c r="S10" s="27">
        <f t="shared" ca="1" si="8"/>
        <v>5.0000000000000001E-4</v>
      </c>
      <c r="T10" s="27">
        <f t="shared" ca="1" si="9"/>
        <v>-3.3010299956639813</v>
      </c>
      <c r="U10" s="45">
        <f t="shared" ca="1" si="1"/>
        <v>4.9999999999999958E-4</v>
      </c>
    </row>
    <row r="11" spans="1:21" ht="16" thickBot="1">
      <c r="A11" s="19" t="str">
        <f>HELV!A45</f>
        <v>T (m2 . s-1)</v>
      </c>
      <c r="B11" s="19">
        <f>HELV!B45</f>
        <v>4</v>
      </c>
      <c r="C11" s="27">
        <f>HELV!C45</f>
        <v>1.55E-4</v>
      </c>
      <c r="D11" s="27">
        <f>HELV!D45</f>
        <v>9.7000000000000005E-4</v>
      </c>
      <c r="E11" s="27">
        <f>HELV!E45</f>
        <v>6.9375000000000003E-4</v>
      </c>
      <c r="F11" s="27">
        <f>HELV!F45</f>
        <v>-3.2475969137143066</v>
      </c>
      <c r="H11" s="63" t="s">
        <v>561</v>
      </c>
      <c r="I11" s="68">
        <v>10</v>
      </c>
      <c r="J11" s="69">
        <f t="shared" ca="1" si="2"/>
        <v>1.5E-5</v>
      </c>
      <c r="K11" s="69">
        <f t="shared" ca="1" si="3"/>
        <v>7.7000000000000002E-3</v>
      </c>
      <c r="L11" s="69">
        <f t="shared" ca="1" si="4"/>
        <v>1.6847916666666667E-3</v>
      </c>
      <c r="M11" s="69">
        <f t="shared" ca="1" si="5"/>
        <v>-3.2968647852956003</v>
      </c>
      <c r="N11" s="70">
        <f t="shared" ca="1" si="0"/>
        <v>5.0481844497106973E-4</v>
      </c>
      <c r="O11" s="45"/>
      <c r="P11" s="51">
        <v>10</v>
      </c>
      <c r="Q11" s="45">
        <f t="shared" ca="1" si="6"/>
        <v>9.3999999999999998E-6</v>
      </c>
      <c r="R11" s="45">
        <f t="shared" ca="1" si="7"/>
        <v>9.3999999999999998E-6</v>
      </c>
      <c r="S11" s="27">
        <f t="shared" ca="1" si="8"/>
        <v>9.3999999999999998E-6</v>
      </c>
      <c r="T11" s="27">
        <f t="shared" ca="1" si="9"/>
        <v>-5.0268721464003017</v>
      </c>
      <c r="U11" s="45">
        <f t="shared" ca="1" si="1"/>
        <v>9.3999999999999862E-6</v>
      </c>
    </row>
    <row r="12" spans="1:21" ht="16" thickBot="1">
      <c r="A12" s="19" t="str">
        <f>HELV!A46</f>
        <v>K (m . s-1)</v>
      </c>
      <c r="B12" s="19">
        <f>HELV!B46</f>
        <v>2</v>
      </c>
      <c r="C12" s="27">
        <f>HELV!C46</f>
        <v>1.0699999999999999E-5</v>
      </c>
      <c r="D12" s="27">
        <f>HELV!D46</f>
        <v>3.8800000000000001E-5</v>
      </c>
      <c r="E12" s="27">
        <f>HELV!E46</f>
        <v>2.4749999999999999E-5</v>
      </c>
      <c r="F12" s="27">
        <f>HELV!F46</f>
        <v>-4.6908922483602922</v>
      </c>
      <c r="H12" s="72" t="s">
        <v>727</v>
      </c>
      <c r="I12" s="71">
        <v>11</v>
      </c>
      <c r="J12" s="69">
        <f t="shared" ca="1" si="2"/>
        <v>2.2999999999999998E-4</v>
      </c>
      <c r="K12" s="69">
        <f t="shared" ca="1" si="3"/>
        <v>0.3</v>
      </c>
      <c r="L12" s="69">
        <f t="shared" ca="1" si="4"/>
        <v>3.3689499999999997E-2</v>
      </c>
      <c r="M12" s="69">
        <f t="shared" ca="1" si="5"/>
        <v>-2.1288810321854017</v>
      </c>
      <c r="N12" s="70">
        <f t="shared" ca="1" si="0"/>
        <v>7.4322270362239219E-3</v>
      </c>
      <c r="O12" s="45"/>
      <c r="P12" s="33">
        <v>11</v>
      </c>
      <c r="Q12" s="45">
        <f t="shared" ca="1" si="6"/>
        <v>1.0000000000000001E-5</v>
      </c>
      <c r="R12" s="45">
        <f t="shared" ca="1" si="7"/>
        <v>1E-4</v>
      </c>
      <c r="S12" s="27">
        <f t="shared" ca="1" si="8"/>
        <v>6.6875000000000013E-5</v>
      </c>
      <c r="T12" s="27">
        <f t="shared" ca="1" si="9"/>
        <v>-4.3529885926180398</v>
      </c>
      <c r="U12" s="45">
        <f t="shared" ca="1" si="1"/>
        <v>4.4362029611655785E-5</v>
      </c>
    </row>
    <row r="13" spans="1:21" ht="16" thickBot="1">
      <c r="A13" s="74" t="s">
        <v>509</v>
      </c>
      <c r="B13" s="19"/>
      <c r="C13" s="19"/>
      <c r="D13" s="19"/>
      <c r="E13" s="19"/>
      <c r="F13" s="19"/>
      <c r="H13" s="63" t="s">
        <v>108</v>
      </c>
      <c r="I13" s="68">
        <v>12</v>
      </c>
      <c r="J13" s="69">
        <f t="shared" ca="1" si="2"/>
        <v>2.9999999999999997E-4</v>
      </c>
      <c r="K13" s="69">
        <f t="shared" ca="1" si="3"/>
        <v>7.4999999999999997E-2</v>
      </c>
      <c r="L13" s="69">
        <f t="shared" ca="1" si="4"/>
        <v>1.6782222222222219E-2</v>
      </c>
      <c r="M13" s="69">
        <f t="shared" ca="1" si="5"/>
        <v>-2.2745889726690129</v>
      </c>
      <c r="N13" s="70">
        <f t="shared" ca="1" si="0"/>
        <v>5.3138712459341502E-3</v>
      </c>
      <c r="O13" s="45"/>
      <c r="P13" s="51">
        <v>12</v>
      </c>
      <c r="Q13" s="45">
        <f t="shared" ca="1" si="6"/>
        <v>4.0000000000000002E-4</v>
      </c>
      <c r="R13" s="45">
        <f t="shared" ca="1" si="7"/>
        <v>2.5399999999999999E-2</v>
      </c>
      <c r="S13" s="27">
        <f t="shared" ca="1" si="8"/>
        <v>9.1000000000000004E-3</v>
      </c>
      <c r="T13" s="27">
        <f t="shared" ca="1" si="9"/>
        <v>-2.6056716776654727</v>
      </c>
      <c r="U13" s="45">
        <f t="shared" ca="1" si="1"/>
        <v>2.4792956723428917E-3</v>
      </c>
    </row>
    <row r="14" spans="1:21" ht="16" thickBot="1">
      <c r="A14" s="19" t="str">
        <f>AQUI!A55</f>
        <v>Paramètre</v>
      </c>
      <c r="B14" s="19" t="str">
        <f>AQUI!B55</f>
        <v>Nombre de données</v>
      </c>
      <c r="C14" s="19" t="str">
        <f>AQUI!C55</f>
        <v>Min</v>
      </c>
      <c r="D14" s="19" t="str">
        <f>AQUI!D55</f>
        <v>Max</v>
      </c>
      <c r="E14" s="19" t="str">
        <f>AQUI!E55</f>
        <v>Moy</v>
      </c>
      <c r="F14" s="19" t="str">
        <f>AQUI!F55</f>
        <v>Moy log</v>
      </c>
      <c r="H14" s="72" t="s">
        <v>790</v>
      </c>
      <c r="I14" s="68">
        <v>13</v>
      </c>
      <c r="J14" s="69">
        <f t="shared" ca="1" si="2"/>
        <v>0.03</v>
      </c>
      <c r="K14" s="69">
        <f t="shared" ca="1" si="3"/>
        <v>3.041E-2</v>
      </c>
      <c r="L14" s="69">
        <f t="shared" ca="1" si="4"/>
        <v>3.0204999999999999E-2</v>
      </c>
      <c r="M14" s="69">
        <f t="shared" ca="1" si="5"/>
        <v>-1.5199311625681027</v>
      </c>
      <c r="N14" s="70">
        <f t="shared" ca="1" si="0"/>
        <v>3.0204304329019053E-2</v>
      </c>
      <c r="O14" s="45"/>
      <c r="P14" s="51">
        <v>13</v>
      </c>
      <c r="Q14" s="45">
        <f t="shared" ca="1" si="6"/>
        <v>0.04</v>
      </c>
      <c r="R14" s="45">
        <f t="shared" ca="1" si="7"/>
        <v>0.04</v>
      </c>
      <c r="S14" s="27">
        <f t="shared" ca="1" si="8"/>
        <v>0.04</v>
      </c>
      <c r="T14" s="27">
        <f t="shared" ca="1" si="9"/>
        <v>-1.3979400086720375</v>
      </c>
      <c r="U14" s="45">
        <f t="shared" ca="1" si="1"/>
        <v>4.0000000000000008E-2</v>
      </c>
    </row>
    <row r="15" spans="1:21" ht="16" thickBot="1">
      <c r="A15" s="19" t="str">
        <f>AQUI!A56</f>
        <v>S libre</v>
      </c>
      <c r="B15" s="19">
        <f>AQUI!B56</f>
        <v>1</v>
      </c>
      <c r="C15" s="27">
        <f>AQUI!C56</f>
        <v>0.22</v>
      </c>
      <c r="D15" s="27">
        <f>AQUI!D56</f>
        <v>0.22</v>
      </c>
      <c r="E15" s="27">
        <f>AQUI!E56</f>
        <v>0.22</v>
      </c>
      <c r="F15" s="27">
        <f>AQUI!F56</f>
        <v>0</v>
      </c>
      <c r="H15" s="63" t="s">
        <v>614</v>
      </c>
      <c r="I15" s="71">
        <v>14</v>
      </c>
      <c r="J15" s="69">
        <f t="shared" ca="1" si="2"/>
        <v>1.06E-2</v>
      </c>
      <c r="K15" s="69">
        <f t="shared" ca="1" si="3"/>
        <v>1.06E-2</v>
      </c>
      <c r="L15" s="69">
        <f t="shared" ca="1" si="4"/>
        <v>1.06E-2</v>
      </c>
      <c r="M15" s="69">
        <f t="shared" ca="1" si="5"/>
        <v>-1.9746941347352298</v>
      </c>
      <c r="N15" s="70">
        <f t="shared" ca="1" si="0"/>
        <v>1.0599999999999998E-2</v>
      </c>
      <c r="O15" s="45"/>
      <c r="P15" s="33">
        <v>14</v>
      </c>
      <c r="Q15" s="45">
        <f t="shared" ca="1" si="6"/>
        <v>0.04</v>
      </c>
      <c r="R15" s="45">
        <f t="shared" ca="1" si="7"/>
        <v>0.04</v>
      </c>
      <c r="S15" s="27">
        <f t="shared" ca="1" si="8"/>
        <v>0.04</v>
      </c>
      <c r="T15" s="27">
        <f t="shared" ca="1" si="9"/>
        <v>-1.3979400086720375</v>
      </c>
      <c r="U15" s="45">
        <f t="shared" ca="1" si="1"/>
        <v>4.0000000000000008E-2</v>
      </c>
    </row>
    <row r="16" spans="1:21" ht="16" thickBot="1">
      <c r="A16" s="19" t="str">
        <f>AQUI!A57</f>
        <v>S cap</v>
      </c>
      <c r="B16" s="19">
        <f>AQUI!B57</f>
        <v>1</v>
      </c>
      <c r="C16" s="27">
        <f>AQUI!C57</f>
        <v>2.9999999999999997E-4</v>
      </c>
      <c r="D16" s="27">
        <f>AQUI!D57</f>
        <v>2.9999999999999997E-4</v>
      </c>
      <c r="E16" s="27">
        <f>AQUI!E57</f>
        <v>2.9999999999999997E-4</v>
      </c>
      <c r="F16" s="27">
        <f>AQUI!F57</f>
        <v>-3.5228787452803374</v>
      </c>
      <c r="H16" s="72" t="s">
        <v>198</v>
      </c>
      <c r="I16" s="68">
        <v>15</v>
      </c>
      <c r="J16" s="69">
        <f t="shared" ca="1" si="2"/>
        <v>2.6999999999999999E-5</v>
      </c>
      <c r="K16" s="69">
        <f t="shared" ca="1" si="3"/>
        <v>3.6999999999999998E-5</v>
      </c>
      <c r="L16" s="69">
        <f t="shared" ca="1" si="4"/>
        <v>3.1999999999999999E-5</v>
      </c>
      <c r="M16" s="69">
        <f t="shared" ca="1" si="5"/>
        <v>-4.5002172558870086</v>
      </c>
      <c r="N16" s="70">
        <f t="shared" ca="1" si="0"/>
        <v>3.1606961258558194E-5</v>
      </c>
      <c r="O16" s="45"/>
      <c r="P16" s="51">
        <v>15</v>
      </c>
      <c r="Q16" s="45">
        <f t="shared" ca="1" si="6"/>
        <v>0.04</v>
      </c>
      <c r="R16" s="45">
        <f t="shared" ca="1" si="7"/>
        <v>0.04</v>
      </c>
      <c r="S16" s="27">
        <f t="shared" ca="1" si="8"/>
        <v>0.04</v>
      </c>
      <c r="T16" s="27">
        <f t="shared" ca="1" si="9"/>
        <v>-1.3979400086720375</v>
      </c>
      <c r="U16" s="45">
        <f t="shared" ca="1" si="1"/>
        <v>4.0000000000000008E-2</v>
      </c>
    </row>
    <row r="17" spans="1:21" ht="16" thickBot="1">
      <c r="A17" s="19" t="str">
        <f>AQUI!A58</f>
        <v>T (m2 . s-1)</v>
      </c>
      <c r="B17" s="19">
        <f>AQUI!B58</f>
        <v>8</v>
      </c>
      <c r="C17" s="27">
        <f>AQUI!C58</f>
        <v>1.4999999999999999E-4</v>
      </c>
      <c r="D17" s="27">
        <f>AQUI!D58</f>
        <v>4.3E-3</v>
      </c>
      <c r="E17" s="27">
        <f>AQUI!E58</f>
        <v>1.7050000000000001E-3</v>
      </c>
      <c r="F17" s="27">
        <f>AQUI!F58</f>
        <v>-3.0738636445262761</v>
      </c>
      <c r="H17" s="65" t="s">
        <v>234</v>
      </c>
      <c r="I17" s="68">
        <v>16</v>
      </c>
      <c r="J17" s="69">
        <f t="shared" ca="1" si="2"/>
        <v>2.3099999999999999E-2</v>
      </c>
      <c r="K17" s="69">
        <f t="shared" ca="1" si="3"/>
        <v>2.4E-2</v>
      </c>
      <c r="L17" s="69">
        <f t="shared" ca="1" si="4"/>
        <v>2.3550000000000001E-2</v>
      </c>
      <c r="M17" s="69">
        <f t="shared" ca="1" si="5"/>
        <v>-1.6280883891981248</v>
      </c>
      <c r="N17" s="70">
        <f t="shared" ca="1" si="0"/>
        <v>2.3545700244418294E-2</v>
      </c>
      <c r="O17" s="45"/>
      <c r="P17" s="51">
        <v>16</v>
      </c>
      <c r="Q17" s="45">
        <f t="shared" ca="1" si="6"/>
        <v>0.04</v>
      </c>
      <c r="R17" s="45">
        <f t="shared" ca="1" si="7"/>
        <v>0.04</v>
      </c>
      <c r="S17" s="27">
        <f t="shared" ca="1" si="8"/>
        <v>0.04</v>
      </c>
      <c r="T17" s="27">
        <f t="shared" ca="1" si="9"/>
        <v>-1.3979400086720375</v>
      </c>
      <c r="U17" s="45">
        <f t="shared" ca="1" si="1"/>
        <v>4.0000000000000008E-2</v>
      </c>
    </row>
    <row r="18" spans="1:21">
      <c r="A18" s="19" t="str">
        <f>AQUI!A59</f>
        <v>Perm (m . s-1)</v>
      </c>
      <c r="B18" s="19">
        <f>AQUI!B59</f>
        <v>8</v>
      </c>
      <c r="C18" s="27">
        <f>AQUI!C59</f>
        <v>4.5454545454545447E-6</v>
      </c>
      <c r="D18" s="27">
        <f>AQUI!D59</f>
        <v>1E-4</v>
      </c>
      <c r="E18" s="27">
        <f>AQUI!E59</f>
        <v>3.3203310916725553E-5</v>
      </c>
      <c r="F18" s="27">
        <f>AQUI!F59</f>
        <v>-4.6639976039247903</v>
      </c>
      <c r="H18" s="33"/>
      <c r="I18" s="27"/>
      <c r="J18" s="27"/>
      <c r="K18" s="27"/>
      <c r="M18" s="33"/>
      <c r="N18" s="45"/>
      <c r="O18" s="45"/>
      <c r="P18" s="27"/>
    </row>
    <row r="19" spans="1:21">
      <c r="A19" s="73" t="s">
        <v>261</v>
      </c>
      <c r="H19" s="51"/>
      <c r="I19" s="27"/>
      <c r="J19" s="27"/>
      <c r="K19" s="27"/>
    </row>
    <row r="20" spans="1:21" ht="16" thickBot="1">
      <c r="A20" t="str">
        <f>OLNP!A231</f>
        <v>Paramètre</v>
      </c>
      <c r="B20" t="str">
        <f>OLNP!B231</f>
        <v>Nombre de données</v>
      </c>
      <c r="C20" t="str">
        <f>OLNP!C231</f>
        <v>Min</v>
      </c>
      <c r="D20" t="str">
        <f>OLNP!D231</f>
        <v>Max</v>
      </c>
      <c r="E20" t="str">
        <f>OLNP!E231</f>
        <v>Moy</v>
      </c>
      <c r="F20" t="str">
        <f>OLNP!F231</f>
        <v>Moy log</v>
      </c>
    </row>
    <row r="21" spans="1:21" ht="16" thickBot="1">
      <c r="A21" t="str">
        <f>OLNP!A232</f>
        <v>S libre</v>
      </c>
      <c r="B21">
        <f>OLNP!B232</f>
        <v>18</v>
      </c>
      <c r="C21" s="45">
        <f>OLNP!C232</f>
        <v>1E-3</v>
      </c>
      <c r="D21" s="45">
        <f>OLNP!D232</f>
        <v>0.1</v>
      </c>
      <c r="E21" s="45">
        <f>OLNP!E232</f>
        <v>1.9394444444444447E-2</v>
      </c>
      <c r="F21" s="45">
        <f>OLNP!F232</f>
        <v>0</v>
      </c>
      <c r="H21" s="66" t="s">
        <v>939</v>
      </c>
      <c r="I21" s="28" t="s">
        <v>9</v>
      </c>
      <c r="J21" s="28" t="s">
        <v>946</v>
      </c>
      <c r="K21" s="28" t="s">
        <v>947</v>
      </c>
      <c r="L21" s="28" t="s">
        <v>948</v>
      </c>
      <c r="M21" s="52"/>
    </row>
    <row r="22" spans="1:21" ht="16" thickBot="1">
      <c r="A22" t="str">
        <f>OLNP!A233</f>
        <v>S cap</v>
      </c>
      <c r="B22">
        <f>OLNP!B233</f>
        <v>33</v>
      </c>
      <c r="C22" s="45">
        <f>OLNP!C233</f>
        <v>2.0000000000000002E-5</v>
      </c>
      <c r="D22" s="45">
        <f>OLNP!D233</f>
        <v>2.5999999999999999E-2</v>
      </c>
      <c r="E22" s="45">
        <f>OLNP!E233</f>
        <v>2.502121212121212E-3</v>
      </c>
      <c r="F22" s="45">
        <f>OLNP!F233</f>
        <v>-3.3095363311650323</v>
      </c>
      <c r="H22" s="62" t="s">
        <v>621</v>
      </c>
      <c r="I22" s="51">
        <v>1</v>
      </c>
      <c r="J22" s="27">
        <f>$C$3</f>
        <v>5.0000000000000001E-3</v>
      </c>
      <c r="K22" s="27">
        <f>$D$3</f>
        <v>0.11</v>
      </c>
      <c r="L22" s="27">
        <f>$E$3</f>
        <v>5.7500000000000002E-2</v>
      </c>
      <c r="M22" s="53"/>
    </row>
    <row r="23" spans="1:21" ht="16" thickBot="1">
      <c r="A23" t="str">
        <f>OLNP!A234</f>
        <v>T (m2 . s-1)</v>
      </c>
      <c r="B23">
        <f>OLNP!B234</f>
        <v>175</v>
      </c>
      <c r="C23" s="45">
        <f>OLNP!C234</f>
        <v>3.0000000000000001E-6</v>
      </c>
      <c r="D23" s="45">
        <f>OLNP!D234</f>
        <v>0.12</v>
      </c>
      <c r="E23" s="45">
        <f>OLNP!E234</f>
        <v>8.8523371428571342E-3</v>
      </c>
      <c r="F23" s="45">
        <f>OLNP!F234</f>
        <v>-2.5788825074719366</v>
      </c>
      <c r="H23" s="63" t="s">
        <v>953</v>
      </c>
      <c r="I23" s="33">
        <v>2</v>
      </c>
      <c r="J23" s="27">
        <f ca="1">OFFSET($C$3,6*I2,)</f>
        <v>0.22</v>
      </c>
      <c r="K23" s="27">
        <f ca="1">OFFSET($D$3,6*I2,)</f>
        <v>0.22</v>
      </c>
      <c r="L23" s="27">
        <f ca="1">OFFSET($E$3,6*I2,)</f>
        <v>0.22</v>
      </c>
      <c r="M23" s="53"/>
    </row>
    <row r="24" spans="1:21" ht="16" thickBot="1">
      <c r="A24" t="str">
        <f>OLNP!A235</f>
        <v>K (m . s-1)</v>
      </c>
      <c r="B24">
        <f>OLNP!B235</f>
        <v>124</v>
      </c>
      <c r="C24" s="45">
        <f>OLNP!C235</f>
        <v>8.4033613445378151E-8</v>
      </c>
      <c r="D24" s="45">
        <f>OLNP!D235</f>
        <v>2.7906976744186047E-3</v>
      </c>
      <c r="E24" s="45">
        <f>OLNP!E235</f>
        <v>1.4781277594575384E-4</v>
      </c>
      <c r="F24" s="45">
        <f>OLNP!F235</f>
        <v>-4.3822274408547663</v>
      </c>
      <c r="H24" s="64" t="s">
        <v>509</v>
      </c>
      <c r="I24" s="51">
        <v>3</v>
      </c>
      <c r="J24" s="27">
        <f t="shared" ref="J24:J37" ca="1" si="10">OFFSET($C$3,6*I3,)</f>
        <v>0.22</v>
      </c>
      <c r="K24" s="27">
        <f t="shared" ref="K24:K37" ca="1" si="11">OFFSET($D$3,6*I3,)</f>
        <v>0.22</v>
      </c>
      <c r="L24" s="27">
        <f t="shared" ref="L24:L37" ca="1" si="12">OFFSET($E$3,6*I3,)</f>
        <v>0.22</v>
      </c>
      <c r="M24" s="53"/>
    </row>
    <row r="25" spans="1:21" ht="16" thickBot="1">
      <c r="A25" s="73" t="s">
        <v>930</v>
      </c>
      <c r="H25" s="63" t="s">
        <v>261</v>
      </c>
      <c r="I25" s="51">
        <v>4</v>
      </c>
      <c r="J25" s="27">
        <f t="shared" ca="1" si="10"/>
        <v>1E-3</v>
      </c>
      <c r="K25" s="27">
        <f t="shared" ca="1" si="11"/>
        <v>0.1</v>
      </c>
      <c r="L25" s="27">
        <f t="shared" ca="1" si="12"/>
        <v>1.9394444444444447E-2</v>
      </c>
      <c r="M25" s="53"/>
    </row>
    <row r="26" spans="1:21" ht="16" thickBot="1">
      <c r="A26" t="str">
        <f>EPOL!A17</f>
        <v>Paramètre</v>
      </c>
      <c r="B26" t="str">
        <f>EPOL!B17</f>
        <v>Nombre de données</v>
      </c>
      <c r="C26" t="str">
        <f>EPOL!C17</f>
        <v>Min</v>
      </c>
      <c r="D26" t="str">
        <f>EPOL!D17</f>
        <v>Max</v>
      </c>
      <c r="E26" t="str">
        <f>EPOL!E17</f>
        <v>Moy</v>
      </c>
      <c r="F26" t="str">
        <f>EPOL!F17</f>
        <v>moy log</v>
      </c>
      <c r="H26" s="64" t="s">
        <v>930</v>
      </c>
      <c r="I26" s="33">
        <v>5</v>
      </c>
      <c r="J26" s="27">
        <f t="shared" ca="1" si="10"/>
        <v>0</v>
      </c>
      <c r="K26" s="27">
        <f t="shared" ca="1" si="11"/>
        <v>0</v>
      </c>
      <c r="L26" s="27" t="e">
        <f ca="1">OFFSET($E$3,6*I5,)</f>
        <v>#DIV/0!</v>
      </c>
      <c r="M26" s="54"/>
    </row>
    <row r="27" spans="1:21" ht="16" thickBot="1">
      <c r="A27" t="str">
        <f>EPOL!A18</f>
        <v>S libre</v>
      </c>
      <c r="B27">
        <f>EPOL!B18</f>
        <v>0</v>
      </c>
      <c r="C27" s="45">
        <f>EPOL!C18</f>
        <v>0</v>
      </c>
      <c r="D27" s="45">
        <f>EPOL!D18</f>
        <v>0</v>
      </c>
      <c r="E27" s="45" t="e">
        <f>EPOL!E18</f>
        <v>#DIV/0!</v>
      </c>
      <c r="F27" s="45">
        <f>EPOL!F18</f>
        <v>0</v>
      </c>
      <c r="H27" s="63" t="s">
        <v>15</v>
      </c>
      <c r="I27" s="51">
        <v>6</v>
      </c>
      <c r="J27" s="27">
        <f t="shared" ca="1" si="10"/>
        <v>0.15</v>
      </c>
      <c r="K27" s="27">
        <f t="shared" ca="1" si="11"/>
        <v>0.15</v>
      </c>
      <c r="L27" s="27">
        <f t="shared" ca="1" si="12"/>
        <v>0.15</v>
      </c>
      <c r="M27" s="53"/>
    </row>
    <row r="28" spans="1:21" ht="16" thickBot="1">
      <c r="A28" t="str">
        <f>EPOL!A19</f>
        <v>S cap</v>
      </c>
      <c r="B28">
        <f>EPOL!B19</f>
        <v>1</v>
      </c>
      <c r="C28" s="45">
        <f>EPOL!C19</f>
        <v>4.0000000000000003E-5</v>
      </c>
      <c r="D28" s="45">
        <f>EPOL!D19</f>
        <v>4.0000000000000003E-5</v>
      </c>
      <c r="E28" s="45">
        <f>EPOL!E19</f>
        <v>4.0000000000000003E-5</v>
      </c>
      <c r="F28" s="45">
        <f>EPOL!F19</f>
        <v>-4.3979400086720375</v>
      </c>
      <c r="H28" s="64" t="s">
        <v>30</v>
      </c>
      <c r="I28" s="51">
        <v>7</v>
      </c>
      <c r="J28" s="27">
        <f t="shared" ca="1" si="10"/>
        <v>1E-3</v>
      </c>
      <c r="K28" s="27">
        <f t="shared" ca="1" si="11"/>
        <v>0.06</v>
      </c>
      <c r="L28" s="27">
        <f t="shared" ca="1" si="12"/>
        <v>2.7427777777777777E-2</v>
      </c>
      <c r="M28" s="53"/>
    </row>
    <row r="29" spans="1:21" ht="16" thickBot="1">
      <c r="A29" t="str">
        <f>EPOL!A20</f>
        <v>T (m2 . s-1)</v>
      </c>
      <c r="B29">
        <f>EPOL!B20</f>
        <v>5</v>
      </c>
      <c r="C29" s="45">
        <f>EPOL!C20</f>
        <v>5.0000000000000002E-11</v>
      </c>
      <c r="D29" s="45">
        <f>EPOL!D20</f>
        <v>4.9999999999999996E-6</v>
      </c>
      <c r="E29" s="45">
        <f>EPOL!E20</f>
        <v>1.1105100000000001E-6</v>
      </c>
      <c r="F29" s="45">
        <f>EPOL!F20</f>
        <v>-7.6976233278042256</v>
      </c>
      <c r="H29" s="63" t="s">
        <v>553</v>
      </c>
      <c r="I29" s="33">
        <v>8</v>
      </c>
      <c r="J29" s="27">
        <f t="shared" ca="1" si="10"/>
        <v>5.0000000000000001E-3</v>
      </c>
      <c r="K29" s="27">
        <f t="shared" ca="1" si="11"/>
        <v>5.0000000000000001E-3</v>
      </c>
      <c r="L29" s="27">
        <f t="shared" ca="1" si="12"/>
        <v>5.0000000000000001E-3</v>
      </c>
      <c r="M29" s="53"/>
    </row>
    <row r="30" spans="1:21" ht="16" thickBot="1">
      <c r="A30" t="str">
        <f>EPOL!A21</f>
        <v>K (m . s-1)</v>
      </c>
      <c r="B30">
        <f>EPOL!B21</f>
        <v>5</v>
      </c>
      <c r="C30" s="45">
        <f>EPOL!C21</f>
        <v>9.9999999999999998E-13</v>
      </c>
      <c r="D30" s="45">
        <f>EPOL!D21</f>
        <v>9.9999999999999995E-8</v>
      </c>
      <c r="E30" s="45">
        <f>EPOL!E21</f>
        <v>2.2202199999999997E-8</v>
      </c>
      <c r="F30" s="45">
        <f>EPOL!F21</f>
        <v>-9.4</v>
      </c>
      <c r="H30" s="64" t="s">
        <v>163</v>
      </c>
      <c r="I30" s="51">
        <v>9</v>
      </c>
      <c r="J30" s="27">
        <f t="shared" ca="1" si="10"/>
        <v>0.01</v>
      </c>
      <c r="K30" s="27">
        <f t="shared" ca="1" si="11"/>
        <v>0.01</v>
      </c>
      <c r="L30" s="27">
        <f t="shared" ca="1" si="12"/>
        <v>0.01</v>
      </c>
      <c r="M30" s="53"/>
    </row>
    <row r="31" spans="1:21" ht="16" thickBot="1">
      <c r="A31" s="73" t="s">
        <v>15</v>
      </c>
      <c r="H31" s="63" t="s">
        <v>561</v>
      </c>
      <c r="I31" s="51">
        <v>10</v>
      </c>
      <c r="J31" s="27">
        <f t="shared" ca="1" si="10"/>
        <v>0.21</v>
      </c>
      <c r="K31" s="27">
        <f t="shared" ca="1" si="11"/>
        <v>0.21</v>
      </c>
      <c r="L31" s="27">
        <f t="shared" ca="1" si="12"/>
        <v>0.21</v>
      </c>
      <c r="M31" s="53"/>
    </row>
    <row r="32" spans="1:21" ht="16" thickBot="1">
      <c r="A32" t="str">
        <f>EOCS!A26</f>
        <v>Paramètre</v>
      </c>
      <c r="B32" t="str">
        <f>EOCS!B26</f>
        <v>Nombre de données</v>
      </c>
      <c r="C32" t="str">
        <f>EOCS!C26</f>
        <v>Min</v>
      </c>
      <c r="D32" t="str">
        <f>EOCS!D26</f>
        <v>Max</v>
      </c>
      <c r="E32" t="str">
        <f>EOCS!E26</f>
        <v>Moy</v>
      </c>
      <c r="F32" t="str">
        <f>EOCS!F26</f>
        <v>log moy</v>
      </c>
      <c r="H32" s="64" t="s">
        <v>727</v>
      </c>
      <c r="I32" s="33">
        <v>11</v>
      </c>
      <c r="J32" s="27">
        <f t="shared" ca="1" si="10"/>
        <v>0.2</v>
      </c>
      <c r="K32" s="27">
        <f t="shared" ca="1" si="11"/>
        <v>0.2</v>
      </c>
      <c r="L32" s="27">
        <f t="shared" ca="1" si="12"/>
        <v>0.2</v>
      </c>
      <c r="M32" s="55"/>
    </row>
    <row r="33" spans="1:12" ht="16" thickBot="1">
      <c r="A33" t="str">
        <f>EOCS!A27</f>
        <v>S libre</v>
      </c>
      <c r="B33">
        <f>EOCS!B27</f>
        <v>1</v>
      </c>
      <c r="C33" s="45">
        <f>EOCS!C27</f>
        <v>0.15</v>
      </c>
      <c r="D33" s="45">
        <f>EOCS!D27</f>
        <v>0.15</v>
      </c>
      <c r="E33" s="45">
        <f>EOCS!E27</f>
        <v>0.15</v>
      </c>
      <c r="F33" s="45">
        <f>EOCS!F27</f>
        <v>0</v>
      </c>
      <c r="H33" s="63" t="s">
        <v>108</v>
      </c>
      <c r="I33" s="51">
        <v>12</v>
      </c>
      <c r="J33" s="27">
        <f t="shared" ca="1" si="10"/>
        <v>0.01</v>
      </c>
      <c r="K33" s="27">
        <f t="shared" ca="1" si="11"/>
        <v>2.5000000000000001E-2</v>
      </c>
      <c r="L33" s="27">
        <f t="shared" ca="1" si="12"/>
        <v>1.7500000000000002E-2</v>
      </c>
    </row>
    <row r="34" spans="1:12" ht="16" thickBot="1">
      <c r="A34" t="str">
        <f>EOCS!A28</f>
        <v>S cap</v>
      </c>
      <c r="B34">
        <f>EOCS!B28</f>
        <v>1</v>
      </c>
      <c r="C34" s="45">
        <f>EOCS!C28</f>
        <v>1.4E-3</v>
      </c>
      <c r="D34" s="45">
        <f>EOCS!D28</f>
        <v>1.4E-3</v>
      </c>
      <c r="E34" s="45">
        <f>EOCS!E28</f>
        <v>1.4E-3</v>
      </c>
      <c r="F34" s="45">
        <f>EOCS!F28</f>
        <v>-2.8538719643217618</v>
      </c>
      <c r="H34" s="64" t="s">
        <v>790</v>
      </c>
      <c r="I34" s="51">
        <v>13</v>
      </c>
      <c r="J34" s="27">
        <f t="shared" ca="1" si="10"/>
        <v>0.02</v>
      </c>
      <c r="K34" s="27">
        <f t="shared" ca="1" si="11"/>
        <v>0.02</v>
      </c>
      <c r="L34" s="27">
        <f t="shared" ca="1" si="12"/>
        <v>0.02</v>
      </c>
    </row>
    <row r="35" spans="1:12" ht="16" thickBot="1">
      <c r="A35" t="str">
        <f>EOCS!A29</f>
        <v>T (m2 . s-1)</v>
      </c>
      <c r="B35">
        <f>EOCS!B29</f>
        <v>12</v>
      </c>
      <c r="C35" s="45">
        <f>EOCS!C29</f>
        <v>1.5E-5</v>
      </c>
      <c r="D35" s="45">
        <f>EOCS!D29</f>
        <v>5.5999999999999999E-3</v>
      </c>
      <c r="E35" s="45">
        <f>EOCS!E29</f>
        <v>1.9929166666666663E-3</v>
      </c>
      <c r="F35" s="45">
        <f>EOCS!F29</f>
        <v>-2.8866525915083052</v>
      </c>
      <c r="H35" s="63" t="s">
        <v>614</v>
      </c>
      <c r="I35" s="33">
        <v>14</v>
      </c>
      <c r="J35" s="27">
        <f t="shared" ca="1" si="10"/>
        <v>0.02</v>
      </c>
      <c r="K35" s="27">
        <f t="shared" ca="1" si="11"/>
        <v>0.02</v>
      </c>
      <c r="L35" s="27">
        <f t="shared" ca="1" si="12"/>
        <v>0.02</v>
      </c>
    </row>
    <row r="36" spans="1:12" ht="16" thickBot="1">
      <c r="A36" t="str">
        <f>EOCS!A30</f>
        <v>K (m . s-1)</v>
      </c>
      <c r="B36">
        <f>EOCS!B30</f>
        <v>2</v>
      </c>
      <c r="C36" s="45">
        <f>EOCS!C30</f>
        <v>1.0566037735849057E-4</v>
      </c>
      <c r="D36" s="45">
        <f>EOCS!D30</f>
        <v>1.1538461538461538E-4</v>
      </c>
      <c r="E36" s="45">
        <f>EOCS!E30</f>
        <v>1.1052249637155297E-4</v>
      </c>
      <c r="F36" s="45">
        <f>EOCS!F30</f>
        <v>-3.956969967922872</v>
      </c>
      <c r="H36" s="64" t="s">
        <v>198</v>
      </c>
      <c r="I36" s="51">
        <v>15</v>
      </c>
      <c r="J36" s="27">
        <f t="shared" ca="1" si="10"/>
        <v>0.02</v>
      </c>
      <c r="K36" s="27">
        <f t="shared" ca="1" si="11"/>
        <v>0.02</v>
      </c>
      <c r="L36" s="27">
        <f t="shared" ca="1" si="12"/>
        <v>0.02</v>
      </c>
    </row>
    <row r="37" spans="1:12" ht="16" thickBot="1">
      <c r="A37" s="73" t="s">
        <v>30</v>
      </c>
      <c r="H37" s="65" t="s">
        <v>234</v>
      </c>
      <c r="I37" s="51">
        <v>16</v>
      </c>
      <c r="J37" s="27">
        <f t="shared" ca="1" si="10"/>
        <v>0.02</v>
      </c>
      <c r="K37" s="27">
        <f t="shared" ca="1" si="11"/>
        <v>0.02</v>
      </c>
      <c r="L37" s="27">
        <f t="shared" ca="1" si="12"/>
        <v>0.02</v>
      </c>
    </row>
    <row r="38" spans="1:12">
      <c r="A38" t="str">
        <f>EOCM!A135</f>
        <v>Paramètre</v>
      </c>
      <c r="B38" t="str">
        <f>EOCM!B135</f>
        <v>Nombre de données</v>
      </c>
      <c r="C38" t="str">
        <f>EOCM!C135</f>
        <v>Min</v>
      </c>
      <c r="D38" t="str">
        <f>EOCM!D135</f>
        <v>Max</v>
      </c>
      <c r="E38" t="str">
        <f>EOCM!E135</f>
        <v>Moy</v>
      </c>
      <c r="F38" t="str">
        <f>EOCM!F135</f>
        <v>Moy log</v>
      </c>
      <c r="H38" s="33"/>
      <c r="I38" s="27"/>
      <c r="J38" s="27"/>
      <c r="K38" s="27"/>
    </row>
    <row r="39" spans="1:12">
      <c r="A39" t="str">
        <f>EOCM!A136</f>
        <v>S libre</v>
      </c>
      <c r="B39">
        <f>EOCM!B136</f>
        <v>18</v>
      </c>
      <c r="C39" s="45">
        <f>EOCM!C136</f>
        <v>1E-3</v>
      </c>
      <c r="D39" s="45">
        <f>EOCM!D136</f>
        <v>0.06</v>
      </c>
      <c r="E39" s="45">
        <f>EOCM!E136</f>
        <v>2.7427777777777777E-2</v>
      </c>
      <c r="F39" s="45">
        <f>EOCM!F136</f>
        <v>0</v>
      </c>
      <c r="I39" s="45"/>
      <c r="J39" s="45"/>
      <c r="K39" s="45"/>
    </row>
    <row r="40" spans="1:12">
      <c r="A40" t="str">
        <f>EOCM!A137</f>
        <v>S cap</v>
      </c>
      <c r="B40">
        <f>EOCM!B137</f>
        <v>12</v>
      </c>
      <c r="C40" s="45">
        <f>EOCM!C137</f>
        <v>1.0000000000000001E-5</v>
      </c>
      <c r="D40" s="45">
        <f>EOCM!D137</f>
        <v>4.0000000000000002E-4</v>
      </c>
      <c r="E40" s="45">
        <f>EOCM!E137</f>
        <v>1.5666666666666669E-4</v>
      </c>
      <c r="F40" s="45">
        <f>EOCM!F137</f>
        <v>-4.0247974552962065</v>
      </c>
    </row>
    <row r="41" spans="1:12">
      <c r="A41" t="str">
        <f>EOCM!A138</f>
        <v>T (m2 . s-1)</v>
      </c>
      <c r="B41">
        <f>EOCM!B138</f>
        <v>80</v>
      </c>
      <c r="C41" s="45">
        <f>EOCM!C138</f>
        <v>2.3E-6</v>
      </c>
      <c r="D41" s="45">
        <f>EOCM!D138</f>
        <v>0.06</v>
      </c>
      <c r="E41" s="45">
        <f>EOCM!E138</f>
        <v>8.6307537500000028E-3</v>
      </c>
      <c r="F41" s="45">
        <f>EOCM!F138</f>
        <v>-2.4035320484978948</v>
      </c>
    </row>
    <row r="42" spans="1:12">
      <c r="A42" t="str">
        <f>EOCM!A139</f>
        <v>K (m . s-1)</v>
      </c>
      <c r="B42">
        <f>EOCM!B139</f>
        <v>67</v>
      </c>
      <c r="C42" s="45">
        <f>EOCM!C139</f>
        <v>0</v>
      </c>
      <c r="D42" s="45">
        <f>EOCM!D139</f>
        <v>5.0000000000000001E-4</v>
      </c>
      <c r="E42" s="45">
        <f>EOCM!E139</f>
        <v>8.2845654152431086E-5</v>
      </c>
      <c r="F42" s="45">
        <f>EOCM!F139</f>
        <v>-4.3961629005892018</v>
      </c>
    </row>
    <row r="43" spans="1:12">
      <c r="A43" s="73" t="s">
        <v>553</v>
      </c>
    </row>
    <row r="44" spans="1:12">
      <c r="A44" t="str">
        <f>EOCI!A27</f>
        <v>Paramètre</v>
      </c>
      <c r="B44" t="str">
        <f>EOCI!B27</f>
        <v>Nombre de données</v>
      </c>
      <c r="C44" t="str">
        <f>EOCI!C27</f>
        <v>Min</v>
      </c>
      <c r="D44" t="str">
        <f>EOCI!D27</f>
        <v>Max</v>
      </c>
      <c r="E44" t="str">
        <f>EOCI!E27</f>
        <v>Moy</v>
      </c>
      <c r="F44" t="str">
        <f>EOCI!F27</f>
        <v>Moy log</v>
      </c>
    </row>
    <row r="45" spans="1:12">
      <c r="A45" t="str">
        <f>EOCI!A28</f>
        <v>S libre</v>
      </c>
      <c r="B45">
        <f>EOCI!B28</f>
        <v>2</v>
      </c>
      <c r="C45" s="45">
        <f>EOCI!C28</f>
        <v>5.0000000000000001E-3</v>
      </c>
      <c r="D45" s="45">
        <f>EOCI!D28</f>
        <v>5.0000000000000001E-3</v>
      </c>
      <c r="E45" s="45">
        <f>EOCI!E28</f>
        <v>5.0000000000000001E-3</v>
      </c>
      <c r="F45" s="45">
        <f>EOCI!F28</f>
        <v>0</v>
      </c>
    </row>
    <row r="46" spans="1:12">
      <c r="A46" t="str">
        <f>EOCI!A29</f>
        <v>S cap</v>
      </c>
      <c r="B46">
        <f>EOCI!B29</f>
        <v>3</v>
      </c>
      <c r="C46" s="45">
        <f>EOCI!C29</f>
        <v>1E-4</v>
      </c>
      <c r="D46" s="45">
        <f>EOCI!D29</f>
        <v>2.9999999999999997E-4</v>
      </c>
      <c r="E46" s="45">
        <f>EOCI!E29</f>
        <v>2.2666666666666666E-4</v>
      </c>
      <c r="F46" s="45">
        <f>EOCI!F29</f>
        <v>-3.6919069046460393</v>
      </c>
    </row>
    <row r="47" spans="1:12">
      <c r="A47" t="str">
        <f>EOCI!A30</f>
        <v>T (m2 . s-1)</v>
      </c>
      <c r="B47">
        <f>EOCI!B30</f>
        <v>10</v>
      </c>
      <c r="C47" s="45">
        <f>EOCI!C30</f>
        <v>2.5000000000000001E-3</v>
      </c>
      <c r="D47" s="45">
        <f>EOCI!D30</f>
        <v>0.02</v>
      </c>
      <c r="E47" s="45">
        <f>EOCI!E30</f>
        <v>1.1646E-2</v>
      </c>
      <c r="F47" s="45">
        <f>EOCI!F30</f>
        <v>-2.0130328795462256</v>
      </c>
    </row>
    <row r="48" spans="1:12" ht="16" thickBot="1">
      <c r="A48" t="str">
        <f>EOCI!A31</f>
        <v>K (m . s-1)</v>
      </c>
      <c r="B48">
        <f>EOCI!B31</f>
        <v>10</v>
      </c>
      <c r="C48" s="45">
        <f>EOCI!C31</f>
        <v>2.9259259259259259E-5</v>
      </c>
      <c r="D48" s="45">
        <f>EOCI!D31</f>
        <v>2.0833333333333335E-4</v>
      </c>
      <c r="E48" s="45">
        <f>EOCI!E31</f>
        <v>1.185200282005641E-4</v>
      </c>
      <c r="F48" s="45">
        <f>EOCI!F31</f>
        <v>-3.9935197911247031</v>
      </c>
    </row>
    <row r="49" spans="1:15" ht="16" thickBot="1">
      <c r="A49" s="73" t="s">
        <v>163</v>
      </c>
      <c r="K49" s="79"/>
      <c r="L49" s="79"/>
      <c r="M49" s="79"/>
      <c r="N49" s="79"/>
      <c r="O49" s="79"/>
    </row>
    <row r="50" spans="1:15" ht="16" thickBot="1">
      <c r="A50" t="str">
        <f>CAMP!A25</f>
        <v>Paramètre</v>
      </c>
      <c r="B50" t="str">
        <f>CAMP!B25</f>
        <v>Nombre de données</v>
      </c>
      <c r="C50" t="str">
        <f>CAMP!C25</f>
        <v>Min</v>
      </c>
      <c r="D50" t="str">
        <f>CAMP!D25</f>
        <v>Max</v>
      </c>
      <c r="E50" t="str">
        <f>CAMP!E25</f>
        <v>Moy</v>
      </c>
      <c r="F50" t="str">
        <f>CAMP!F25</f>
        <v>Moy log</v>
      </c>
      <c r="K50" s="56"/>
      <c r="L50" s="57"/>
      <c r="M50" s="57"/>
      <c r="N50" s="57"/>
      <c r="O50" s="57"/>
    </row>
    <row r="51" spans="1:15" ht="16" thickBot="1">
      <c r="A51" t="str">
        <f>CAMP!A26</f>
        <v>S libre</v>
      </c>
      <c r="B51">
        <f>CAMP!B26</f>
        <v>2</v>
      </c>
      <c r="C51" s="45">
        <f>CAMP!C26</f>
        <v>0.01</v>
      </c>
      <c r="D51" s="45">
        <f>CAMP!D26</f>
        <v>0.01</v>
      </c>
      <c r="E51" s="45">
        <f>CAMP!E26</f>
        <v>0.01</v>
      </c>
      <c r="F51" s="45">
        <f>CAMP!F26</f>
        <v>0</v>
      </c>
      <c r="K51" s="58"/>
      <c r="L51" s="59"/>
      <c r="M51" s="59"/>
      <c r="N51" s="59"/>
      <c r="O51" s="59"/>
    </row>
    <row r="52" spans="1:15" ht="16" thickBot="1">
      <c r="A52" t="str">
        <f>CAMP!A27</f>
        <v>S cap</v>
      </c>
      <c r="B52">
        <f>CAMP!B27</f>
        <v>1</v>
      </c>
      <c r="C52" s="45">
        <f>CAMP!C27</f>
        <v>5.0000000000000001E-4</v>
      </c>
      <c r="D52" s="45">
        <f>CAMP!D27</f>
        <v>5.0000000000000001E-4</v>
      </c>
      <c r="E52" s="45">
        <f>CAMP!E27</f>
        <v>5.0000000000000001E-4</v>
      </c>
      <c r="F52" s="45">
        <f>CAMP!F27</f>
        <v>-3.3010299956639813</v>
      </c>
      <c r="K52" s="60"/>
      <c r="L52" s="61"/>
      <c r="M52" s="61"/>
      <c r="N52" s="61"/>
      <c r="O52" s="61"/>
    </row>
    <row r="53" spans="1:15" ht="16" thickBot="1">
      <c r="A53" t="str">
        <f>CAMP!A28</f>
        <v>T (m2 . s-1)</v>
      </c>
      <c r="B53">
        <f>CAMP!B28</f>
        <v>12</v>
      </c>
      <c r="C53" s="45">
        <f>CAMP!C28</f>
        <v>1E-4</v>
      </c>
      <c r="D53" s="45">
        <f>CAMP!D28</f>
        <v>7.4999999999999997E-2</v>
      </c>
      <c r="E53" s="45">
        <f>CAMP!E28</f>
        <v>8.470833333333332E-3</v>
      </c>
      <c r="F53" s="45">
        <f>CAMP!F28</f>
        <v>-2.7542819220935364</v>
      </c>
      <c r="K53" s="58"/>
      <c r="L53" s="59"/>
      <c r="M53" s="59"/>
      <c r="N53" s="59"/>
      <c r="O53" s="59"/>
    </row>
    <row r="54" spans="1:15" ht="16" thickBot="1">
      <c r="A54" t="str">
        <f>CAMP!A29</f>
        <v>K (m . s-1)</v>
      </c>
      <c r="B54">
        <f>CAMP!B29</f>
        <v>7</v>
      </c>
      <c r="C54" s="45">
        <f>CAMP!C29</f>
        <v>2.1276595744680853E-6</v>
      </c>
      <c r="D54" s="45">
        <f>CAMP!D29</f>
        <v>6.1111111111111121E-5</v>
      </c>
      <c r="E54" s="45">
        <f>CAMP!E29</f>
        <v>2.5295508274231678E-5</v>
      </c>
      <c r="F54" s="45">
        <f>CAMP!F29</f>
        <v>-4.8205628038929751</v>
      </c>
      <c r="K54" s="60"/>
      <c r="L54" s="61"/>
      <c r="M54" s="61"/>
      <c r="N54" s="61"/>
      <c r="O54" s="61"/>
    </row>
    <row r="55" spans="1:15" ht="16" thickBot="1">
      <c r="A55" s="73" t="s">
        <v>561</v>
      </c>
      <c r="K55" s="58"/>
      <c r="L55" s="59"/>
      <c r="M55" s="59"/>
      <c r="N55" s="59"/>
      <c r="O55" s="59"/>
    </row>
    <row r="56" spans="1:15" ht="16" thickBot="1">
      <c r="A56" t="str">
        <f>COST!A26</f>
        <v>Paramètre</v>
      </c>
      <c r="B56" t="str">
        <f>COST!B26</f>
        <v>Nombre de données</v>
      </c>
      <c r="C56" t="str">
        <f>COST!C26</f>
        <v>Min</v>
      </c>
      <c r="D56" t="str">
        <f>COST!D26</f>
        <v>Max</v>
      </c>
      <c r="E56" t="str">
        <f>COST!E26</f>
        <v>Moy</v>
      </c>
      <c r="F56" t="str">
        <f>COST!F26</f>
        <v>Moy log</v>
      </c>
      <c r="K56" s="60"/>
      <c r="L56" s="61"/>
      <c r="M56" s="61"/>
      <c r="N56" s="61"/>
      <c r="O56" s="61"/>
    </row>
    <row r="57" spans="1:15" ht="16" thickBot="1">
      <c r="A57" t="str">
        <f>COST!A27</f>
        <v>S libre</v>
      </c>
      <c r="B57">
        <f>COST!B27</f>
        <v>1</v>
      </c>
      <c r="C57" s="45">
        <f>COST!C27</f>
        <v>0.21</v>
      </c>
      <c r="D57" s="45">
        <f>COST!D27</f>
        <v>0.21</v>
      </c>
      <c r="E57" s="45">
        <f>COST!E27</f>
        <v>0.21</v>
      </c>
      <c r="F57" s="45">
        <f>COST!F27</f>
        <v>0</v>
      </c>
      <c r="K57" s="58"/>
      <c r="L57" s="59"/>
      <c r="M57" s="59"/>
      <c r="N57" s="59"/>
      <c r="O57" s="59"/>
    </row>
    <row r="58" spans="1:15" ht="16" thickBot="1">
      <c r="A58" t="str">
        <f>COST!A28</f>
        <v>S cap</v>
      </c>
      <c r="B58">
        <f>COST!B28</f>
        <v>1</v>
      </c>
      <c r="C58" s="45">
        <f>COST!C28</f>
        <v>9.3999999999999998E-6</v>
      </c>
      <c r="D58" s="45">
        <f>COST!D28</f>
        <v>9.3999999999999998E-6</v>
      </c>
      <c r="E58" s="45">
        <f>COST!E28</f>
        <v>9.3999999999999998E-6</v>
      </c>
      <c r="F58" s="45">
        <f>COST!F28</f>
        <v>-5.0268721464003017</v>
      </c>
      <c r="K58" s="60"/>
      <c r="L58" s="61"/>
      <c r="M58" s="61"/>
      <c r="N58" s="61"/>
      <c r="O58" s="61"/>
    </row>
    <row r="59" spans="1:15" ht="16" thickBot="1">
      <c r="A59" t="str">
        <f>COST!A29</f>
        <v>T (m2 . s-1)</v>
      </c>
      <c r="B59">
        <f>COST!B29</f>
        <v>12</v>
      </c>
      <c r="C59" s="45">
        <f>COST!C29</f>
        <v>1.5E-5</v>
      </c>
      <c r="D59" s="45">
        <f>COST!D29</f>
        <v>7.7000000000000002E-3</v>
      </c>
      <c r="E59" s="45">
        <f>COST!E29</f>
        <v>1.6847916666666667E-3</v>
      </c>
      <c r="F59" s="45">
        <f>COST!F29</f>
        <v>-3.2968647852956003</v>
      </c>
      <c r="K59" s="58"/>
      <c r="L59" s="59"/>
      <c r="M59" s="59"/>
      <c r="N59" s="59"/>
      <c r="O59" s="59"/>
    </row>
    <row r="60" spans="1:15" ht="16" thickBot="1">
      <c r="A60" t="str">
        <f>COST!A30</f>
        <v>K (m . s-1)</v>
      </c>
      <c r="B60">
        <f>COST!B30</f>
        <v>10</v>
      </c>
      <c r="C60" s="45">
        <f>COST!C30</f>
        <v>6.8181818181818186E-8</v>
      </c>
      <c r="D60" s="45">
        <f>COST!D30</f>
        <v>2.6643598615916956E-5</v>
      </c>
      <c r="E60" s="45">
        <f>COST!E30</f>
        <v>7.979270700693709E-6</v>
      </c>
      <c r="F60" s="45">
        <f>COST!F30</f>
        <v>-5.6045325330797704</v>
      </c>
      <c r="K60" s="60"/>
      <c r="L60" s="61"/>
      <c r="M60" s="61"/>
      <c r="N60" s="61"/>
      <c r="O60" s="61"/>
    </row>
    <row r="61" spans="1:15" ht="16" thickBot="1">
      <c r="A61" s="73" t="s">
        <v>727</v>
      </c>
      <c r="K61" s="58"/>
      <c r="L61" s="59"/>
      <c r="M61" s="59"/>
      <c r="N61" s="59"/>
      <c r="O61" s="59"/>
    </row>
    <row r="62" spans="1:15" ht="16" thickBot="1">
      <c r="A62" t="str">
        <f>TURO!A25</f>
        <v>Paramètre</v>
      </c>
      <c r="B62" t="str">
        <f>TURO!B25</f>
        <v>Nombre de données</v>
      </c>
      <c r="C62" t="str">
        <f>TURO!C25</f>
        <v>Min</v>
      </c>
      <c r="D62" t="str">
        <f>TURO!D25</f>
        <v>Max</v>
      </c>
      <c r="E62" t="str">
        <f>TURO!E25</f>
        <v>Moy</v>
      </c>
      <c r="F62" t="str">
        <f>TURO!F25</f>
        <v>Moy log</v>
      </c>
      <c r="K62" s="60"/>
      <c r="L62" s="61"/>
      <c r="M62" s="61"/>
      <c r="N62" s="61"/>
      <c r="O62" s="61"/>
    </row>
    <row r="63" spans="1:15" ht="16" thickBot="1">
      <c r="A63" t="str">
        <f>TURO!A26</f>
        <v>S libre</v>
      </c>
      <c r="B63">
        <f>TURO!B26</f>
        <v>1</v>
      </c>
      <c r="C63" s="45">
        <f>TURO!C26</f>
        <v>0.2</v>
      </c>
      <c r="D63" s="45">
        <f>TURO!D26</f>
        <v>0.2</v>
      </c>
      <c r="E63" s="45">
        <f>TURO!E26</f>
        <v>0.2</v>
      </c>
      <c r="F63" s="45">
        <f>TURO!F26</f>
        <v>0</v>
      </c>
      <c r="K63" s="58"/>
      <c r="L63" s="59"/>
      <c r="M63" s="59"/>
      <c r="N63" s="59"/>
      <c r="O63" s="59"/>
    </row>
    <row r="64" spans="1:15" ht="16" thickBot="1">
      <c r="A64" s="75" t="str">
        <f>TURO!A27</f>
        <v>S cap</v>
      </c>
      <c r="B64">
        <f>TURO!B27</f>
        <v>8</v>
      </c>
      <c r="C64" s="45">
        <f>TURO!C27</f>
        <v>1.0000000000000001E-5</v>
      </c>
      <c r="D64" s="45">
        <f>TURO!D27</f>
        <v>1E-4</v>
      </c>
      <c r="E64" s="45">
        <f>TURO!E27</f>
        <v>6.6875000000000013E-5</v>
      </c>
      <c r="F64" s="45">
        <f>TURO!F27</f>
        <v>-4.3529885926180398</v>
      </c>
      <c r="K64" s="60"/>
      <c r="L64" s="61"/>
      <c r="M64" s="61"/>
      <c r="N64" s="61"/>
      <c r="O64" s="61"/>
    </row>
    <row r="65" spans="1:15" ht="16" thickBot="1">
      <c r="A65" t="str">
        <f>TURO!A28</f>
        <v>T (m2 . s-1)</v>
      </c>
      <c r="B65">
        <f>TURO!B28</f>
        <v>20</v>
      </c>
      <c r="C65" s="45">
        <f>TURO!C28</f>
        <v>2.2999999999999998E-4</v>
      </c>
      <c r="D65" s="45">
        <f>TURO!D28</f>
        <v>0.3</v>
      </c>
      <c r="E65" s="45">
        <f>TURO!E28</f>
        <v>3.3689499999999997E-2</v>
      </c>
      <c r="F65" s="45">
        <f>TURO!F28</f>
        <v>-2.1288810321854017</v>
      </c>
      <c r="K65" s="58"/>
      <c r="L65" s="59"/>
      <c r="M65" s="59"/>
      <c r="N65" s="59"/>
      <c r="O65" s="59"/>
    </row>
    <row r="66" spans="1:15" ht="16" thickBot="1">
      <c r="A66" t="str">
        <f>TURO!A29</f>
        <v>K (m . s-1)</v>
      </c>
      <c r="B66">
        <f>TURO!B29</f>
        <v>16</v>
      </c>
      <c r="C66" s="45">
        <f>TURO!C29</f>
        <v>4.791666666666666E-6</v>
      </c>
      <c r="D66" s="45">
        <f>TURO!D29</f>
        <v>1.5E-3</v>
      </c>
      <c r="E66" s="45">
        <f>TURO!E29</f>
        <v>3.4563044150035291E-4</v>
      </c>
      <c r="F66" s="45">
        <f>TURO!F29</f>
        <v>-4.005731649373014</v>
      </c>
      <c r="K66" s="60"/>
      <c r="L66" s="61"/>
      <c r="M66" s="61"/>
      <c r="N66" s="61"/>
      <c r="O66" s="61"/>
    </row>
    <row r="67" spans="1:15">
      <c r="A67" s="73" t="s">
        <v>108</v>
      </c>
    </row>
    <row r="68" spans="1:15">
      <c r="A68" t="str">
        <f>CENO!A25</f>
        <v>Paramètre</v>
      </c>
      <c r="B68" t="str">
        <f>CENO!B25</f>
        <v>Nombre de données</v>
      </c>
      <c r="C68" t="str">
        <f>CENO!C25</f>
        <v>Min</v>
      </c>
      <c r="D68" t="str">
        <f>CENO!D25</f>
        <v>Max</v>
      </c>
      <c r="E68" t="str">
        <f>CENO!E25</f>
        <v>Moy</v>
      </c>
      <c r="F68" t="str">
        <f>CENO!F25</f>
        <v>Moy log</v>
      </c>
    </row>
    <row r="69" spans="1:15">
      <c r="A69" t="str">
        <f>CENO!A26</f>
        <v>S libre</v>
      </c>
      <c r="B69">
        <f>CENO!B26</f>
        <v>2</v>
      </c>
      <c r="C69" s="45">
        <f>CENO!C26</f>
        <v>0.01</v>
      </c>
      <c r="D69" s="45">
        <f>CENO!D26</f>
        <v>2.5000000000000001E-2</v>
      </c>
      <c r="E69" s="45">
        <f>CENO!E26</f>
        <v>1.7500000000000002E-2</v>
      </c>
      <c r="F69" s="45">
        <f>CENO!F26</f>
        <v>0</v>
      </c>
    </row>
    <row r="70" spans="1:15">
      <c r="A70" t="str">
        <f>CENO!A27</f>
        <v>S cap</v>
      </c>
      <c r="B70">
        <f>CENO!B27</f>
        <v>3</v>
      </c>
      <c r="C70" s="45">
        <f>CENO!C27</f>
        <v>4.0000000000000002E-4</v>
      </c>
      <c r="D70" s="45">
        <f>CENO!D27</f>
        <v>2.5399999999999999E-2</v>
      </c>
      <c r="E70" s="45">
        <f>CENO!E27</f>
        <v>9.1000000000000004E-3</v>
      </c>
      <c r="F70" s="45">
        <f>CENO!F27</f>
        <v>-2.6056716776654727</v>
      </c>
    </row>
    <row r="71" spans="1:15">
      <c r="A71" t="str">
        <f>CENO!A28</f>
        <v>T (m2 . s-1)</v>
      </c>
      <c r="B71">
        <f>CENO!B28</f>
        <v>18</v>
      </c>
      <c r="C71" s="45">
        <f>CENO!C28</f>
        <v>2.9999999999999997E-4</v>
      </c>
      <c r="D71" s="45">
        <f>CENO!D28</f>
        <v>7.4999999999999997E-2</v>
      </c>
      <c r="E71" s="45">
        <f>CENO!E28</f>
        <v>1.6782222222222219E-2</v>
      </c>
      <c r="F71" s="45">
        <f>CENO!F28</f>
        <v>-2.2745889726690129</v>
      </c>
    </row>
    <row r="72" spans="1:15">
      <c r="A72" t="str">
        <f>CENO!A29</f>
        <v>K (m . s-1)</v>
      </c>
      <c r="B72">
        <f>CENO!B29</f>
        <v>8</v>
      </c>
      <c r="C72" s="45">
        <f>CENO!C29</f>
        <v>4.7619047619047615E-6</v>
      </c>
      <c r="D72" s="45">
        <f>CENO!D29</f>
        <v>9.2592592592592585E-4</v>
      </c>
      <c r="E72" s="45">
        <f>CENO!E29</f>
        <v>2.1952573853615517E-4</v>
      </c>
      <c r="F72" s="45">
        <f>CENO!F29</f>
        <v>-4.3149110469613294</v>
      </c>
    </row>
    <row r="73" spans="1:15">
      <c r="A73" s="73" t="s">
        <v>790</v>
      </c>
    </row>
    <row r="74" spans="1:15">
      <c r="A74" t="str">
        <f>TITH!A7</f>
        <v>Paramètre</v>
      </c>
      <c r="B74" t="str">
        <f>TITH!B7</f>
        <v>Nombre de données</v>
      </c>
      <c r="C74" t="str">
        <f>TITH!C7</f>
        <v>Min</v>
      </c>
      <c r="D74" t="str">
        <f>TITH!D7</f>
        <v>Max</v>
      </c>
      <c r="E74" t="str">
        <f>TITH!E7</f>
        <v>Moy</v>
      </c>
      <c r="F74" t="str">
        <f>TITH!F7</f>
        <v>Moy log</v>
      </c>
    </row>
    <row r="75" spans="1:15">
      <c r="A75" t="str">
        <f>TITH!A8</f>
        <v>S libre</v>
      </c>
      <c r="B75">
        <f>TITH!B8</f>
        <v>1</v>
      </c>
      <c r="C75" s="45">
        <f>TITH!C8</f>
        <v>0.02</v>
      </c>
      <c r="D75" s="45">
        <f>TITH!D8</f>
        <v>0.02</v>
      </c>
      <c r="E75" s="45">
        <f>TITH!E8</f>
        <v>0.02</v>
      </c>
      <c r="F75" s="45">
        <f>TITH!F8</f>
        <v>0</v>
      </c>
    </row>
    <row r="76" spans="1:15">
      <c r="A76" t="str">
        <f>TITH!A9</f>
        <v>S cap</v>
      </c>
      <c r="B76">
        <f>TITH!B9</f>
        <v>1</v>
      </c>
      <c r="C76" s="45">
        <f>TITH!C9</f>
        <v>0.04</v>
      </c>
      <c r="D76" s="45">
        <f>TITH!D9</f>
        <v>0.04</v>
      </c>
      <c r="E76" s="45">
        <f>TITH!E9</f>
        <v>0.04</v>
      </c>
      <c r="F76" s="45">
        <f>TITH!F9</f>
        <v>-1.3979400086720375</v>
      </c>
    </row>
    <row r="77" spans="1:15">
      <c r="A77" t="str">
        <f>TITH!A10</f>
        <v>T (m2 . s-1)</v>
      </c>
      <c r="B77">
        <f>TITH!B10</f>
        <v>2</v>
      </c>
      <c r="C77" s="45">
        <f>TITH!C10</f>
        <v>0.03</v>
      </c>
      <c r="D77" s="45">
        <f>TITH!D10</f>
        <v>3.041E-2</v>
      </c>
      <c r="E77" s="45">
        <f>TITH!E10</f>
        <v>3.0204999999999999E-2</v>
      </c>
      <c r="F77" s="45">
        <f>TITH!F10</f>
        <v>-1.5199311625681027</v>
      </c>
    </row>
    <row r="78" spans="1:15">
      <c r="A78" t="str">
        <f>TITH!A11</f>
        <v>K (m . s-1)</v>
      </c>
      <c r="B78">
        <f>TITH!B11</f>
        <v>0</v>
      </c>
      <c r="C78" s="45">
        <f>TITH!C11</f>
        <v>0</v>
      </c>
      <c r="D78" s="45">
        <f>TITH!D11</f>
        <v>0</v>
      </c>
      <c r="E78" s="45" t="e">
        <f>TITH!E11</f>
        <v>#DIV/0!</v>
      </c>
      <c r="F78" s="45" t="e">
        <f>TITH!F11</f>
        <v>#DIV/0!</v>
      </c>
    </row>
    <row r="79" spans="1:15">
      <c r="A79" s="73" t="s">
        <v>614</v>
      </c>
    </row>
    <row r="80" spans="1:15">
      <c r="A80" t="str">
        <f>KIMM!A6</f>
        <v>Paramètre</v>
      </c>
      <c r="B80" t="str">
        <f>KIMM!B6</f>
        <v>Nombre de données</v>
      </c>
      <c r="C80" s="45" t="str">
        <f>KIMM!C6</f>
        <v>Min</v>
      </c>
      <c r="D80" s="45" t="str">
        <f>KIMM!D6</f>
        <v>Max</v>
      </c>
      <c r="E80" s="45" t="str">
        <f>KIMM!E6</f>
        <v>Moy</v>
      </c>
      <c r="F80" s="45" t="str">
        <f>KIMM!F6</f>
        <v>Moy log</v>
      </c>
    </row>
    <row r="81" spans="1:6">
      <c r="A81" t="str">
        <f>KIMM!A7</f>
        <v>S libre</v>
      </c>
      <c r="B81">
        <f>KIMM!B7</f>
        <v>1</v>
      </c>
      <c r="C81" s="45">
        <f>KIMM!C7</f>
        <v>0.02</v>
      </c>
      <c r="D81" s="45">
        <f>KIMM!D7</f>
        <v>0.02</v>
      </c>
      <c r="E81" s="45">
        <f>KIMM!E7</f>
        <v>0.02</v>
      </c>
      <c r="F81" s="45">
        <f>KIMM!F7</f>
        <v>0</v>
      </c>
    </row>
    <row r="82" spans="1:6">
      <c r="A82" t="str">
        <f>KIMM!A8</f>
        <v>S cap</v>
      </c>
      <c r="B82">
        <f>KIMM!B8</f>
        <v>1</v>
      </c>
      <c r="C82" s="45">
        <f>KIMM!C8</f>
        <v>0.04</v>
      </c>
      <c r="D82" s="45">
        <f>KIMM!D8</f>
        <v>0.04</v>
      </c>
      <c r="E82" s="45">
        <f>KIMM!E8</f>
        <v>0.04</v>
      </c>
      <c r="F82" s="45">
        <f>KIMM!F8</f>
        <v>-1.3979400086720375</v>
      </c>
    </row>
    <row r="83" spans="1:6">
      <c r="A83" t="str">
        <f>KIMM!A9</f>
        <v>T (m2 . s-1)</v>
      </c>
      <c r="B83">
        <f>KIMM!B9</f>
        <v>1</v>
      </c>
      <c r="C83" s="45">
        <f>KIMM!C9</f>
        <v>1.06E-2</v>
      </c>
      <c r="D83" s="45">
        <f>KIMM!D9</f>
        <v>1.06E-2</v>
      </c>
      <c r="E83" s="45">
        <f>KIMM!E9</f>
        <v>1.06E-2</v>
      </c>
      <c r="F83" s="45">
        <f>KIMM!F9</f>
        <v>-1.9746941347352298</v>
      </c>
    </row>
    <row r="84" spans="1:6">
      <c r="A84" t="str">
        <f>KIMM!A10</f>
        <v>K (m . s-1)</v>
      </c>
      <c r="B84">
        <f>KIMM!B10</f>
        <v>0</v>
      </c>
      <c r="C84" s="45">
        <f>KIMM!C10</f>
        <v>0</v>
      </c>
      <c r="D84" s="45">
        <f>KIMM!D10</f>
        <v>0</v>
      </c>
      <c r="E84" s="45" t="e">
        <f>KIMM!E10</f>
        <v>#DIV/0!</v>
      </c>
      <c r="F84" s="45" t="e">
        <f>KIMM!F10</f>
        <v>#DIV/0!</v>
      </c>
    </row>
    <row r="85" spans="1:6">
      <c r="A85" s="73" t="s">
        <v>198</v>
      </c>
    </row>
    <row r="86" spans="1:6">
      <c r="A86" t="str">
        <f>BACX!A33</f>
        <v>Paramètre</v>
      </c>
      <c r="B86" t="str">
        <f>BACX!B33</f>
        <v>Nombre de données</v>
      </c>
      <c r="C86" t="str">
        <f>BACX!C33</f>
        <v>Min</v>
      </c>
      <c r="D86" t="str">
        <f>BACX!D33</f>
        <v>Max</v>
      </c>
      <c r="E86" t="str">
        <f>BACX!E33</f>
        <v>Moy</v>
      </c>
      <c r="F86" t="str">
        <f>BACX!F33</f>
        <v>Moy log</v>
      </c>
    </row>
    <row r="87" spans="1:6">
      <c r="A87" t="str">
        <f>BACX!A34</f>
        <v>S libre</v>
      </c>
      <c r="B87">
        <f>BACX!B34</f>
        <v>1</v>
      </c>
      <c r="C87" s="45">
        <f>BACX!C34</f>
        <v>0.02</v>
      </c>
      <c r="D87" s="45">
        <f>BACX!D34</f>
        <v>0.02</v>
      </c>
      <c r="E87" s="45">
        <f>BACX!E34</f>
        <v>0.02</v>
      </c>
      <c r="F87" s="45">
        <f>BACX!F34</f>
        <v>0</v>
      </c>
    </row>
    <row r="88" spans="1:6">
      <c r="A88" t="str">
        <f>BACX!A35</f>
        <v>S cap</v>
      </c>
      <c r="B88">
        <f>BACX!B35</f>
        <v>1</v>
      </c>
      <c r="C88" s="45">
        <f>BACX!C35</f>
        <v>0.04</v>
      </c>
      <c r="D88" s="45">
        <f>BACX!D35</f>
        <v>0.04</v>
      </c>
      <c r="E88" s="45">
        <f>BACX!E35</f>
        <v>0.04</v>
      </c>
      <c r="F88" s="45">
        <f>BACX!F35</f>
        <v>-1.3979400086720375</v>
      </c>
    </row>
    <row r="89" spans="1:6">
      <c r="A89" t="str">
        <f>BACX!A36</f>
        <v>T (m2 . s-1)</v>
      </c>
      <c r="B89">
        <f>BACX!B36</f>
        <v>2</v>
      </c>
      <c r="C89" s="45">
        <f>BACX!C36</f>
        <v>2.6999999999999999E-5</v>
      </c>
      <c r="D89" s="45">
        <f>BACX!D36</f>
        <v>3.6999999999999998E-5</v>
      </c>
      <c r="E89" s="45">
        <f>BACX!E36</f>
        <v>3.1999999999999999E-5</v>
      </c>
      <c r="F89" s="45">
        <f>BACX!F36</f>
        <v>-4.5002172558870086</v>
      </c>
    </row>
    <row r="90" spans="1:6">
      <c r="A90" t="str">
        <f>BACX!A37</f>
        <v>K (m . s-1)</v>
      </c>
      <c r="B90">
        <f>BACX!B37</f>
        <v>2</v>
      </c>
      <c r="C90" s="45">
        <f>BACX!C37</f>
        <v>7.2972972972972972E-7</v>
      </c>
      <c r="D90" s="45">
        <f>BACX!D37</f>
        <v>9.9999999999999995E-7</v>
      </c>
      <c r="E90" s="45">
        <f>BACX!E37</f>
        <v>8.6486486486486489E-7</v>
      </c>
      <c r="F90" s="45">
        <f>BACX!F37</f>
        <v>-6.0684189799540036</v>
      </c>
    </row>
    <row r="91" spans="1:6">
      <c r="A91" s="73" t="s">
        <v>234</v>
      </c>
    </row>
    <row r="92" spans="1:6">
      <c r="A92" t="str">
        <f>BAJO!A34</f>
        <v>Paramètre</v>
      </c>
      <c r="B92" t="str">
        <f>BAJO!B34</f>
        <v>Nombre de données</v>
      </c>
      <c r="C92" t="str">
        <f>BAJO!C34</f>
        <v>Min</v>
      </c>
      <c r="D92" t="str">
        <f>BAJO!D34</f>
        <v>Max</v>
      </c>
      <c r="E92" t="str">
        <f>BAJO!E34</f>
        <v>Moy</v>
      </c>
      <c r="F92" t="str">
        <f>BAJO!F34</f>
        <v>Moy log</v>
      </c>
    </row>
    <row r="93" spans="1:6">
      <c r="A93" t="str">
        <f>BAJO!A35</f>
        <v>S libre</v>
      </c>
      <c r="B93">
        <f>BAJO!B35</f>
        <v>1</v>
      </c>
      <c r="C93" s="45">
        <f>BAJO!C35</f>
        <v>0.02</v>
      </c>
      <c r="D93" s="45">
        <f>BAJO!D35</f>
        <v>0.02</v>
      </c>
      <c r="E93" s="45">
        <f>BAJO!E35</f>
        <v>0.02</v>
      </c>
      <c r="F93" s="45">
        <f>BAJO!F35</f>
        <v>0</v>
      </c>
    </row>
    <row r="94" spans="1:6">
      <c r="A94" t="str">
        <f>BAJO!A36</f>
        <v>S cap</v>
      </c>
      <c r="B94">
        <f>BAJO!B36</f>
        <v>1</v>
      </c>
      <c r="C94" s="45">
        <f>BAJO!C36</f>
        <v>0.04</v>
      </c>
      <c r="D94" s="45">
        <f>BAJO!D36</f>
        <v>0.04</v>
      </c>
      <c r="E94" s="45">
        <f>BAJO!E36</f>
        <v>0.04</v>
      </c>
      <c r="F94" s="45">
        <f>BAJO!F36</f>
        <v>-1.3979400086720375</v>
      </c>
    </row>
    <row r="95" spans="1:6">
      <c r="A95" t="str">
        <f>BAJO!A37</f>
        <v>T (m2 . s-1)</v>
      </c>
      <c r="B95">
        <f>BAJO!B37</f>
        <v>2</v>
      </c>
      <c r="C95" s="45">
        <f>BAJO!C37</f>
        <v>2.3099999999999999E-2</v>
      </c>
      <c r="D95" s="45">
        <f>BAJO!D37</f>
        <v>2.4E-2</v>
      </c>
      <c r="E95" s="45">
        <f>BAJO!E37</f>
        <v>2.3550000000000001E-2</v>
      </c>
      <c r="F95" s="45">
        <f>BAJO!F37</f>
        <v>-1.6280883891981248</v>
      </c>
    </row>
    <row r="96" spans="1:6">
      <c r="A96" t="str">
        <f>BAJO!A38</f>
        <v>K (m . s-1)</v>
      </c>
      <c r="B96">
        <f>BAJO!B38</f>
        <v>2</v>
      </c>
      <c r="C96" s="45">
        <f>BAJO!C38</f>
        <v>1.8479999999999999E-4</v>
      </c>
      <c r="D96" s="45">
        <f>BAJO!D38</f>
        <v>1.92E-4</v>
      </c>
      <c r="E96" s="45">
        <f>BAJO!E38</f>
        <v>1.884E-4</v>
      </c>
      <c r="F96" s="45">
        <f>BAJO!F38</f>
        <v>-3.7249984022061815</v>
      </c>
    </row>
  </sheetData>
  <mergeCells count="1">
    <mergeCell ref="K49:O49"/>
  </mergeCell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7"/>
  <sheetViews>
    <sheetView topLeftCell="A32" zoomScale="80" zoomScaleNormal="80" workbookViewId="0">
      <selection activeCell="F44" sqref="F44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8" width="11.83203125" customWidth="1"/>
    <col min="9" max="9" width="20.83203125" customWidth="1"/>
    <col min="10" max="10" width="18.83203125" customWidth="1"/>
    <col min="11" max="11" width="13.83203125" customWidth="1"/>
    <col min="12" max="12" width="16.5" customWidth="1"/>
    <col min="18" max="18" width="18.6640625" bestFit="1" customWidth="1"/>
  </cols>
  <sheetData>
    <row r="1" spans="1:16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922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578</v>
      </c>
      <c r="B2" s="6"/>
      <c r="C2" s="6"/>
      <c r="D2" s="6" t="str">
        <f>IFERROR(LOG10(C2),"")</f>
        <v/>
      </c>
      <c r="E2" s="7"/>
      <c r="F2" s="7" t="str">
        <f>IFERROR(LOG10(E2),"")</f>
        <v/>
      </c>
      <c r="G2" s="7"/>
      <c r="H2" s="6"/>
      <c r="I2" s="6" t="str">
        <f>IFERROR(LOG10(H2),"")</f>
        <v/>
      </c>
      <c r="J2" s="8" t="s">
        <v>11</v>
      </c>
      <c r="K2" s="21">
        <v>40</v>
      </c>
      <c r="L2" s="8" t="s">
        <v>264</v>
      </c>
      <c r="M2" s="8" t="s">
        <v>579</v>
      </c>
      <c r="N2" s="8">
        <v>416359</v>
      </c>
      <c r="O2" s="8">
        <v>6370202</v>
      </c>
      <c r="P2" s="8" t="s">
        <v>580</v>
      </c>
    </row>
    <row r="3" spans="1:16">
      <c r="A3" s="5" t="s">
        <v>581</v>
      </c>
      <c r="B3" s="6"/>
      <c r="C3" s="6"/>
      <c r="D3" s="6" t="str">
        <f t="shared" ref="D3:D33" si="0">IFERROR(LOG10(C3),"")</f>
        <v/>
      </c>
      <c r="E3" s="7"/>
      <c r="F3" s="7" t="str">
        <f t="shared" ref="F3:F33" si="1">IFERROR(LOG10(E3),"")</f>
        <v/>
      </c>
      <c r="G3" s="7"/>
      <c r="H3" s="6"/>
      <c r="I3" s="6" t="str">
        <f t="shared" ref="I3:I33" si="2">IFERROR(LOG10(H3),"")</f>
        <v/>
      </c>
      <c r="J3" s="8" t="s">
        <v>11</v>
      </c>
      <c r="K3" s="21">
        <v>40</v>
      </c>
      <c r="L3" s="8" t="s">
        <v>264</v>
      </c>
      <c r="M3" s="8" t="s">
        <v>582</v>
      </c>
      <c r="N3" s="8">
        <v>414633</v>
      </c>
      <c r="O3" s="8">
        <v>6371589</v>
      </c>
      <c r="P3" s="8" t="s">
        <v>580</v>
      </c>
    </row>
    <row r="4" spans="1:16">
      <c r="A4" s="5" t="s">
        <v>583</v>
      </c>
      <c r="B4" s="6"/>
      <c r="C4" s="6"/>
      <c r="D4" s="6" t="str">
        <f t="shared" si="0"/>
        <v/>
      </c>
      <c r="E4" s="7"/>
      <c r="F4" s="7" t="str">
        <f t="shared" si="1"/>
        <v/>
      </c>
      <c r="G4" s="7"/>
      <c r="H4" s="6"/>
      <c r="I4" s="6" t="str">
        <f t="shared" si="2"/>
        <v/>
      </c>
      <c r="J4" s="8" t="s">
        <v>11</v>
      </c>
      <c r="K4" s="21">
        <v>40</v>
      </c>
      <c r="L4" s="8" t="s">
        <v>264</v>
      </c>
      <c r="M4" s="8" t="s">
        <v>584</v>
      </c>
      <c r="N4" s="8">
        <v>415686</v>
      </c>
      <c r="O4" s="8">
        <v>6366779</v>
      </c>
      <c r="P4" s="8" t="s">
        <v>580</v>
      </c>
    </row>
    <row r="5" spans="1:16">
      <c r="A5" s="5" t="s">
        <v>585</v>
      </c>
      <c r="B5" s="6"/>
      <c r="C5" s="6"/>
      <c r="D5" s="6" t="str">
        <f t="shared" si="0"/>
        <v/>
      </c>
      <c r="E5" s="7"/>
      <c r="F5" s="7" t="str">
        <f t="shared" si="1"/>
        <v/>
      </c>
      <c r="G5" s="7"/>
      <c r="H5" s="6"/>
      <c r="I5" s="6" t="str">
        <f t="shared" si="2"/>
        <v/>
      </c>
      <c r="J5" s="8"/>
      <c r="K5" s="21">
        <v>40</v>
      </c>
      <c r="L5" s="8" t="s">
        <v>586</v>
      </c>
      <c r="M5" s="8" t="s">
        <v>587</v>
      </c>
      <c r="N5" s="8">
        <v>368608</v>
      </c>
      <c r="O5" s="8">
        <v>6354952</v>
      </c>
      <c r="P5" s="8" t="s">
        <v>580</v>
      </c>
    </row>
    <row r="6" spans="1:16">
      <c r="A6" s="5" t="s">
        <v>585</v>
      </c>
      <c r="B6" s="6"/>
      <c r="C6" s="6"/>
      <c r="D6" s="6" t="str">
        <f t="shared" si="0"/>
        <v/>
      </c>
      <c r="E6" s="7"/>
      <c r="F6" s="7" t="str">
        <f t="shared" si="1"/>
        <v/>
      </c>
      <c r="G6" s="7"/>
      <c r="H6" s="6"/>
      <c r="I6" s="6" t="str">
        <f t="shared" si="2"/>
        <v/>
      </c>
      <c r="J6" s="8" t="s">
        <v>11</v>
      </c>
      <c r="K6" s="21">
        <v>40</v>
      </c>
      <c r="L6" s="8" t="s">
        <v>586</v>
      </c>
      <c r="M6" s="8" t="s">
        <v>587</v>
      </c>
      <c r="N6" s="8">
        <v>368608</v>
      </c>
      <c r="O6" s="8">
        <v>6354952</v>
      </c>
      <c r="P6" s="8" t="s">
        <v>580</v>
      </c>
    </row>
    <row r="7" spans="1:16">
      <c r="A7" s="5" t="s">
        <v>585</v>
      </c>
      <c r="B7" s="6">
        <f>0.22</f>
        <v>0.22</v>
      </c>
      <c r="C7" s="6"/>
      <c r="D7" s="6" t="str">
        <f t="shared" si="0"/>
        <v/>
      </c>
      <c r="E7" s="7"/>
      <c r="F7" s="7" t="str">
        <f t="shared" si="1"/>
        <v/>
      </c>
      <c r="G7" s="7"/>
      <c r="H7" s="6"/>
      <c r="I7" s="6" t="str">
        <f t="shared" si="2"/>
        <v/>
      </c>
      <c r="J7" s="8" t="s">
        <v>962</v>
      </c>
      <c r="K7" s="21">
        <v>40</v>
      </c>
      <c r="L7" s="8" t="s">
        <v>586</v>
      </c>
      <c r="M7" s="8" t="s">
        <v>587</v>
      </c>
      <c r="N7" s="8">
        <v>368608</v>
      </c>
      <c r="O7" s="8">
        <v>6354952</v>
      </c>
      <c r="P7" s="8" t="s">
        <v>580</v>
      </c>
    </row>
    <row r="8" spans="1:16">
      <c r="A8" s="5" t="s">
        <v>585</v>
      </c>
      <c r="B8" s="6"/>
      <c r="C8" s="6"/>
      <c r="D8" s="6" t="str">
        <f t="shared" si="0"/>
        <v/>
      </c>
      <c r="E8" s="7"/>
      <c r="F8" s="7" t="str">
        <f t="shared" si="1"/>
        <v/>
      </c>
      <c r="G8" s="7"/>
      <c r="H8" s="6"/>
      <c r="I8" s="6" t="str">
        <f t="shared" si="2"/>
        <v/>
      </c>
      <c r="J8" s="8"/>
      <c r="K8" s="21">
        <v>40</v>
      </c>
      <c r="L8" s="8" t="s">
        <v>586</v>
      </c>
      <c r="M8" s="8" t="s">
        <v>587</v>
      </c>
      <c r="N8" s="8">
        <v>368608</v>
      </c>
      <c r="O8" s="8">
        <v>6354952</v>
      </c>
      <c r="P8" s="8" t="s">
        <v>580</v>
      </c>
    </row>
    <row r="9" spans="1:16">
      <c r="A9" s="5" t="s">
        <v>585</v>
      </c>
      <c r="B9" s="6"/>
      <c r="C9" s="6"/>
      <c r="D9" s="6" t="str">
        <f t="shared" si="0"/>
        <v/>
      </c>
      <c r="E9" s="7"/>
      <c r="F9" s="7" t="str">
        <f t="shared" si="1"/>
        <v/>
      </c>
      <c r="G9" s="7"/>
      <c r="H9" s="6"/>
      <c r="I9" s="6" t="str">
        <f t="shared" si="2"/>
        <v/>
      </c>
      <c r="J9" s="8"/>
      <c r="K9" s="21">
        <v>40</v>
      </c>
      <c r="L9" s="8" t="s">
        <v>586</v>
      </c>
      <c r="M9" s="8" t="s">
        <v>587</v>
      </c>
      <c r="N9" s="8">
        <v>368608</v>
      </c>
      <c r="O9" s="8">
        <v>6354952</v>
      </c>
      <c r="P9" s="8" t="s">
        <v>580</v>
      </c>
    </row>
    <row r="10" spans="1:16">
      <c r="A10" s="5" t="s">
        <v>588</v>
      </c>
      <c r="B10" s="6"/>
      <c r="C10" s="6"/>
      <c r="D10" s="6" t="str">
        <f t="shared" si="0"/>
        <v/>
      </c>
      <c r="E10" s="7"/>
      <c r="F10" s="7" t="str">
        <f t="shared" si="1"/>
        <v/>
      </c>
      <c r="G10" s="7"/>
      <c r="H10" s="6"/>
      <c r="I10" s="6" t="str">
        <f t="shared" si="2"/>
        <v/>
      </c>
      <c r="J10" s="8" t="s">
        <v>11</v>
      </c>
      <c r="K10" s="21">
        <v>40</v>
      </c>
      <c r="L10" s="8" t="s">
        <v>270</v>
      </c>
      <c r="M10" s="8" t="s">
        <v>589</v>
      </c>
      <c r="N10" s="8">
        <v>361042</v>
      </c>
      <c r="O10" s="8">
        <v>6374829</v>
      </c>
      <c r="P10" s="8" t="s">
        <v>580</v>
      </c>
    </row>
    <row r="11" spans="1:16">
      <c r="A11" s="5" t="s">
        <v>590</v>
      </c>
      <c r="B11" s="6"/>
      <c r="C11" s="6"/>
      <c r="D11" s="6" t="str">
        <f t="shared" si="0"/>
        <v/>
      </c>
      <c r="E11" s="7"/>
      <c r="F11" s="7" t="str">
        <f t="shared" si="1"/>
        <v/>
      </c>
      <c r="G11" s="7"/>
      <c r="H11" s="6"/>
      <c r="I11" s="6" t="str">
        <f t="shared" si="2"/>
        <v/>
      </c>
      <c r="J11" s="8" t="s">
        <v>11</v>
      </c>
      <c r="K11" s="21">
        <v>40</v>
      </c>
      <c r="L11" s="8" t="s">
        <v>262</v>
      </c>
      <c r="M11" s="8" t="s">
        <v>591</v>
      </c>
      <c r="N11" s="8">
        <v>374162</v>
      </c>
      <c r="O11" s="8">
        <v>6367513</v>
      </c>
      <c r="P11" s="8" t="s">
        <v>580</v>
      </c>
    </row>
    <row r="12" spans="1:16">
      <c r="A12" s="5" t="s">
        <v>590</v>
      </c>
      <c r="B12" s="6"/>
      <c r="C12" s="6"/>
      <c r="D12" s="6" t="str">
        <f t="shared" si="0"/>
        <v/>
      </c>
      <c r="E12" s="7"/>
      <c r="F12" s="7" t="str">
        <f t="shared" si="1"/>
        <v/>
      </c>
      <c r="G12" s="7"/>
      <c r="H12" s="6"/>
      <c r="I12" s="6" t="str">
        <f t="shared" si="2"/>
        <v/>
      </c>
      <c r="J12" s="8" t="s">
        <v>11</v>
      </c>
      <c r="K12" s="21">
        <v>40</v>
      </c>
      <c r="L12" s="8" t="s">
        <v>262</v>
      </c>
      <c r="M12" s="8" t="s">
        <v>591</v>
      </c>
      <c r="N12" s="8">
        <v>374162</v>
      </c>
      <c r="O12" s="8">
        <v>6367513</v>
      </c>
      <c r="P12" s="8" t="s">
        <v>580</v>
      </c>
    </row>
    <row r="13" spans="1:16">
      <c r="A13" s="5" t="s">
        <v>590</v>
      </c>
      <c r="B13" s="6"/>
      <c r="C13" s="6"/>
      <c r="D13" s="6" t="str">
        <f t="shared" si="0"/>
        <v/>
      </c>
      <c r="E13" s="7"/>
      <c r="F13" s="7" t="str">
        <f t="shared" si="1"/>
        <v/>
      </c>
      <c r="G13" s="7"/>
      <c r="H13" s="6"/>
      <c r="I13" s="6" t="str">
        <f t="shared" si="2"/>
        <v/>
      </c>
      <c r="J13" s="8" t="s">
        <v>11</v>
      </c>
      <c r="K13" s="21">
        <v>40</v>
      </c>
      <c r="L13" s="8" t="s">
        <v>262</v>
      </c>
      <c r="M13" s="8" t="s">
        <v>591</v>
      </c>
      <c r="N13" s="8">
        <v>374162</v>
      </c>
      <c r="O13" s="8">
        <v>6367513</v>
      </c>
      <c r="P13" s="8" t="s">
        <v>580</v>
      </c>
    </row>
    <row r="14" spans="1:16">
      <c r="A14" s="5" t="s">
        <v>590</v>
      </c>
      <c r="B14" s="6"/>
      <c r="C14" s="6"/>
      <c r="D14" s="6" t="str">
        <f t="shared" si="0"/>
        <v/>
      </c>
      <c r="E14" s="7"/>
      <c r="F14" s="7" t="str">
        <f t="shared" si="1"/>
        <v/>
      </c>
      <c r="G14" s="7"/>
      <c r="H14" s="6"/>
      <c r="I14" s="6" t="str">
        <f t="shared" si="2"/>
        <v/>
      </c>
      <c r="J14" s="8" t="s">
        <v>11</v>
      </c>
      <c r="K14" s="21">
        <v>40</v>
      </c>
      <c r="L14" s="8" t="s">
        <v>262</v>
      </c>
      <c r="M14" s="8" t="s">
        <v>591</v>
      </c>
      <c r="N14" s="8">
        <v>374162</v>
      </c>
      <c r="O14" s="8">
        <v>6367513</v>
      </c>
      <c r="P14" s="8" t="s">
        <v>580</v>
      </c>
    </row>
    <row r="15" spans="1:16">
      <c r="A15" s="5" t="s">
        <v>592</v>
      </c>
      <c r="B15" s="6"/>
      <c r="C15" s="6"/>
      <c r="D15" s="6" t="str">
        <f t="shared" si="0"/>
        <v/>
      </c>
      <c r="E15" s="7"/>
      <c r="F15" s="7" t="str">
        <f t="shared" si="1"/>
        <v/>
      </c>
      <c r="G15" s="7"/>
      <c r="H15" s="6"/>
      <c r="I15" s="6" t="str">
        <f t="shared" si="2"/>
        <v/>
      </c>
      <c r="J15" s="8" t="s">
        <v>11</v>
      </c>
      <c r="K15" s="21">
        <v>40</v>
      </c>
      <c r="L15" s="8" t="s">
        <v>593</v>
      </c>
      <c r="M15" s="8" t="s">
        <v>594</v>
      </c>
      <c r="N15" s="8">
        <v>411268</v>
      </c>
      <c r="O15" s="8">
        <v>6376032</v>
      </c>
      <c r="P15" s="8" t="s">
        <v>580</v>
      </c>
    </row>
    <row r="16" spans="1:16">
      <c r="A16" s="5" t="s">
        <v>595</v>
      </c>
      <c r="B16" s="6"/>
      <c r="C16" s="6"/>
      <c r="D16" s="6" t="str">
        <f t="shared" si="0"/>
        <v/>
      </c>
      <c r="E16" s="7"/>
      <c r="F16" s="7" t="str">
        <f t="shared" si="1"/>
        <v/>
      </c>
      <c r="G16" s="7"/>
      <c r="H16" s="6"/>
      <c r="I16" s="6" t="str">
        <f t="shared" si="2"/>
        <v/>
      </c>
      <c r="J16" s="8" t="s">
        <v>11</v>
      </c>
      <c r="K16" s="21">
        <v>40</v>
      </c>
      <c r="L16" s="8" t="s">
        <v>264</v>
      </c>
      <c r="M16" s="8"/>
      <c r="N16" s="8">
        <v>415771</v>
      </c>
      <c r="O16" s="8">
        <v>6367278</v>
      </c>
      <c r="P16" s="8" t="s">
        <v>580</v>
      </c>
    </row>
    <row r="17" spans="1:16">
      <c r="A17" s="5" t="s">
        <v>585</v>
      </c>
      <c r="B17" s="6"/>
      <c r="C17" s="6"/>
      <c r="D17" s="6" t="str">
        <f t="shared" si="0"/>
        <v/>
      </c>
      <c r="E17" s="7"/>
      <c r="F17" s="7" t="str">
        <f t="shared" si="1"/>
        <v/>
      </c>
      <c r="G17" s="7"/>
      <c r="H17" s="6"/>
      <c r="I17" s="6" t="str">
        <f t="shared" si="2"/>
        <v/>
      </c>
      <c r="J17" s="8" t="s">
        <v>11</v>
      </c>
      <c r="K17" s="21">
        <v>40</v>
      </c>
      <c r="L17" s="8" t="s">
        <v>586</v>
      </c>
      <c r="M17" s="8" t="s">
        <v>587</v>
      </c>
      <c r="N17" s="8">
        <v>368608</v>
      </c>
      <c r="O17" s="8">
        <v>6354952</v>
      </c>
      <c r="P17" s="8" t="s">
        <v>580</v>
      </c>
    </row>
    <row r="18" spans="1:16">
      <c r="A18" s="5" t="s">
        <v>585</v>
      </c>
      <c r="B18" s="6"/>
      <c r="C18" s="6"/>
      <c r="D18" s="6" t="str">
        <f t="shared" si="0"/>
        <v/>
      </c>
      <c r="E18" s="7"/>
      <c r="F18" s="7" t="str">
        <f t="shared" si="1"/>
        <v/>
      </c>
      <c r="G18" s="7"/>
      <c r="H18" s="6"/>
      <c r="I18" s="6" t="str">
        <f t="shared" si="2"/>
        <v/>
      </c>
      <c r="J18" s="8" t="s">
        <v>11</v>
      </c>
      <c r="K18" s="21">
        <v>40</v>
      </c>
      <c r="L18" s="8" t="s">
        <v>586</v>
      </c>
      <c r="M18" s="8" t="s">
        <v>587</v>
      </c>
      <c r="N18" s="8">
        <v>368608</v>
      </c>
      <c r="O18" s="8">
        <v>6354952</v>
      </c>
      <c r="P18" s="8" t="s">
        <v>580</v>
      </c>
    </row>
    <row r="19" spans="1:16">
      <c r="A19" s="5" t="s">
        <v>585</v>
      </c>
      <c r="B19" s="6"/>
      <c r="C19" s="6"/>
      <c r="D19" s="6" t="str">
        <f t="shared" si="0"/>
        <v/>
      </c>
      <c r="E19" s="7"/>
      <c r="F19" s="7" t="str">
        <f t="shared" si="1"/>
        <v/>
      </c>
      <c r="G19" s="7"/>
      <c r="H19" s="6"/>
      <c r="I19" s="6" t="str">
        <f t="shared" si="2"/>
        <v/>
      </c>
      <c r="J19" s="8" t="s">
        <v>11</v>
      </c>
      <c r="K19" s="21">
        <v>40</v>
      </c>
      <c r="L19" s="8" t="s">
        <v>586</v>
      </c>
      <c r="M19" s="8" t="s">
        <v>587</v>
      </c>
      <c r="N19" s="8">
        <v>368608</v>
      </c>
      <c r="O19" s="8">
        <v>6354952</v>
      </c>
      <c r="P19" s="8" t="s">
        <v>580</v>
      </c>
    </row>
    <row r="20" spans="1:16">
      <c r="A20" s="5" t="s">
        <v>585</v>
      </c>
      <c r="B20" s="6"/>
      <c r="C20" s="6"/>
      <c r="D20" s="6" t="str">
        <f t="shared" si="0"/>
        <v/>
      </c>
      <c r="E20" s="7"/>
      <c r="F20" s="7" t="str">
        <f t="shared" si="1"/>
        <v/>
      </c>
      <c r="G20" s="7"/>
      <c r="H20" s="6"/>
      <c r="I20" s="6" t="str">
        <f t="shared" si="2"/>
        <v/>
      </c>
      <c r="J20" s="8" t="s">
        <v>11</v>
      </c>
      <c r="K20" s="21">
        <v>40</v>
      </c>
      <c r="L20" s="8" t="s">
        <v>586</v>
      </c>
      <c r="M20" s="8" t="s">
        <v>587</v>
      </c>
      <c r="N20" s="8">
        <v>368608</v>
      </c>
      <c r="O20" s="8">
        <v>6354952</v>
      </c>
      <c r="P20" s="8" t="s">
        <v>580</v>
      </c>
    </row>
    <row r="21" spans="1:16">
      <c r="A21" s="5" t="s">
        <v>585</v>
      </c>
      <c r="B21" s="6"/>
      <c r="C21" s="6"/>
      <c r="D21" s="6" t="str">
        <f t="shared" si="0"/>
        <v/>
      </c>
      <c r="E21" s="7"/>
      <c r="F21" s="7" t="str">
        <f t="shared" si="1"/>
        <v/>
      </c>
      <c r="G21" s="7"/>
      <c r="H21" s="6"/>
      <c r="I21" s="6" t="str">
        <f t="shared" si="2"/>
        <v/>
      </c>
      <c r="J21" s="8" t="s">
        <v>11</v>
      </c>
      <c r="K21" s="21">
        <v>40</v>
      </c>
      <c r="L21" s="8" t="s">
        <v>586</v>
      </c>
      <c r="M21" s="8" t="s">
        <v>587</v>
      </c>
      <c r="N21" s="8">
        <v>368608</v>
      </c>
      <c r="O21" s="8">
        <v>6354952</v>
      </c>
      <c r="P21" s="8" t="s">
        <v>580</v>
      </c>
    </row>
    <row r="22" spans="1:16">
      <c r="A22" s="5" t="s">
        <v>596</v>
      </c>
      <c r="B22" s="6"/>
      <c r="C22" s="6"/>
      <c r="D22" s="6" t="str">
        <f t="shared" si="0"/>
        <v/>
      </c>
      <c r="E22" s="9">
        <v>9.7000000000000005E-4</v>
      </c>
      <c r="F22" s="7">
        <f t="shared" si="1"/>
        <v>-3.0132282657337552</v>
      </c>
      <c r="G22" s="9">
        <v>25</v>
      </c>
      <c r="H22" s="12">
        <f>E22/G22</f>
        <v>3.8800000000000001E-5</v>
      </c>
      <c r="I22" s="6">
        <f t="shared" si="2"/>
        <v>-4.4111682744057932</v>
      </c>
      <c r="J22" s="8" t="s">
        <v>11</v>
      </c>
      <c r="K22" s="21">
        <v>40</v>
      </c>
      <c r="L22" s="8" t="s">
        <v>597</v>
      </c>
      <c r="M22" s="8" t="s">
        <v>598</v>
      </c>
      <c r="N22" s="8">
        <v>367068</v>
      </c>
      <c r="O22" s="8">
        <v>6347512</v>
      </c>
      <c r="P22" s="8" t="s">
        <v>580</v>
      </c>
    </row>
    <row r="23" spans="1:16">
      <c r="A23" s="5" t="s">
        <v>599</v>
      </c>
      <c r="B23" s="6"/>
      <c r="C23" s="6"/>
      <c r="D23" s="6" t="str">
        <f t="shared" si="0"/>
        <v/>
      </c>
      <c r="E23" s="7"/>
      <c r="F23" s="7" t="str">
        <f t="shared" si="1"/>
        <v/>
      </c>
      <c r="G23" s="7"/>
      <c r="H23" s="6"/>
      <c r="I23" s="6" t="str">
        <f t="shared" si="2"/>
        <v/>
      </c>
      <c r="J23" s="8" t="s">
        <v>11</v>
      </c>
      <c r="K23" s="21">
        <v>40</v>
      </c>
      <c r="L23" s="8" t="s">
        <v>600</v>
      </c>
      <c r="M23" s="8" t="s">
        <v>409</v>
      </c>
      <c r="N23" s="8">
        <v>358987</v>
      </c>
      <c r="O23" s="8">
        <v>6322707</v>
      </c>
      <c r="P23" s="8" t="s">
        <v>580</v>
      </c>
    </row>
    <row r="24" spans="1:16">
      <c r="A24" s="5" t="s">
        <v>601</v>
      </c>
      <c r="B24" s="6"/>
      <c r="C24" s="6"/>
      <c r="D24" s="6" t="str">
        <f t="shared" si="0"/>
        <v/>
      </c>
      <c r="E24" s="7"/>
      <c r="F24" s="7" t="str">
        <f t="shared" si="1"/>
        <v/>
      </c>
      <c r="G24" s="7"/>
      <c r="H24" s="6"/>
      <c r="I24" s="6" t="str">
        <f t="shared" si="2"/>
        <v/>
      </c>
      <c r="J24" s="8" t="s">
        <v>11</v>
      </c>
      <c r="K24" s="21">
        <v>40</v>
      </c>
      <c r="L24" s="8" t="s">
        <v>602</v>
      </c>
      <c r="M24" s="8" t="s">
        <v>409</v>
      </c>
      <c r="N24" s="8">
        <v>433171</v>
      </c>
      <c r="O24" s="8">
        <v>6324505</v>
      </c>
      <c r="P24" s="8" t="s">
        <v>580</v>
      </c>
    </row>
    <row r="25" spans="1:16">
      <c r="A25" s="5" t="s">
        <v>603</v>
      </c>
      <c r="B25" s="6"/>
      <c r="C25" s="6"/>
      <c r="D25" s="6" t="str">
        <f t="shared" si="0"/>
        <v/>
      </c>
      <c r="E25" s="7"/>
      <c r="F25" s="7" t="str">
        <f t="shared" si="1"/>
        <v/>
      </c>
      <c r="G25" s="7"/>
      <c r="H25" s="6"/>
      <c r="I25" s="6" t="str">
        <f t="shared" si="2"/>
        <v/>
      </c>
      <c r="J25" s="8" t="s">
        <v>11</v>
      </c>
      <c r="K25" s="21">
        <v>40</v>
      </c>
      <c r="L25" s="8" t="s">
        <v>604</v>
      </c>
      <c r="M25" s="8"/>
      <c r="N25" s="8">
        <v>413728</v>
      </c>
      <c r="O25" s="8">
        <v>6314474</v>
      </c>
      <c r="P25" s="8" t="s">
        <v>580</v>
      </c>
    </row>
    <row r="26" spans="1:16">
      <c r="A26" s="5" t="s">
        <v>605</v>
      </c>
      <c r="B26" s="6"/>
      <c r="C26" s="6"/>
      <c r="D26" s="6" t="str">
        <f t="shared" si="0"/>
        <v/>
      </c>
      <c r="E26" s="7"/>
      <c r="F26" s="7" t="str">
        <f t="shared" si="1"/>
        <v/>
      </c>
      <c r="G26" s="7"/>
      <c r="H26" s="6"/>
      <c r="I26" s="6" t="str">
        <f t="shared" si="2"/>
        <v/>
      </c>
      <c r="J26" s="8" t="s">
        <v>11</v>
      </c>
      <c r="K26" s="21">
        <v>40</v>
      </c>
      <c r="L26" s="8" t="s">
        <v>606</v>
      </c>
      <c r="M26" s="8" t="s">
        <v>607</v>
      </c>
      <c r="N26" s="8">
        <v>440165</v>
      </c>
      <c r="O26" s="8">
        <v>6307282</v>
      </c>
      <c r="P26" s="8" t="s">
        <v>580</v>
      </c>
    </row>
    <row r="27" spans="1:16">
      <c r="A27" s="5" t="s">
        <v>608</v>
      </c>
      <c r="B27" s="6"/>
      <c r="C27" s="6"/>
      <c r="D27" s="6" t="str">
        <f t="shared" si="0"/>
        <v/>
      </c>
      <c r="E27" s="7"/>
      <c r="F27" s="7" t="str">
        <f t="shared" si="1"/>
        <v/>
      </c>
      <c r="G27" s="7"/>
      <c r="H27" s="6"/>
      <c r="I27" s="6" t="str">
        <f t="shared" si="2"/>
        <v/>
      </c>
      <c r="J27" s="8" t="s">
        <v>11</v>
      </c>
      <c r="K27" s="21">
        <v>40</v>
      </c>
      <c r="L27" s="8" t="s">
        <v>294</v>
      </c>
      <c r="M27" s="8" t="s">
        <v>609</v>
      </c>
      <c r="N27" s="8">
        <v>371291</v>
      </c>
      <c r="O27" s="8">
        <v>6298264</v>
      </c>
      <c r="P27" s="8" t="s">
        <v>580</v>
      </c>
    </row>
    <row r="28" spans="1:16">
      <c r="A28" s="5" t="s">
        <v>608</v>
      </c>
      <c r="B28" s="6"/>
      <c r="C28" s="6"/>
      <c r="D28" s="6" t="str">
        <f t="shared" si="0"/>
        <v/>
      </c>
      <c r="E28" s="7"/>
      <c r="F28" s="7" t="str">
        <f t="shared" si="1"/>
        <v/>
      </c>
      <c r="G28" s="7"/>
      <c r="H28" s="6"/>
      <c r="I28" s="6" t="str">
        <f t="shared" si="2"/>
        <v/>
      </c>
      <c r="J28" s="8" t="s">
        <v>11</v>
      </c>
      <c r="K28" s="21">
        <v>40</v>
      </c>
      <c r="L28" s="8" t="s">
        <v>294</v>
      </c>
      <c r="M28" s="8" t="s">
        <v>609</v>
      </c>
      <c r="N28" s="8">
        <v>371291</v>
      </c>
      <c r="O28" s="8">
        <v>6298264</v>
      </c>
      <c r="P28" s="8" t="s">
        <v>580</v>
      </c>
    </row>
    <row r="29" spans="1:16">
      <c r="A29" s="5" t="s">
        <v>608</v>
      </c>
      <c r="B29" s="6"/>
      <c r="C29" s="6"/>
      <c r="D29" s="6" t="str">
        <f t="shared" si="0"/>
        <v/>
      </c>
      <c r="E29" s="7"/>
      <c r="F29" s="7" t="str">
        <f t="shared" si="1"/>
        <v/>
      </c>
      <c r="G29" s="7"/>
      <c r="H29" s="6"/>
      <c r="I29" s="6" t="str">
        <f t="shared" si="2"/>
        <v/>
      </c>
      <c r="J29" s="8" t="s">
        <v>11</v>
      </c>
      <c r="K29" s="21">
        <v>40</v>
      </c>
      <c r="L29" s="8" t="s">
        <v>294</v>
      </c>
      <c r="M29" s="8" t="s">
        <v>609</v>
      </c>
      <c r="N29" s="8">
        <v>371291</v>
      </c>
      <c r="O29" s="8">
        <v>6298264</v>
      </c>
      <c r="P29" s="8" t="s">
        <v>580</v>
      </c>
    </row>
    <row r="30" spans="1:16">
      <c r="A30" s="5" t="s">
        <v>608</v>
      </c>
      <c r="B30" s="6"/>
      <c r="C30" s="6"/>
      <c r="D30" s="6" t="str">
        <f t="shared" si="0"/>
        <v/>
      </c>
      <c r="E30" s="7"/>
      <c r="F30" s="7" t="str">
        <f t="shared" si="1"/>
        <v/>
      </c>
      <c r="G30" s="7"/>
      <c r="H30" s="6"/>
      <c r="I30" s="6" t="str">
        <f t="shared" si="2"/>
        <v/>
      </c>
      <c r="J30" s="8" t="s">
        <v>11</v>
      </c>
      <c r="K30" s="21">
        <v>40</v>
      </c>
      <c r="L30" s="8" t="s">
        <v>294</v>
      </c>
      <c r="M30" s="8" t="s">
        <v>609</v>
      </c>
      <c r="N30" s="8">
        <v>371291</v>
      </c>
      <c r="O30" s="8">
        <v>6298264</v>
      </c>
      <c r="P30" s="8" t="s">
        <v>580</v>
      </c>
    </row>
    <row r="31" spans="1:16">
      <c r="A31" s="5" t="s">
        <v>608</v>
      </c>
      <c r="C31" s="9">
        <v>8.9999999999999998E-4</v>
      </c>
      <c r="D31" s="6">
        <f t="shared" si="0"/>
        <v>-3.0457574905606752</v>
      </c>
      <c r="E31" s="9">
        <v>8.0000000000000004E-4</v>
      </c>
      <c r="F31" s="7">
        <f t="shared" si="1"/>
        <v>-3.0969100130080562</v>
      </c>
      <c r="G31" s="9"/>
      <c r="H31" s="6"/>
      <c r="I31" s="6" t="str">
        <f t="shared" si="2"/>
        <v/>
      </c>
      <c r="J31" s="8" t="s">
        <v>11</v>
      </c>
      <c r="K31" s="21">
        <v>40</v>
      </c>
      <c r="L31" s="8" t="s">
        <v>294</v>
      </c>
      <c r="M31" s="8" t="s">
        <v>609</v>
      </c>
      <c r="N31" s="8">
        <v>371291</v>
      </c>
      <c r="O31" s="8">
        <v>6298264</v>
      </c>
      <c r="P31" s="8" t="s">
        <v>580</v>
      </c>
    </row>
    <row r="32" spans="1:16">
      <c r="A32" s="5" t="s">
        <v>608</v>
      </c>
      <c r="C32" s="9">
        <v>8.9999999999999998E-4</v>
      </c>
      <c r="D32" s="6">
        <f t="shared" si="0"/>
        <v>-3.0457574905606752</v>
      </c>
      <c r="E32" s="9">
        <v>8.4999999999999995E-4</v>
      </c>
      <c r="F32" s="7">
        <f t="shared" si="1"/>
        <v>-3.0705810742857071</v>
      </c>
      <c r="G32" s="9"/>
      <c r="H32" s="6"/>
      <c r="I32" s="6" t="str">
        <f t="shared" si="2"/>
        <v/>
      </c>
      <c r="J32" s="8" t="s">
        <v>11</v>
      </c>
      <c r="K32" s="21">
        <v>40</v>
      </c>
      <c r="L32" s="8" t="s">
        <v>294</v>
      </c>
      <c r="M32" s="8" t="s">
        <v>609</v>
      </c>
      <c r="N32" s="8">
        <v>371291</v>
      </c>
      <c r="O32" s="8">
        <v>6298264</v>
      </c>
      <c r="P32" s="8" t="s">
        <v>580</v>
      </c>
    </row>
    <row r="33" spans="1:16">
      <c r="A33" s="5" t="s">
        <v>610</v>
      </c>
      <c r="B33" s="12"/>
      <c r="C33" s="12"/>
      <c r="D33" s="6" t="str">
        <f t="shared" si="0"/>
        <v/>
      </c>
      <c r="E33" s="12">
        <v>1.55E-4</v>
      </c>
      <c r="F33" s="7">
        <f t="shared" si="1"/>
        <v>-3.8096683018297086</v>
      </c>
      <c r="G33" s="12"/>
      <c r="H33" s="12">
        <v>1.0699999999999999E-5</v>
      </c>
      <c r="I33" s="6">
        <f t="shared" si="2"/>
        <v>-4.9706162223147903</v>
      </c>
      <c r="J33" s="8" t="s">
        <v>374</v>
      </c>
      <c r="K33" s="21">
        <v>33</v>
      </c>
      <c r="L33" s="8" t="s">
        <v>100</v>
      </c>
      <c r="M33" s="8" t="s">
        <v>528</v>
      </c>
      <c r="N33" s="8">
        <v>393775</v>
      </c>
      <c r="O33" s="8">
        <v>6437126</v>
      </c>
      <c r="P33" s="8" t="s">
        <v>580</v>
      </c>
    </row>
    <row r="42" spans="1:16">
      <c r="A42" s="28" t="s">
        <v>849</v>
      </c>
      <c r="B42" s="28" t="s">
        <v>850</v>
      </c>
      <c r="C42" s="28" t="s">
        <v>916</v>
      </c>
      <c r="D42" s="28" t="s">
        <v>852</v>
      </c>
      <c r="E42" s="28" t="s">
        <v>853</v>
      </c>
      <c r="F42" s="28" t="s">
        <v>934</v>
      </c>
      <c r="G42" t="s">
        <v>967</v>
      </c>
      <c r="I42" s="28"/>
      <c r="J42" s="28"/>
    </row>
    <row r="43" spans="1:16">
      <c r="A43" s="28" t="s">
        <v>855</v>
      </c>
      <c r="B43" s="28">
        <f>COUNTA(B2:B33)</f>
        <v>1</v>
      </c>
      <c r="C43" s="37">
        <f xml:space="preserve"> MIN(B2:B33)</f>
        <v>0.22</v>
      </c>
      <c r="D43" s="37">
        <f xml:space="preserve"> MAX(B2:B33)</f>
        <v>0.22</v>
      </c>
      <c r="E43" s="37">
        <f>AVERAGE(B2:B33)</f>
        <v>0.22</v>
      </c>
      <c r="F43" s="37"/>
      <c r="J43" s="28"/>
    </row>
    <row r="44" spans="1:16">
      <c r="A44" s="28" t="s">
        <v>857</v>
      </c>
      <c r="B44" s="28">
        <f>COUNTA(C2:C33)</f>
        <v>2</v>
      </c>
      <c r="C44" s="37">
        <f xml:space="preserve"> MIN(C2:C33)</f>
        <v>8.9999999999999998E-4</v>
      </c>
      <c r="D44" s="37">
        <f xml:space="preserve"> MAX(C2:C33)</f>
        <v>8.9999999999999998E-4</v>
      </c>
      <c r="E44" s="37">
        <f xml:space="preserve"> AVERAGEIF(C2:C33,"&lt;&gt;0")</f>
        <v>8.9999999999999998E-4</v>
      </c>
      <c r="F44" s="37">
        <f>AVERAGE(D2:D33)</f>
        <v>-3.0457574905606752</v>
      </c>
      <c r="G44" s="45">
        <f>10^F44</f>
        <v>8.9999999999999889E-4</v>
      </c>
    </row>
    <row r="45" spans="1:16">
      <c r="A45" s="28" t="s">
        <v>914</v>
      </c>
      <c r="B45" s="28">
        <f>COUNTA(E2:E33)</f>
        <v>4</v>
      </c>
      <c r="C45" s="37">
        <f xml:space="preserve"> MIN(E2:E33)</f>
        <v>1.55E-4</v>
      </c>
      <c r="D45" s="37">
        <f xml:space="preserve"> MAX(E2:E33)</f>
        <v>9.7000000000000005E-4</v>
      </c>
      <c r="E45" s="37">
        <f>AVERAGEIF(E2:E33,"&lt;&gt;0")</f>
        <v>6.9375000000000003E-4</v>
      </c>
      <c r="F45" s="37">
        <f>AVERAGE(F2:F33)</f>
        <v>-3.2475969137143066</v>
      </c>
      <c r="G45" s="45">
        <f t="shared" ref="G45:G46" si="3">10^F45</f>
        <v>5.6546155908940028E-4</v>
      </c>
    </row>
    <row r="46" spans="1:16">
      <c r="A46" s="28" t="s">
        <v>915</v>
      </c>
      <c r="B46" s="28">
        <f>COUNTA(H2:H33)</f>
        <v>2</v>
      </c>
      <c r="C46" s="37">
        <f xml:space="preserve"> MIN(H2:H33)</f>
        <v>1.0699999999999999E-5</v>
      </c>
      <c r="D46" s="37">
        <f xml:space="preserve"> MAX(H2:H33)</f>
        <v>3.8800000000000001E-5</v>
      </c>
      <c r="E46" s="37">
        <f>AVERAGEIF(H2:H33,"&lt;&gt;0")</f>
        <v>2.4749999999999999E-5</v>
      </c>
      <c r="F46" s="37">
        <f>AVERAGE(I2:I33)</f>
        <v>-4.6908922483602922</v>
      </c>
      <c r="G46" s="45">
        <f t="shared" si="3"/>
        <v>2.0375475454575244E-5</v>
      </c>
    </row>
    <row r="47" spans="1:16">
      <c r="A47" s="19"/>
      <c r="B47" s="19"/>
      <c r="C47" s="19"/>
      <c r="D47" s="19"/>
      <c r="E47" s="19"/>
      <c r="F47" s="19"/>
      <c r="G47" s="19"/>
      <c r="H47" s="19"/>
      <c r="I47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0"/>
  <sheetViews>
    <sheetView topLeftCell="A31" zoomScale="70" zoomScaleNormal="70" workbookViewId="0">
      <selection activeCell="B57" sqref="B57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8" width="11.83203125" customWidth="1"/>
    <col min="9" max="9" width="20.83203125" customWidth="1"/>
    <col min="10" max="10" width="24.1640625" customWidth="1"/>
    <col min="12" max="12" width="14.5" customWidth="1"/>
    <col min="18" max="18" width="18.6640625" bestFit="1" customWidth="1"/>
  </cols>
  <sheetData>
    <row r="1" spans="1:17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917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>
      <c r="A2" s="5" t="s">
        <v>507</v>
      </c>
      <c r="B2" s="6"/>
      <c r="C2" s="6"/>
      <c r="D2" s="6" t="str">
        <f>IFERROR(LOG10(C2),"")</f>
        <v/>
      </c>
      <c r="E2" s="7"/>
      <c r="F2" s="7" t="str">
        <f>IFERROR(LOG10(E2),"")</f>
        <v/>
      </c>
      <c r="G2" s="7"/>
      <c r="H2" s="6"/>
      <c r="I2" s="6" t="str">
        <f>IFERROR(LOG10(H2),"")</f>
        <v/>
      </c>
      <c r="J2" s="8"/>
      <c r="K2" s="8">
        <v>33</v>
      </c>
      <c r="L2" s="8" t="s">
        <v>395</v>
      </c>
      <c r="M2" s="8" t="s">
        <v>508</v>
      </c>
      <c r="N2" s="8">
        <v>407542</v>
      </c>
      <c r="O2" s="8">
        <v>6424545</v>
      </c>
      <c r="P2" s="8">
        <v>88524</v>
      </c>
      <c r="Q2" s="8" t="s">
        <v>509</v>
      </c>
    </row>
    <row r="3" spans="1:17">
      <c r="A3" s="5" t="s">
        <v>507</v>
      </c>
      <c r="B3" s="6"/>
      <c r="C3" s="6"/>
      <c r="D3" s="6" t="str">
        <f t="shared" ref="D3:D46" si="0">IFERROR(LOG10(C3),"")</f>
        <v/>
      </c>
      <c r="E3" s="7"/>
      <c r="F3" s="7" t="str">
        <f t="shared" ref="F3:F46" si="1">IFERROR(LOG10(E3),"")</f>
        <v/>
      </c>
      <c r="G3" s="7"/>
      <c r="H3" s="6"/>
      <c r="I3" s="6" t="str">
        <f t="shared" ref="I3:I46" si="2">IFERROR(LOG10(H3),"")</f>
        <v/>
      </c>
      <c r="J3" s="8"/>
      <c r="K3" s="8">
        <v>33</v>
      </c>
      <c r="L3" s="8" t="s">
        <v>395</v>
      </c>
      <c r="M3" s="8" t="s">
        <v>508</v>
      </c>
      <c r="N3" s="8">
        <v>407542</v>
      </c>
      <c r="O3" s="8">
        <v>6424545</v>
      </c>
      <c r="P3" s="8">
        <v>88524</v>
      </c>
      <c r="Q3" s="8" t="s">
        <v>509</v>
      </c>
    </row>
    <row r="4" spans="1:17">
      <c r="A4" s="5" t="s">
        <v>507</v>
      </c>
      <c r="B4" s="6">
        <f>0.22</f>
        <v>0.22</v>
      </c>
      <c r="C4" s="6"/>
      <c r="D4" s="6" t="str">
        <f t="shared" si="0"/>
        <v/>
      </c>
      <c r="E4" s="7"/>
      <c r="F4" s="7" t="str">
        <f t="shared" si="1"/>
        <v/>
      </c>
      <c r="G4" s="7"/>
      <c r="H4" s="6"/>
      <c r="I4" s="6" t="str">
        <f t="shared" si="2"/>
        <v/>
      </c>
      <c r="J4" s="8" t="s">
        <v>962</v>
      </c>
      <c r="K4" s="8">
        <v>33</v>
      </c>
      <c r="L4" s="8" t="s">
        <v>395</v>
      </c>
      <c r="M4" s="8" t="s">
        <v>508</v>
      </c>
      <c r="N4" s="8">
        <v>407542</v>
      </c>
      <c r="O4" s="8">
        <v>6424545</v>
      </c>
      <c r="P4" s="8">
        <v>88524</v>
      </c>
      <c r="Q4" s="8" t="s">
        <v>509</v>
      </c>
    </row>
    <row r="5" spans="1:17">
      <c r="A5" s="5" t="s">
        <v>510</v>
      </c>
      <c r="B5" s="6"/>
      <c r="C5" s="6"/>
      <c r="D5" s="6" t="str">
        <f t="shared" si="0"/>
        <v/>
      </c>
      <c r="E5" s="7"/>
      <c r="F5" s="7" t="str">
        <f t="shared" si="1"/>
        <v/>
      </c>
      <c r="G5" s="7"/>
      <c r="H5" s="6"/>
      <c r="I5" s="6" t="str">
        <f t="shared" si="2"/>
        <v/>
      </c>
      <c r="J5" s="8" t="s">
        <v>11</v>
      </c>
      <c r="K5" s="8">
        <v>40</v>
      </c>
      <c r="L5" s="8" t="s">
        <v>262</v>
      </c>
      <c r="M5" s="8" t="s">
        <v>511</v>
      </c>
      <c r="N5" s="8">
        <v>381301</v>
      </c>
      <c r="O5" s="8">
        <v>6367905</v>
      </c>
      <c r="P5" s="8">
        <v>96031</v>
      </c>
      <c r="Q5" s="8" t="s">
        <v>509</v>
      </c>
    </row>
    <row r="6" spans="1:17">
      <c r="A6" s="5" t="s">
        <v>512</v>
      </c>
      <c r="B6" s="6"/>
      <c r="C6" s="6"/>
      <c r="D6" s="6" t="str">
        <f t="shared" si="0"/>
        <v/>
      </c>
      <c r="E6" s="7"/>
      <c r="F6" s="7" t="str">
        <f t="shared" si="1"/>
        <v/>
      </c>
      <c r="G6" s="7"/>
      <c r="H6" s="6"/>
      <c r="I6" s="6" t="str">
        <f t="shared" si="2"/>
        <v/>
      </c>
      <c r="J6" s="8" t="s">
        <v>11</v>
      </c>
      <c r="K6" s="8">
        <v>40</v>
      </c>
      <c r="L6" s="8" t="s">
        <v>270</v>
      </c>
      <c r="M6" s="8" t="s">
        <v>513</v>
      </c>
      <c r="N6" s="8">
        <v>363578</v>
      </c>
      <c r="O6" s="8">
        <v>6382262</v>
      </c>
      <c r="P6" s="8">
        <v>95608</v>
      </c>
      <c r="Q6" s="8" t="s">
        <v>509</v>
      </c>
    </row>
    <row r="7" spans="1:17">
      <c r="A7" s="5" t="s">
        <v>514</v>
      </c>
      <c r="B7" s="6"/>
      <c r="C7" s="6"/>
      <c r="D7" s="6" t="str">
        <f t="shared" si="0"/>
        <v/>
      </c>
      <c r="E7" s="7"/>
      <c r="F7" s="7" t="str">
        <f t="shared" si="1"/>
        <v/>
      </c>
      <c r="G7" s="7"/>
      <c r="H7" s="6"/>
      <c r="I7" s="6" t="str">
        <f t="shared" si="2"/>
        <v/>
      </c>
      <c r="J7" s="8" t="s">
        <v>11</v>
      </c>
      <c r="K7" s="8">
        <v>40</v>
      </c>
      <c r="L7" s="8" t="s">
        <v>515</v>
      </c>
      <c r="M7" s="8" t="s">
        <v>516</v>
      </c>
      <c r="N7" s="8">
        <v>398006</v>
      </c>
      <c r="O7" s="8">
        <v>6371210</v>
      </c>
      <c r="P7" s="8">
        <v>96017</v>
      </c>
      <c r="Q7" s="8" t="s">
        <v>509</v>
      </c>
    </row>
    <row r="8" spans="1:17">
      <c r="A8" s="5" t="s">
        <v>514</v>
      </c>
      <c r="B8" s="6"/>
      <c r="C8" s="6"/>
      <c r="D8" s="6" t="str">
        <f t="shared" si="0"/>
        <v/>
      </c>
      <c r="E8" s="7"/>
      <c r="F8" s="7" t="str">
        <f t="shared" si="1"/>
        <v/>
      </c>
      <c r="G8" s="7"/>
      <c r="H8" s="6"/>
      <c r="I8" s="6" t="str">
        <f t="shared" si="2"/>
        <v/>
      </c>
      <c r="J8" s="8" t="s">
        <v>11</v>
      </c>
      <c r="K8" s="8">
        <v>40</v>
      </c>
      <c r="L8" s="8" t="s">
        <v>515</v>
      </c>
      <c r="M8" s="8" t="s">
        <v>516</v>
      </c>
      <c r="N8" s="8">
        <v>398006</v>
      </c>
      <c r="O8" s="8">
        <v>6371210</v>
      </c>
      <c r="P8" s="8">
        <v>96017</v>
      </c>
      <c r="Q8" s="8" t="s">
        <v>509</v>
      </c>
    </row>
    <row r="9" spans="1:17">
      <c r="A9" s="5" t="s">
        <v>514</v>
      </c>
      <c r="B9" s="6"/>
      <c r="C9" s="6"/>
      <c r="D9" s="6" t="str">
        <f t="shared" si="0"/>
        <v/>
      </c>
      <c r="E9" s="7"/>
      <c r="F9" s="7" t="str">
        <f t="shared" si="1"/>
        <v/>
      </c>
      <c r="G9" s="7"/>
      <c r="H9" s="6"/>
      <c r="I9" s="6" t="str">
        <f t="shared" si="2"/>
        <v/>
      </c>
      <c r="J9" s="8" t="s">
        <v>11</v>
      </c>
      <c r="K9" s="8">
        <v>40</v>
      </c>
      <c r="L9" s="8" t="s">
        <v>515</v>
      </c>
      <c r="M9" s="8" t="s">
        <v>516</v>
      </c>
      <c r="N9" s="8">
        <v>398006</v>
      </c>
      <c r="O9" s="8">
        <v>6371210</v>
      </c>
      <c r="P9" s="8">
        <v>96017</v>
      </c>
      <c r="Q9" s="8" t="s">
        <v>509</v>
      </c>
    </row>
    <row r="10" spans="1:17">
      <c r="A10" s="5" t="s">
        <v>514</v>
      </c>
      <c r="B10" s="6"/>
      <c r="C10" s="6"/>
      <c r="D10" s="6" t="str">
        <f t="shared" si="0"/>
        <v/>
      </c>
      <c r="E10" s="7"/>
      <c r="F10" s="7" t="str">
        <f t="shared" si="1"/>
        <v/>
      </c>
      <c r="G10" s="7"/>
      <c r="H10" s="6"/>
      <c r="I10" s="6" t="str">
        <f t="shared" si="2"/>
        <v/>
      </c>
      <c r="J10" s="8" t="s">
        <v>11</v>
      </c>
      <c r="K10" s="8">
        <v>40</v>
      </c>
      <c r="L10" s="8" t="s">
        <v>515</v>
      </c>
      <c r="M10" s="8" t="s">
        <v>516</v>
      </c>
      <c r="N10" s="8">
        <v>398006</v>
      </c>
      <c r="O10" s="8">
        <v>6371210</v>
      </c>
      <c r="P10" s="8">
        <v>96017</v>
      </c>
      <c r="Q10" s="8" t="s">
        <v>509</v>
      </c>
    </row>
    <row r="11" spans="1:17">
      <c r="A11" s="5" t="s">
        <v>517</v>
      </c>
      <c r="B11" s="6"/>
      <c r="C11" s="6"/>
      <c r="D11" s="6" t="str">
        <f t="shared" si="0"/>
        <v/>
      </c>
      <c r="E11" s="7"/>
      <c r="F11" s="7" t="str">
        <f t="shared" si="1"/>
        <v/>
      </c>
      <c r="G11" s="7"/>
      <c r="H11" s="6"/>
      <c r="I11" s="6" t="str">
        <f t="shared" si="2"/>
        <v/>
      </c>
      <c r="J11" s="8" t="s">
        <v>11</v>
      </c>
      <c r="K11" s="8">
        <v>40</v>
      </c>
      <c r="L11" s="8" t="s">
        <v>518</v>
      </c>
      <c r="M11" s="8" t="s">
        <v>409</v>
      </c>
      <c r="N11" s="8">
        <v>396119</v>
      </c>
      <c r="O11" s="8">
        <v>6353004</v>
      </c>
      <c r="P11" s="8">
        <v>114257</v>
      </c>
      <c r="Q11" s="8" t="s">
        <v>509</v>
      </c>
    </row>
    <row r="12" spans="1:17">
      <c r="A12" s="5" t="s">
        <v>517</v>
      </c>
      <c r="B12" s="6"/>
      <c r="C12" s="6"/>
      <c r="D12" s="6" t="str">
        <f t="shared" si="0"/>
        <v/>
      </c>
      <c r="E12" s="7"/>
      <c r="F12" s="7" t="str">
        <f t="shared" si="1"/>
        <v/>
      </c>
      <c r="G12" s="7"/>
      <c r="H12" s="6"/>
      <c r="I12" s="6" t="str">
        <f t="shared" si="2"/>
        <v/>
      </c>
      <c r="J12" s="8" t="s">
        <v>11</v>
      </c>
      <c r="K12" s="8">
        <v>40</v>
      </c>
      <c r="L12" s="8" t="s">
        <v>518</v>
      </c>
      <c r="M12" s="8" t="s">
        <v>409</v>
      </c>
      <c r="N12" s="8">
        <v>396119</v>
      </c>
      <c r="O12" s="8">
        <v>6353004</v>
      </c>
      <c r="P12" s="8">
        <v>114257</v>
      </c>
      <c r="Q12" s="8" t="s">
        <v>509</v>
      </c>
    </row>
    <row r="13" spans="1:17">
      <c r="A13" s="5" t="s">
        <v>517</v>
      </c>
      <c r="B13" s="6"/>
      <c r="C13" s="6"/>
      <c r="D13" s="6" t="str">
        <f t="shared" si="0"/>
        <v/>
      </c>
      <c r="E13" s="7"/>
      <c r="F13" s="7" t="str">
        <f t="shared" si="1"/>
        <v/>
      </c>
      <c r="G13" s="7"/>
      <c r="H13" s="6"/>
      <c r="I13" s="6" t="str">
        <f t="shared" si="2"/>
        <v/>
      </c>
      <c r="J13" s="8" t="s">
        <v>11</v>
      </c>
      <c r="K13" s="8">
        <v>40</v>
      </c>
      <c r="L13" s="8" t="s">
        <v>518</v>
      </c>
      <c r="M13" s="8" t="s">
        <v>409</v>
      </c>
      <c r="N13" s="8">
        <v>396119</v>
      </c>
      <c r="O13" s="8">
        <v>6353004</v>
      </c>
      <c r="P13" s="8">
        <v>114257</v>
      </c>
      <c r="Q13" s="8" t="s">
        <v>509</v>
      </c>
    </row>
    <row r="14" spans="1:17">
      <c r="A14" s="5" t="s">
        <v>517</v>
      </c>
      <c r="B14" s="6"/>
      <c r="C14" s="6"/>
      <c r="D14" s="6" t="str">
        <f t="shared" si="0"/>
        <v/>
      </c>
      <c r="E14" s="7"/>
      <c r="F14" s="7" t="str">
        <f t="shared" si="1"/>
        <v/>
      </c>
      <c r="G14" s="7"/>
      <c r="H14" s="6"/>
      <c r="I14" s="6" t="str">
        <f t="shared" si="2"/>
        <v/>
      </c>
      <c r="J14" s="8" t="s">
        <v>11</v>
      </c>
      <c r="K14" s="8">
        <v>40</v>
      </c>
      <c r="L14" s="8" t="s">
        <v>518</v>
      </c>
      <c r="M14" s="8" t="s">
        <v>409</v>
      </c>
      <c r="N14" s="8">
        <v>396119</v>
      </c>
      <c r="O14" s="8">
        <v>6353004</v>
      </c>
      <c r="P14" s="8">
        <v>114257</v>
      </c>
      <c r="Q14" s="8" t="s">
        <v>509</v>
      </c>
    </row>
    <row r="15" spans="1:17">
      <c r="A15" s="5" t="s">
        <v>517</v>
      </c>
      <c r="B15" s="6"/>
      <c r="C15" s="6"/>
      <c r="D15" s="6" t="str">
        <f t="shared" si="0"/>
        <v/>
      </c>
      <c r="E15" s="7"/>
      <c r="F15" s="7" t="str">
        <f t="shared" si="1"/>
        <v/>
      </c>
      <c r="G15" s="7"/>
      <c r="H15" s="6"/>
      <c r="I15" s="6" t="str">
        <f t="shared" si="2"/>
        <v/>
      </c>
      <c r="J15" s="8" t="s">
        <v>11</v>
      </c>
      <c r="K15" s="8">
        <v>40</v>
      </c>
      <c r="L15" s="8" t="s">
        <v>518</v>
      </c>
      <c r="M15" s="8" t="s">
        <v>409</v>
      </c>
      <c r="N15" s="8">
        <v>396119</v>
      </c>
      <c r="O15" s="8">
        <v>6353004</v>
      </c>
      <c r="P15" s="8">
        <v>114257</v>
      </c>
      <c r="Q15" s="8" t="s">
        <v>509</v>
      </c>
    </row>
    <row r="16" spans="1:17">
      <c r="A16" s="5" t="s">
        <v>519</v>
      </c>
      <c r="B16" s="6"/>
      <c r="C16" s="6"/>
      <c r="D16" s="6" t="str">
        <f t="shared" si="0"/>
        <v/>
      </c>
      <c r="E16" s="7"/>
      <c r="F16" s="7" t="str">
        <f t="shared" si="1"/>
        <v/>
      </c>
      <c r="G16" s="7"/>
      <c r="H16" s="6"/>
      <c r="I16" s="6" t="str">
        <f t="shared" si="2"/>
        <v/>
      </c>
      <c r="J16" s="8" t="s">
        <v>11</v>
      </c>
      <c r="K16" s="8">
        <v>40</v>
      </c>
      <c r="L16" s="8" t="s">
        <v>520</v>
      </c>
      <c r="M16" s="8" t="s">
        <v>521</v>
      </c>
      <c r="N16" s="8">
        <v>386381</v>
      </c>
      <c r="O16" s="8">
        <v>6346342</v>
      </c>
      <c r="P16" s="8">
        <v>97423</v>
      </c>
      <c r="Q16" s="8" t="s">
        <v>509</v>
      </c>
    </row>
    <row r="17" spans="1:17">
      <c r="A17" s="5" t="s">
        <v>522</v>
      </c>
      <c r="B17" s="6"/>
      <c r="C17" s="6"/>
      <c r="D17" s="6" t="str">
        <f t="shared" si="0"/>
        <v/>
      </c>
      <c r="E17" s="7"/>
      <c r="F17" s="7" t="str">
        <f t="shared" si="1"/>
        <v/>
      </c>
      <c r="G17" s="7"/>
      <c r="H17" s="6"/>
      <c r="I17" s="6" t="str">
        <f t="shared" si="2"/>
        <v/>
      </c>
      <c r="J17" s="8" t="s">
        <v>11</v>
      </c>
      <c r="K17" s="8">
        <v>40</v>
      </c>
      <c r="L17" s="8" t="s">
        <v>523</v>
      </c>
      <c r="M17" s="8" t="s">
        <v>524</v>
      </c>
      <c r="N17" s="8">
        <v>373268</v>
      </c>
      <c r="O17" s="8">
        <v>6327688</v>
      </c>
      <c r="P17" s="8">
        <v>110658</v>
      </c>
      <c r="Q17" s="8" t="s">
        <v>509</v>
      </c>
    </row>
    <row r="18" spans="1:17">
      <c r="A18" s="5" t="s">
        <v>522</v>
      </c>
      <c r="B18" s="6"/>
      <c r="C18" s="6"/>
      <c r="D18" s="6" t="str">
        <f t="shared" si="0"/>
        <v/>
      </c>
      <c r="E18" s="9"/>
      <c r="F18" s="7" t="str">
        <f t="shared" si="1"/>
        <v/>
      </c>
      <c r="G18" s="9"/>
      <c r="H18" s="6"/>
      <c r="I18" s="6" t="str">
        <f t="shared" si="2"/>
        <v/>
      </c>
      <c r="J18" s="8" t="s">
        <v>11</v>
      </c>
      <c r="K18" s="8">
        <v>40</v>
      </c>
      <c r="L18" s="8" t="s">
        <v>523</v>
      </c>
      <c r="M18" s="8" t="s">
        <v>524</v>
      </c>
      <c r="N18" s="8">
        <v>373268</v>
      </c>
      <c r="O18" s="8">
        <v>6327688</v>
      </c>
      <c r="P18" s="8">
        <v>110658</v>
      </c>
      <c r="Q18" s="8" t="s">
        <v>509</v>
      </c>
    </row>
    <row r="19" spans="1:17">
      <c r="A19" s="5" t="s">
        <v>522</v>
      </c>
      <c r="B19" s="6"/>
      <c r="C19" s="6"/>
      <c r="D19" s="6" t="str">
        <f t="shared" si="0"/>
        <v/>
      </c>
      <c r="E19" s="7"/>
      <c r="F19" s="7" t="str">
        <f t="shared" si="1"/>
        <v/>
      </c>
      <c r="G19" s="7"/>
      <c r="H19" s="6"/>
      <c r="I19" s="6" t="str">
        <f t="shared" si="2"/>
        <v/>
      </c>
      <c r="J19" s="8" t="s">
        <v>11</v>
      </c>
      <c r="K19" s="8">
        <v>40</v>
      </c>
      <c r="L19" s="8" t="s">
        <v>523</v>
      </c>
      <c r="M19" s="8" t="s">
        <v>524</v>
      </c>
      <c r="N19" s="8">
        <v>373268</v>
      </c>
      <c r="O19" s="8">
        <v>6327688</v>
      </c>
      <c r="P19" s="8">
        <v>110658</v>
      </c>
      <c r="Q19" s="8" t="s">
        <v>509</v>
      </c>
    </row>
    <row r="20" spans="1:17">
      <c r="A20" s="5" t="s">
        <v>522</v>
      </c>
      <c r="B20" s="6"/>
      <c r="C20" s="6"/>
      <c r="D20" s="6" t="str">
        <f t="shared" si="0"/>
        <v/>
      </c>
      <c r="E20" s="7"/>
      <c r="F20" s="7" t="str">
        <f t="shared" si="1"/>
        <v/>
      </c>
      <c r="G20" s="7"/>
      <c r="H20" s="6"/>
      <c r="I20" s="6" t="str">
        <f t="shared" si="2"/>
        <v/>
      </c>
      <c r="J20" s="8" t="s">
        <v>11</v>
      </c>
      <c r="K20" s="8">
        <v>40</v>
      </c>
      <c r="L20" s="8" t="s">
        <v>523</v>
      </c>
      <c r="M20" s="8" t="s">
        <v>524</v>
      </c>
      <c r="N20" s="8">
        <v>373268</v>
      </c>
      <c r="O20" s="8">
        <v>6327688</v>
      </c>
      <c r="P20" s="8">
        <v>110658</v>
      </c>
      <c r="Q20" s="8" t="s">
        <v>509</v>
      </c>
    </row>
    <row r="21" spans="1:17">
      <c r="A21" s="5" t="s">
        <v>522</v>
      </c>
      <c r="B21" s="6"/>
      <c r="C21" s="6"/>
      <c r="D21" s="6" t="str">
        <f t="shared" si="0"/>
        <v/>
      </c>
      <c r="E21" s="7"/>
      <c r="F21" s="7" t="str">
        <f t="shared" si="1"/>
        <v/>
      </c>
      <c r="G21" s="7"/>
      <c r="H21" s="6"/>
      <c r="I21" s="6" t="str">
        <f t="shared" si="2"/>
        <v/>
      </c>
      <c r="J21" s="8" t="s">
        <v>11</v>
      </c>
      <c r="K21" s="8">
        <v>40</v>
      </c>
      <c r="L21" s="8" t="s">
        <v>523</v>
      </c>
      <c r="M21" s="8" t="s">
        <v>524</v>
      </c>
      <c r="N21" s="8">
        <v>373268</v>
      </c>
      <c r="O21" s="8">
        <v>6327688</v>
      </c>
      <c r="P21" s="8">
        <v>110658</v>
      </c>
      <c r="Q21" s="8" t="s">
        <v>509</v>
      </c>
    </row>
    <row r="22" spans="1:17">
      <c r="A22" s="5" t="s">
        <v>525</v>
      </c>
      <c r="B22" s="6"/>
      <c r="C22" s="6"/>
      <c r="D22" s="6" t="str">
        <f t="shared" si="0"/>
        <v/>
      </c>
      <c r="E22" s="7"/>
      <c r="F22" s="7" t="str">
        <f t="shared" si="1"/>
        <v/>
      </c>
      <c r="G22" s="7"/>
      <c r="H22" s="6"/>
      <c r="I22" s="6" t="str">
        <f t="shared" si="2"/>
        <v/>
      </c>
      <c r="J22" s="8" t="s">
        <v>11</v>
      </c>
      <c r="K22" s="8">
        <v>40</v>
      </c>
      <c r="L22" s="8" t="s">
        <v>526</v>
      </c>
      <c r="M22" s="8" t="s">
        <v>376</v>
      </c>
      <c r="N22" s="8">
        <v>463995</v>
      </c>
      <c r="O22" s="8">
        <v>6336908</v>
      </c>
      <c r="P22" s="8">
        <v>99205</v>
      </c>
      <c r="Q22" s="8" t="s">
        <v>509</v>
      </c>
    </row>
    <row r="23" spans="1:17">
      <c r="A23" s="5" t="s">
        <v>527</v>
      </c>
      <c r="B23" s="6"/>
      <c r="C23" s="6"/>
      <c r="D23" s="6" t="str">
        <f t="shared" si="0"/>
        <v/>
      </c>
      <c r="E23" s="7"/>
      <c r="F23" s="7" t="str">
        <f t="shared" si="1"/>
        <v/>
      </c>
      <c r="G23" s="7"/>
      <c r="H23" s="6"/>
      <c r="I23" s="6" t="str">
        <f t="shared" si="2"/>
        <v/>
      </c>
      <c r="J23" s="8" t="s">
        <v>11</v>
      </c>
      <c r="K23" s="8">
        <v>40</v>
      </c>
      <c r="L23" s="8" t="s">
        <v>526</v>
      </c>
      <c r="M23" s="8" t="s">
        <v>528</v>
      </c>
      <c r="N23" s="8">
        <v>463996</v>
      </c>
      <c r="O23" s="8">
        <v>6337038</v>
      </c>
      <c r="P23" s="8">
        <v>99209</v>
      </c>
      <c r="Q23" s="8" t="s">
        <v>509</v>
      </c>
    </row>
    <row r="24" spans="1:17">
      <c r="A24" s="5" t="s">
        <v>527</v>
      </c>
      <c r="B24" s="6"/>
      <c r="C24" s="6"/>
      <c r="D24" s="6" t="str">
        <f t="shared" si="0"/>
        <v/>
      </c>
      <c r="E24" s="7"/>
      <c r="F24" s="7" t="str">
        <f t="shared" si="1"/>
        <v/>
      </c>
      <c r="G24" s="7"/>
      <c r="H24" s="6"/>
      <c r="I24" s="6" t="str">
        <f t="shared" si="2"/>
        <v/>
      </c>
      <c r="J24" s="8" t="s">
        <v>11</v>
      </c>
      <c r="K24" s="8">
        <v>40</v>
      </c>
      <c r="L24" s="8" t="s">
        <v>526</v>
      </c>
      <c r="M24" s="8" t="s">
        <v>528</v>
      </c>
      <c r="N24" s="8">
        <v>463996</v>
      </c>
      <c r="O24" s="8">
        <v>6337038</v>
      </c>
      <c r="P24" s="8">
        <v>99209</v>
      </c>
      <c r="Q24" s="8" t="s">
        <v>509</v>
      </c>
    </row>
    <row r="25" spans="1:17">
      <c r="A25" s="5" t="s">
        <v>527</v>
      </c>
      <c r="B25" s="6"/>
      <c r="C25" s="6"/>
      <c r="D25" s="6" t="str">
        <f t="shared" si="0"/>
        <v/>
      </c>
      <c r="E25" s="7"/>
      <c r="F25" s="7" t="str">
        <f t="shared" si="1"/>
        <v/>
      </c>
      <c r="G25" s="7"/>
      <c r="H25" s="6"/>
      <c r="I25" s="6" t="str">
        <f t="shared" si="2"/>
        <v/>
      </c>
      <c r="J25" s="8" t="s">
        <v>11</v>
      </c>
      <c r="K25" s="8">
        <v>40</v>
      </c>
      <c r="L25" s="8" t="s">
        <v>526</v>
      </c>
      <c r="M25" s="8" t="s">
        <v>528</v>
      </c>
      <c r="N25" s="8">
        <v>463996</v>
      </c>
      <c r="O25" s="8">
        <v>6337038</v>
      </c>
      <c r="P25" s="8">
        <v>99209</v>
      </c>
      <c r="Q25" s="8" t="s">
        <v>509</v>
      </c>
    </row>
    <row r="26" spans="1:17">
      <c r="A26" s="5" t="s">
        <v>527</v>
      </c>
      <c r="B26" s="6"/>
      <c r="C26" s="6"/>
      <c r="D26" s="6" t="str">
        <f t="shared" si="0"/>
        <v/>
      </c>
      <c r="E26" s="7"/>
      <c r="F26" s="7" t="str">
        <f t="shared" si="1"/>
        <v/>
      </c>
      <c r="G26" s="7"/>
      <c r="H26" s="6"/>
      <c r="I26" s="6" t="str">
        <f t="shared" si="2"/>
        <v/>
      </c>
      <c r="J26" s="8" t="s">
        <v>11</v>
      </c>
      <c r="K26" s="8">
        <v>40</v>
      </c>
      <c r="L26" s="8" t="s">
        <v>526</v>
      </c>
      <c r="M26" s="8" t="s">
        <v>528</v>
      </c>
      <c r="N26" s="8">
        <v>463996</v>
      </c>
      <c r="O26" s="8">
        <v>6337038</v>
      </c>
      <c r="P26" s="8">
        <v>99209</v>
      </c>
      <c r="Q26" s="8" t="s">
        <v>509</v>
      </c>
    </row>
    <row r="27" spans="1:17">
      <c r="A27" s="5" t="s">
        <v>529</v>
      </c>
      <c r="B27" s="6"/>
      <c r="C27" s="6"/>
      <c r="D27" s="6" t="str">
        <f t="shared" si="0"/>
        <v/>
      </c>
      <c r="E27" s="9">
        <v>3.8E-3</v>
      </c>
      <c r="F27" s="7">
        <f t="shared" si="1"/>
        <v>-2.4202164033831899</v>
      </c>
      <c r="G27" s="9">
        <v>91</v>
      </c>
      <c r="H27" s="12">
        <f>E27/G27</f>
        <v>4.1758241758241758E-5</v>
      </c>
      <c r="I27" s="6">
        <f t="shared" si="2"/>
        <v>-4.3792577957042838</v>
      </c>
      <c r="J27" s="8" t="s">
        <v>11</v>
      </c>
      <c r="K27" s="8">
        <v>40</v>
      </c>
      <c r="L27" s="8" t="s">
        <v>530</v>
      </c>
      <c r="M27" s="8" t="s">
        <v>531</v>
      </c>
      <c r="N27" s="8">
        <v>348602</v>
      </c>
      <c r="O27" s="8">
        <v>6316244</v>
      </c>
      <c r="P27" s="8">
        <v>114267</v>
      </c>
      <c r="Q27" s="8" t="s">
        <v>509</v>
      </c>
    </row>
    <row r="28" spans="1:17">
      <c r="A28" s="5" t="s">
        <v>529</v>
      </c>
      <c r="B28" s="6"/>
      <c r="C28" s="6"/>
      <c r="D28" s="6" t="str">
        <f t="shared" si="0"/>
        <v/>
      </c>
      <c r="E28" s="9">
        <v>2.7000000000000001E-3</v>
      </c>
      <c r="F28" s="7">
        <f t="shared" si="1"/>
        <v>-2.5686362358410126</v>
      </c>
      <c r="G28" s="9">
        <f>91</f>
        <v>91</v>
      </c>
      <c r="H28" s="12">
        <f>E28/G28</f>
        <v>2.9670329670329673E-5</v>
      </c>
      <c r="I28" s="6">
        <f t="shared" si="2"/>
        <v>-4.5276776281621061</v>
      </c>
      <c r="J28" s="8" t="s">
        <v>11</v>
      </c>
      <c r="K28" s="8">
        <v>40</v>
      </c>
      <c r="L28" s="8" t="s">
        <v>530</v>
      </c>
      <c r="M28" s="8" t="s">
        <v>531</v>
      </c>
      <c r="N28" s="8">
        <v>348602</v>
      </c>
      <c r="O28" s="8">
        <v>6316244</v>
      </c>
      <c r="P28" s="8">
        <v>114267</v>
      </c>
      <c r="Q28" s="8" t="s">
        <v>509</v>
      </c>
    </row>
    <row r="29" spans="1:17">
      <c r="A29" s="5" t="s">
        <v>532</v>
      </c>
      <c r="B29" s="6"/>
      <c r="C29" s="6"/>
      <c r="D29" s="6" t="str">
        <f t="shared" si="0"/>
        <v/>
      </c>
      <c r="E29" s="7"/>
      <c r="F29" s="7" t="str">
        <f t="shared" si="1"/>
        <v/>
      </c>
      <c r="G29" s="7"/>
      <c r="H29" s="6"/>
      <c r="I29" s="6" t="str">
        <f t="shared" si="2"/>
        <v/>
      </c>
      <c r="J29" s="8" t="s">
        <v>11</v>
      </c>
      <c r="K29" s="8">
        <v>40</v>
      </c>
      <c r="L29" s="8" t="s">
        <v>533</v>
      </c>
      <c r="M29" s="8" t="s">
        <v>534</v>
      </c>
      <c r="N29" s="8">
        <v>360455</v>
      </c>
      <c r="O29" s="8">
        <v>6304847</v>
      </c>
      <c r="P29" s="8">
        <v>99350</v>
      </c>
      <c r="Q29" s="8" t="s">
        <v>509</v>
      </c>
    </row>
    <row r="30" spans="1:17">
      <c r="A30" s="5" t="s">
        <v>532</v>
      </c>
      <c r="B30" s="6"/>
      <c r="C30" s="6"/>
      <c r="D30" s="6" t="str">
        <f t="shared" si="0"/>
        <v/>
      </c>
      <c r="E30" s="7"/>
      <c r="F30" s="7" t="str">
        <f t="shared" si="1"/>
        <v/>
      </c>
      <c r="G30" s="7"/>
      <c r="H30" s="6"/>
      <c r="I30" s="6" t="str">
        <f t="shared" si="2"/>
        <v/>
      </c>
      <c r="J30" s="8" t="s">
        <v>11</v>
      </c>
      <c r="K30" s="8">
        <v>40</v>
      </c>
      <c r="L30" s="8" t="s">
        <v>533</v>
      </c>
      <c r="M30" s="8" t="s">
        <v>534</v>
      </c>
      <c r="N30" s="8">
        <v>360455</v>
      </c>
      <c r="O30" s="8">
        <v>6304847</v>
      </c>
      <c r="P30" s="8">
        <v>99350</v>
      </c>
      <c r="Q30" s="8" t="s">
        <v>509</v>
      </c>
    </row>
    <row r="31" spans="1:17">
      <c r="A31" s="5" t="s">
        <v>532</v>
      </c>
      <c r="B31" s="6"/>
      <c r="C31" s="6"/>
      <c r="D31" s="6" t="str">
        <f t="shared" si="0"/>
        <v/>
      </c>
      <c r="E31" s="7"/>
      <c r="F31" s="7" t="str">
        <f t="shared" si="1"/>
        <v/>
      </c>
      <c r="G31" s="7"/>
      <c r="H31" s="6"/>
      <c r="I31" s="6" t="str">
        <f t="shared" si="2"/>
        <v/>
      </c>
      <c r="J31" s="8" t="s">
        <v>11</v>
      </c>
      <c r="K31" s="8">
        <v>40</v>
      </c>
      <c r="L31" s="8" t="s">
        <v>533</v>
      </c>
      <c r="M31" s="8" t="s">
        <v>534</v>
      </c>
      <c r="N31" s="8">
        <v>360455</v>
      </c>
      <c r="O31" s="8">
        <v>6304847</v>
      </c>
      <c r="P31" s="8">
        <v>99350</v>
      </c>
      <c r="Q31" s="8" t="s">
        <v>509</v>
      </c>
    </row>
    <row r="32" spans="1:17">
      <c r="A32" s="5" t="s">
        <v>532</v>
      </c>
      <c r="B32" s="6"/>
      <c r="C32" s="6"/>
      <c r="D32" s="6" t="str">
        <f t="shared" si="0"/>
        <v/>
      </c>
      <c r="E32" s="7"/>
      <c r="F32" s="7" t="str">
        <f t="shared" si="1"/>
        <v/>
      </c>
      <c r="G32" s="7"/>
      <c r="H32" s="6"/>
      <c r="I32" s="6" t="str">
        <f t="shared" si="2"/>
        <v/>
      </c>
      <c r="J32" s="8" t="s">
        <v>11</v>
      </c>
      <c r="K32" s="8">
        <v>40</v>
      </c>
      <c r="L32" s="8" t="s">
        <v>533</v>
      </c>
      <c r="M32" s="8" t="s">
        <v>534</v>
      </c>
      <c r="N32" s="8">
        <v>360455</v>
      </c>
      <c r="O32" s="8">
        <v>6304847</v>
      </c>
      <c r="P32" s="8">
        <v>99350</v>
      </c>
      <c r="Q32" s="8" t="s">
        <v>509</v>
      </c>
    </row>
    <row r="33" spans="1:17">
      <c r="A33" s="5" t="s">
        <v>532</v>
      </c>
      <c r="B33" s="6"/>
      <c r="C33" s="6"/>
      <c r="D33" s="6" t="str">
        <f t="shared" si="0"/>
        <v/>
      </c>
      <c r="E33" s="7"/>
      <c r="F33" s="7" t="str">
        <f t="shared" si="1"/>
        <v/>
      </c>
      <c r="G33" s="7"/>
      <c r="H33" s="6"/>
      <c r="I33" s="6" t="str">
        <f t="shared" si="2"/>
        <v/>
      </c>
      <c r="J33" s="8" t="s">
        <v>11</v>
      </c>
      <c r="K33" s="8">
        <v>40</v>
      </c>
      <c r="L33" s="8" t="s">
        <v>533</v>
      </c>
      <c r="M33" s="8" t="s">
        <v>534</v>
      </c>
      <c r="N33" s="8">
        <v>360455</v>
      </c>
      <c r="O33" s="8">
        <v>6304847</v>
      </c>
      <c r="P33" s="8">
        <v>99350</v>
      </c>
      <c r="Q33" s="8" t="s">
        <v>509</v>
      </c>
    </row>
    <row r="34" spans="1:17">
      <c r="A34" s="5" t="s">
        <v>532</v>
      </c>
      <c r="B34" s="6"/>
      <c r="C34" s="6"/>
      <c r="D34" s="6" t="str">
        <f t="shared" si="0"/>
        <v/>
      </c>
      <c r="E34" s="7"/>
      <c r="F34" s="7" t="str">
        <f t="shared" si="1"/>
        <v/>
      </c>
      <c r="G34" s="7"/>
      <c r="H34" s="6"/>
      <c r="I34" s="6" t="str">
        <f t="shared" si="2"/>
        <v/>
      </c>
      <c r="J34" s="8" t="s">
        <v>11</v>
      </c>
      <c r="K34" s="8">
        <v>40</v>
      </c>
      <c r="L34" s="8" t="s">
        <v>533</v>
      </c>
      <c r="M34" s="8" t="s">
        <v>534</v>
      </c>
      <c r="N34" s="8">
        <v>360455</v>
      </c>
      <c r="O34" s="8">
        <v>6304847</v>
      </c>
      <c r="P34" s="8">
        <v>99350</v>
      </c>
      <c r="Q34" s="8" t="s">
        <v>509</v>
      </c>
    </row>
    <row r="35" spans="1:17">
      <c r="A35" s="5" t="s">
        <v>535</v>
      </c>
      <c r="B35" s="6"/>
      <c r="C35" s="6"/>
      <c r="D35" s="6" t="str">
        <f t="shared" si="0"/>
        <v/>
      </c>
      <c r="E35" s="7"/>
      <c r="F35" s="7" t="str">
        <f t="shared" si="1"/>
        <v/>
      </c>
      <c r="G35" s="7"/>
      <c r="H35" s="6"/>
      <c r="I35" s="6" t="str">
        <f t="shared" si="2"/>
        <v/>
      </c>
      <c r="J35" s="8" t="s">
        <v>11</v>
      </c>
      <c r="K35" s="8">
        <v>40</v>
      </c>
      <c r="L35" s="8" t="s">
        <v>536</v>
      </c>
      <c r="M35" s="8" t="s">
        <v>537</v>
      </c>
      <c r="N35" s="8">
        <v>404722</v>
      </c>
      <c r="O35" s="8">
        <v>6308091</v>
      </c>
      <c r="P35" s="8">
        <v>99743</v>
      </c>
      <c r="Q35" s="8" t="s">
        <v>509</v>
      </c>
    </row>
    <row r="36" spans="1:17">
      <c r="A36" s="5" t="s">
        <v>535</v>
      </c>
      <c r="B36" s="6"/>
      <c r="C36" s="6"/>
      <c r="D36" s="6" t="str">
        <f t="shared" si="0"/>
        <v/>
      </c>
      <c r="E36" s="7"/>
      <c r="F36" s="7" t="str">
        <f t="shared" si="1"/>
        <v/>
      </c>
      <c r="G36" s="7"/>
      <c r="H36" s="6"/>
      <c r="I36" s="6" t="str">
        <f t="shared" si="2"/>
        <v/>
      </c>
      <c r="J36" s="8" t="s">
        <v>11</v>
      </c>
      <c r="K36" s="8">
        <v>40</v>
      </c>
      <c r="L36" s="8" t="s">
        <v>536</v>
      </c>
      <c r="M36" s="8" t="s">
        <v>537</v>
      </c>
      <c r="N36" s="8">
        <v>404722</v>
      </c>
      <c r="O36" s="8">
        <v>6308091</v>
      </c>
      <c r="P36" s="8">
        <v>99743</v>
      </c>
      <c r="Q36" s="8" t="s">
        <v>509</v>
      </c>
    </row>
    <row r="37" spans="1:17">
      <c r="A37" s="5" t="s">
        <v>535</v>
      </c>
      <c r="B37" s="6"/>
      <c r="C37" s="6"/>
      <c r="D37" s="6" t="str">
        <f t="shared" si="0"/>
        <v/>
      </c>
      <c r="E37" s="7"/>
      <c r="F37" s="7" t="str">
        <f t="shared" si="1"/>
        <v/>
      </c>
      <c r="G37" s="7"/>
      <c r="H37" s="6"/>
      <c r="I37" s="6" t="str">
        <f t="shared" si="2"/>
        <v/>
      </c>
      <c r="J37" s="8" t="s">
        <v>11</v>
      </c>
      <c r="K37" s="8">
        <v>40</v>
      </c>
      <c r="L37" s="8" t="s">
        <v>536</v>
      </c>
      <c r="M37" s="8" t="s">
        <v>537</v>
      </c>
      <c r="N37" s="8">
        <v>404722</v>
      </c>
      <c r="O37" s="8">
        <v>6308091</v>
      </c>
      <c r="P37" s="8">
        <v>99743</v>
      </c>
      <c r="Q37" s="8" t="s">
        <v>509</v>
      </c>
    </row>
    <row r="38" spans="1:17">
      <c r="A38" s="5" t="s">
        <v>535</v>
      </c>
      <c r="B38" s="6"/>
      <c r="C38" s="6"/>
      <c r="D38" s="6" t="str">
        <f t="shared" si="0"/>
        <v/>
      </c>
      <c r="E38" s="7"/>
      <c r="F38" s="7" t="str">
        <f t="shared" si="1"/>
        <v/>
      </c>
      <c r="G38" s="7"/>
      <c r="H38" s="6"/>
      <c r="I38" s="6" t="str">
        <f t="shared" si="2"/>
        <v/>
      </c>
      <c r="J38" s="8" t="s">
        <v>11</v>
      </c>
      <c r="K38" s="8">
        <v>40</v>
      </c>
      <c r="L38" s="8" t="s">
        <v>536</v>
      </c>
      <c r="M38" s="8" t="s">
        <v>537</v>
      </c>
      <c r="N38" s="8">
        <v>404722</v>
      </c>
      <c r="O38" s="8">
        <v>6308091</v>
      </c>
      <c r="P38" s="8">
        <v>99743</v>
      </c>
      <c r="Q38" s="8" t="s">
        <v>509</v>
      </c>
    </row>
    <row r="39" spans="1:17">
      <c r="A39" s="5" t="s">
        <v>538</v>
      </c>
      <c r="B39" s="6"/>
      <c r="C39" s="6"/>
      <c r="D39" s="6" t="str">
        <f t="shared" si="0"/>
        <v/>
      </c>
      <c r="E39" s="7"/>
      <c r="F39" s="7" t="str">
        <f t="shared" si="1"/>
        <v/>
      </c>
      <c r="G39" s="7"/>
      <c r="H39" s="6"/>
      <c r="I39" s="6" t="str">
        <f t="shared" si="2"/>
        <v/>
      </c>
      <c r="J39" s="8" t="s">
        <v>11</v>
      </c>
      <c r="K39" s="8">
        <v>33</v>
      </c>
      <c r="L39" s="8" t="s">
        <v>97</v>
      </c>
      <c r="M39" s="8" t="s">
        <v>539</v>
      </c>
      <c r="N39" s="8">
        <v>397636</v>
      </c>
      <c r="O39" s="8">
        <v>6443464</v>
      </c>
      <c r="P39" s="8">
        <v>86278</v>
      </c>
      <c r="Q39" s="8" t="s">
        <v>509</v>
      </c>
    </row>
    <row r="40" spans="1:17">
      <c r="A40" s="5" t="s">
        <v>538</v>
      </c>
      <c r="B40" s="6"/>
      <c r="C40" s="6"/>
      <c r="D40" s="6" t="str">
        <f t="shared" si="0"/>
        <v/>
      </c>
      <c r="E40" s="7"/>
      <c r="F40" s="7" t="str">
        <f t="shared" si="1"/>
        <v/>
      </c>
      <c r="G40" s="7"/>
      <c r="H40" s="6"/>
      <c r="I40" s="6" t="str">
        <f t="shared" si="2"/>
        <v/>
      </c>
      <c r="J40" s="8" t="s">
        <v>11</v>
      </c>
      <c r="K40" s="8">
        <v>33</v>
      </c>
      <c r="L40" s="8" t="s">
        <v>97</v>
      </c>
      <c r="M40" s="8" t="s">
        <v>539</v>
      </c>
      <c r="N40" s="8">
        <v>397636</v>
      </c>
      <c r="O40" s="8">
        <v>6443464</v>
      </c>
      <c r="P40" s="8">
        <v>86278</v>
      </c>
      <c r="Q40" s="8" t="s">
        <v>509</v>
      </c>
    </row>
    <row r="41" spans="1:17">
      <c r="A41" s="5" t="s">
        <v>540</v>
      </c>
      <c r="C41" s="12">
        <v>2.9999999999999997E-4</v>
      </c>
      <c r="D41" s="6">
        <f t="shared" si="0"/>
        <v>-3.5228787452803374</v>
      </c>
      <c r="E41" s="12">
        <v>1.4999999999999999E-4</v>
      </c>
      <c r="F41" s="7">
        <f t="shared" si="1"/>
        <v>-3.8239087409443187</v>
      </c>
      <c r="G41" s="12">
        <f>33</f>
        <v>33</v>
      </c>
      <c r="H41" s="12">
        <f>E41/G41</f>
        <v>4.5454545454545447E-6</v>
      </c>
      <c r="I41" s="6">
        <f t="shared" si="2"/>
        <v>-5.3424226808222066</v>
      </c>
      <c r="J41" s="8" t="s">
        <v>96</v>
      </c>
      <c r="K41" s="8">
        <v>33</v>
      </c>
      <c r="L41" s="8" t="s">
        <v>100</v>
      </c>
      <c r="M41" s="8" t="s">
        <v>101</v>
      </c>
      <c r="N41" s="8">
        <v>386592</v>
      </c>
      <c r="O41" s="8">
        <v>6436614</v>
      </c>
      <c r="P41" s="8">
        <v>87300</v>
      </c>
      <c r="Q41" s="8" t="s">
        <v>509</v>
      </c>
    </row>
    <row r="42" spans="1:17">
      <c r="A42" s="5" t="s">
        <v>541</v>
      </c>
      <c r="B42" s="12"/>
      <c r="C42" s="12"/>
      <c r="D42" s="6" t="str">
        <f t="shared" si="0"/>
        <v/>
      </c>
      <c r="E42" s="12">
        <v>1.9000000000000001E-4</v>
      </c>
      <c r="F42" s="7">
        <f t="shared" si="1"/>
        <v>-3.7212463990471711</v>
      </c>
      <c r="G42" s="12">
        <f>41</f>
        <v>41</v>
      </c>
      <c r="H42" s="12">
        <f t="shared" ref="H42:H46" si="3">E42/G42</f>
        <v>4.6341463414634148E-6</v>
      </c>
      <c r="I42" s="6">
        <f t="shared" si="2"/>
        <v>-5.3340302557669066</v>
      </c>
      <c r="J42" s="8" t="s">
        <v>374</v>
      </c>
      <c r="K42" s="8">
        <v>33</v>
      </c>
      <c r="L42" s="8" t="s">
        <v>375</v>
      </c>
      <c r="M42" s="8" t="s">
        <v>528</v>
      </c>
      <c r="N42" s="8">
        <v>384934</v>
      </c>
      <c r="O42" s="8">
        <v>6430591</v>
      </c>
      <c r="P42" s="8">
        <v>87473</v>
      </c>
      <c r="Q42" s="8" t="s">
        <v>509</v>
      </c>
    </row>
    <row r="43" spans="1:17">
      <c r="A43" s="13" t="s">
        <v>542</v>
      </c>
      <c r="B43" s="12"/>
      <c r="C43" s="12"/>
      <c r="D43" s="6" t="str">
        <f t="shared" si="0"/>
        <v/>
      </c>
      <c r="E43" s="27">
        <v>1.6999999999999999E-3</v>
      </c>
      <c r="F43" s="7">
        <f t="shared" si="1"/>
        <v>-2.7695510786217259</v>
      </c>
      <c r="G43" s="27">
        <f>39</f>
        <v>39</v>
      </c>
      <c r="H43" s="12">
        <f t="shared" si="3"/>
        <v>4.3589743589743584E-5</v>
      </c>
      <c r="I43" s="6">
        <f t="shared" si="2"/>
        <v>-4.3606156856482254</v>
      </c>
      <c r="J43" s="8" t="s">
        <v>103</v>
      </c>
      <c r="K43" s="8">
        <v>33</v>
      </c>
      <c r="L43" s="8" t="s">
        <v>260</v>
      </c>
      <c r="M43" s="8" t="s">
        <v>543</v>
      </c>
      <c r="N43" s="8">
        <v>406522</v>
      </c>
      <c r="O43" s="8">
        <v>6422476</v>
      </c>
      <c r="P43" s="8">
        <v>88429</v>
      </c>
      <c r="Q43" s="8" t="s">
        <v>509</v>
      </c>
    </row>
    <row r="44" spans="1:17">
      <c r="A44" s="13" t="s">
        <v>544</v>
      </c>
      <c r="B44" s="12"/>
      <c r="C44" s="12"/>
      <c r="D44" s="6" t="str">
        <f t="shared" si="0"/>
        <v/>
      </c>
      <c r="E44" s="27">
        <v>5.9999999999999995E-4</v>
      </c>
      <c r="F44" s="7">
        <f t="shared" si="1"/>
        <v>-3.2218487496163566</v>
      </c>
      <c r="G44" s="27">
        <f>28</f>
        <v>28</v>
      </c>
      <c r="H44" s="12">
        <f t="shared" si="3"/>
        <v>2.1428571428571428E-5</v>
      </c>
      <c r="I44" s="6">
        <f t="shared" si="2"/>
        <v>-4.6690067809585756</v>
      </c>
      <c r="J44" s="8" t="s">
        <v>103</v>
      </c>
      <c r="K44" s="8">
        <v>33</v>
      </c>
      <c r="L44" s="8" t="s">
        <v>334</v>
      </c>
      <c r="M44" s="8" t="s">
        <v>545</v>
      </c>
      <c r="N44" s="8">
        <v>412382</v>
      </c>
      <c r="O44" s="8">
        <v>6399606</v>
      </c>
      <c r="P44" s="8">
        <v>94746</v>
      </c>
      <c r="Q44" s="8" t="s">
        <v>509</v>
      </c>
    </row>
    <row r="45" spans="1:17">
      <c r="A45" s="13" t="s">
        <v>546</v>
      </c>
      <c r="B45" s="12"/>
      <c r="C45" s="12"/>
      <c r="D45" s="6" t="str">
        <f t="shared" si="0"/>
        <v/>
      </c>
      <c r="E45" s="27">
        <v>2.0000000000000001E-4</v>
      </c>
      <c r="F45" s="7">
        <f t="shared" si="1"/>
        <v>-3.6989700043360187</v>
      </c>
      <c r="G45" s="27">
        <f>10</f>
        <v>10</v>
      </c>
      <c r="H45" s="12">
        <f t="shared" si="3"/>
        <v>2.0000000000000002E-5</v>
      </c>
      <c r="I45" s="6">
        <f t="shared" si="2"/>
        <v>-4.6989700043360187</v>
      </c>
      <c r="J45" s="8" t="s">
        <v>103</v>
      </c>
      <c r="K45" s="8">
        <v>40</v>
      </c>
      <c r="L45" s="8" t="s">
        <v>533</v>
      </c>
      <c r="M45" s="8" t="s">
        <v>534</v>
      </c>
      <c r="N45" s="8">
        <v>360454</v>
      </c>
      <c r="O45" s="8">
        <v>6304747</v>
      </c>
      <c r="P45" s="8">
        <v>99346</v>
      </c>
      <c r="Q45" s="8" t="s">
        <v>509</v>
      </c>
    </row>
    <row r="46" spans="1:17">
      <c r="A46" s="13" t="s">
        <v>784</v>
      </c>
      <c r="B46" s="12"/>
      <c r="C46" s="12"/>
      <c r="D46" s="6" t="str">
        <f t="shared" si="0"/>
        <v/>
      </c>
      <c r="E46" s="27">
        <v>4.3E-3</v>
      </c>
      <c r="F46" s="7">
        <f t="shared" si="1"/>
        <v>-2.3665315444204134</v>
      </c>
      <c r="G46" s="27">
        <f>43</f>
        <v>43</v>
      </c>
      <c r="H46" s="12">
        <f t="shared" si="3"/>
        <v>1E-4</v>
      </c>
      <c r="I46" s="6">
        <f t="shared" si="2"/>
        <v>-4</v>
      </c>
      <c r="J46" s="8" t="s">
        <v>103</v>
      </c>
      <c r="K46" s="8">
        <v>33</v>
      </c>
      <c r="L46" s="8" t="s">
        <v>418</v>
      </c>
      <c r="M46" s="8" t="s">
        <v>419</v>
      </c>
      <c r="N46" s="8">
        <v>398382</v>
      </c>
      <c r="O46" s="8">
        <v>6402265</v>
      </c>
      <c r="P46" s="8">
        <v>91162</v>
      </c>
      <c r="Q46" s="8" t="s">
        <v>929</v>
      </c>
    </row>
    <row r="55" spans="1:9" ht="16">
      <c r="A55" s="38" t="s">
        <v>849</v>
      </c>
      <c r="B55" s="38" t="s">
        <v>850</v>
      </c>
      <c r="C55" s="38" t="s">
        <v>851</v>
      </c>
      <c r="D55" s="38" t="s">
        <v>852</v>
      </c>
      <c r="E55" s="38" t="s">
        <v>853</v>
      </c>
      <c r="F55" s="38" t="s">
        <v>934</v>
      </c>
      <c r="G55" s="38" t="s">
        <v>967</v>
      </c>
      <c r="I55" s="38"/>
    </row>
    <row r="56" spans="1:9" ht="16">
      <c r="A56" s="38" t="s">
        <v>855</v>
      </c>
      <c r="B56" s="38">
        <f xml:space="preserve"> COUNTA(B2:B46)</f>
        <v>1</v>
      </c>
      <c r="C56" s="38">
        <f xml:space="preserve"> MIN(B2:B46)</f>
        <v>0.22</v>
      </c>
      <c r="D56" s="38">
        <f xml:space="preserve"> MAX(B2:B46)</f>
        <v>0.22</v>
      </c>
      <c r="E56" s="38">
        <f>AVERAGE(B2:B46)</f>
        <v>0.22</v>
      </c>
      <c r="F56" s="38"/>
      <c r="G56" s="38"/>
      <c r="I56" s="38"/>
    </row>
    <row r="57" spans="1:9" ht="16">
      <c r="A57" s="38" t="s">
        <v>857</v>
      </c>
      <c r="B57" s="38">
        <f xml:space="preserve"> COUNTA(C2:C46)</f>
        <v>1</v>
      </c>
      <c r="C57" s="38">
        <f xml:space="preserve"> MIN(C2:C46)</f>
        <v>2.9999999999999997E-4</v>
      </c>
      <c r="D57" s="38">
        <f xml:space="preserve"> MAX(C2:C46)</f>
        <v>2.9999999999999997E-4</v>
      </c>
      <c r="E57" s="38">
        <f xml:space="preserve"> AVERAGEIF(C2:C46,"&lt;&gt;0")</f>
        <v>2.9999999999999997E-4</v>
      </c>
      <c r="F57" s="38">
        <f>AVERAGE(D2:D46)</f>
        <v>-3.5228787452803374</v>
      </c>
      <c r="G57" s="38">
        <f>10^F57</f>
        <v>3.0000000000000008E-4</v>
      </c>
      <c r="I57" s="38"/>
    </row>
    <row r="58" spans="1:9" ht="16">
      <c r="A58" s="38" t="s">
        <v>914</v>
      </c>
      <c r="B58" s="38">
        <f xml:space="preserve"> COUNTA(E2:E46)</f>
        <v>8</v>
      </c>
      <c r="C58" s="38">
        <f xml:space="preserve"> MIN(E2:E46)</f>
        <v>1.4999999999999999E-4</v>
      </c>
      <c r="D58" s="38">
        <f xml:space="preserve"> MAX(E2:E46)</f>
        <v>4.3E-3</v>
      </c>
      <c r="E58" s="38">
        <f xml:space="preserve"> AVERAGEIF(E2:E46,"&lt;&gt;0")</f>
        <v>1.7050000000000001E-3</v>
      </c>
      <c r="F58" s="38">
        <f>AVERAGE(F2:F46)</f>
        <v>-3.0738636445262761</v>
      </c>
      <c r="G58" s="38">
        <f t="shared" ref="G58:G59" si="4">10^F58</f>
        <v>8.4359958121774765E-4</v>
      </c>
      <c r="I58" s="38"/>
    </row>
    <row r="59" spans="1:9" ht="16">
      <c r="A59" s="38" t="s">
        <v>854</v>
      </c>
      <c r="B59" s="38">
        <f xml:space="preserve"> COUNTA(H2:H46)</f>
        <v>8</v>
      </c>
      <c r="C59" s="38">
        <f xml:space="preserve"> MIN(H2:H46)</f>
        <v>4.5454545454545447E-6</v>
      </c>
      <c r="D59" s="38">
        <f xml:space="preserve"> MAX(H2:H46)</f>
        <v>1E-4</v>
      </c>
      <c r="E59" s="38">
        <f xml:space="preserve"> AVERAGEIF(H2:H46,"&lt;&gt;0")</f>
        <v>3.3203310916725553E-5</v>
      </c>
      <c r="F59" s="38">
        <f>AVERAGE(I2:I46)</f>
        <v>-4.6639976039247903</v>
      </c>
      <c r="G59" s="38">
        <f t="shared" si="4"/>
        <v>2.1677160644383656E-5</v>
      </c>
      <c r="I59" s="38"/>
    </row>
    <row r="60" spans="1:9">
      <c r="A60" s="28"/>
      <c r="B60" s="19"/>
      <c r="C60" s="19"/>
      <c r="D60" s="19"/>
      <c r="E60" s="19"/>
      <c r="F60" s="19"/>
      <c r="G60" s="19"/>
      <c r="H60" s="19"/>
      <c r="I60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21"/>
  <sheetViews>
    <sheetView topLeftCell="A226" zoomScale="90" zoomScaleNormal="90" workbookViewId="0">
      <selection activeCell="G231" sqref="G231"/>
    </sheetView>
  </sheetViews>
  <sheetFormatPr baseColWidth="10" defaultRowHeight="15"/>
  <cols>
    <col min="1" max="1" width="24" customWidth="1"/>
    <col min="2" max="4" width="21.83203125" customWidth="1"/>
    <col min="5" max="7" width="20.83203125" customWidth="1"/>
    <col min="8" max="8" width="11.83203125" customWidth="1"/>
    <col min="9" max="9" width="22.1640625" customWidth="1"/>
    <col min="10" max="10" width="24.1640625" customWidth="1"/>
    <col min="11" max="11" width="16.33203125" customWidth="1"/>
    <col min="12" max="12" width="14.5" customWidth="1"/>
    <col min="13" max="13" width="23.6640625" customWidth="1"/>
    <col min="14" max="14" width="28" customWidth="1"/>
    <col min="15" max="15" width="22.33203125" customWidth="1"/>
    <col min="16" max="16" width="14.1640625" customWidth="1"/>
    <col min="18" max="18" width="18.6640625" bestFit="1" customWidth="1"/>
  </cols>
  <sheetData>
    <row r="1" spans="1:16" ht="32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918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263</v>
      </c>
      <c r="B2" s="9">
        <v>2.0999999999999999E-3</v>
      </c>
      <c r="D2" t="str">
        <f>IFERROR(LOG10(C2),"")</f>
        <v/>
      </c>
      <c r="E2" s="9">
        <v>4.6500000000000003E-4</v>
      </c>
      <c r="F2" s="9">
        <f>IFERROR(LOG10(E2),"")</f>
        <v>-3.332547047110046</v>
      </c>
      <c r="G2" s="9">
        <f>200</f>
        <v>200</v>
      </c>
      <c r="H2" s="12">
        <f>E2/G2</f>
        <v>2.3250000000000002E-6</v>
      </c>
      <c r="I2" s="12">
        <f>IFERROR(LOG10(H2),"")</f>
        <v>-5.6335770427740268</v>
      </c>
      <c r="J2" s="8" t="s">
        <v>11</v>
      </c>
      <c r="K2" s="8">
        <v>40</v>
      </c>
      <c r="L2" s="8" t="s">
        <v>264</v>
      </c>
      <c r="M2" s="8" t="s">
        <v>265</v>
      </c>
      <c r="N2" s="8">
        <v>413734</v>
      </c>
      <c r="O2" s="21">
        <v>6363927</v>
      </c>
      <c r="P2" s="8" t="s">
        <v>261</v>
      </c>
    </row>
    <row r="3" spans="1:16">
      <c r="A3" s="5" t="s">
        <v>266</v>
      </c>
      <c r="B3" s="6"/>
      <c r="C3" s="6"/>
      <c r="D3" t="str">
        <f t="shared" ref="D3:D66" si="0">IFERROR(LOG10(C3),"")</f>
        <v/>
      </c>
      <c r="E3" s="7"/>
      <c r="F3" s="9" t="str">
        <f t="shared" ref="F3:F66" si="1">IFERROR(LOG10(E3),"")</f>
        <v/>
      </c>
      <c r="G3" s="7"/>
      <c r="H3" s="6"/>
      <c r="I3" s="12" t="str">
        <f t="shared" ref="I3:I66" si="2">IFERROR(LOG10(H3),"")</f>
        <v/>
      </c>
      <c r="J3" s="8" t="s">
        <v>11</v>
      </c>
      <c r="K3" s="8">
        <v>40</v>
      </c>
      <c r="L3" s="8" t="s">
        <v>267</v>
      </c>
      <c r="M3" s="8" t="s">
        <v>268</v>
      </c>
      <c r="N3" s="8">
        <v>373397</v>
      </c>
      <c r="O3" s="21">
        <v>6359481</v>
      </c>
      <c r="P3" s="8" t="s">
        <v>261</v>
      </c>
    </row>
    <row r="4" spans="1:16">
      <c r="A4" s="5" t="s">
        <v>269</v>
      </c>
      <c r="B4" s="6"/>
      <c r="C4" s="6"/>
      <c r="D4" t="str">
        <f t="shared" si="0"/>
        <v/>
      </c>
      <c r="E4" s="7"/>
      <c r="F4" s="9" t="str">
        <f t="shared" si="1"/>
        <v/>
      </c>
      <c r="G4" s="7"/>
      <c r="H4" s="6"/>
      <c r="I4" s="12" t="str">
        <f t="shared" si="2"/>
        <v/>
      </c>
      <c r="J4" s="8" t="s">
        <v>11</v>
      </c>
      <c r="K4" s="8">
        <v>40</v>
      </c>
      <c r="L4" s="8" t="s">
        <v>270</v>
      </c>
      <c r="M4" s="8" t="s">
        <v>271</v>
      </c>
      <c r="N4" s="8">
        <v>366271</v>
      </c>
      <c r="O4" s="21">
        <v>6380656</v>
      </c>
      <c r="P4" s="8" t="s">
        <v>261</v>
      </c>
    </row>
    <row r="5" spans="1:16">
      <c r="A5" s="5" t="s">
        <v>272</v>
      </c>
      <c r="B5" s="6"/>
      <c r="C5" s="6"/>
      <c r="D5" t="str">
        <f t="shared" si="0"/>
        <v/>
      </c>
      <c r="E5" s="7"/>
      <c r="F5" s="9" t="str">
        <f t="shared" si="1"/>
        <v/>
      </c>
      <c r="G5" s="7"/>
      <c r="H5" s="6"/>
      <c r="I5" s="12" t="str">
        <f t="shared" si="2"/>
        <v/>
      </c>
      <c r="J5" s="8" t="s">
        <v>11</v>
      </c>
      <c r="K5" s="8">
        <v>47</v>
      </c>
      <c r="L5" s="8" t="s">
        <v>273</v>
      </c>
      <c r="M5" s="8" t="s">
        <v>274</v>
      </c>
      <c r="N5" s="8">
        <v>464685</v>
      </c>
      <c r="O5" s="21">
        <v>6367122</v>
      </c>
      <c r="P5" s="8" t="s">
        <v>261</v>
      </c>
    </row>
    <row r="6" spans="1:16">
      <c r="A6" s="5" t="s">
        <v>272</v>
      </c>
      <c r="B6" s="6"/>
      <c r="C6" s="6"/>
      <c r="D6" t="str">
        <f t="shared" si="0"/>
        <v/>
      </c>
      <c r="E6" s="7"/>
      <c r="F6" s="9" t="str">
        <f t="shared" si="1"/>
        <v/>
      </c>
      <c r="G6" s="7"/>
      <c r="H6" s="6"/>
      <c r="I6" s="12" t="str">
        <f t="shared" si="2"/>
        <v/>
      </c>
      <c r="J6" s="8" t="s">
        <v>11</v>
      </c>
      <c r="K6" s="8">
        <v>47</v>
      </c>
      <c r="L6" s="8" t="s">
        <v>273</v>
      </c>
      <c r="M6" s="8" t="s">
        <v>274</v>
      </c>
      <c r="N6" s="8">
        <v>464685</v>
      </c>
      <c r="O6" s="21">
        <v>6367122</v>
      </c>
      <c r="P6" s="8" t="s">
        <v>261</v>
      </c>
    </row>
    <row r="7" spans="1:16">
      <c r="A7" s="5" t="s">
        <v>275</v>
      </c>
      <c r="B7" s="6"/>
      <c r="C7" s="6"/>
      <c r="D7" t="str">
        <f t="shared" si="0"/>
        <v/>
      </c>
      <c r="E7" s="7"/>
      <c r="F7" s="9" t="str">
        <f t="shared" si="1"/>
        <v/>
      </c>
      <c r="G7" s="7"/>
      <c r="H7" s="6"/>
      <c r="I7" s="12" t="str">
        <f t="shared" si="2"/>
        <v/>
      </c>
      <c r="J7" s="8" t="s">
        <v>11</v>
      </c>
      <c r="K7" s="8">
        <v>47</v>
      </c>
      <c r="L7" s="8" t="s">
        <v>276</v>
      </c>
      <c r="M7" s="8" t="s">
        <v>277</v>
      </c>
      <c r="N7" s="8">
        <v>473926</v>
      </c>
      <c r="O7" s="21">
        <v>6340869</v>
      </c>
      <c r="P7" s="8" t="s">
        <v>261</v>
      </c>
    </row>
    <row r="8" spans="1:16">
      <c r="A8" s="5" t="s">
        <v>278</v>
      </c>
      <c r="B8" s="6"/>
      <c r="C8" s="6"/>
      <c r="D8" t="str">
        <f t="shared" si="0"/>
        <v/>
      </c>
      <c r="E8" s="7"/>
      <c r="F8" s="9" t="str">
        <f t="shared" si="1"/>
        <v/>
      </c>
      <c r="G8" s="7"/>
      <c r="H8" s="6"/>
      <c r="I8" s="12" t="str">
        <f t="shared" si="2"/>
        <v/>
      </c>
      <c r="J8" s="8" t="s">
        <v>11</v>
      </c>
      <c r="K8" s="8">
        <v>47</v>
      </c>
      <c r="L8" s="8" t="s">
        <v>276</v>
      </c>
      <c r="M8" s="8" t="s">
        <v>277</v>
      </c>
      <c r="N8" s="8">
        <v>473916</v>
      </c>
      <c r="O8" s="21">
        <v>6340325</v>
      </c>
      <c r="P8" s="8" t="s">
        <v>261</v>
      </c>
    </row>
    <row r="9" spans="1:16">
      <c r="A9" s="5" t="s">
        <v>278</v>
      </c>
      <c r="B9" s="6"/>
      <c r="C9" s="6"/>
      <c r="D9" t="str">
        <f t="shared" si="0"/>
        <v/>
      </c>
      <c r="E9" s="7"/>
      <c r="F9" s="9" t="str">
        <f t="shared" si="1"/>
        <v/>
      </c>
      <c r="G9" s="7"/>
      <c r="H9" s="6"/>
      <c r="I9" s="12" t="str">
        <f t="shared" si="2"/>
        <v/>
      </c>
      <c r="J9" s="8" t="s">
        <v>11</v>
      </c>
      <c r="K9" s="8">
        <v>47</v>
      </c>
      <c r="L9" s="8" t="s">
        <v>276</v>
      </c>
      <c r="M9" s="8" t="s">
        <v>277</v>
      </c>
      <c r="N9" s="8">
        <v>473916</v>
      </c>
      <c r="O9" s="21">
        <v>6340325</v>
      </c>
      <c r="P9" s="8" t="s">
        <v>261</v>
      </c>
    </row>
    <row r="10" spans="1:16">
      <c r="A10" s="5" t="s">
        <v>278</v>
      </c>
      <c r="B10" s="6"/>
      <c r="C10" s="6"/>
      <c r="D10" t="str">
        <f t="shared" si="0"/>
        <v/>
      </c>
      <c r="E10" s="7"/>
      <c r="F10" s="9" t="str">
        <f t="shared" si="1"/>
        <v/>
      </c>
      <c r="G10" s="7"/>
      <c r="H10" s="6"/>
      <c r="I10" s="12" t="str">
        <f t="shared" si="2"/>
        <v/>
      </c>
      <c r="J10" s="8" t="s">
        <v>11</v>
      </c>
      <c r="K10" s="8">
        <v>47</v>
      </c>
      <c r="L10" s="8" t="s">
        <v>276</v>
      </c>
      <c r="M10" s="8" t="s">
        <v>277</v>
      </c>
      <c r="N10" s="8">
        <v>473916</v>
      </c>
      <c r="O10" s="21">
        <v>6340325</v>
      </c>
      <c r="P10" s="8" t="s">
        <v>261</v>
      </c>
    </row>
    <row r="11" spans="1:16">
      <c r="A11" s="5" t="s">
        <v>279</v>
      </c>
      <c r="B11" s="6"/>
      <c r="C11" s="6"/>
      <c r="D11" t="str">
        <f t="shared" si="0"/>
        <v/>
      </c>
      <c r="E11" s="7"/>
      <c r="F11" s="9" t="str">
        <f t="shared" si="1"/>
        <v/>
      </c>
      <c r="G11" s="7"/>
      <c r="H11" s="6"/>
      <c r="I11" s="12" t="str">
        <f t="shared" si="2"/>
        <v/>
      </c>
      <c r="J11" s="8" t="s">
        <v>11</v>
      </c>
      <c r="K11" s="8">
        <v>40</v>
      </c>
      <c r="L11" s="8" t="s">
        <v>280</v>
      </c>
      <c r="M11" s="8" t="s">
        <v>281</v>
      </c>
      <c r="N11" s="8">
        <v>396879</v>
      </c>
      <c r="O11" s="21">
        <v>6325670</v>
      </c>
      <c r="P11" s="8" t="s">
        <v>261</v>
      </c>
    </row>
    <row r="12" spans="1:16">
      <c r="A12" s="5" t="s">
        <v>282</v>
      </c>
      <c r="B12" s="6"/>
      <c r="C12" s="6"/>
      <c r="D12" t="str">
        <f t="shared" si="0"/>
        <v/>
      </c>
      <c r="E12" s="7"/>
      <c r="F12" s="9" t="str">
        <f t="shared" si="1"/>
        <v/>
      </c>
      <c r="G12" s="7"/>
      <c r="H12" s="6"/>
      <c r="I12" s="12" t="str">
        <f t="shared" si="2"/>
        <v/>
      </c>
      <c r="J12" s="8" t="s">
        <v>11</v>
      </c>
      <c r="K12" s="8">
        <v>40</v>
      </c>
      <c r="L12" s="8" t="s">
        <v>283</v>
      </c>
      <c r="M12" s="8" t="s">
        <v>284</v>
      </c>
      <c r="N12" s="8">
        <v>391850</v>
      </c>
      <c r="O12" s="21">
        <v>6311801</v>
      </c>
      <c r="P12" s="8" t="s">
        <v>261</v>
      </c>
    </row>
    <row r="13" spans="1:16">
      <c r="A13" s="5" t="s">
        <v>282</v>
      </c>
      <c r="B13" s="6"/>
      <c r="C13" s="6"/>
      <c r="D13" t="str">
        <f t="shared" si="0"/>
        <v/>
      </c>
      <c r="E13" s="7"/>
      <c r="F13" s="9" t="str">
        <f t="shared" si="1"/>
        <v/>
      </c>
      <c r="G13" s="7"/>
      <c r="H13" s="6"/>
      <c r="I13" s="12" t="str">
        <f t="shared" si="2"/>
        <v/>
      </c>
      <c r="J13" s="8" t="s">
        <v>11</v>
      </c>
      <c r="K13" s="8">
        <v>40</v>
      </c>
      <c r="L13" s="8" t="s">
        <v>283</v>
      </c>
      <c r="M13" s="8" t="s">
        <v>284</v>
      </c>
      <c r="N13" s="8">
        <v>391850</v>
      </c>
      <c r="O13" s="21">
        <v>6311801</v>
      </c>
      <c r="P13" s="8" t="s">
        <v>261</v>
      </c>
    </row>
    <row r="14" spans="1:16">
      <c r="A14" s="5" t="s">
        <v>282</v>
      </c>
      <c r="B14" s="6"/>
      <c r="C14" s="6"/>
      <c r="D14" t="str">
        <f t="shared" si="0"/>
        <v/>
      </c>
      <c r="E14" s="7"/>
      <c r="F14" s="9" t="str">
        <f t="shared" si="1"/>
        <v/>
      </c>
      <c r="G14" s="7"/>
      <c r="H14" s="6"/>
      <c r="I14" s="12" t="str">
        <f t="shared" si="2"/>
        <v/>
      </c>
      <c r="J14" s="8" t="s">
        <v>11</v>
      </c>
      <c r="K14" s="8">
        <v>40</v>
      </c>
      <c r="L14" s="8" t="s">
        <v>283</v>
      </c>
      <c r="M14" s="8" t="s">
        <v>284</v>
      </c>
      <c r="N14" s="8">
        <v>391850</v>
      </c>
      <c r="O14" s="21">
        <v>6311801</v>
      </c>
      <c r="P14" s="8" t="s">
        <v>261</v>
      </c>
    </row>
    <row r="15" spans="1:16">
      <c r="A15" s="5" t="s">
        <v>282</v>
      </c>
      <c r="B15" s="9">
        <v>1.25E-3</v>
      </c>
      <c r="D15" t="str">
        <f t="shared" si="0"/>
        <v/>
      </c>
      <c r="E15" s="9">
        <v>2.9499999999999999E-3</v>
      </c>
      <c r="F15" s="9">
        <f t="shared" si="1"/>
        <v>-2.530177984021837</v>
      </c>
      <c r="G15" s="9">
        <f>108</f>
        <v>108</v>
      </c>
      <c r="H15" s="12">
        <f>E15/G15</f>
        <v>2.7314814814814816E-5</v>
      </c>
      <c r="I15" s="12">
        <f t="shared" si="2"/>
        <v>-4.5636017395087869</v>
      </c>
      <c r="J15" s="8" t="s">
        <v>11</v>
      </c>
      <c r="K15" s="8">
        <v>40</v>
      </c>
      <c r="L15" s="8" t="s">
        <v>283</v>
      </c>
      <c r="M15" s="8" t="s">
        <v>284</v>
      </c>
      <c r="N15" s="8">
        <v>391850</v>
      </c>
      <c r="O15" s="21">
        <v>6311801</v>
      </c>
      <c r="P15" s="8" t="s">
        <v>261</v>
      </c>
    </row>
    <row r="16" spans="1:16">
      <c r="A16" s="5" t="s">
        <v>282</v>
      </c>
      <c r="B16" s="9">
        <v>1.25E-3</v>
      </c>
      <c r="D16" t="str">
        <f t="shared" si="0"/>
        <v/>
      </c>
      <c r="E16" s="9">
        <v>3.0400000000000002E-3</v>
      </c>
      <c r="F16" s="9">
        <f t="shared" si="1"/>
        <v>-2.5171264163912461</v>
      </c>
      <c r="G16" s="9">
        <f>108</f>
        <v>108</v>
      </c>
      <c r="H16" s="12">
        <f>E16/G16</f>
        <v>2.814814814814815E-5</v>
      </c>
      <c r="I16" s="12">
        <f t="shared" si="2"/>
        <v>-4.5505501718781955</v>
      </c>
      <c r="J16" s="8" t="s">
        <v>11</v>
      </c>
      <c r="K16" s="8">
        <v>40</v>
      </c>
      <c r="L16" s="8" t="s">
        <v>283</v>
      </c>
      <c r="M16" s="8" t="s">
        <v>284</v>
      </c>
      <c r="N16" s="8">
        <v>391850</v>
      </c>
      <c r="O16" s="21">
        <v>6311801</v>
      </c>
      <c r="P16" s="8" t="s">
        <v>261</v>
      </c>
    </row>
    <row r="17" spans="1:16">
      <c r="A17" s="5" t="s">
        <v>285</v>
      </c>
      <c r="B17" s="6"/>
      <c r="C17" s="6"/>
      <c r="D17" t="str">
        <f t="shared" si="0"/>
        <v/>
      </c>
      <c r="E17" s="7"/>
      <c r="F17" s="9" t="str">
        <f t="shared" si="1"/>
        <v/>
      </c>
      <c r="G17" s="7"/>
      <c r="H17" s="6"/>
      <c r="I17" s="12" t="str">
        <f t="shared" si="2"/>
        <v/>
      </c>
      <c r="J17" s="8" t="s">
        <v>11</v>
      </c>
      <c r="K17" s="8">
        <v>40</v>
      </c>
      <c r="L17" s="8" t="s">
        <v>283</v>
      </c>
      <c r="M17" s="8" t="s">
        <v>286</v>
      </c>
      <c r="N17" s="8">
        <v>393883</v>
      </c>
      <c r="O17" s="21">
        <v>6311590</v>
      </c>
      <c r="P17" s="8" t="s">
        <v>261</v>
      </c>
    </row>
    <row r="18" spans="1:16">
      <c r="A18" s="5" t="s">
        <v>287</v>
      </c>
      <c r="B18" s="6"/>
      <c r="C18" s="6"/>
      <c r="D18" t="str">
        <f t="shared" si="0"/>
        <v/>
      </c>
      <c r="E18" s="7"/>
      <c r="F18" s="9" t="str">
        <f t="shared" si="1"/>
        <v/>
      </c>
      <c r="G18" s="7"/>
      <c r="H18" s="6"/>
      <c r="I18" s="12" t="str">
        <f t="shared" si="2"/>
        <v/>
      </c>
      <c r="J18" s="8" t="s">
        <v>11</v>
      </c>
      <c r="K18" s="8">
        <v>40</v>
      </c>
      <c r="L18" s="8" t="s">
        <v>288</v>
      </c>
      <c r="M18" s="8" t="s">
        <v>289</v>
      </c>
      <c r="N18" s="8">
        <v>377167</v>
      </c>
      <c r="O18" s="21">
        <v>6303556</v>
      </c>
      <c r="P18" s="8" t="s">
        <v>261</v>
      </c>
    </row>
    <row r="19" spans="1:16">
      <c r="A19" s="5" t="s">
        <v>290</v>
      </c>
      <c r="B19" s="6"/>
      <c r="C19" s="6"/>
      <c r="D19" t="str">
        <f t="shared" si="0"/>
        <v/>
      </c>
      <c r="E19" s="9">
        <v>1.4E-3</v>
      </c>
      <c r="F19" s="9">
        <f t="shared" si="1"/>
        <v>-2.8538719643217618</v>
      </c>
      <c r="G19" s="9">
        <f>133</f>
        <v>133</v>
      </c>
      <c r="H19" s="12">
        <f>E19/G19</f>
        <v>1.0526315789473684E-5</v>
      </c>
      <c r="I19" s="12">
        <f t="shared" si="2"/>
        <v>-4.9777236052888476</v>
      </c>
      <c r="J19" s="8" t="s">
        <v>11</v>
      </c>
      <c r="K19" s="8">
        <v>40</v>
      </c>
      <c r="L19" s="8" t="s">
        <v>291</v>
      </c>
      <c r="M19" s="8" t="s">
        <v>292</v>
      </c>
      <c r="N19" s="8">
        <v>370163</v>
      </c>
      <c r="O19" s="21">
        <v>6300456</v>
      </c>
      <c r="P19" s="8" t="s">
        <v>261</v>
      </c>
    </row>
    <row r="20" spans="1:16">
      <c r="A20" s="5" t="s">
        <v>293</v>
      </c>
      <c r="C20" s="9">
        <v>5.0000000000000001E-4</v>
      </c>
      <c r="D20">
        <f t="shared" si="0"/>
        <v>-3.3010299956639813</v>
      </c>
      <c r="E20" s="9">
        <v>0.08</v>
      </c>
      <c r="F20" s="9">
        <f t="shared" si="1"/>
        <v>-1.0969100130080565</v>
      </c>
      <c r="G20" s="9"/>
      <c r="H20" s="6"/>
      <c r="I20" s="12" t="str">
        <f t="shared" si="2"/>
        <v/>
      </c>
      <c r="J20" s="8" t="s">
        <v>11</v>
      </c>
      <c r="K20" s="8">
        <v>40</v>
      </c>
      <c r="L20" s="8" t="s">
        <v>294</v>
      </c>
      <c r="M20" s="8" t="s">
        <v>295</v>
      </c>
      <c r="N20" s="8">
        <v>371284</v>
      </c>
      <c r="O20" s="21">
        <v>6297574</v>
      </c>
      <c r="P20" s="8" t="s">
        <v>261</v>
      </c>
    </row>
    <row r="21" spans="1:16">
      <c r="A21" s="5" t="s">
        <v>296</v>
      </c>
      <c r="B21" s="6"/>
      <c r="C21" s="6"/>
      <c r="D21" t="str">
        <f t="shared" si="0"/>
        <v/>
      </c>
      <c r="E21" s="7"/>
      <c r="F21" s="9" t="str">
        <f t="shared" si="1"/>
        <v/>
      </c>
      <c r="G21" s="7"/>
      <c r="H21" s="6"/>
      <c r="I21" s="12" t="str">
        <f t="shared" si="2"/>
        <v/>
      </c>
      <c r="J21" s="8" t="s">
        <v>11</v>
      </c>
      <c r="K21" s="8">
        <v>33</v>
      </c>
      <c r="L21" s="8" t="s">
        <v>297</v>
      </c>
      <c r="M21" s="8" t="s">
        <v>298</v>
      </c>
      <c r="N21" s="8">
        <v>375953</v>
      </c>
      <c r="O21" s="21">
        <v>6465509</v>
      </c>
      <c r="P21" s="8" t="s">
        <v>261</v>
      </c>
    </row>
    <row r="22" spans="1:16">
      <c r="A22" s="5" t="s">
        <v>296</v>
      </c>
      <c r="B22" s="6"/>
      <c r="C22" s="6"/>
      <c r="D22" t="str">
        <f t="shared" si="0"/>
        <v/>
      </c>
      <c r="E22" s="7"/>
      <c r="F22" s="9" t="str">
        <f t="shared" si="1"/>
        <v/>
      </c>
      <c r="G22" s="7"/>
      <c r="H22" s="6"/>
      <c r="I22" s="12" t="str">
        <f t="shared" si="2"/>
        <v/>
      </c>
      <c r="J22" s="8" t="s">
        <v>11</v>
      </c>
      <c r="K22" s="8">
        <v>33</v>
      </c>
      <c r="L22" s="8" t="s">
        <v>297</v>
      </c>
      <c r="M22" s="8" t="s">
        <v>298</v>
      </c>
      <c r="N22" s="8">
        <v>375953</v>
      </c>
      <c r="O22" s="21">
        <v>6465509</v>
      </c>
      <c r="P22" s="8" t="s">
        <v>261</v>
      </c>
    </row>
    <row r="23" spans="1:16">
      <c r="A23" s="5" t="s">
        <v>296</v>
      </c>
      <c r="B23" s="6"/>
      <c r="C23" s="6"/>
      <c r="D23" t="str">
        <f t="shared" si="0"/>
        <v/>
      </c>
      <c r="E23" s="7"/>
      <c r="F23" s="9" t="str">
        <f t="shared" si="1"/>
        <v/>
      </c>
      <c r="G23" s="7"/>
      <c r="H23" s="6"/>
      <c r="I23" s="12" t="str">
        <f t="shared" si="2"/>
        <v/>
      </c>
      <c r="J23" s="8" t="s">
        <v>11</v>
      </c>
      <c r="K23" s="8">
        <v>33</v>
      </c>
      <c r="L23" s="8" t="s">
        <v>297</v>
      </c>
      <c r="M23" s="8" t="s">
        <v>298</v>
      </c>
      <c r="N23" s="8">
        <v>375953</v>
      </c>
      <c r="O23" s="21">
        <v>6465509</v>
      </c>
      <c r="P23" s="8" t="s">
        <v>261</v>
      </c>
    </row>
    <row r="24" spans="1:16">
      <c r="A24" s="5" t="s">
        <v>296</v>
      </c>
      <c r="B24" s="6"/>
      <c r="C24" s="6"/>
      <c r="D24" t="str">
        <f t="shared" si="0"/>
        <v/>
      </c>
      <c r="E24" s="7"/>
      <c r="F24" s="9" t="str">
        <f t="shared" si="1"/>
        <v/>
      </c>
      <c r="G24" s="7"/>
      <c r="H24" s="6"/>
      <c r="I24" s="12" t="str">
        <f t="shared" si="2"/>
        <v/>
      </c>
      <c r="J24" s="8" t="s">
        <v>11</v>
      </c>
      <c r="K24" s="8">
        <v>33</v>
      </c>
      <c r="L24" s="8" t="s">
        <v>297</v>
      </c>
      <c r="M24" s="8" t="s">
        <v>298</v>
      </c>
      <c r="N24" s="8">
        <v>375953</v>
      </c>
      <c r="O24" s="21">
        <v>6465509</v>
      </c>
      <c r="P24" s="8" t="s">
        <v>261</v>
      </c>
    </row>
    <row r="25" spans="1:16">
      <c r="A25" s="5" t="s">
        <v>296</v>
      </c>
      <c r="B25" s="6"/>
      <c r="C25" s="6"/>
      <c r="D25" t="str">
        <f t="shared" si="0"/>
        <v/>
      </c>
      <c r="E25" s="7"/>
      <c r="F25" s="9" t="str">
        <f t="shared" si="1"/>
        <v/>
      </c>
      <c r="G25" s="7"/>
      <c r="H25" s="6"/>
      <c r="I25" s="12" t="str">
        <f t="shared" si="2"/>
        <v/>
      </c>
      <c r="J25" s="8" t="s">
        <v>11</v>
      </c>
      <c r="K25" s="8">
        <v>33</v>
      </c>
      <c r="L25" s="8" t="s">
        <v>297</v>
      </c>
      <c r="M25" s="8" t="s">
        <v>298</v>
      </c>
      <c r="N25" s="8">
        <v>375953</v>
      </c>
      <c r="O25" s="21">
        <v>6465509</v>
      </c>
      <c r="P25" s="8" t="s">
        <v>261</v>
      </c>
    </row>
    <row r="26" spans="1:16">
      <c r="A26" s="5" t="s">
        <v>296</v>
      </c>
      <c r="B26" s="6"/>
      <c r="C26" s="6"/>
      <c r="D26" t="str">
        <f t="shared" si="0"/>
        <v/>
      </c>
      <c r="E26" s="7"/>
      <c r="F26" s="9" t="str">
        <f t="shared" si="1"/>
        <v/>
      </c>
      <c r="G26" s="7"/>
      <c r="H26" s="6"/>
      <c r="I26" s="12" t="str">
        <f t="shared" si="2"/>
        <v/>
      </c>
      <c r="J26" s="8" t="s">
        <v>11</v>
      </c>
      <c r="K26" s="8">
        <v>33</v>
      </c>
      <c r="L26" s="8" t="s">
        <v>297</v>
      </c>
      <c r="M26" s="8" t="s">
        <v>298</v>
      </c>
      <c r="N26" s="8">
        <v>375953</v>
      </c>
      <c r="O26" s="21">
        <v>6465509</v>
      </c>
      <c r="P26" s="8" t="s">
        <v>261</v>
      </c>
    </row>
    <row r="27" spans="1:16">
      <c r="A27" s="5" t="s">
        <v>296</v>
      </c>
      <c r="B27" s="6"/>
      <c r="C27" s="6"/>
      <c r="D27" t="str">
        <f t="shared" si="0"/>
        <v/>
      </c>
      <c r="E27" s="7"/>
      <c r="F27" s="9" t="str">
        <f t="shared" si="1"/>
        <v/>
      </c>
      <c r="G27" s="7"/>
      <c r="H27" s="6"/>
      <c r="I27" s="12" t="str">
        <f t="shared" si="2"/>
        <v/>
      </c>
      <c r="J27" s="8" t="s">
        <v>11</v>
      </c>
      <c r="K27" s="8">
        <v>33</v>
      </c>
      <c r="L27" s="8" t="s">
        <v>297</v>
      </c>
      <c r="M27" s="8" t="s">
        <v>298</v>
      </c>
      <c r="N27" s="8">
        <v>375953</v>
      </c>
      <c r="O27" s="21">
        <v>6465509</v>
      </c>
      <c r="P27" s="8" t="s">
        <v>261</v>
      </c>
    </row>
    <row r="28" spans="1:16">
      <c r="A28" s="5" t="s">
        <v>299</v>
      </c>
      <c r="B28" s="6"/>
      <c r="C28" s="6"/>
      <c r="D28" t="str">
        <f t="shared" si="0"/>
        <v/>
      </c>
      <c r="E28" s="7"/>
      <c r="F28" s="9" t="str">
        <f t="shared" si="1"/>
        <v/>
      </c>
      <c r="G28" s="7"/>
      <c r="H28" s="6"/>
      <c r="I28" s="12" t="str">
        <f t="shared" si="2"/>
        <v/>
      </c>
      <c r="J28" s="8" t="s">
        <v>11</v>
      </c>
      <c r="K28" s="8">
        <v>33</v>
      </c>
      <c r="L28" s="8" t="s">
        <v>297</v>
      </c>
      <c r="M28" s="8" t="s">
        <v>298</v>
      </c>
      <c r="N28" s="8">
        <v>376046</v>
      </c>
      <c r="O28" s="21">
        <v>6465718</v>
      </c>
      <c r="P28" s="8" t="s">
        <v>261</v>
      </c>
    </row>
    <row r="29" spans="1:16">
      <c r="A29" s="5" t="s">
        <v>300</v>
      </c>
      <c r="B29" s="6"/>
      <c r="C29" s="6"/>
      <c r="D29" t="str">
        <f t="shared" si="0"/>
        <v/>
      </c>
      <c r="E29" s="7"/>
      <c r="F29" s="9" t="str">
        <f t="shared" si="1"/>
        <v/>
      </c>
      <c r="G29" s="7"/>
      <c r="H29" s="6"/>
      <c r="I29" s="12" t="str">
        <f t="shared" si="2"/>
        <v/>
      </c>
      <c r="J29" s="8" t="s">
        <v>11</v>
      </c>
      <c r="K29" s="8">
        <v>33</v>
      </c>
      <c r="L29" s="8" t="s">
        <v>297</v>
      </c>
      <c r="M29" s="8" t="s">
        <v>301</v>
      </c>
      <c r="N29" s="8">
        <v>389837</v>
      </c>
      <c r="O29" s="21">
        <v>6464534</v>
      </c>
      <c r="P29" s="8" t="s">
        <v>261</v>
      </c>
    </row>
    <row r="30" spans="1:16">
      <c r="A30" s="5" t="s">
        <v>300</v>
      </c>
      <c r="B30" s="6"/>
      <c r="C30" s="6"/>
      <c r="D30" t="str">
        <f t="shared" si="0"/>
        <v/>
      </c>
      <c r="E30" s="7"/>
      <c r="F30" s="9" t="str">
        <f t="shared" si="1"/>
        <v/>
      </c>
      <c r="G30" s="7"/>
      <c r="H30" s="6"/>
      <c r="I30" s="12" t="str">
        <f t="shared" si="2"/>
        <v/>
      </c>
      <c r="J30" s="8" t="s">
        <v>11</v>
      </c>
      <c r="K30" s="8">
        <v>33</v>
      </c>
      <c r="L30" s="8" t="s">
        <v>297</v>
      </c>
      <c r="M30" s="8" t="s">
        <v>301</v>
      </c>
      <c r="N30" s="8">
        <v>389837</v>
      </c>
      <c r="O30" s="21">
        <v>6464534</v>
      </c>
      <c r="P30" s="8" t="s">
        <v>261</v>
      </c>
    </row>
    <row r="31" spans="1:16">
      <c r="A31" s="5" t="s">
        <v>300</v>
      </c>
      <c r="B31" s="6"/>
      <c r="C31" s="6"/>
      <c r="D31" t="str">
        <f t="shared" si="0"/>
        <v/>
      </c>
      <c r="E31" s="7"/>
      <c r="F31" s="9" t="str">
        <f t="shared" si="1"/>
        <v/>
      </c>
      <c r="G31" s="7"/>
      <c r="H31" s="6"/>
      <c r="I31" s="12" t="str">
        <f t="shared" si="2"/>
        <v/>
      </c>
      <c r="J31" s="8" t="s">
        <v>11</v>
      </c>
      <c r="K31" s="8">
        <v>33</v>
      </c>
      <c r="L31" s="8" t="s">
        <v>297</v>
      </c>
      <c r="M31" s="8" t="s">
        <v>301</v>
      </c>
      <c r="N31" s="8">
        <v>389837</v>
      </c>
      <c r="O31" s="21">
        <v>6464534</v>
      </c>
      <c r="P31" s="8" t="s">
        <v>261</v>
      </c>
    </row>
    <row r="32" spans="1:16">
      <c r="A32" s="5" t="s">
        <v>300</v>
      </c>
      <c r="B32" s="6"/>
      <c r="C32" s="6"/>
      <c r="D32" t="str">
        <f t="shared" si="0"/>
        <v/>
      </c>
      <c r="E32" s="7"/>
      <c r="F32" s="9" t="str">
        <f t="shared" si="1"/>
        <v/>
      </c>
      <c r="G32" s="7"/>
      <c r="H32" s="6"/>
      <c r="I32" s="12" t="str">
        <f t="shared" si="2"/>
        <v/>
      </c>
      <c r="J32" s="8" t="s">
        <v>11</v>
      </c>
      <c r="K32" s="8">
        <v>33</v>
      </c>
      <c r="L32" s="8" t="s">
        <v>297</v>
      </c>
      <c r="M32" s="8" t="s">
        <v>301</v>
      </c>
      <c r="N32" s="8">
        <v>389837</v>
      </c>
      <c r="O32" s="21">
        <v>6464534</v>
      </c>
      <c r="P32" s="8" t="s">
        <v>261</v>
      </c>
    </row>
    <row r="33" spans="1:19">
      <c r="A33" s="5" t="s">
        <v>300</v>
      </c>
      <c r="B33" s="6"/>
      <c r="C33" s="6"/>
      <c r="D33" t="str">
        <f t="shared" si="0"/>
        <v/>
      </c>
      <c r="E33" s="7"/>
      <c r="F33" s="9" t="str">
        <f t="shared" si="1"/>
        <v/>
      </c>
      <c r="G33" s="7"/>
      <c r="H33" s="6"/>
      <c r="I33" s="12" t="str">
        <f t="shared" si="2"/>
        <v/>
      </c>
      <c r="J33" s="8" t="s">
        <v>11</v>
      </c>
      <c r="K33" s="8">
        <v>33</v>
      </c>
      <c r="L33" s="8" t="s">
        <v>297</v>
      </c>
      <c r="M33" s="8" t="s">
        <v>301</v>
      </c>
      <c r="N33" s="8">
        <v>389837</v>
      </c>
      <c r="O33" s="21">
        <v>6464534</v>
      </c>
      <c r="P33" s="8" t="s">
        <v>261</v>
      </c>
    </row>
    <row r="34" spans="1:19">
      <c r="A34" s="5" t="s">
        <v>300</v>
      </c>
      <c r="B34" s="6"/>
      <c r="C34" s="6"/>
      <c r="D34" t="str">
        <f t="shared" si="0"/>
        <v/>
      </c>
      <c r="E34" s="7"/>
      <c r="F34" s="9" t="str">
        <f t="shared" si="1"/>
        <v/>
      </c>
      <c r="G34" s="7"/>
      <c r="H34" s="6"/>
      <c r="I34" s="12" t="str">
        <f t="shared" si="2"/>
        <v/>
      </c>
      <c r="J34" s="8" t="s">
        <v>11</v>
      </c>
      <c r="K34" s="8">
        <v>33</v>
      </c>
      <c r="L34" s="8" t="s">
        <v>297</v>
      </c>
      <c r="M34" s="8" t="s">
        <v>301</v>
      </c>
      <c r="N34" s="8">
        <v>389837</v>
      </c>
      <c r="O34" s="21">
        <v>6464534</v>
      </c>
      <c r="P34" s="8" t="s">
        <v>261</v>
      </c>
    </row>
    <row r="35" spans="1:19">
      <c r="A35" s="5" t="s">
        <v>302</v>
      </c>
      <c r="B35" s="6"/>
      <c r="C35" s="6"/>
      <c r="D35" t="str">
        <f t="shared" si="0"/>
        <v/>
      </c>
      <c r="E35" s="7"/>
      <c r="F35" s="9" t="str">
        <f t="shared" si="1"/>
        <v/>
      </c>
      <c r="G35" s="7"/>
      <c r="H35" s="6"/>
      <c r="I35" s="12" t="str">
        <f t="shared" si="2"/>
        <v/>
      </c>
      <c r="J35" s="8" t="s">
        <v>11</v>
      </c>
      <c r="K35" s="8">
        <v>33</v>
      </c>
      <c r="L35" s="8" t="s">
        <v>297</v>
      </c>
      <c r="M35" s="8" t="s">
        <v>301</v>
      </c>
      <c r="N35" s="8">
        <v>390058</v>
      </c>
      <c r="O35" s="21">
        <v>6464413</v>
      </c>
      <c r="P35" s="8" t="s">
        <v>261</v>
      </c>
    </row>
    <row r="36" spans="1:19">
      <c r="A36" s="5" t="s">
        <v>302</v>
      </c>
      <c r="B36" s="6"/>
      <c r="C36" s="6"/>
      <c r="D36" t="str">
        <f t="shared" si="0"/>
        <v/>
      </c>
      <c r="E36" s="7"/>
      <c r="F36" s="9" t="str">
        <f t="shared" si="1"/>
        <v/>
      </c>
      <c r="G36" s="7"/>
      <c r="H36" s="6"/>
      <c r="I36" s="12" t="str">
        <f t="shared" si="2"/>
        <v/>
      </c>
      <c r="J36" s="8" t="s">
        <v>11</v>
      </c>
      <c r="K36" s="8">
        <v>33</v>
      </c>
      <c r="L36" s="8" t="s">
        <v>297</v>
      </c>
      <c r="M36" s="8" t="s">
        <v>301</v>
      </c>
      <c r="N36" s="8">
        <v>390058</v>
      </c>
      <c r="O36" s="21">
        <v>6464413</v>
      </c>
      <c r="P36" s="8" t="s">
        <v>261</v>
      </c>
    </row>
    <row r="37" spans="1:19">
      <c r="A37" s="5" t="s">
        <v>302</v>
      </c>
      <c r="B37" s="6"/>
      <c r="C37" s="6"/>
      <c r="D37" t="str">
        <f t="shared" si="0"/>
        <v/>
      </c>
      <c r="E37" s="7"/>
      <c r="F37" s="9" t="str">
        <f t="shared" si="1"/>
        <v/>
      </c>
      <c r="G37" s="7"/>
      <c r="H37" s="6"/>
      <c r="I37" s="12" t="str">
        <f t="shared" si="2"/>
        <v/>
      </c>
      <c r="J37" s="8" t="s">
        <v>11</v>
      </c>
      <c r="K37" s="8">
        <v>33</v>
      </c>
      <c r="L37" s="8" t="s">
        <v>297</v>
      </c>
      <c r="M37" s="8" t="s">
        <v>301</v>
      </c>
      <c r="N37" s="8">
        <v>390058</v>
      </c>
      <c r="O37" s="21">
        <v>6464413</v>
      </c>
      <c r="P37" s="8" t="s">
        <v>261</v>
      </c>
    </row>
    <row r="38" spans="1:19">
      <c r="A38" s="5" t="s">
        <v>302</v>
      </c>
      <c r="B38" s="6"/>
      <c r="C38" s="6"/>
      <c r="D38" t="str">
        <f t="shared" si="0"/>
        <v/>
      </c>
      <c r="E38" s="7"/>
      <c r="F38" s="9" t="str">
        <f t="shared" si="1"/>
        <v/>
      </c>
      <c r="G38" s="7"/>
      <c r="H38" s="6"/>
      <c r="I38" s="12" t="str">
        <f t="shared" si="2"/>
        <v/>
      </c>
      <c r="J38" s="8" t="s">
        <v>11</v>
      </c>
      <c r="K38" s="8">
        <v>33</v>
      </c>
      <c r="L38" s="8" t="s">
        <v>297</v>
      </c>
      <c r="M38" s="8" t="s">
        <v>301</v>
      </c>
      <c r="N38" s="8">
        <v>390058</v>
      </c>
      <c r="O38" s="21">
        <v>6464413</v>
      </c>
      <c r="P38" s="8" t="s">
        <v>261</v>
      </c>
    </row>
    <row r="39" spans="1:19">
      <c r="A39" s="5" t="s">
        <v>303</v>
      </c>
      <c r="B39" s="6"/>
      <c r="C39" s="6"/>
      <c r="D39" t="str">
        <f t="shared" si="0"/>
        <v/>
      </c>
      <c r="E39" s="7"/>
      <c r="F39" s="9" t="str">
        <f t="shared" si="1"/>
        <v/>
      </c>
      <c r="G39" s="7"/>
      <c r="H39" s="6"/>
      <c r="I39" s="12" t="str">
        <f t="shared" si="2"/>
        <v/>
      </c>
      <c r="J39" s="8" t="s">
        <v>11</v>
      </c>
      <c r="K39" s="8">
        <v>33</v>
      </c>
      <c r="L39" s="8" t="s">
        <v>304</v>
      </c>
      <c r="M39" s="8" t="s">
        <v>305</v>
      </c>
      <c r="N39" s="8">
        <v>371623</v>
      </c>
      <c r="O39" s="21">
        <v>6443029</v>
      </c>
      <c r="P39" s="8" t="s">
        <v>261</v>
      </c>
    </row>
    <row r="40" spans="1:19">
      <c r="A40" s="5" t="s">
        <v>306</v>
      </c>
      <c r="B40" s="6"/>
      <c r="C40" s="6"/>
      <c r="D40" t="str">
        <f t="shared" si="0"/>
        <v/>
      </c>
      <c r="E40" s="7"/>
      <c r="F40" s="9" t="str">
        <f t="shared" si="1"/>
        <v/>
      </c>
      <c r="G40" s="7"/>
      <c r="H40" s="6"/>
      <c r="I40" s="12" t="str">
        <f t="shared" si="2"/>
        <v/>
      </c>
      <c r="J40" s="8" t="s">
        <v>11</v>
      </c>
      <c r="K40" s="8">
        <v>33</v>
      </c>
      <c r="L40" s="8" t="s">
        <v>307</v>
      </c>
      <c r="M40" s="8" t="s">
        <v>308</v>
      </c>
      <c r="N40" s="8">
        <v>387966</v>
      </c>
      <c r="O40" s="21">
        <v>6445870</v>
      </c>
      <c r="P40" s="8" t="s">
        <v>261</v>
      </c>
    </row>
    <row r="41" spans="1:19">
      <c r="A41" s="5" t="s">
        <v>306</v>
      </c>
      <c r="B41" s="6"/>
      <c r="C41" s="6"/>
      <c r="D41" t="str">
        <f t="shared" si="0"/>
        <v/>
      </c>
      <c r="E41" s="7"/>
      <c r="F41" s="9" t="str">
        <f t="shared" si="1"/>
        <v/>
      </c>
      <c r="G41" s="7"/>
      <c r="H41" s="6"/>
      <c r="I41" s="12" t="str">
        <f t="shared" si="2"/>
        <v/>
      </c>
      <c r="J41" s="8" t="s">
        <v>11</v>
      </c>
      <c r="K41" s="8">
        <v>33</v>
      </c>
      <c r="L41" s="8" t="s">
        <v>307</v>
      </c>
      <c r="M41" s="8" t="s">
        <v>308</v>
      </c>
      <c r="N41" s="8">
        <v>387966</v>
      </c>
      <c r="O41" s="21">
        <v>6445870</v>
      </c>
      <c r="P41" s="8" t="s">
        <v>261</v>
      </c>
    </row>
    <row r="42" spans="1:19">
      <c r="A42" s="5" t="s">
        <v>306</v>
      </c>
      <c r="B42" s="6"/>
      <c r="C42" s="6"/>
      <c r="D42" t="str">
        <f t="shared" si="0"/>
        <v/>
      </c>
      <c r="E42" s="7"/>
      <c r="F42" s="9" t="str">
        <f t="shared" si="1"/>
        <v/>
      </c>
      <c r="G42" s="7"/>
      <c r="H42" s="6"/>
      <c r="I42" s="12" t="str">
        <f t="shared" si="2"/>
        <v/>
      </c>
      <c r="J42" s="8" t="s">
        <v>11</v>
      </c>
      <c r="K42" s="8">
        <v>33</v>
      </c>
      <c r="L42" s="8" t="s">
        <v>307</v>
      </c>
      <c r="M42" s="8" t="s">
        <v>308</v>
      </c>
      <c r="N42" s="8">
        <v>387966</v>
      </c>
      <c r="O42" s="21">
        <v>6445870</v>
      </c>
      <c r="P42" s="8" t="s">
        <v>261</v>
      </c>
    </row>
    <row r="43" spans="1:19">
      <c r="A43" s="5" t="s">
        <v>306</v>
      </c>
      <c r="B43" s="6"/>
      <c r="C43" s="6"/>
      <c r="D43" t="str">
        <f t="shared" si="0"/>
        <v/>
      </c>
      <c r="E43" s="7"/>
      <c r="F43" s="9" t="str">
        <f t="shared" si="1"/>
        <v/>
      </c>
      <c r="G43" s="7"/>
      <c r="H43" s="6"/>
      <c r="I43" s="12" t="str">
        <f t="shared" si="2"/>
        <v/>
      </c>
      <c r="J43" s="8" t="s">
        <v>11</v>
      </c>
      <c r="K43" s="8">
        <v>33</v>
      </c>
      <c r="L43" s="8" t="s">
        <v>307</v>
      </c>
      <c r="M43" s="8" t="s">
        <v>308</v>
      </c>
      <c r="N43" s="8">
        <v>387966</v>
      </c>
      <c r="O43" s="21">
        <v>6445870</v>
      </c>
      <c r="P43" s="8" t="s">
        <v>261</v>
      </c>
    </row>
    <row r="44" spans="1:19">
      <c r="A44" s="5" t="s">
        <v>306</v>
      </c>
      <c r="C44" s="12">
        <v>4.0000000000000002E-4</v>
      </c>
      <c r="D44">
        <f t="shared" si="0"/>
        <v>-3.3979400086720375</v>
      </c>
      <c r="E44" s="12">
        <v>6.4999999999999997E-3</v>
      </c>
      <c r="F44" s="9">
        <f t="shared" si="1"/>
        <v>-2.1870866433571443</v>
      </c>
      <c r="G44" s="12">
        <f>19</f>
        <v>19</v>
      </c>
      <c r="H44" s="12">
        <f>E44/G44</f>
        <v>3.4210526315789472E-4</v>
      </c>
      <c r="I44" s="12">
        <f t="shared" si="2"/>
        <v>-3.4658402443099736</v>
      </c>
      <c r="J44" s="8" t="s">
        <v>11</v>
      </c>
      <c r="K44" s="8">
        <v>33</v>
      </c>
      <c r="L44" s="8" t="s">
        <v>307</v>
      </c>
      <c r="M44" s="8" t="s">
        <v>308</v>
      </c>
      <c r="N44" s="8">
        <v>387966</v>
      </c>
      <c r="O44" s="21">
        <v>6445870</v>
      </c>
      <c r="P44" s="8" t="s">
        <v>261</v>
      </c>
    </row>
    <row r="45" spans="1:19">
      <c r="A45" s="5" t="s">
        <v>309</v>
      </c>
      <c r="B45" s="6"/>
      <c r="C45" s="6"/>
      <c r="D45" t="str">
        <f t="shared" si="0"/>
        <v/>
      </c>
      <c r="E45" s="7"/>
      <c r="F45" s="9" t="str">
        <f t="shared" si="1"/>
        <v/>
      </c>
      <c r="G45" s="7"/>
      <c r="H45" s="6"/>
      <c r="I45" s="12" t="str">
        <f t="shared" si="2"/>
        <v/>
      </c>
      <c r="J45" s="8" t="s">
        <v>11</v>
      </c>
      <c r="K45" s="8">
        <v>33</v>
      </c>
      <c r="L45" s="8" t="s">
        <v>310</v>
      </c>
      <c r="M45" s="8" t="s">
        <v>311</v>
      </c>
      <c r="N45" s="8">
        <v>376877</v>
      </c>
      <c r="O45" s="21">
        <v>6427629</v>
      </c>
      <c r="P45" s="8" t="s">
        <v>261</v>
      </c>
    </row>
    <row r="46" spans="1:19">
      <c r="A46" s="5" t="s">
        <v>309</v>
      </c>
      <c r="B46" s="6"/>
      <c r="C46" s="6"/>
      <c r="D46" t="str">
        <f t="shared" si="0"/>
        <v/>
      </c>
      <c r="E46" s="7"/>
      <c r="F46" s="9" t="str">
        <f t="shared" si="1"/>
        <v/>
      </c>
      <c r="G46" s="7"/>
      <c r="H46" s="6"/>
      <c r="I46" s="12" t="str">
        <f t="shared" si="2"/>
        <v/>
      </c>
      <c r="J46" s="8" t="s">
        <v>11</v>
      </c>
      <c r="K46" s="8">
        <v>33</v>
      </c>
      <c r="L46" s="8" t="s">
        <v>310</v>
      </c>
      <c r="M46" s="8" t="s">
        <v>311</v>
      </c>
      <c r="N46" s="8">
        <v>376877</v>
      </c>
      <c r="O46" s="21">
        <v>6427629</v>
      </c>
      <c r="P46" s="8" t="s">
        <v>261</v>
      </c>
    </row>
    <row r="47" spans="1:19">
      <c r="A47" s="5" t="s">
        <v>309</v>
      </c>
      <c r="B47" s="6"/>
      <c r="C47" s="6"/>
      <c r="D47" t="str">
        <f t="shared" si="0"/>
        <v/>
      </c>
      <c r="E47" s="7"/>
      <c r="F47" s="9" t="str">
        <f t="shared" si="1"/>
        <v/>
      </c>
      <c r="G47" s="7"/>
      <c r="H47" s="6"/>
      <c r="I47" s="12" t="str">
        <f t="shared" si="2"/>
        <v/>
      </c>
      <c r="J47" s="8" t="s">
        <v>11</v>
      </c>
      <c r="K47" s="8">
        <v>33</v>
      </c>
      <c r="L47" s="8" t="s">
        <v>310</v>
      </c>
      <c r="M47" s="8" t="s">
        <v>311</v>
      </c>
      <c r="N47" s="8">
        <v>376877</v>
      </c>
      <c r="O47" s="21">
        <v>6427629</v>
      </c>
      <c r="P47" s="8" t="s">
        <v>261</v>
      </c>
    </row>
    <row r="48" spans="1:19">
      <c r="A48" s="5" t="s">
        <v>309</v>
      </c>
      <c r="B48" s="6"/>
      <c r="C48" s="6"/>
      <c r="D48" t="str">
        <f t="shared" si="0"/>
        <v/>
      </c>
      <c r="E48" s="7"/>
      <c r="F48" s="9" t="str">
        <f t="shared" si="1"/>
        <v/>
      </c>
      <c r="G48" s="7"/>
      <c r="H48" s="6"/>
      <c r="I48" s="12" t="str">
        <f t="shared" si="2"/>
        <v/>
      </c>
      <c r="J48" s="8" t="s">
        <v>11</v>
      </c>
      <c r="K48" s="8">
        <v>33</v>
      </c>
      <c r="L48" s="8" t="s">
        <v>310</v>
      </c>
      <c r="M48" s="8" t="s">
        <v>311</v>
      </c>
      <c r="N48" s="8">
        <v>376877</v>
      </c>
      <c r="O48" s="21">
        <v>6427629</v>
      </c>
      <c r="P48" s="8" t="s">
        <v>261</v>
      </c>
      <c r="S48" s="45"/>
    </row>
    <row r="49" spans="1:19">
      <c r="A49" s="5" t="s">
        <v>309</v>
      </c>
      <c r="B49" s="6"/>
      <c r="C49" s="6"/>
      <c r="D49" t="str">
        <f t="shared" si="0"/>
        <v/>
      </c>
      <c r="E49" s="7"/>
      <c r="F49" s="9" t="str">
        <f t="shared" si="1"/>
        <v/>
      </c>
      <c r="G49" s="7"/>
      <c r="H49" s="6"/>
      <c r="I49" s="12" t="str">
        <f t="shared" si="2"/>
        <v/>
      </c>
      <c r="J49" s="8" t="s">
        <v>11</v>
      </c>
      <c r="K49" s="8">
        <v>33</v>
      </c>
      <c r="L49" s="8" t="s">
        <v>310</v>
      </c>
      <c r="M49" s="8" t="s">
        <v>311</v>
      </c>
      <c r="N49" s="8">
        <v>376877</v>
      </c>
      <c r="O49" s="21">
        <v>6427629</v>
      </c>
      <c r="P49" s="8" t="s">
        <v>261</v>
      </c>
      <c r="S49" s="45"/>
    </row>
    <row r="50" spans="1:19">
      <c r="A50" s="5" t="s">
        <v>312</v>
      </c>
      <c r="B50" s="6"/>
      <c r="C50" s="6"/>
      <c r="D50" t="str">
        <f t="shared" si="0"/>
        <v/>
      </c>
      <c r="E50" s="7"/>
      <c r="F50" s="9" t="str">
        <f t="shared" si="1"/>
        <v/>
      </c>
      <c r="G50" s="7"/>
      <c r="H50" s="6"/>
      <c r="I50" s="12" t="str">
        <f t="shared" si="2"/>
        <v/>
      </c>
      <c r="J50" s="8" t="s">
        <v>11</v>
      </c>
      <c r="K50" s="8">
        <v>33</v>
      </c>
      <c r="L50" s="8" t="s">
        <v>313</v>
      </c>
      <c r="M50" s="8" t="s">
        <v>314</v>
      </c>
      <c r="N50" s="8">
        <v>408242</v>
      </c>
      <c r="O50" s="21">
        <v>6434573</v>
      </c>
      <c r="P50" s="8" t="s">
        <v>261</v>
      </c>
    </row>
    <row r="51" spans="1:19">
      <c r="A51" s="5" t="s">
        <v>315</v>
      </c>
      <c r="B51" s="12"/>
      <c r="C51" s="12"/>
      <c r="D51" t="str">
        <f t="shared" si="0"/>
        <v/>
      </c>
      <c r="E51" s="12"/>
      <c r="F51" s="9" t="str">
        <f t="shared" si="1"/>
        <v/>
      </c>
      <c r="G51" s="12"/>
      <c r="H51" s="6"/>
      <c r="I51" s="12" t="str">
        <f t="shared" si="2"/>
        <v/>
      </c>
      <c r="J51" s="8" t="s">
        <v>11</v>
      </c>
      <c r="K51" s="8">
        <v>33</v>
      </c>
      <c r="L51" s="8" t="s">
        <v>313</v>
      </c>
      <c r="M51" s="8" t="s">
        <v>316</v>
      </c>
      <c r="N51" s="8">
        <v>408422</v>
      </c>
      <c r="O51" s="21">
        <v>6434671</v>
      </c>
      <c r="P51" s="8" t="s">
        <v>261</v>
      </c>
      <c r="S51" s="45"/>
    </row>
    <row r="52" spans="1:19">
      <c r="A52" s="5" t="s">
        <v>317</v>
      </c>
      <c r="C52" s="12">
        <v>5.9999999999999995E-4</v>
      </c>
      <c r="D52">
        <f t="shared" si="0"/>
        <v>-3.2218487496163566</v>
      </c>
      <c r="E52" s="12">
        <v>2.5500000000000002E-3</v>
      </c>
      <c r="F52" s="9">
        <f t="shared" si="1"/>
        <v>-2.593459819566045</v>
      </c>
      <c r="G52" s="12">
        <f>65</f>
        <v>65</v>
      </c>
      <c r="H52" s="12">
        <f>E52/G52</f>
        <v>3.9230769230769233E-5</v>
      </c>
      <c r="I52" s="12">
        <f t="shared" si="2"/>
        <v>-4.4063731762089002</v>
      </c>
      <c r="J52" s="8" t="s">
        <v>318</v>
      </c>
      <c r="K52" s="8">
        <v>33</v>
      </c>
      <c r="L52" s="8" t="s">
        <v>319</v>
      </c>
      <c r="M52" s="8" t="s">
        <v>320</v>
      </c>
      <c r="N52" s="8">
        <v>408859</v>
      </c>
      <c r="O52" s="21">
        <v>6417381</v>
      </c>
      <c r="P52" s="8" t="s">
        <v>261</v>
      </c>
      <c r="S52" s="45"/>
    </row>
    <row r="53" spans="1:19">
      <c r="A53" s="5" t="s">
        <v>317</v>
      </c>
      <c r="C53" s="12">
        <v>5.9999999999999995E-4</v>
      </c>
      <c r="D53">
        <f t="shared" si="0"/>
        <v>-3.2218487496163566</v>
      </c>
      <c r="E53" s="12">
        <v>2.5500000000000002E-3</v>
      </c>
      <c r="F53" s="9">
        <f t="shared" si="1"/>
        <v>-2.593459819566045</v>
      </c>
      <c r="G53" s="12">
        <f>65</f>
        <v>65</v>
      </c>
      <c r="H53" s="12">
        <f>E53/G53</f>
        <v>3.9230769230769233E-5</v>
      </c>
      <c r="I53" s="12">
        <f t="shared" si="2"/>
        <v>-4.4063731762089002</v>
      </c>
      <c r="J53" s="8" t="s">
        <v>318</v>
      </c>
      <c r="K53" s="8">
        <v>33</v>
      </c>
      <c r="L53" s="8" t="s">
        <v>319</v>
      </c>
      <c r="M53" s="8" t="s">
        <v>320</v>
      </c>
      <c r="N53" s="8">
        <v>408859</v>
      </c>
      <c r="O53" s="21">
        <v>6417381</v>
      </c>
      <c r="P53" s="8" t="s">
        <v>261</v>
      </c>
      <c r="S53" s="45"/>
    </row>
    <row r="54" spans="1:19">
      <c r="A54" s="5" t="s">
        <v>321</v>
      </c>
      <c r="C54" s="12">
        <v>5.0000000000000001E-4</v>
      </c>
      <c r="D54">
        <f t="shared" si="0"/>
        <v>-3.3010299956639813</v>
      </c>
      <c r="E54" s="12">
        <v>5.4000000000000003E-3</v>
      </c>
      <c r="F54" s="9">
        <f t="shared" si="1"/>
        <v>-2.2676062401770314</v>
      </c>
      <c r="G54" s="12">
        <f>59</f>
        <v>59</v>
      </c>
      <c r="H54" s="12">
        <f>E54/G54</f>
        <v>9.1525423728813568E-5</v>
      </c>
      <c r="I54" s="12">
        <f t="shared" si="2"/>
        <v>-4.0384582518191756</v>
      </c>
      <c r="J54" s="8" t="s">
        <v>318</v>
      </c>
      <c r="K54" s="8">
        <v>33</v>
      </c>
      <c r="L54" s="8" t="s">
        <v>322</v>
      </c>
      <c r="M54" s="8" t="s">
        <v>323</v>
      </c>
      <c r="N54" s="8">
        <v>411080</v>
      </c>
      <c r="O54" s="21">
        <v>6412434</v>
      </c>
      <c r="P54" s="8" t="s">
        <v>261</v>
      </c>
    </row>
    <row r="55" spans="1:19">
      <c r="A55" s="5" t="s">
        <v>321</v>
      </c>
      <c r="C55" s="12">
        <v>5.0000000000000001E-4</v>
      </c>
      <c r="D55">
        <f t="shared" si="0"/>
        <v>-3.3010299956639813</v>
      </c>
      <c r="E55" s="12">
        <v>3.8E-3</v>
      </c>
      <c r="F55" s="9">
        <f t="shared" si="1"/>
        <v>-2.4202164033831899</v>
      </c>
      <c r="G55" s="12"/>
      <c r="H55" s="6"/>
      <c r="I55" s="12" t="str">
        <f t="shared" si="2"/>
        <v/>
      </c>
      <c r="J55" s="8" t="s">
        <v>318</v>
      </c>
      <c r="K55" s="8">
        <v>33</v>
      </c>
      <c r="L55" s="8" t="s">
        <v>322</v>
      </c>
      <c r="M55" s="8" t="s">
        <v>323</v>
      </c>
      <c r="N55" s="8">
        <v>411080</v>
      </c>
      <c r="O55" s="21">
        <v>6412434</v>
      </c>
      <c r="P55" s="8" t="s">
        <v>261</v>
      </c>
      <c r="S55" s="45"/>
    </row>
    <row r="56" spans="1:19">
      <c r="A56" s="5" t="s">
        <v>324</v>
      </c>
      <c r="B56" s="12">
        <v>5.0000000000000001E-3</v>
      </c>
      <c r="C56" s="12"/>
      <c r="D56" t="str">
        <f t="shared" si="0"/>
        <v/>
      </c>
      <c r="E56" s="12">
        <v>6.4999999999999997E-3</v>
      </c>
      <c r="F56" s="9">
        <f t="shared" si="1"/>
        <v>-2.1870866433571443</v>
      </c>
      <c r="G56" s="12">
        <f>57</f>
        <v>57</v>
      </c>
      <c r="H56" s="12">
        <f>E56/G56</f>
        <v>1.1403508771929824E-4</v>
      </c>
      <c r="I56" s="12">
        <f t="shared" si="2"/>
        <v>-3.9429614990296358</v>
      </c>
      <c r="J56" s="8" t="s">
        <v>318</v>
      </c>
      <c r="K56" s="8">
        <v>33</v>
      </c>
      <c r="L56" s="8" t="s">
        <v>322</v>
      </c>
      <c r="M56" s="8" t="s">
        <v>325</v>
      </c>
      <c r="N56" s="8">
        <v>410182</v>
      </c>
      <c r="O56" s="21">
        <v>6414662</v>
      </c>
      <c r="P56" s="8" t="s">
        <v>261</v>
      </c>
      <c r="S56" s="45"/>
    </row>
    <row r="57" spans="1:19">
      <c r="A57" s="5" t="s">
        <v>326</v>
      </c>
      <c r="C57" s="12">
        <v>2.0000000000000002E-5</v>
      </c>
      <c r="D57">
        <f t="shared" si="0"/>
        <v>-4.6989700043360187</v>
      </c>
      <c r="E57" s="12">
        <v>5.5300000000000002E-3</v>
      </c>
      <c r="F57" s="9">
        <f t="shared" si="1"/>
        <v>-2.2572748686953017</v>
      </c>
      <c r="G57" s="12">
        <f>60</f>
        <v>60</v>
      </c>
      <c r="H57" s="12">
        <f t="shared" ref="H57:H67" si="3">E57/G57</f>
        <v>9.2166666666666666E-5</v>
      </c>
      <c r="I57" s="12">
        <f t="shared" si="2"/>
        <v>-4.0354261190789451</v>
      </c>
      <c r="J57" s="8" t="s">
        <v>318</v>
      </c>
      <c r="K57" s="8">
        <v>33</v>
      </c>
      <c r="L57" s="8" t="s">
        <v>319</v>
      </c>
      <c r="M57" s="8" t="s">
        <v>327</v>
      </c>
      <c r="N57" s="8">
        <v>409404</v>
      </c>
      <c r="O57" s="21">
        <v>6415742</v>
      </c>
      <c r="P57" s="8" t="s">
        <v>261</v>
      </c>
      <c r="S57" s="45"/>
    </row>
    <row r="58" spans="1:19">
      <c r="A58" s="5" t="s">
        <v>326</v>
      </c>
      <c r="C58" s="12">
        <v>2.0000000000000002E-5</v>
      </c>
      <c r="D58">
        <f t="shared" si="0"/>
        <v>-4.6989700043360187</v>
      </c>
      <c r="E58" s="12">
        <v>5.5300000000000002E-3</v>
      </c>
      <c r="F58" s="9">
        <f t="shared" si="1"/>
        <v>-2.2572748686953017</v>
      </c>
      <c r="G58" s="12">
        <f>60</f>
        <v>60</v>
      </c>
      <c r="H58" s="12">
        <f t="shared" si="3"/>
        <v>9.2166666666666666E-5</v>
      </c>
      <c r="I58" s="12">
        <f t="shared" si="2"/>
        <v>-4.0354261190789451</v>
      </c>
      <c r="J58" s="8" t="s">
        <v>318</v>
      </c>
      <c r="K58" s="8">
        <v>33</v>
      </c>
      <c r="L58" s="8" t="s">
        <v>319</v>
      </c>
      <c r="M58" s="8" t="s">
        <v>327</v>
      </c>
      <c r="N58" s="8">
        <v>409404</v>
      </c>
      <c r="O58" s="21">
        <v>6415742</v>
      </c>
      <c r="P58" s="8" t="s">
        <v>261</v>
      </c>
      <c r="S58" s="45"/>
    </row>
    <row r="59" spans="1:19">
      <c r="A59" s="5" t="s">
        <v>328</v>
      </c>
      <c r="C59" s="12">
        <v>4.0000000000000002E-4</v>
      </c>
      <c r="D59">
        <f t="shared" si="0"/>
        <v>-3.3979400086720375</v>
      </c>
      <c r="E59" s="12">
        <v>2.2100000000000002E-3</v>
      </c>
      <c r="F59" s="9">
        <f t="shared" si="1"/>
        <v>-2.6556077263148894</v>
      </c>
      <c r="G59" s="12">
        <f>59</f>
        <v>59</v>
      </c>
      <c r="H59" s="12">
        <f t="shared" si="3"/>
        <v>3.7457627118644073E-5</v>
      </c>
      <c r="I59" s="12">
        <f t="shared" si="2"/>
        <v>-4.4264597379570336</v>
      </c>
      <c r="J59" s="8" t="s">
        <v>318</v>
      </c>
      <c r="K59" s="8">
        <v>33</v>
      </c>
      <c r="L59" s="8" t="s">
        <v>329</v>
      </c>
      <c r="M59" s="8" t="s">
        <v>330</v>
      </c>
      <c r="N59" s="8">
        <v>413502</v>
      </c>
      <c r="O59" s="21">
        <v>6410791</v>
      </c>
      <c r="P59" s="8" t="s">
        <v>261</v>
      </c>
    </row>
    <row r="60" spans="1:19">
      <c r="A60" s="5" t="s">
        <v>331</v>
      </c>
      <c r="C60" s="12">
        <v>1.4999999999999999E-4</v>
      </c>
      <c r="D60">
        <f t="shared" si="0"/>
        <v>-3.8239087409443187</v>
      </c>
      <c r="E60" s="12">
        <v>2E-3</v>
      </c>
      <c r="F60" s="9">
        <f t="shared" si="1"/>
        <v>-2.6989700043360187</v>
      </c>
      <c r="G60" s="12">
        <f>29</f>
        <v>29</v>
      </c>
      <c r="H60" s="12">
        <f t="shared" si="3"/>
        <v>6.8965517241379313E-5</v>
      </c>
      <c r="I60" s="12">
        <f t="shared" si="2"/>
        <v>-4.1613680022349753</v>
      </c>
      <c r="J60" s="8" t="s">
        <v>318</v>
      </c>
      <c r="K60" s="8">
        <v>33</v>
      </c>
      <c r="L60" s="8" t="s">
        <v>329</v>
      </c>
      <c r="M60" s="8" t="s">
        <v>332</v>
      </c>
      <c r="N60" s="8">
        <v>414683</v>
      </c>
      <c r="O60" s="21">
        <v>6408920</v>
      </c>
      <c r="P60" s="8" t="s">
        <v>261</v>
      </c>
      <c r="S60" s="45"/>
    </row>
    <row r="61" spans="1:19">
      <c r="A61" s="5" t="s">
        <v>333</v>
      </c>
      <c r="C61" s="12">
        <v>1.4999999999999999E-4</v>
      </c>
      <c r="D61">
        <f t="shared" si="0"/>
        <v>-3.8239087409443187</v>
      </c>
      <c r="E61" s="12">
        <v>2E-3</v>
      </c>
      <c r="F61" s="9">
        <f t="shared" si="1"/>
        <v>-2.6989700043360187</v>
      </c>
      <c r="G61" s="12">
        <f>58</f>
        <v>58</v>
      </c>
      <c r="H61" s="12">
        <f t="shared" si="3"/>
        <v>3.4482758620689657E-5</v>
      </c>
      <c r="I61" s="12">
        <f t="shared" si="2"/>
        <v>-4.4623979978989556</v>
      </c>
      <c r="J61" s="8" t="s">
        <v>318</v>
      </c>
      <c r="K61" s="8">
        <v>33</v>
      </c>
      <c r="L61" s="8" t="s">
        <v>334</v>
      </c>
      <c r="M61" s="8" t="s">
        <v>335</v>
      </c>
      <c r="N61" s="8">
        <v>414828</v>
      </c>
      <c r="O61" s="21">
        <v>6402281</v>
      </c>
      <c r="P61" s="8" t="s">
        <v>261</v>
      </c>
      <c r="S61" s="45"/>
    </row>
    <row r="62" spans="1:19">
      <c r="A62" s="5" t="s">
        <v>336</v>
      </c>
      <c r="C62" s="12">
        <v>1E-4</v>
      </c>
      <c r="D62">
        <f t="shared" si="0"/>
        <v>-4</v>
      </c>
      <c r="E62" s="12">
        <v>2.6400000000000002E-4</v>
      </c>
      <c r="F62" s="9">
        <f t="shared" si="1"/>
        <v>-3.5783960731301687</v>
      </c>
      <c r="G62" s="12">
        <f>60</f>
        <v>60</v>
      </c>
      <c r="H62" s="12">
        <f t="shared" si="3"/>
        <v>4.4000000000000002E-6</v>
      </c>
      <c r="I62" s="12">
        <f t="shared" si="2"/>
        <v>-5.3565473235138121</v>
      </c>
      <c r="J62" s="8" t="s">
        <v>318</v>
      </c>
      <c r="K62" s="8">
        <v>33</v>
      </c>
      <c r="L62" s="8" t="s">
        <v>329</v>
      </c>
      <c r="M62" s="8" t="s">
        <v>337</v>
      </c>
      <c r="N62" s="8">
        <v>414453</v>
      </c>
      <c r="O62" s="21">
        <v>6405506</v>
      </c>
      <c r="P62" s="8" t="s">
        <v>261</v>
      </c>
      <c r="S62" s="45"/>
    </row>
    <row r="63" spans="1:19">
      <c r="A63" s="5" t="s">
        <v>336</v>
      </c>
      <c r="C63" s="12">
        <v>1E-4</v>
      </c>
      <c r="D63">
        <f t="shared" si="0"/>
        <v>-4</v>
      </c>
      <c r="E63" s="12">
        <v>2.6400000000000002E-4</v>
      </c>
      <c r="F63" s="9">
        <f t="shared" si="1"/>
        <v>-3.5783960731301687</v>
      </c>
      <c r="G63" s="12">
        <f>60</f>
        <v>60</v>
      </c>
      <c r="H63" s="12">
        <f t="shared" si="3"/>
        <v>4.4000000000000002E-6</v>
      </c>
      <c r="I63" s="12">
        <f t="shared" si="2"/>
        <v>-5.3565473235138121</v>
      </c>
      <c r="J63" s="8" t="s">
        <v>318</v>
      </c>
      <c r="K63" s="8">
        <v>33</v>
      </c>
      <c r="L63" s="8" t="s">
        <v>329</v>
      </c>
      <c r="M63" s="8" t="s">
        <v>337</v>
      </c>
      <c r="N63" s="8">
        <v>414453</v>
      </c>
      <c r="O63" s="21">
        <v>6405506</v>
      </c>
      <c r="P63" s="8" t="s">
        <v>261</v>
      </c>
    </row>
    <row r="64" spans="1:19">
      <c r="A64" s="5" t="s">
        <v>338</v>
      </c>
      <c r="C64" s="12">
        <v>8.9999999999999998E-4</v>
      </c>
      <c r="D64">
        <f t="shared" si="0"/>
        <v>-3.0457574905606752</v>
      </c>
      <c r="E64" s="12">
        <v>4.0000000000000001E-3</v>
      </c>
      <c r="F64" s="9">
        <f t="shared" si="1"/>
        <v>-2.3979400086720375</v>
      </c>
      <c r="G64" s="12">
        <f>66</f>
        <v>66</v>
      </c>
      <c r="H64" s="12">
        <f t="shared" si="3"/>
        <v>6.0606060606060605E-5</v>
      </c>
      <c r="I64" s="12">
        <f t="shared" si="2"/>
        <v>-4.2174839442139067</v>
      </c>
      <c r="J64" s="8" t="s">
        <v>318</v>
      </c>
      <c r="K64" s="8">
        <v>33</v>
      </c>
      <c r="L64" s="8" t="s">
        <v>329</v>
      </c>
      <c r="M64" s="8" t="s">
        <v>339</v>
      </c>
      <c r="N64" s="8">
        <v>414404</v>
      </c>
      <c r="O64" s="21">
        <v>6407332</v>
      </c>
      <c r="P64" s="8" t="s">
        <v>261</v>
      </c>
      <c r="S64" s="45"/>
    </row>
    <row r="65" spans="1:19">
      <c r="A65" s="5" t="s">
        <v>338</v>
      </c>
      <c r="C65" s="12">
        <v>8.9999999999999998E-4</v>
      </c>
      <c r="D65">
        <f t="shared" si="0"/>
        <v>-3.0457574905606752</v>
      </c>
      <c r="E65" s="12">
        <v>4.0000000000000001E-3</v>
      </c>
      <c r="F65" s="9">
        <f t="shared" si="1"/>
        <v>-2.3979400086720375</v>
      </c>
      <c r="G65" s="12">
        <f>66</f>
        <v>66</v>
      </c>
      <c r="H65" s="12">
        <f t="shared" si="3"/>
        <v>6.0606060606060605E-5</v>
      </c>
      <c r="I65" s="12">
        <f t="shared" si="2"/>
        <v>-4.2174839442139067</v>
      </c>
      <c r="J65" s="8" t="s">
        <v>318</v>
      </c>
      <c r="K65" s="8">
        <v>33</v>
      </c>
      <c r="L65" s="8" t="s">
        <v>329</v>
      </c>
      <c r="M65" s="8" t="s">
        <v>339</v>
      </c>
      <c r="N65" s="8">
        <v>414404</v>
      </c>
      <c r="O65" s="21">
        <v>6407332</v>
      </c>
      <c r="P65" s="8" t="s">
        <v>261</v>
      </c>
      <c r="S65" s="45"/>
    </row>
    <row r="66" spans="1:19">
      <c r="A66" s="5" t="s">
        <v>340</v>
      </c>
      <c r="C66" s="12">
        <v>6.9999999999999999E-4</v>
      </c>
      <c r="D66">
        <f t="shared" si="0"/>
        <v>-3.1549019599857431</v>
      </c>
      <c r="E66" s="12">
        <v>6.9999999999999999E-4</v>
      </c>
      <c r="F66" s="9">
        <f t="shared" si="1"/>
        <v>-3.1549019599857431</v>
      </c>
      <c r="G66" s="12">
        <f>60</f>
        <v>60</v>
      </c>
      <c r="H66" s="12">
        <f t="shared" si="3"/>
        <v>1.1666666666666666E-5</v>
      </c>
      <c r="I66" s="12">
        <f t="shared" si="2"/>
        <v>-4.9330532103693869</v>
      </c>
      <c r="J66" s="8" t="s">
        <v>318</v>
      </c>
      <c r="K66" s="8">
        <v>33</v>
      </c>
      <c r="L66" s="8" t="s">
        <v>334</v>
      </c>
      <c r="M66" s="8" t="s">
        <v>341</v>
      </c>
      <c r="N66" s="8">
        <v>414528</v>
      </c>
      <c r="O66" s="21">
        <v>6404343</v>
      </c>
      <c r="P66" s="8" t="s">
        <v>261</v>
      </c>
      <c r="S66" s="45"/>
    </row>
    <row r="67" spans="1:19">
      <c r="A67" s="5" t="s">
        <v>340</v>
      </c>
      <c r="C67" s="12">
        <v>6.9999999999999999E-4</v>
      </c>
      <c r="D67">
        <f t="shared" ref="D67:D130" si="4">IFERROR(LOG10(C67),"")</f>
        <v>-3.1549019599857431</v>
      </c>
      <c r="E67" s="12">
        <v>6.4000000000000005E-4</v>
      </c>
      <c r="F67" s="9">
        <f t="shared" ref="F67:F130" si="5">IFERROR(LOG10(E67),"")</f>
        <v>-3.1938200260161129</v>
      </c>
      <c r="G67" s="12">
        <f>60</f>
        <v>60</v>
      </c>
      <c r="H67" s="12">
        <f t="shared" si="3"/>
        <v>1.0666666666666667E-5</v>
      </c>
      <c r="I67" s="12">
        <f t="shared" ref="I67:I130" si="6">IFERROR(LOG10(H67),"")</f>
        <v>-4.9719712763997563</v>
      </c>
      <c r="J67" s="8" t="s">
        <v>318</v>
      </c>
      <c r="K67" s="8">
        <v>33</v>
      </c>
      <c r="L67" s="8" t="s">
        <v>334</v>
      </c>
      <c r="M67" s="8" t="s">
        <v>341</v>
      </c>
      <c r="N67" s="8">
        <v>414528</v>
      </c>
      <c r="O67" s="21">
        <v>6404343</v>
      </c>
      <c r="P67" s="8" t="s">
        <v>261</v>
      </c>
      <c r="S67" s="45"/>
    </row>
    <row r="68" spans="1:19">
      <c r="A68" s="5" t="s">
        <v>340</v>
      </c>
      <c r="C68" s="12">
        <v>6.9999999999999999E-4</v>
      </c>
      <c r="D68">
        <f t="shared" si="4"/>
        <v>-3.1549019599857431</v>
      </c>
      <c r="E68" s="12">
        <v>6.4000000000000005E-4</v>
      </c>
      <c r="F68" s="9">
        <f t="shared" si="5"/>
        <v>-3.1938200260161129</v>
      </c>
      <c r="G68" s="12"/>
      <c r="H68" s="6"/>
      <c r="I68" s="12" t="str">
        <f t="shared" si="6"/>
        <v/>
      </c>
      <c r="J68" s="8" t="s">
        <v>318</v>
      </c>
      <c r="K68" s="8">
        <v>33</v>
      </c>
      <c r="L68" s="8" t="s">
        <v>334</v>
      </c>
      <c r="M68" s="8" t="s">
        <v>341</v>
      </c>
      <c r="N68" s="8">
        <v>414528</v>
      </c>
      <c r="O68" s="21">
        <v>6404343</v>
      </c>
      <c r="P68" s="8" t="s">
        <v>261</v>
      </c>
    </row>
    <row r="69" spans="1:19">
      <c r="A69" s="5" t="s">
        <v>342</v>
      </c>
      <c r="C69" s="12">
        <v>4.0000000000000002E-4</v>
      </c>
      <c r="D69">
        <f t="shared" si="4"/>
        <v>-3.3979400086720375</v>
      </c>
      <c r="E69" s="12">
        <v>0.12</v>
      </c>
      <c r="F69" s="9">
        <f t="shared" si="5"/>
        <v>-0.92081875395237522</v>
      </c>
      <c r="G69" s="12">
        <f>43</f>
        <v>43</v>
      </c>
      <c r="H69" s="12">
        <f>E69/G69</f>
        <v>2.7906976744186047E-3</v>
      </c>
      <c r="I69" s="12">
        <f t="shared" si="6"/>
        <v>-2.5542872095319615</v>
      </c>
      <c r="J69" s="8" t="s">
        <v>343</v>
      </c>
      <c r="K69" s="8">
        <v>33</v>
      </c>
      <c r="L69" s="8" t="s">
        <v>334</v>
      </c>
      <c r="M69" s="8" t="s">
        <v>344</v>
      </c>
      <c r="N69" s="8">
        <v>415798</v>
      </c>
      <c r="O69" s="21">
        <v>6400869</v>
      </c>
      <c r="P69" s="8" t="s">
        <v>261</v>
      </c>
    </row>
    <row r="70" spans="1:19">
      <c r="A70" s="5" t="s">
        <v>342</v>
      </c>
      <c r="B70" s="12">
        <v>3.5000000000000001E-3</v>
      </c>
      <c r="D70" t="str">
        <f t="shared" si="4"/>
        <v/>
      </c>
      <c r="E70" s="12">
        <v>0.12</v>
      </c>
      <c r="F70" s="9">
        <f t="shared" si="5"/>
        <v>-0.92081875395237522</v>
      </c>
      <c r="G70" s="12">
        <f>43</f>
        <v>43</v>
      </c>
      <c r="H70" s="12">
        <f t="shared" ref="H70:H71" si="7">E70/G70</f>
        <v>2.7906976744186047E-3</v>
      </c>
      <c r="I70" s="12">
        <f t="shared" si="6"/>
        <v>-2.5542872095319615</v>
      </c>
      <c r="J70" s="8" t="s">
        <v>343</v>
      </c>
      <c r="K70" s="8">
        <v>33</v>
      </c>
      <c r="L70" s="8" t="s">
        <v>334</v>
      </c>
      <c r="M70" s="8" t="s">
        <v>344</v>
      </c>
      <c r="N70" s="8">
        <v>415798</v>
      </c>
      <c r="O70" s="21">
        <v>6400869</v>
      </c>
      <c r="P70" s="8" t="s">
        <v>261</v>
      </c>
    </row>
    <row r="71" spans="1:19">
      <c r="A71" s="5" t="s">
        <v>345</v>
      </c>
      <c r="B71" s="12">
        <v>0.1</v>
      </c>
      <c r="D71" t="str">
        <f t="shared" si="4"/>
        <v/>
      </c>
      <c r="E71" s="12">
        <v>2.0999999999999999E-3</v>
      </c>
      <c r="F71" s="9">
        <f t="shared" si="5"/>
        <v>-2.6777807052660809</v>
      </c>
      <c r="G71" s="12">
        <f>58</f>
        <v>58</v>
      </c>
      <c r="H71" s="12">
        <f t="shared" si="7"/>
        <v>3.6206896551724136E-5</v>
      </c>
      <c r="I71" s="12">
        <f t="shared" si="6"/>
        <v>-4.4412086988290183</v>
      </c>
      <c r="J71" s="8" t="s">
        <v>318</v>
      </c>
      <c r="K71" s="8">
        <v>33</v>
      </c>
      <c r="L71" s="8" t="s">
        <v>346</v>
      </c>
      <c r="M71" s="8" t="s">
        <v>347</v>
      </c>
      <c r="N71" s="8">
        <v>416637</v>
      </c>
      <c r="O71" s="21">
        <v>6406798</v>
      </c>
      <c r="P71" s="8" t="s">
        <v>261</v>
      </c>
    </row>
    <row r="72" spans="1:19">
      <c r="A72" s="5" t="s">
        <v>348</v>
      </c>
      <c r="B72" s="12">
        <v>0.03</v>
      </c>
      <c r="C72" s="12"/>
      <c r="D72" t="str">
        <f t="shared" si="4"/>
        <v/>
      </c>
      <c r="E72" s="12">
        <v>0.12</v>
      </c>
      <c r="F72" s="9">
        <f t="shared" si="5"/>
        <v>-0.92081875395237522</v>
      </c>
      <c r="G72" s="12"/>
      <c r="H72" s="15"/>
      <c r="I72" s="12" t="str">
        <f t="shared" si="6"/>
        <v/>
      </c>
      <c r="J72" s="8" t="s">
        <v>318</v>
      </c>
      <c r="K72" s="8">
        <v>33</v>
      </c>
      <c r="L72" s="8" t="s">
        <v>349</v>
      </c>
      <c r="M72" s="8" t="s">
        <v>350</v>
      </c>
      <c r="N72" s="8">
        <v>424761</v>
      </c>
      <c r="O72" s="21">
        <v>6403932</v>
      </c>
      <c r="P72" s="8" t="s">
        <v>261</v>
      </c>
    </row>
    <row r="73" spans="1:19">
      <c r="A73" s="5" t="s">
        <v>351</v>
      </c>
      <c r="B73" s="12">
        <v>0.03</v>
      </c>
      <c r="C73" s="12"/>
      <c r="D73" t="str">
        <f t="shared" si="4"/>
        <v/>
      </c>
      <c r="E73" s="12">
        <v>0.08</v>
      </c>
      <c r="F73" s="9">
        <f t="shared" si="5"/>
        <v>-1.0969100130080565</v>
      </c>
      <c r="G73" s="12"/>
      <c r="H73" s="15"/>
      <c r="I73" s="12" t="str">
        <f t="shared" si="6"/>
        <v/>
      </c>
      <c r="J73" s="8" t="s">
        <v>318</v>
      </c>
      <c r="K73" s="8">
        <v>33</v>
      </c>
      <c r="L73" s="8" t="s">
        <v>349</v>
      </c>
      <c r="M73" s="8" t="s">
        <v>352</v>
      </c>
      <c r="N73" s="8">
        <v>424848</v>
      </c>
      <c r="O73" s="21">
        <v>6403701</v>
      </c>
      <c r="P73" s="8" t="s">
        <v>261</v>
      </c>
    </row>
    <row r="74" spans="1:19">
      <c r="A74" s="5" t="s">
        <v>353</v>
      </c>
      <c r="C74" s="12">
        <v>5.0000000000000002E-5</v>
      </c>
      <c r="D74">
        <f t="shared" si="4"/>
        <v>-4.3010299956639813</v>
      </c>
      <c r="E74" s="12">
        <v>1.7500000000000002E-2</v>
      </c>
      <c r="F74" s="9">
        <f t="shared" si="5"/>
        <v>-1.7569619513137056</v>
      </c>
      <c r="G74" s="12"/>
      <c r="H74" s="6"/>
      <c r="I74" s="12" t="str">
        <f t="shared" si="6"/>
        <v/>
      </c>
      <c r="J74" s="8" t="s">
        <v>318</v>
      </c>
      <c r="K74" s="8">
        <v>33</v>
      </c>
      <c r="L74" s="8" t="s">
        <v>354</v>
      </c>
      <c r="M74" s="8" t="s">
        <v>355</v>
      </c>
      <c r="N74" s="8">
        <v>422838</v>
      </c>
      <c r="O74" s="21">
        <v>6404561</v>
      </c>
      <c r="P74" s="8" t="s">
        <v>261</v>
      </c>
    </row>
    <row r="75" spans="1:19">
      <c r="A75" s="5" t="s">
        <v>353</v>
      </c>
      <c r="C75" s="12">
        <v>5.0000000000000002E-5</v>
      </c>
      <c r="D75">
        <f t="shared" si="4"/>
        <v>-4.3010299956639813</v>
      </c>
      <c r="E75" s="12">
        <v>1.6500000000000001E-2</v>
      </c>
      <c r="F75" s="9">
        <f t="shared" si="5"/>
        <v>-1.7825160557860937</v>
      </c>
      <c r="G75" s="12"/>
      <c r="H75" s="6"/>
      <c r="I75" s="12" t="str">
        <f t="shared" si="6"/>
        <v/>
      </c>
      <c r="J75" s="8" t="s">
        <v>318</v>
      </c>
      <c r="K75" s="8">
        <v>33</v>
      </c>
      <c r="L75" s="8" t="s">
        <v>354</v>
      </c>
      <c r="M75" s="8" t="s">
        <v>355</v>
      </c>
      <c r="N75" s="8">
        <v>422838</v>
      </c>
      <c r="O75" s="21">
        <v>6404561</v>
      </c>
      <c r="P75" s="8" t="s">
        <v>261</v>
      </c>
    </row>
    <row r="76" spans="1:19">
      <c r="A76" s="5" t="s">
        <v>356</v>
      </c>
      <c r="C76" s="12">
        <v>1.4999999999999999E-4</v>
      </c>
      <c r="D76">
        <f t="shared" si="4"/>
        <v>-3.8239087409443187</v>
      </c>
      <c r="E76" s="12">
        <v>3.0000000000000001E-3</v>
      </c>
      <c r="F76" s="9">
        <f t="shared" si="5"/>
        <v>-2.5228787452803374</v>
      </c>
      <c r="G76" s="12"/>
      <c r="H76" s="6"/>
      <c r="I76" s="12" t="str">
        <f t="shared" si="6"/>
        <v/>
      </c>
      <c r="J76" s="8" t="s">
        <v>318</v>
      </c>
      <c r="K76" s="8">
        <v>33</v>
      </c>
      <c r="L76" s="8" t="s">
        <v>357</v>
      </c>
      <c r="M76" s="8" t="s">
        <v>358</v>
      </c>
      <c r="N76" s="8">
        <v>421680</v>
      </c>
      <c r="O76" s="21">
        <v>6406707</v>
      </c>
      <c r="P76" s="8" t="s">
        <v>261</v>
      </c>
    </row>
    <row r="77" spans="1:19">
      <c r="A77" s="5" t="s">
        <v>356</v>
      </c>
      <c r="B77" s="12">
        <v>1.4999999999999999E-2</v>
      </c>
      <c r="D77" t="str">
        <f t="shared" si="4"/>
        <v/>
      </c>
      <c r="E77" s="12">
        <v>1.0999999999999999E-2</v>
      </c>
      <c r="F77" s="9">
        <f t="shared" si="5"/>
        <v>-1.9586073148417751</v>
      </c>
      <c r="G77" s="12"/>
      <c r="H77" s="6"/>
      <c r="I77" s="12" t="str">
        <f t="shared" si="6"/>
        <v/>
      </c>
      <c r="J77" s="8" t="s">
        <v>318</v>
      </c>
      <c r="K77" s="8">
        <v>33</v>
      </c>
      <c r="L77" s="8" t="s">
        <v>357</v>
      </c>
      <c r="M77" s="8" t="s">
        <v>358</v>
      </c>
      <c r="N77" s="8">
        <v>421680</v>
      </c>
      <c r="O77" s="21">
        <v>6406707</v>
      </c>
      <c r="P77" s="8" t="s">
        <v>261</v>
      </c>
    </row>
    <row r="78" spans="1:19">
      <c r="A78" s="5" t="s">
        <v>356</v>
      </c>
      <c r="B78" s="12">
        <v>1.4999999999999999E-2</v>
      </c>
      <c r="C78" s="12"/>
      <c r="D78" t="str">
        <f t="shared" si="4"/>
        <v/>
      </c>
      <c r="E78" s="12">
        <v>1.2999999999999999E-2</v>
      </c>
      <c r="F78" s="9">
        <f t="shared" si="5"/>
        <v>-1.8860566476931633</v>
      </c>
      <c r="G78" s="12"/>
      <c r="H78" s="6"/>
      <c r="I78" s="12" t="str">
        <f t="shared" si="6"/>
        <v/>
      </c>
      <c r="J78" s="8" t="s">
        <v>318</v>
      </c>
      <c r="K78" s="8">
        <v>33</v>
      </c>
      <c r="L78" s="8" t="s">
        <v>357</v>
      </c>
      <c r="M78" s="8" t="s">
        <v>358</v>
      </c>
      <c r="N78" s="8">
        <v>421680</v>
      </c>
      <c r="O78" s="21">
        <v>6406707</v>
      </c>
      <c r="P78" s="8" t="s">
        <v>261</v>
      </c>
    </row>
    <row r="79" spans="1:19">
      <c r="A79" s="5" t="s">
        <v>359</v>
      </c>
      <c r="B79" s="12">
        <v>0.05</v>
      </c>
      <c r="C79" s="12"/>
      <c r="D79" t="str">
        <f t="shared" si="4"/>
        <v/>
      </c>
      <c r="E79" s="12">
        <v>2.9000000000000001E-2</v>
      </c>
      <c r="F79" s="9">
        <f t="shared" si="5"/>
        <v>-1.5376020021010439</v>
      </c>
      <c r="G79" s="12">
        <f>35</f>
        <v>35</v>
      </c>
      <c r="H79" s="12">
        <f>E79/G79</f>
        <v>8.2857142857142862E-4</v>
      </c>
      <c r="I79" s="12">
        <f t="shared" si="6"/>
        <v>-3.0816700464513196</v>
      </c>
      <c r="J79" s="8" t="s">
        <v>318</v>
      </c>
      <c r="K79" s="8">
        <v>33</v>
      </c>
      <c r="L79" s="8" t="s">
        <v>354</v>
      </c>
      <c r="M79" s="8" t="s">
        <v>360</v>
      </c>
      <c r="N79" s="8">
        <v>421855</v>
      </c>
      <c r="O79" s="21">
        <v>6405270</v>
      </c>
      <c r="P79" s="8" t="s">
        <v>261</v>
      </c>
    </row>
    <row r="80" spans="1:19">
      <c r="A80" s="5" t="s">
        <v>359</v>
      </c>
      <c r="B80" s="12">
        <v>0.05</v>
      </c>
      <c r="C80" s="12"/>
      <c r="D80" t="str">
        <f t="shared" si="4"/>
        <v/>
      </c>
      <c r="E80" s="12">
        <v>2.7E-2</v>
      </c>
      <c r="F80" s="9">
        <f t="shared" si="5"/>
        <v>-1.5686362358410126</v>
      </c>
      <c r="G80" s="12">
        <f>35</f>
        <v>35</v>
      </c>
      <c r="H80" s="12">
        <f t="shared" ref="H80:H87" si="8">E80/G80</f>
        <v>7.7142857142857145E-4</v>
      </c>
      <c r="I80" s="12">
        <f t="shared" si="6"/>
        <v>-3.1127042801912883</v>
      </c>
      <c r="J80" s="8" t="s">
        <v>318</v>
      </c>
      <c r="K80" s="8">
        <v>33</v>
      </c>
      <c r="L80" s="8" t="s">
        <v>354</v>
      </c>
      <c r="M80" s="8" t="s">
        <v>360</v>
      </c>
      <c r="N80" s="8">
        <v>421855</v>
      </c>
      <c r="O80" s="21">
        <v>6405270</v>
      </c>
      <c r="P80" s="8" t="s">
        <v>261</v>
      </c>
    </row>
    <row r="81" spans="1:16">
      <c r="A81" s="5" t="s">
        <v>361</v>
      </c>
      <c r="B81" s="12">
        <v>0.02</v>
      </c>
      <c r="D81" t="str">
        <f t="shared" si="4"/>
        <v/>
      </c>
      <c r="E81" s="12">
        <v>1.3500000000000001E-3</v>
      </c>
      <c r="F81" s="9">
        <f t="shared" si="5"/>
        <v>-2.8696662315049939</v>
      </c>
      <c r="G81" s="12">
        <f>53</f>
        <v>53</v>
      </c>
      <c r="H81" s="12">
        <f t="shared" si="8"/>
        <v>2.5471698113207549E-5</v>
      </c>
      <c r="I81" s="12">
        <f t="shared" si="6"/>
        <v>-4.5939421011057826</v>
      </c>
      <c r="J81" s="8" t="s">
        <v>318</v>
      </c>
      <c r="K81" s="8">
        <v>33</v>
      </c>
      <c r="L81" s="8" t="s">
        <v>346</v>
      </c>
      <c r="M81" s="8" t="s">
        <v>362</v>
      </c>
      <c r="N81" s="8">
        <v>419797</v>
      </c>
      <c r="O81" s="21">
        <v>6406963</v>
      </c>
      <c r="P81" s="8" t="s">
        <v>261</v>
      </c>
    </row>
    <row r="82" spans="1:16">
      <c r="A82" s="5" t="s">
        <v>361</v>
      </c>
      <c r="B82" s="12">
        <v>0.02</v>
      </c>
      <c r="D82" t="str">
        <f t="shared" si="4"/>
        <v/>
      </c>
      <c r="E82" s="12">
        <v>2.3999999999999998E-3</v>
      </c>
      <c r="F82" s="9">
        <f t="shared" si="5"/>
        <v>-2.6197887582883941</v>
      </c>
      <c r="G82" s="12">
        <f>53</f>
        <v>53</v>
      </c>
      <c r="H82" s="12">
        <f t="shared" si="8"/>
        <v>4.5283018867924523E-5</v>
      </c>
      <c r="I82" s="12">
        <f t="shared" si="6"/>
        <v>-4.3440646278891828</v>
      </c>
      <c r="J82" s="8" t="s">
        <v>318</v>
      </c>
      <c r="K82" s="8">
        <v>33</v>
      </c>
      <c r="L82" s="8" t="s">
        <v>346</v>
      </c>
      <c r="M82" s="8" t="s">
        <v>362</v>
      </c>
      <c r="N82" s="8">
        <v>419797</v>
      </c>
      <c r="O82" s="21">
        <v>6406963</v>
      </c>
      <c r="P82" s="8" t="s">
        <v>261</v>
      </c>
    </row>
    <row r="83" spans="1:16">
      <c r="A83" s="5" t="s">
        <v>363</v>
      </c>
      <c r="C83" s="12">
        <v>5.0000000000000001E-3</v>
      </c>
      <c r="D83">
        <f t="shared" si="4"/>
        <v>-2.3010299956639813</v>
      </c>
      <c r="E83" s="12">
        <v>6.9999999999999999E-4</v>
      </c>
      <c r="F83" s="9">
        <f t="shared" si="5"/>
        <v>-3.1549019599857431</v>
      </c>
      <c r="G83" s="12">
        <f>19</f>
        <v>19</v>
      </c>
      <c r="H83" s="12">
        <f t="shared" si="8"/>
        <v>3.6842105263157895E-5</v>
      </c>
      <c r="I83" s="12">
        <f t="shared" si="6"/>
        <v>-4.4336555609385719</v>
      </c>
      <c r="J83" s="8" t="s">
        <v>318</v>
      </c>
      <c r="K83" s="8">
        <v>33</v>
      </c>
      <c r="L83" s="8" t="s">
        <v>334</v>
      </c>
      <c r="M83" s="8" t="s">
        <v>364</v>
      </c>
      <c r="N83" s="8">
        <v>414460</v>
      </c>
      <c r="O83" s="21">
        <v>6398485</v>
      </c>
      <c r="P83" s="8" t="s">
        <v>261</v>
      </c>
    </row>
    <row r="84" spans="1:16">
      <c r="A84" s="5" t="s">
        <v>363</v>
      </c>
      <c r="C84" s="12">
        <v>5.0000000000000001E-3</v>
      </c>
      <c r="D84">
        <f t="shared" si="4"/>
        <v>-2.3010299956639813</v>
      </c>
      <c r="E84" s="12">
        <v>6.4999999999999997E-4</v>
      </c>
      <c r="F84" s="9">
        <f t="shared" si="5"/>
        <v>-3.1870866433571443</v>
      </c>
      <c r="G84" s="12">
        <f>19</f>
        <v>19</v>
      </c>
      <c r="H84" s="12">
        <f t="shared" si="8"/>
        <v>3.4210526315789473E-5</v>
      </c>
      <c r="I84" s="12">
        <f t="shared" si="6"/>
        <v>-4.4658402443099732</v>
      </c>
      <c r="J84" s="8" t="s">
        <v>318</v>
      </c>
      <c r="K84" s="8">
        <v>33</v>
      </c>
      <c r="L84" s="8" t="s">
        <v>334</v>
      </c>
      <c r="M84" s="8" t="s">
        <v>364</v>
      </c>
      <c r="N84" s="8">
        <v>414460</v>
      </c>
      <c r="O84" s="21">
        <v>6398485</v>
      </c>
      <c r="P84" s="8" t="s">
        <v>261</v>
      </c>
    </row>
    <row r="85" spans="1:16">
      <c r="A85" s="5" t="s">
        <v>365</v>
      </c>
      <c r="C85" s="12">
        <v>5.0000000000000001E-3</v>
      </c>
      <c r="D85">
        <f t="shared" si="4"/>
        <v>-2.3010299956639813</v>
      </c>
      <c r="E85" s="12">
        <v>8.25E-4</v>
      </c>
      <c r="F85" s="9">
        <f t="shared" si="5"/>
        <v>-3.083546051450075</v>
      </c>
      <c r="G85" s="12">
        <f>19</f>
        <v>19</v>
      </c>
      <c r="H85" s="12">
        <f t="shared" si="8"/>
        <v>4.3421052631578949E-5</v>
      </c>
      <c r="I85" s="12">
        <f t="shared" si="6"/>
        <v>-4.3622996524029043</v>
      </c>
      <c r="J85" s="8" t="s">
        <v>318</v>
      </c>
      <c r="K85" s="8">
        <v>33</v>
      </c>
      <c r="L85" s="8" t="s">
        <v>334</v>
      </c>
      <c r="M85" s="8" t="s">
        <v>366</v>
      </c>
      <c r="N85" s="8">
        <v>414112</v>
      </c>
      <c r="O85" s="21">
        <v>6399659</v>
      </c>
      <c r="P85" s="8" t="s">
        <v>261</v>
      </c>
    </row>
    <row r="86" spans="1:16">
      <c r="A86" s="5" t="s">
        <v>365</v>
      </c>
      <c r="C86" s="12">
        <v>2.5999999999999999E-2</v>
      </c>
      <c r="D86">
        <f t="shared" si="4"/>
        <v>-1.585026652029182</v>
      </c>
      <c r="E86" s="12">
        <v>5.4500000000000002E-4</v>
      </c>
      <c r="F86" s="9">
        <f t="shared" si="5"/>
        <v>-3.2636034977233574</v>
      </c>
      <c r="G86" s="12">
        <f>19</f>
        <v>19</v>
      </c>
      <c r="H86" s="12">
        <f t="shared" si="8"/>
        <v>2.868421052631579E-5</v>
      </c>
      <c r="I86" s="12">
        <f t="shared" si="6"/>
        <v>-4.5423570986761863</v>
      </c>
      <c r="J86" s="8" t="s">
        <v>318</v>
      </c>
      <c r="K86" s="8">
        <v>33</v>
      </c>
      <c r="L86" s="8" t="s">
        <v>334</v>
      </c>
      <c r="M86" s="8" t="s">
        <v>366</v>
      </c>
      <c r="N86" s="8">
        <v>414112</v>
      </c>
      <c r="O86" s="21">
        <v>6399659</v>
      </c>
      <c r="P86" s="8" t="s">
        <v>261</v>
      </c>
    </row>
    <row r="87" spans="1:16">
      <c r="A87" s="5" t="s">
        <v>365</v>
      </c>
      <c r="C87" s="12">
        <v>2.5000000000000001E-2</v>
      </c>
      <c r="D87">
        <f t="shared" si="4"/>
        <v>-1.6020599913279623</v>
      </c>
      <c r="E87" s="12">
        <v>4.2000000000000002E-4</v>
      </c>
      <c r="F87" s="9">
        <f t="shared" si="5"/>
        <v>-3.3767507096020997</v>
      </c>
      <c r="G87" s="12">
        <f>19</f>
        <v>19</v>
      </c>
      <c r="H87" s="12">
        <f t="shared" si="8"/>
        <v>2.2105263157894736E-5</v>
      </c>
      <c r="I87" s="12">
        <f t="shared" si="6"/>
        <v>-4.6555043105549281</v>
      </c>
      <c r="J87" s="8" t="s">
        <v>318</v>
      </c>
      <c r="K87" s="8">
        <v>33</v>
      </c>
      <c r="L87" s="8" t="s">
        <v>334</v>
      </c>
      <c r="M87" s="8" t="s">
        <v>366</v>
      </c>
      <c r="N87" s="8">
        <v>414112</v>
      </c>
      <c r="O87" s="21">
        <v>6399659</v>
      </c>
      <c r="P87" s="8" t="s">
        <v>261</v>
      </c>
    </row>
    <row r="88" spans="1:16">
      <c r="A88" s="5" t="s">
        <v>367</v>
      </c>
      <c r="C88" s="12">
        <v>2.9999999999999997E-4</v>
      </c>
      <c r="D88">
        <f t="shared" si="4"/>
        <v>-3.5228787452803374</v>
      </c>
      <c r="E88" s="12">
        <v>3.5000000000000001E-3</v>
      </c>
      <c r="F88" s="9">
        <f t="shared" si="5"/>
        <v>-2.4559319556497243</v>
      </c>
      <c r="G88" s="12">
        <f>115</f>
        <v>115</v>
      </c>
      <c r="H88" s="12">
        <f>E88/G88</f>
        <v>3.0434782608695653E-5</v>
      </c>
      <c r="I88" s="12">
        <f t="shared" si="6"/>
        <v>-4.5166297960033361</v>
      </c>
      <c r="J88" s="8" t="s">
        <v>96</v>
      </c>
      <c r="K88" s="8">
        <v>33</v>
      </c>
      <c r="L88" s="8" t="s">
        <v>100</v>
      </c>
      <c r="M88" s="8" t="s">
        <v>101</v>
      </c>
      <c r="N88" s="8">
        <v>386587</v>
      </c>
      <c r="O88" s="21">
        <v>6436612</v>
      </c>
      <c r="P88" s="8" t="s">
        <v>261</v>
      </c>
    </row>
    <row r="89" spans="1:16">
      <c r="A89" s="5" t="s">
        <v>368</v>
      </c>
      <c r="C89" s="12">
        <v>2.5999999999999998E-4</v>
      </c>
      <c r="D89">
        <f t="shared" si="4"/>
        <v>-3.5850266520291822</v>
      </c>
      <c r="E89" s="12">
        <v>3.5000000000000001E-3</v>
      </c>
      <c r="F89" s="9">
        <f t="shared" si="5"/>
        <v>-2.4559319556497243</v>
      </c>
      <c r="G89" s="12">
        <f>115</f>
        <v>115</v>
      </c>
      <c r="H89" s="12">
        <f>E89/G89</f>
        <v>3.0434782608695653E-5</v>
      </c>
      <c r="I89" s="12">
        <f t="shared" si="6"/>
        <v>-4.5166297960033361</v>
      </c>
      <c r="J89" s="8" t="s">
        <v>96</v>
      </c>
      <c r="K89" s="8">
        <v>33</v>
      </c>
      <c r="L89" s="8" t="s">
        <v>100</v>
      </c>
      <c r="M89" s="8" t="s">
        <v>369</v>
      </c>
      <c r="N89" s="8">
        <v>387369</v>
      </c>
      <c r="O89" s="21">
        <v>6437254</v>
      </c>
      <c r="P89" s="8" t="s">
        <v>261</v>
      </c>
    </row>
    <row r="90" spans="1:16">
      <c r="A90" s="5" t="s">
        <v>370</v>
      </c>
      <c r="B90" s="12"/>
      <c r="C90" s="12"/>
      <c r="D90" t="str">
        <f t="shared" si="4"/>
        <v/>
      </c>
      <c r="E90" s="12"/>
      <c r="F90" s="9" t="str">
        <f t="shared" si="5"/>
        <v/>
      </c>
      <c r="G90" s="12">
        <f>107</f>
        <v>107</v>
      </c>
      <c r="H90" s="12">
        <v>1.01E-4</v>
      </c>
      <c r="I90" s="12">
        <f t="shared" si="6"/>
        <v>-3.9956786262173574</v>
      </c>
      <c r="J90" s="8" t="s">
        <v>371</v>
      </c>
      <c r="K90" s="8">
        <v>33</v>
      </c>
      <c r="L90" s="8" t="s">
        <v>100</v>
      </c>
      <c r="M90" s="8" t="s">
        <v>372</v>
      </c>
      <c r="N90" s="8">
        <v>393763</v>
      </c>
      <c r="O90" s="21">
        <v>6437164</v>
      </c>
      <c r="P90" s="8" t="s">
        <v>261</v>
      </c>
    </row>
    <row r="91" spans="1:16">
      <c r="A91" s="5" t="s">
        <v>373</v>
      </c>
      <c r="B91" s="12"/>
      <c r="C91" s="12"/>
      <c r="D91" t="str">
        <f t="shared" si="4"/>
        <v/>
      </c>
      <c r="E91" s="12">
        <v>5.5999999999999995E-4</v>
      </c>
      <c r="F91" s="9">
        <f t="shared" si="5"/>
        <v>-3.2518119729937998</v>
      </c>
      <c r="G91" s="12">
        <f>95</f>
        <v>95</v>
      </c>
      <c r="H91" s="44">
        <f>E91/G91</f>
        <v>5.8947368421052626E-6</v>
      </c>
      <c r="I91" s="12">
        <f t="shared" si="6"/>
        <v>-5.2295355782826478</v>
      </c>
      <c r="J91" s="8" t="s">
        <v>374</v>
      </c>
      <c r="K91" s="8">
        <v>33</v>
      </c>
      <c r="L91" s="8" t="s">
        <v>375</v>
      </c>
      <c r="M91" s="8" t="s">
        <v>376</v>
      </c>
      <c r="N91" s="8">
        <v>384945</v>
      </c>
      <c r="O91" s="21">
        <v>6430575</v>
      </c>
      <c r="P91" s="8" t="s">
        <v>261</v>
      </c>
    </row>
    <row r="92" spans="1:16">
      <c r="A92" s="5" t="s">
        <v>377</v>
      </c>
      <c r="C92" s="12">
        <v>4.0000000000000001E-3</v>
      </c>
      <c r="D92">
        <f t="shared" si="4"/>
        <v>-2.3979400086720375</v>
      </c>
      <c r="E92" s="12">
        <v>6.4000000000000003E-3</v>
      </c>
      <c r="F92" s="9">
        <f t="shared" si="5"/>
        <v>-2.1938200260161129</v>
      </c>
      <c r="G92" s="12">
        <f>39</f>
        <v>39</v>
      </c>
      <c r="H92" s="44">
        <f t="shared" ref="H92:H94" si="9">E92/G92</f>
        <v>1.6410256410256412E-4</v>
      </c>
      <c r="I92" s="12">
        <f t="shared" si="6"/>
        <v>-3.784884633042612</v>
      </c>
      <c r="J92" s="8" t="s">
        <v>378</v>
      </c>
      <c r="K92" s="8">
        <v>33</v>
      </c>
      <c r="L92" s="8" t="s">
        <v>379</v>
      </c>
      <c r="M92" s="8" t="s">
        <v>380</v>
      </c>
      <c r="N92" s="8">
        <v>419621</v>
      </c>
      <c r="O92" s="21">
        <v>6400986</v>
      </c>
      <c r="P92" s="8" t="s">
        <v>261</v>
      </c>
    </row>
    <row r="93" spans="1:16">
      <c r="A93" s="5" t="s">
        <v>381</v>
      </c>
      <c r="C93" s="12">
        <v>9.0000000000000006E-5</v>
      </c>
      <c r="D93">
        <f t="shared" si="4"/>
        <v>-4.0457574905606748</v>
      </c>
      <c r="E93" s="12">
        <v>8.8000000000000005E-3</v>
      </c>
      <c r="F93" s="9">
        <f t="shared" si="5"/>
        <v>-2.0555173278498313</v>
      </c>
      <c r="G93" s="12">
        <f>45</f>
        <v>45</v>
      </c>
      <c r="H93" s="44">
        <f t="shared" si="9"/>
        <v>1.9555555555555556E-4</v>
      </c>
      <c r="I93" s="12">
        <f t="shared" si="6"/>
        <v>-3.7087298416251748</v>
      </c>
      <c r="J93" s="8" t="s">
        <v>378</v>
      </c>
      <c r="K93" s="8">
        <v>33</v>
      </c>
      <c r="L93" s="8" t="s">
        <v>354</v>
      </c>
      <c r="M93" s="8" t="s">
        <v>382</v>
      </c>
      <c r="N93" s="8">
        <v>419202</v>
      </c>
      <c r="O93" s="21">
        <v>6403111</v>
      </c>
      <c r="P93" s="8" t="s">
        <v>261</v>
      </c>
    </row>
    <row r="94" spans="1:16">
      <c r="A94" s="5" t="s">
        <v>383</v>
      </c>
      <c r="C94" s="12">
        <v>3.0000000000000001E-3</v>
      </c>
      <c r="D94">
        <f t="shared" si="4"/>
        <v>-2.5228787452803374</v>
      </c>
      <c r="E94" s="12">
        <v>1.2200000000000001E-2</v>
      </c>
      <c r="F94" s="9">
        <f t="shared" si="5"/>
        <v>-1.9136401693252518</v>
      </c>
      <c r="G94" s="12">
        <f>41</f>
        <v>41</v>
      </c>
      <c r="H94" s="44">
        <f t="shared" si="9"/>
        <v>2.9756097560975611E-4</v>
      </c>
      <c r="I94" s="12">
        <f t="shared" si="6"/>
        <v>-3.5264240260449871</v>
      </c>
      <c r="J94" s="8" t="s">
        <v>378</v>
      </c>
      <c r="K94" s="8">
        <v>33</v>
      </c>
      <c r="L94" s="8" t="s">
        <v>334</v>
      </c>
      <c r="M94" s="8" t="s">
        <v>384</v>
      </c>
      <c r="N94" s="8">
        <v>417499</v>
      </c>
      <c r="O94" s="21">
        <v>6401662</v>
      </c>
      <c r="P94" s="8" t="s">
        <v>261</v>
      </c>
    </row>
    <row r="95" spans="1:16">
      <c r="A95" s="13" t="s">
        <v>385</v>
      </c>
      <c r="B95" s="12"/>
      <c r="C95" s="12"/>
      <c r="D95" t="str">
        <f t="shared" si="4"/>
        <v/>
      </c>
      <c r="E95" s="27">
        <v>3.0000000000000001E-3</v>
      </c>
      <c r="F95" s="9">
        <f t="shared" si="5"/>
        <v>-2.5228787452803374</v>
      </c>
      <c r="G95" s="27"/>
      <c r="H95" s="10"/>
      <c r="I95" s="12" t="str">
        <f t="shared" si="6"/>
        <v/>
      </c>
      <c r="J95" s="8" t="s">
        <v>103</v>
      </c>
      <c r="K95" s="8">
        <v>33</v>
      </c>
      <c r="L95" s="8" t="s">
        <v>34</v>
      </c>
      <c r="M95" s="8" t="s">
        <v>35</v>
      </c>
      <c r="N95" s="8">
        <v>376570</v>
      </c>
      <c r="O95" s="21">
        <v>6482820</v>
      </c>
      <c r="P95" s="8" t="s">
        <v>261</v>
      </c>
    </row>
    <row r="96" spans="1:16">
      <c r="A96" s="13" t="s">
        <v>386</v>
      </c>
      <c r="B96" s="12"/>
      <c r="C96" s="12"/>
      <c r="D96" t="str">
        <f t="shared" si="4"/>
        <v/>
      </c>
      <c r="E96" s="27">
        <v>3.3999999999999998E-3</v>
      </c>
      <c r="F96" s="9">
        <f t="shared" si="5"/>
        <v>-2.4685210829577451</v>
      </c>
      <c r="G96" s="27">
        <f>130</f>
        <v>130</v>
      </c>
      <c r="H96" s="44">
        <f>E96/G96</f>
        <v>2.6153846153846153E-5</v>
      </c>
      <c r="I96" s="12">
        <f t="shared" si="6"/>
        <v>-4.5824644352645816</v>
      </c>
      <c r="J96" s="8" t="s">
        <v>103</v>
      </c>
      <c r="K96" s="8">
        <v>33</v>
      </c>
      <c r="L96" s="8" t="s">
        <v>297</v>
      </c>
      <c r="M96" s="8" t="s">
        <v>387</v>
      </c>
      <c r="N96" s="8">
        <v>375652</v>
      </c>
      <c r="O96" s="21">
        <v>6464333</v>
      </c>
      <c r="P96" s="8" t="s">
        <v>261</v>
      </c>
    </row>
    <row r="97" spans="1:16">
      <c r="A97" s="13" t="s">
        <v>388</v>
      </c>
      <c r="B97" s="12"/>
      <c r="C97" s="12"/>
      <c r="D97" t="str">
        <f t="shared" si="4"/>
        <v/>
      </c>
      <c r="E97" s="27">
        <v>8.0000000000000002E-3</v>
      </c>
      <c r="F97" s="9">
        <f t="shared" si="5"/>
        <v>-2.0969100130080562</v>
      </c>
      <c r="G97" s="27">
        <f>135</f>
        <v>135</v>
      </c>
      <c r="H97" s="44">
        <f t="shared" ref="H97:H124" si="10">E97/G97</f>
        <v>5.925925925925926E-5</v>
      </c>
      <c r="I97" s="12">
        <f t="shared" si="6"/>
        <v>-4.2272437815030628</v>
      </c>
      <c r="J97" s="8" t="s">
        <v>103</v>
      </c>
      <c r="K97" s="8">
        <v>33</v>
      </c>
      <c r="L97" s="8" t="s">
        <v>297</v>
      </c>
      <c r="M97" s="8" t="s">
        <v>389</v>
      </c>
      <c r="N97" s="8">
        <v>373479</v>
      </c>
      <c r="O97" s="21">
        <v>6466814</v>
      </c>
      <c r="P97" s="8" t="s">
        <v>261</v>
      </c>
    </row>
    <row r="98" spans="1:16">
      <c r="A98" s="13" t="s">
        <v>390</v>
      </c>
      <c r="B98" s="12"/>
      <c r="C98" s="12"/>
      <c r="D98" t="str">
        <f t="shared" si="4"/>
        <v/>
      </c>
      <c r="E98" s="27">
        <v>3.5999999999999999E-3</v>
      </c>
      <c r="F98" s="9">
        <f t="shared" si="5"/>
        <v>-2.4436974992327127</v>
      </c>
      <c r="G98" s="27">
        <f>151</f>
        <v>151</v>
      </c>
      <c r="H98" s="44">
        <f t="shared" si="10"/>
        <v>2.3841059602649006E-5</v>
      </c>
      <c r="I98" s="12">
        <f t="shared" si="6"/>
        <v>-4.622674446525882</v>
      </c>
      <c r="J98" s="8" t="s">
        <v>103</v>
      </c>
      <c r="K98" s="8">
        <v>33</v>
      </c>
      <c r="L98" s="8" t="s">
        <v>297</v>
      </c>
      <c r="M98" s="8" t="s">
        <v>391</v>
      </c>
      <c r="N98" s="8">
        <v>372712</v>
      </c>
      <c r="O98" s="21">
        <v>6457358</v>
      </c>
      <c r="P98" s="8" t="s">
        <v>261</v>
      </c>
    </row>
    <row r="99" spans="1:16">
      <c r="A99" s="13" t="s">
        <v>392</v>
      </c>
      <c r="B99" s="12"/>
      <c r="C99" s="12"/>
      <c r="D99" t="str">
        <f t="shared" si="4"/>
        <v/>
      </c>
      <c r="E99" s="27">
        <v>2.0999999999999999E-3</v>
      </c>
      <c r="F99" s="9">
        <f t="shared" si="5"/>
        <v>-2.6777807052660809</v>
      </c>
      <c r="G99" s="27">
        <f>67</f>
        <v>67</v>
      </c>
      <c r="H99" s="44">
        <f t="shared" si="10"/>
        <v>3.1343283582089548E-5</v>
      </c>
      <c r="I99" s="12">
        <f t="shared" si="6"/>
        <v>-4.5038555079669074</v>
      </c>
      <c r="J99" s="8" t="s">
        <v>103</v>
      </c>
      <c r="K99" s="8">
        <v>33</v>
      </c>
      <c r="L99" s="8" t="s">
        <v>260</v>
      </c>
      <c r="M99" s="8" t="s">
        <v>393</v>
      </c>
      <c r="N99" s="8">
        <v>407727</v>
      </c>
      <c r="O99" s="21">
        <v>6423083</v>
      </c>
      <c r="P99" s="8" t="s">
        <v>261</v>
      </c>
    </row>
    <row r="100" spans="1:16">
      <c r="A100" s="13" t="s">
        <v>394</v>
      </c>
      <c r="B100" s="12"/>
      <c r="C100" s="12"/>
      <c r="D100" t="str">
        <f t="shared" si="4"/>
        <v/>
      </c>
      <c r="E100" s="27">
        <v>1E-3</v>
      </c>
      <c r="F100" s="9">
        <f t="shared" si="5"/>
        <v>-3</v>
      </c>
      <c r="G100" s="27">
        <f>75</f>
        <v>75</v>
      </c>
      <c r="H100" s="44">
        <f t="shared" si="10"/>
        <v>1.3333333333333333E-5</v>
      </c>
      <c r="I100" s="12">
        <f t="shared" si="6"/>
        <v>-4.8750612633917001</v>
      </c>
      <c r="J100" s="8" t="s">
        <v>103</v>
      </c>
      <c r="K100" s="8">
        <v>33</v>
      </c>
      <c r="L100" s="8" t="s">
        <v>395</v>
      </c>
      <c r="M100" s="8" t="s">
        <v>396</v>
      </c>
      <c r="N100" s="8">
        <v>407874</v>
      </c>
      <c r="O100" s="21">
        <v>6424741</v>
      </c>
      <c r="P100" s="8" t="s">
        <v>261</v>
      </c>
    </row>
    <row r="101" spans="1:16">
      <c r="A101" s="13" t="s">
        <v>397</v>
      </c>
      <c r="B101" s="12"/>
      <c r="C101" s="12"/>
      <c r="D101" t="str">
        <f t="shared" si="4"/>
        <v/>
      </c>
      <c r="E101" s="27">
        <v>2.9999999999999997E-4</v>
      </c>
      <c r="F101" s="9">
        <f t="shared" si="5"/>
        <v>-3.5228787452803374</v>
      </c>
      <c r="G101" s="27">
        <f>75</f>
        <v>75</v>
      </c>
      <c r="H101" s="44">
        <f t="shared" si="10"/>
        <v>3.9999999999999998E-6</v>
      </c>
      <c r="I101" s="12">
        <f t="shared" si="6"/>
        <v>-5.3979400086720375</v>
      </c>
      <c r="J101" s="8" t="s">
        <v>103</v>
      </c>
      <c r="K101" s="8">
        <v>33</v>
      </c>
      <c r="L101" s="8" t="s">
        <v>395</v>
      </c>
      <c r="M101" s="8" t="s">
        <v>398</v>
      </c>
      <c r="N101" s="8">
        <v>407897</v>
      </c>
      <c r="O101" s="21">
        <v>6424041</v>
      </c>
      <c r="P101" s="8" t="s">
        <v>261</v>
      </c>
    </row>
    <row r="102" spans="1:16">
      <c r="A102" s="13" t="s">
        <v>399</v>
      </c>
      <c r="B102" s="12"/>
      <c r="C102" s="12"/>
      <c r="D102" t="str">
        <f t="shared" si="4"/>
        <v/>
      </c>
      <c r="E102" s="27">
        <v>2.0999999999999999E-3</v>
      </c>
      <c r="F102" s="9">
        <f t="shared" si="5"/>
        <v>-2.6777807052660809</v>
      </c>
      <c r="G102" s="27">
        <f>42</f>
        <v>42</v>
      </c>
      <c r="H102" s="44">
        <f t="shared" si="10"/>
        <v>4.9999999999999996E-5</v>
      </c>
      <c r="I102" s="12">
        <f t="shared" si="6"/>
        <v>-4.3010299956639813</v>
      </c>
      <c r="J102" s="8" t="s">
        <v>103</v>
      </c>
      <c r="K102" s="8">
        <v>33</v>
      </c>
      <c r="L102" s="8" t="s">
        <v>395</v>
      </c>
      <c r="M102" s="8" t="s">
        <v>400</v>
      </c>
      <c r="N102" s="8">
        <v>409844</v>
      </c>
      <c r="O102" s="21">
        <v>6425968</v>
      </c>
      <c r="P102" s="8" t="s">
        <v>261</v>
      </c>
    </row>
    <row r="103" spans="1:16">
      <c r="A103" s="13" t="s">
        <v>401</v>
      </c>
      <c r="B103" s="12"/>
      <c r="C103" s="12"/>
      <c r="D103" t="str">
        <f t="shared" si="4"/>
        <v/>
      </c>
      <c r="E103" s="27">
        <v>8.8999999999999999E-3</v>
      </c>
      <c r="F103" s="9">
        <f t="shared" si="5"/>
        <v>-2.0506099933550872</v>
      </c>
      <c r="G103" s="27">
        <f>121</f>
        <v>121</v>
      </c>
      <c r="H103" s="44">
        <f t="shared" si="10"/>
        <v>7.3553719008264459E-5</v>
      </c>
      <c r="I103" s="12">
        <f t="shared" si="6"/>
        <v>-4.1333953636715375</v>
      </c>
      <c r="J103" s="8" t="s">
        <v>103</v>
      </c>
      <c r="K103" s="8">
        <v>33</v>
      </c>
      <c r="L103" s="8" t="s">
        <v>402</v>
      </c>
      <c r="M103" s="8" t="s">
        <v>403</v>
      </c>
      <c r="N103" s="8">
        <v>371517</v>
      </c>
      <c r="O103" s="21">
        <v>6403856</v>
      </c>
      <c r="P103" s="8" t="s">
        <v>261</v>
      </c>
    </row>
    <row r="104" spans="1:16">
      <c r="A104" s="13" t="s">
        <v>404</v>
      </c>
      <c r="B104" s="12"/>
      <c r="C104" s="12"/>
      <c r="D104" t="str">
        <f t="shared" si="4"/>
        <v/>
      </c>
      <c r="E104" s="27">
        <v>2.5000000000000001E-3</v>
      </c>
      <c r="F104" s="9">
        <f t="shared" si="5"/>
        <v>-2.6020599913279625</v>
      </c>
      <c r="G104" s="27">
        <f>70</f>
        <v>70</v>
      </c>
      <c r="H104" s="44">
        <f t="shared" si="10"/>
        <v>3.5714285714285717E-5</v>
      </c>
      <c r="I104" s="12">
        <f t="shared" si="6"/>
        <v>-4.4471580313422194</v>
      </c>
      <c r="J104" s="8" t="s">
        <v>103</v>
      </c>
      <c r="K104" s="8">
        <v>33</v>
      </c>
      <c r="L104" s="8" t="s">
        <v>405</v>
      </c>
      <c r="M104" s="8" t="s">
        <v>406</v>
      </c>
      <c r="N104" s="8">
        <v>403353</v>
      </c>
      <c r="O104" s="21">
        <v>6420302</v>
      </c>
      <c r="P104" s="8" t="s">
        <v>261</v>
      </c>
    </row>
    <row r="105" spans="1:16">
      <c r="A105" s="13" t="s">
        <v>407</v>
      </c>
      <c r="B105" s="12"/>
      <c r="C105" s="12"/>
      <c r="D105" t="str">
        <f t="shared" si="4"/>
        <v/>
      </c>
      <c r="E105" s="27">
        <v>1.4E-3</v>
      </c>
      <c r="F105" s="9">
        <f t="shared" si="5"/>
        <v>-2.8538719643217618</v>
      </c>
      <c r="G105" s="27">
        <f>99</f>
        <v>99</v>
      </c>
      <c r="H105" s="44">
        <f t="shared" si="10"/>
        <v>1.4141414141414141E-5</v>
      </c>
      <c r="I105" s="12">
        <f t="shared" si="6"/>
        <v>-4.8495071589193115</v>
      </c>
      <c r="J105" s="8" t="s">
        <v>103</v>
      </c>
      <c r="K105" s="8">
        <v>33</v>
      </c>
      <c r="L105" s="8" t="s">
        <v>408</v>
      </c>
      <c r="M105" s="8" t="s">
        <v>409</v>
      </c>
      <c r="N105" s="8">
        <v>382087</v>
      </c>
      <c r="O105" s="21">
        <v>6406158</v>
      </c>
      <c r="P105" s="8" t="s">
        <v>261</v>
      </c>
    </row>
    <row r="106" spans="1:16">
      <c r="A106" s="13" t="s">
        <v>410</v>
      </c>
      <c r="B106" s="12"/>
      <c r="C106" s="12"/>
      <c r="D106" t="str">
        <f t="shared" si="4"/>
        <v/>
      </c>
      <c r="E106" s="27">
        <v>1.1000000000000001E-3</v>
      </c>
      <c r="F106" s="9">
        <f t="shared" si="5"/>
        <v>-2.9586073148417751</v>
      </c>
      <c r="G106" s="27">
        <f>119</f>
        <v>119</v>
      </c>
      <c r="H106" s="44">
        <f t="shared" si="10"/>
        <v>9.2436974789915966E-6</v>
      </c>
      <c r="I106" s="12">
        <f t="shared" si="6"/>
        <v>-5.0341542762343057</v>
      </c>
      <c r="J106" s="8" t="s">
        <v>103</v>
      </c>
      <c r="K106" s="8">
        <v>33</v>
      </c>
      <c r="L106" s="8" t="s">
        <v>411</v>
      </c>
      <c r="M106" s="8" t="s">
        <v>412</v>
      </c>
      <c r="N106" s="8">
        <v>383944</v>
      </c>
      <c r="O106" s="21">
        <v>6403457</v>
      </c>
      <c r="P106" s="8" t="s">
        <v>261</v>
      </c>
    </row>
    <row r="107" spans="1:16">
      <c r="A107" s="13" t="s">
        <v>413</v>
      </c>
      <c r="B107" s="12"/>
      <c r="C107" s="12"/>
      <c r="D107" t="str">
        <f t="shared" si="4"/>
        <v/>
      </c>
      <c r="E107" s="27">
        <v>6.0000000000000001E-3</v>
      </c>
      <c r="F107" s="9">
        <f t="shared" si="5"/>
        <v>-2.2218487496163561</v>
      </c>
      <c r="G107" s="27">
        <f>74</f>
        <v>74</v>
      </c>
      <c r="H107" s="44">
        <f t="shared" si="10"/>
        <v>8.1081081081081077E-5</v>
      </c>
      <c r="I107" s="12">
        <f t="shared" si="6"/>
        <v>-4.0910804693473324</v>
      </c>
      <c r="J107" s="8" t="s">
        <v>103</v>
      </c>
      <c r="K107" s="8">
        <v>33</v>
      </c>
      <c r="L107" s="8" t="s">
        <v>414</v>
      </c>
      <c r="M107" s="8" t="s">
        <v>409</v>
      </c>
      <c r="N107" s="8">
        <v>395451</v>
      </c>
      <c r="O107" s="21">
        <v>6407037</v>
      </c>
      <c r="P107" s="8" t="s">
        <v>261</v>
      </c>
    </row>
    <row r="108" spans="1:16">
      <c r="A108" s="13" t="s">
        <v>415</v>
      </c>
      <c r="B108" s="12"/>
      <c r="C108" s="12"/>
      <c r="D108" t="str">
        <f t="shared" si="4"/>
        <v/>
      </c>
      <c r="E108" s="27">
        <v>3.8E-3</v>
      </c>
      <c r="F108" s="9">
        <f t="shared" si="5"/>
        <v>-2.4202164033831899</v>
      </c>
      <c r="G108" s="27">
        <f>74</f>
        <v>74</v>
      </c>
      <c r="H108" s="44">
        <f t="shared" si="10"/>
        <v>5.1351351351351351E-5</v>
      </c>
      <c r="I108" s="12">
        <f t="shared" si="6"/>
        <v>-4.2894481231141661</v>
      </c>
      <c r="J108" s="8" t="s">
        <v>103</v>
      </c>
      <c r="K108" s="8">
        <v>33</v>
      </c>
      <c r="L108" s="8" t="s">
        <v>414</v>
      </c>
      <c r="M108" s="8" t="s">
        <v>416</v>
      </c>
      <c r="N108" s="8">
        <v>394254</v>
      </c>
      <c r="O108" s="21">
        <v>6406315</v>
      </c>
      <c r="P108" s="8" t="s">
        <v>261</v>
      </c>
    </row>
    <row r="109" spans="1:16">
      <c r="A109" s="13" t="s">
        <v>417</v>
      </c>
      <c r="B109" s="12"/>
      <c r="C109" s="12"/>
      <c r="D109" t="str">
        <f t="shared" si="4"/>
        <v/>
      </c>
      <c r="E109" s="27">
        <v>5.0000000000000001E-3</v>
      </c>
      <c r="F109" s="9">
        <f t="shared" si="5"/>
        <v>-2.3010299956639813</v>
      </c>
      <c r="G109" s="27">
        <f>57</f>
        <v>57</v>
      </c>
      <c r="H109" s="44">
        <f t="shared" si="10"/>
        <v>8.7719298245614042E-5</v>
      </c>
      <c r="I109" s="12">
        <f t="shared" si="6"/>
        <v>-4.0569048513364727</v>
      </c>
      <c r="J109" s="8" t="s">
        <v>103</v>
      </c>
      <c r="K109" s="8">
        <v>33</v>
      </c>
      <c r="L109" s="8" t="s">
        <v>418</v>
      </c>
      <c r="M109" s="8" t="s">
        <v>419</v>
      </c>
      <c r="N109" s="8">
        <v>399797</v>
      </c>
      <c r="O109" s="21">
        <v>6401291</v>
      </c>
      <c r="P109" s="8" t="s">
        <v>261</v>
      </c>
    </row>
    <row r="110" spans="1:16">
      <c r="A110" s="13" t="s">
        <v>420</v>
      </c>
      <c r="B110" s="12"/>
      <c r="C110" s="12"/>
      <c r="D110" t="str">
        <f t="shared" si="4"/>
        <v/>
      </c>
      <c r="E110" s="27">
        <v>1.2999999999999999E-2</v>
      </c>
      <c r="F110" s="9">
        <f t="shared" si="5"/>
        <v>-1.8860566476931633</v>
      </c>
      <c r="G110" s="27">
        <f>87</f>
        <v>87</v>
      </c>
      <c r="H110" s="44">
        <f t="shared" si="10"/>
        <v>1.4942528735632183E-4</v>
      </c>
      <c r="I110" s="12">
        <f t="shared" si="6"/>
        <v>-3.8255759003117817</v>
      </c>
      <c r="J110" s="8" t="s">
        <v>103</v>
      </c>
      <c r="K110" s="8">
        <v>33</v>
      </c>
      <c r="L110" s="8" t="s">
        <v>260</v>
      </c>
      <c r="M110" s="8" t="s">
        <v>421</v>
      </c>
      <c r="N110" s="8">
        <v>410413</v>
      </c>
      <c r="O110" s="21">
        <v>6419728</v>
      </c>
      <c r="P110" s="8" t="s">
        <v>261</v>
      </c>
    </row>
    <row r="111" spans="1:16">
      <c r="A111" s="13" t="s">
        <v>422</v>
      </c>
      <c r="B111" s="12"/>
      <c r="C111" s="12"/>
      <c r="D111" t="str">
        <f t="shared" si="4"/>
        <v/>
      </c>
      <c r="E111" s="27">
        <v>1.66E-2</v>
      </c>
      <c r="F111" s="9">
        <f t="shared" si="5"/>
        <v>-1.779891911959945</v>
      </c>
      <c r="G111" s="27">
        <f>87</f>
        <v>87</v>
      </c>
      <c r="H111" s="44">
        <f t="shared" si="10"/>
        <v>1.9080459770114944E-4</v>
      </c>
      <c r="I111" s="12">
        <f t="shared" si="6"/>
        <v>-3.7194111645785632</v>
      </c>
      <c r="J111" s="8" t="s">
        <v>103</v>
      </c>
      <c r="K111" s="8">
        <v>33</v>
      </c>
      <c r="L111" s="8" t="s">
        <v>260</v>
      </c>
      <c r="M111" s="8" t="s">
        <v>421</v>
      </c>
      <c r="N111" s="8">
        <v>410581</v>
      </c>
      <c r="O111" s="21">
        <v>6419606</v>
      </c>
      <c r="P111" s="8" t="s">
        <v>261</v>
      </c>
    </row>
    <row r="112" spans="1:16">
      <c r="A112" s="13" t="s">
        <v>423</v>
      </c>
      <c r="B112" s="12"/>
      <c r="C112" s="12"/>
      <c r="D112" t="str">
        <f t="shared" si="4"/>
        <v/>
      </c>
      <c r="E112" s="27">
        <v>4.5999999999999999E-3</v>
      </c>
      <c r="F112" s="9">
        <f t="shared" si="5"/>
        <v>-2.3372421683184261</v>
      </c>
      <c r="G112" s="27">
        <f>87</f>
        <v>87</v>
      </c>
      <c r="H112" s="44">
        <f t="shared" si="10"/>
        <v>5.2873563218390803E-5</v>
      </c>
      <c r="I112" s="12">
        <f t="shared" si="6"/>
        <v>-4.2767614209370448</v>
      </c>
      <c r="J112" s="8" t="s">
        <v>103</v>
      </c>
      <c r="K112" s="8">
        <v>33</v>
      </c>
      <c r="L112" s="8" t="s">
        <v>260</v>
      </c>
      <c r="M112" s="8" t="s">
        <v>424</v>
      </c>
      <c r="N112" s="8">
        <v>410798</v>
      </c>
      <c r="O112" s="21">
        <v>6419225</v>
      </c>
      <c r="P112" s="8" t="s">
        <v>261</v>
      </c>
    </row>
    <row r="113" spans="1:16">
      <c r="A113" s="13" t="s">
        <v>425</v>
      </c>
      <c r="B113" s="12"/>
      <c r="C113" s="12"/>
      <c r="D113" t="str">
        <f t="shared" si="4"/>
        <v/>
      </c>
      <c r="E113" s="27">
        <v>5.0000000000000001E-4</v>
      </c>
      <c r="F113" s="9">
        <f t="shared" si="5"/>
        <v>-3.3010299956639813</v>
      </c>
      <c r="G113" s="27">
        <f>48</f>
        <v>48</v>
      </c>
      <c r="H113" s="44">
        <f t="shared" si="10"/>
        <v>1.0416666666666666E-5</v>
      </c>
      <c r="I113" s="12">
        <f t="shared" si="6"/>
        <v>-4.9822712330395689</v>
      </c>
      <c r="J113" s="8" t="s">
        <v>103</v>
      </c>
      <c r="K113" s="8">
        <v>33</v>
      </c>
      <c r="L113" s="8" t="s">
        <v>319</v>
      </c>
      <c r="M113" s="8" t="s">
        <v>426</v>
      </c>
      <c r="N113" s="8">
        <v>412359</v>
      </c>
      <c r="O113" s="21">
        <v>6416420</v>
      </c>
      <c r="P113" s="8" t="s">
        <v>261</v>
      </c>
    </row>
    <row r="114" spans="1:16">
      <c r="A114" s="13" t="s">
        <v>427</v>
      </c>
      <c r="B114" s="12"/>
      <c r="C114" s="12"/>
      <c r="D114" t="str">
        <f t="shared" si="4"/>
        <v/>
      </c>
      <c r="E114" s="27">
        <v>4.8999999999999998E-3</v>
      </c>
      <c r="F114" s="9">
        <f t="shared" si="5"/>
        <v>-2.3098039199714862</v>
      </c>
      <c r="G114" s="27">
        <f>73</f>
        <v>73</v>
      </c>
      <c r="H114" s="44">
        <f t="shared" si="10"/>
        <v>6.7123287671232878E-5</v>
      </c>
      <c r="I114" s="12">
        <f t="shared" si="6"/>
        <v>-4.173126780091942</v>
      </c>
      <c r="J114" s="8" t="s">
        <v>103</v>
      </c>
      <c r="K114" s="8">
        <v>33</v>
      </c>
      <c r="L114" s="8" t="s">
        <v>260</v>
      </c>
      <c r="M114" s="8" t="s">
        <v>428</v>
      </c>
      <c r="N114" s="8">
        <v>406748</v>
      </c>
      <c r="O114" s="21">
        <v>6420074</v>
      </c>
      <c r="P114" s="8" t="s">
        <v>261</v>
      </c>
    </row>
    <row r="115" spans="1:16">
      <c r="A115" s="13" t="s">
        <v>429</v>
      </c>
      <c r="B115" s="12"/>
      <c r="C115" s="12"/>
      <c r="D115" t="str">
        <f t="shared" si="4"/>
        <v/>
      </c>
      <c r="E115" s="27">
        <v>5.7999999999999996E-3</v>
      </c>
      <c r="F115" s="9">
        <f t="shared" si="5"/>
        <v>-2.2365720064370627</v>
      </c>
      <c r="G115" s="27">
        <f>69</f>
        <v>69</v>
      </c>
      <c r="H115" s="44">
        <f t="shared" si="10"/>
        <v>8.4057971014492742E-5</v>
      </c>
      <c r="I115" s="12">
        <f t="shared" si="6"/>
        <v>-4.0754210971743179</v>
      </c>
      <c r="J115" s="8" t="s">
        <v>103</v>
      </c>
      <c r="K115" s="8">
        <v>33</v>
      </c>
      <c r="L115" s="8" t="s">
        <v>322</v>
      </c>
      <c r="M115" s="8" t="s">
        <v>430</v>
      </c>
      <c r="N115" s="8">
        <v>410881</v>
      </c>
      <c r="O115" s="21">
        <v>6411567</v>
      </c>
      <c r="P115" s="8" t="s">
        <v>261</v>
      </c>
    </row>
    <row r="116" spans="1:16">
      <c r="A116" s="13" t="s">
        <v>431</v>
      </c>
      <c r="B116" s="12"/>
      <c r="C116" s="12"/>
      <c r="D116" t="str">
        <f t="shared" si="4"/>
        <v/>
      </c>
      <c r="E116" s="27">
        <v>5.4999999999999997E-3</v>
      </c>
      <c r="F116" s="9">
        <f t="shared" si="5"/>
        <v>-2.2596373105057563</v>
      </c>
      <c r="G116" s="27">
        <f>59</f>
        <v>59</v>
      </c>
      <c r="H116" s="44">
        <f t="shared" si="10"/>
        <v>9.3220338983050836E-5</v>
      </c>
      <c r="I116" s="12">
        <f t="shared" si="6"/>
        <v>-4.0304893221479006</v>
      </c>
      <c r="J116" s="8" t="s">
        <v>103</v>
      </c>
      <c r="K116" s="8">
        <v>33</v>
      </c>
      <c r="L116" s="8" t="s">
        <v>322</v>
      </c>
      <c r="M116" s="8" t="s">
        <v>430</v>
      </c>
      <c r="N116" s="8">
        <v>411044</v>
      </c>
      <c r="O116" s="21">
        <v>6411815</v>
      </c>
      <c r="P116" s="8" t="s">
        <v>261</v>
      </c>
    </row>
    <row r="117" spans="1:16">
      <c r="A117" s="13" t="s">
        <v>432</v>
      </c>
      <c r="B117" s="12"/>
      <c r="C117" s="12"/>
      <c r="D117" t="str">
        <f t="shared" si="4"/>
        <v/>
      </c>
      <c r="E117" s="27">
        <v>4.1999999999999997E-3</v>
      </c>
      <c r="F117" s="9">
        <f t="shared" si="5"/>
        <v>-2.3767507096020997</v>
      </c>
      <c r="G117" s="27">
        <f>65</f>
        <v>65</v>
      </c>
      <c r="H117" s="44">
        <f t="shared" si="10"/>
        <v>6.4615384615384616E-5</v>
      </c>
      <c r="I117" s="12">
        <f t="shared" si="6"/>
        <v>-4.1896640662449549</v>
      </c>
      <c r="J117" s="8" t="s">
        <v>103</v>
      </c>
      <c r="K117" s="8">
        <v>33</v>
      </c>
      <c r="L117" s="8" t="s">
        <v>433</v>
      </c>
      <c r="M117" s="8" t="s">
        <v>434</v>
      </c>
      <c r="N117" s="8">
        <v>408290</v>
      </c>
      <c r="O117" s="21">
        <v>6413669</v>
      </c>
      <c r="P117" s="8" t="s">
        <v>261</v>
      </c>
    </row>
    <row r="118" spans="1:16">
      <c r="A118" s="13" t="s">
        <v>435</v>
      </c>
      <c r="B118" s="12"/>
      <c r="C118" s="12"/>
      <c r="D118" t="str">
        <f t="shared" si="4"/>
        <v/>
      </c>
      <c r="E118" s="27">
        <v>2E-3</v>
      </c>
      <c r="F118" s="9">
        <f t="shared" si="5"/>
        <v>-2.6989700043360187</v>
      </c>
      <c r="G118" s="27">
        <f>93</f>
        <v>93</v>
      </c>
      <c r="H118" s="44">
        <f t="shared" si="10"/>
        <v>2.1505376344086024E-5</v>
      </c>
      <c r="I118" s="12">
        <f t="shared" si="6"/>
        <v>-4.6674529528899535</v>
      </c>
      <c r="J118" s="8" t="s">
        <v>103</v>
      </c>
      <c r="K118" s="8">
        <v>33</v>
      </c>
      <c r="L118" s="8" t="s">
        <v>319</v>
      </c>
      <c r="M118" s="8" t="s">
        <v>436</v>
      </c>
      <c r="N118" s="8">
        <v>409049</v>
      </c>
      <c r="O118" s="21">
        <v>6419302</v>
      </c>
      <c r="P118" s="8" t="s">
        <v>261</v>
      </c>
    </row>
    <row r="119" spans="1:16">
      <c r="A119" s="13" t="s">
        <v>437</v>
      </c>
      <c r="B119" s="12"/>
      <c r="C119" s="12"/>
      <c r="D119" t="str">
        <f t="shared" si="4"/>
        <v/>
      </c>
      <c r="E119" s="27">
        <v>5.0000000000000001E-3</v>
      </c>
      <c r="F119" s="9">
        <f t="shared" si="5"/>
        <v>-2.3010299956639813</v>
      </c>
      <c r="G119" s="27">
        <f>69</f>
        <v>69</v>
      </c>
      <c r="H119" s="44">
        <f t="shared" si="10"/>
        <v>7.2463768115942027E-5</v>
      </c>
      <c r="I119" s="12">
        <f t="shared" si="6"/>
        <v>-4.1398790864012369</v>
      </c>
      <c r="J119" s="8" t="s">
        <v>103</v>
      </c>
      <c r="K119" s="8">
        <v>33</v>
      </c>
      <c r="L119" s="8" t="s">
        <v>433</v>
      </c>
      <c r="M119" s="8" t="s">
        <v>438</v>
      </c>
      <c r="N119" s="8">
        <v>410349</v>
      </c>
      <c r="O119" s="21">
        <v>6411372</v>
      </c>
      <c r="P119" s="8" t="s">
        <v>261</v>
      </c>
    </row>
    <row r="120" spans="1:16">
      <c r="A120" s="13" t="s">
        <v>439</v>
      </c>
      <c r="B120" s="12"/>
      <c r="C120" s="12"/>
      <c r="D120" t="str">
        <f t="shared" si="4"/>
        <v/>
      </c>
      <c r="E120" s="27">
        <v>5.7999999999999996E-3</v>
      </c>
      <c r="F120" s="9">
        <f t="shared" si="5"/>
        <v>-2.2365720064370627</v>
      </c>
      <c r="G120" s="27">
        <f>73</f>
        <v>73</v>
      </c>
      <c r="H120" s="44">
        <f t="shared" si="10"/>
        <v>7.9452054794520549E-5</v>
      </c>
      <c r="I120" s="12">
        <f t="shared" si="6"/>
        <v>-4.099894866557519</v>
      </c>
      <c r="J120" s="8" t="s">
        <v>103</v>
      </c>
      <c r="K120" s="8">
        <v>33</v>
      </c>
      <c r="L120" s="8" t="s">
        <v>319</v>
      </c>
      <c r="M120" s="8" t="s">
        <v>440</v>
      </c>
      <c r="N120" s="8">
        <v>407287</v>
      </c>
      <c r="O120" s="21">
        <v>6417050</v>
      </c>
      <c r="P120" s="8" t="s">
        <v>261</v>
      </c>
    </row>
    <row r="121" spans="1:16">
      <c r="A121" s="13" t="s">
        <v>317</v>
      </c>
      <c r="B121" s="12"/>
      <c r="C121" s="12"/>
      <c r="D121" t="str">
        <f t="shared" si="4"/>
        <v/>
      </c>
      <c r="E121" s="27">
        <v>3.5999999999999999E-3</v>
      </c>
      <c r="F121" s="9">
        <f t="shared" si="5"/>
        <v>-2.4436974992327127</v>
      </c>
      <c r="G121" s="27">
        <f>65</f>
        <v>65</v>
      </c>
      <c r="H121" s="44">
        <f t="shared" si="10"/>
        <v>5.538461538461538E-5</v>
      </c>
      <c r="I121" s="12">
        <f t="shared" si="6"/>
        <v>-4.256610855875568</v>
      </c>
      <c r="J121" s="8" t="s">
        <v>103</v>
      </c>
      <c r="K121" s="8">
        <v>33</v>
      </c>
      <c r="L121" s="8" t="s">
        <v>319</v>
      </c>
      <c r="M121" s="8" t="s">
        <v>320</v>
      </c>
      <c r="N121" s="8">
        <v>408859</v>
      </c>
      <c r="O121" s="21">
        <v>6417381</v>
      </c>
      <c r="P121" s="8" t="s">
        <v>261</v>
      </c>
    </row>
    <row r="122" spans="1:16">
      <c r="A122" s="13" t="s">
        <v>441</v>
      </c>
      <c r="B122" s="12"/>
      <c r="C122" s="12"/>
      <c r="D122" t="str">
        <f t="shared" si="4"/>
        <v/>
      </c>
      <c r="E122" s="27">
        <v>4.4999999999999997E-3</v>
      </c>
      <c r="F122" s="9">
        <f t="shared" si="5"/>
        <v>-2.3467874862246565</v>
      </c>
      <c r="G122" s="27">
        <f>59</f>
        <v>59</v>
      </c>
      <c r="H122" s="44">
        <f t="shared" si="10"/>
        <v>7.6271186440677962E-5</v>
      </c>
      <c r="I122" s="12">
        <f t="shared" si="6"/>
        <v>-4.1176394978668007</v>
      </c>
      <c r="J122" s="8" t="s">
        <v>103</v>
      </c>
      <c r="K122" s="8">
        <v>33</v>
      </c>
      <c r="L122" s="8" t="s">
        <v>322</v>
      </c>
      <c r="M122" s="8" t="s">
        <v>442</v>
      </c>
      <c r="N122" s="8">
        <v>412035</v>
      </c>
      <c r="O122" s="21">
        <v>6413343</v>
      </c>
      <c r="P122" s="8" t="s">
        <v>261</v>
      </c>
    </row>
    <row r="123" spans="1:16">
      <c r="A123" s="13" t="s">
        <v>321</v>
      </c>
      <c r="B123" s="12"/>
      <c r="C123" s="12"/>
      <c r="D123" t="str">
        <f t="shared" si="4"/>
        <v/>
      </c>
      <c r="E123" s="27">
        <v>5.7999999999999996E-3</v>
      </c>
      <c r="F123" s="9">
        <f t="shared" si="5"/>
        <v>-2.2365720064370627</v>
      </c>
      <c r="G123" s="27">
        <f>59</f>
        <v>59</v>
      </c>
      <c r="H123" s="44">
        <f t="shared" si="10"/>
        <v>9.8305084745762709E-5</v>
      </c>
      <c r="I123" s="12">
        <f t="shared" si="6"/>
        <v>-4.0074240180792069</v>
      </c>
      <c r="J123" s="8" t="s">
        <v>103</v>
      </c>
      <c r="K123" s="8">
        <v>33</v>
      </c>
      <c r="L123" s="8" t="s">
        <v>322</v>
      </c>
      <c r="M123" s="8" t="s">
        <v>323</v>
      </c>
      <c r="N123" s="8">
        <v>411080</v>
      </c>
      <c r="O123" s="21">
        <v>6412434</v>
      </c>
      <c r="P123" s="8" t="s">
        <v>261</v>
      </c>
    </row>
    <row r="124" spans="1:16">
      <c r="A124" s="13" t="s">
        <v>324</v>
      </c>
      <c r="B124" s="12"/>
      <c r="C124" s="12"/>
      <c r="D124" t="str">
        <f t="shared" si="4"/>
        <v/>
      </c>
      <c r="E124" s="27">
        <v>5.3E-3</v>
      </c>
      <c r="F124" s="9">
        <f t="shared" si="5"/>
        <v>-2.2757241303992108</v>
      </c>
      <c r="G124" s="27">
        <f>57</f>
        <v>57</v>
      </c>
      <c r="H124" s="44">
        <f t="shared" si="10"/>
        <v>9.2982456140350872E-5</v>
      </c>
      <c r="I124" s="12">
        <f t="shared" si="6"/>
        <v>-4.0315989860717023</v>
      </c>
      <c r="J124" s="8" t="s">
        <v>103</v>
      </c>
      <c r="K124" s="8">
        <v>33</v>
      </c>
      <c r="L124" s="8" t="s">
        <v>322</v>
      </c>
      <c r="M124" s="8" t="s">
        <v>325</v>
      </c>
      <c r="N124" s="8">
        <v>410182</v>
      </c>
      <c r="O124" s="21">
        <v>6414662</v>
      </c>
      <c r="P124" s="8" t="s">
        <v>261</v>
      </c>
    </row>
    <row r="125" spans="1:16">
      <c r="A125" s="13" t="s">
        <v>443</v>
      </c>
      <c r="B125" s="12"/>
      <c r="C125" s="12"/>
      <c r="D125" t="str">
        <f t="shared" si="4"/>
        <v/>
      </c>
      <c r="E125" s="27">
        <v>9.1999999999999998E-3</v>
      </c>
      <c r="F125" s="9">
        <f t="shared" si="5"/>
        <v>-2.0362121726544449</v>
      </c>
      <c r="G125" s="27"/>
      <c r="H125" s="10"/>
      <c r="I125" s="12" t="str">
        <f t="shared" si="6"/>
        <v/>
      </c>
      <c r="J125" s="8" t="s">
        <v>103</v>
      </c>
      <c r="K125" s="8">
        <v>33</v>
      </c>
      <c r="L125" s="8" t="s">
        <v>444</v>
      </c>
      <c r="M125" s="8" t="s">
        <v>445</v>
      </c>
      <c r="N125" s="8">
        <v>414646</v>
      </c>
      <c r="O125" s="21">
        <v>6416069</v>
      </c>
      <c r="P125" s="8" t="s">
        <v>261</v>
      </c>
    </row>
    <row r="126" spans="1:16">
      <c r="A126" s="13" t="s">
        <v>446</v>
      </c>
      <c r="B126" s="12"/>
      <c r="C126" s="12"/>
      <c r="D126" t="str">
        <f t="shared" si="4"/>
        <v/>
      </c>
      <c r="E126" s="27">
        <v>1.2999999999999999E-3</v>
      </c>
      <c r="F126" s="9">
        <f t="shared" si="5"/>
        <v>-2.8860566476931631</v>
      </c>
      <c r="G126" s="27">
        <f>37</f>
        <v>37</v>
      </c>
      <c r="H126" s="44">
        <f>E126/G126</f>
        <v>3.5135135135135132E-5</v>
      </c>
      <c r="I126" s="12">
        <f t="shared" si="6"/>
        <v>-4.454258371760158</v>
      </c>
      <c r="J126" s="8" t="s">
        <v>103</v>
      </c>
      <c r="K126" s="8">
        <v>33</v>
      </c>
      <c r="L126" s="8" t="s">
        <v>444</v>
      </c>
      <c r="M126" s="8" t="s">
        <v>447</v>
      </c>
      <c r="N126" s="8">
        <v>413558</v>
      </c>
      <c r="O126" s="21">
        <v>6415771</v>
      </c>
      <c r="P126" s="8" t="s">
        <v>261</v>
      </c>
    </row>
    <row r="127" spans="1:16">
      <c r="A127" s="13" t="s">
        <v>448</v>
      </c>
      <c r="B127" s="12"/>
      <c r="C127" s="12"/>
      <c r="D127" t="str">
        <f t="shared" si="4"/>
        <v/>
      </c>
      <c r="E127" s="27">
        <v>5.0000000000000001E-3</v>
      </c>
      <c r="F127" s="9">
        <f t="shared" si="5"/>
        <v>-2.3010299956639813</v>
      </c>
      <c r="G127" s="27"/>
      <c r="H127" s="10"/>
      <c r="I127" s="12" t="str">
        <f t="shared" si="6"/>
        <v/>
      </c>
      <c r="J127" s="8" t="s">
        <v>103</v>
      </c>
      <c r="K127" s="8">
        <v>33</v>
      </c>
      <c r="L127" s="8" t="s">
        <v>444</v>
      </c>
      <c r="M127" s="8" t="s">
        <v>449</v>
      </c>
      <c r="N127" s="8">
        <v>415311</v>
      </c>
      <c r="O127" s="21">
        <v>6414741</v>
      </c>
      <c r="P127" s="8" t="s">
        <v>261</v>
      </c>
    </row>
    <row r="128" spans="1:16">
      <c r="A128" s="13" t="s">
        <v>450</v>
      </c>
      <c r="B128" s="12"/>
      <c r="C128" s="12"/>
      <c r="D128" t="str">
        <f t="shared" si="4"/>
        <v/>
      </c>
      <c r="E128" s="27">
        <v>2.4E-2</v>
      </c>
      <c r="F128" s="9">
        <f t="shared" si="5"/>
        <v>-1.6197887582883939</v>
      </c>
      <c r="G128" s="27"/>
      <c r="H128" s="10"/>
      <c r="I128" s="12" t="str">
        <f t="shared" si="6"/>
        <v/>
      </c>
      <c r="J128" s="8" t="s">
        <v>103</v>
      </c>
      <c r="K128" s="8">
        <v>33</v>
      </c>
      <c r="L128" s="8" t="s">
        <v>451</v>
      </c>
      <c r="M128" s="8" t="s">
        <v>452</v>
      </c>
      <c r="N128" s="8">
        <v>417016</v>
      </c>
      <c r="O128" s="21">
        <v>6416284</v>
      </c>
      <c r="P128" s="8" t="s">
        <v>261</v>
      </c>
    </row>
    <row r="129" spans="1:16">
      <c r="A129" s="13" t="s">
        <v>453</v>
      </c>
      <c r="B129" s="12"/>
      <c r="C129" s="12"/>
      <c r="D129" t="str">
        <f t="shared" si="4"/>
        <v/>
      </c>
      <c r="E129" s="27">
        <v>3.3E-4</v>
      </c>
      <c r="F129" s="9">
        <f t="shared" si="5"/>
        <v>-3.4814860601221125</v>
      </c>
      <c r="G129" s="27">
        <f>48</f>
        <v>48</v>
      </c>
      <c r="H129" s="44">
        <f>E129/G129</f>
        <v>6.8750000000000002E-6</v>
      </c>
      <c r="I129" s="12">
        <f t="shared" si="6"/>
        <v>-5.1627272974976997</v>
      </c>
      <c r="J129" s="8" t="s">
        <v>103</v>
      </c>
      <c r="K129" s="8">
        <v>33</v>
      </c>
      <c r="L129" s="8" t="s">
        <v>444</v>
      </c>
      <c r="M129" s="8" t="s">
        <v>454</v>
      </c>
      <c r="N129" s="8">
        <v>412944</v>
      </c>
      <c r="O129" s="21">
        <v>6415964</v>
      </c>
      <c r="P129" s="8" t="s">
        <v>261</v>
      </c>
    </row>
    <row r="130" spans="1:16">
      <c r="A130" s="13" t="s">
        <v>455</v>
      </c>
      <c r="B130" s="12"/>
      <c r="C130" s="12"/>
      <c r="D130" t="str">
        <f t="shared" si="4"/>
        <v/>
      </c>
      <c r="E130" s="27">
        <v>1.0999999999999999E-2</v>
      </c>
      <c r="F130" s="9">
        <f t="shared" si="5"/>
        <v>-1.9586073148417751</v>
      </c>
      <c r="G130" s="27"/>
      <c r="H130" s="10"/>
      <c r="I130" s="12" t="str">
        <f t="shared" si="6"/>
        <v/>
      </c>
      <c r="J130" s="8" t="s">
        <v>103</v>
      </c>
      <c r="K130" s="8">
        <v>33</v>
      </c>
      <c r="L130" s="8" t="s">
        <v>444</v>
      </c>
      <c r="M130" s="8" t="s">
        <v>456</v>
      </c>
      <c r="N130" s="8">
        <v>414547</v>
      </c>
      <c r="O130" s="21">
        <v>6414319</v>
      </c>
      <c r="P130" s="8" t="s">
        <v>261</v>
      </c>
    </row>
    <row r="131" spans="1:16">
      <c r="A131" s="13" t="s">
        <v>457</v>
      </c>
      <c r="B131" s="12"/>
      <c r="C131" s="12"/>
      <c r="D131" t="str">
        <f t="shared" ref="D131:D194" si="11">IFERROR(LOG10(C131),"")</f>
        <v/>
      </c>
      <c r="E131" s="27">
        <v>1.9E-3</v>
      </c>
      <c r="F131" s="9">
        <f t="shared" ref="F131:F194" si="12">IFERROR(LOG10(E131),"")</f>
        <v>-2.7212463990471711</v>
      </c>
      <c r="G131" s="27"/>
      <c r="H131" s="10"/>
      <c r="I131" s="12" t="str">
        <f t="shared" ref="I131:I194" si="13">IFERROR(LOG10(H131),"")</f>
        <v/>
      </c>
      <c r="J131" s="8" t="s">
        <v>103</v>
      </c>
      <c r="K131" s="8">
        <v>33</v>
      </c>
      <c r="L131" s="8" t="s">
        <v>319</v>
      </c>
      <c r="M131" s="8" t="s">
        <v>458</v>
      </c>
      <c r="N131" s="8">
        <v>414378</v>
      </c>
      <c r="O131" s="21">
        <v>6418025</v>
      </c>
      <c r="P131" s="8" t="s">
        <v>261</v>
      </c>
    </row>
    <row r="132" spans="1:16">
      <c r="A132" s="13" t="s">
        <v>459</v>
      </c>
      <c r="B132" s="12"/>
      <c r="C132" s="12"/>
      <c r="D132" t="str">
        <f t="shared" si="11"/>
        <v/>
      </c>
      <c r="E132" s="27">
        <v>1.6000000000000001E-3</v>
      </c>
      <c r="F132" s="9">
        <f t="shared" si="12"/>
        <v>-2.795880017344075</v>
      </c>
      <c r="G132" s="27">
        <f>37</f>
        <v>37</v>
      </c>
      <c r="H132" s="44">
        <f>E132/G132</f>
        <v>4.3243243243243248E-5</v>
      </c>
      <c r="I132" s="12">
        <f t="shared" si="13"/>
        <v>-4.36408174141107</v>
      </c>
      <c r="J132" s="8" t="s">
        <v>103</v>
      </c>
      <c r="K132" s="8">
        <v>33</v>
      </c>
      <c r="L132" s="8" t="s">
        <v>444</v>
      </c>
      <c r="M132" s="8" t="s">
        <v>460</v>
      </c>
      <c r="N132" s="8">
        <v>412623</v>
      </c>
      <c r="O132" s="21">
        <v>6414848</v>
      </c>
      <c r="P132" s="8" t="s">
        <v>261</v>
      </c>
    </row>
    <row r="133" spans="1:16">
      <c r="A133" s="13" t="s">
        <v>461</v>
      </c>
      <c r="B133" s="12"/>
      <c r="C133" s="12"/>
      <c r="D133" t="str">
        <f t="shared" si="11"/>
        <v/>
      </c>
      <c r="E133" s="27">
        <v>1.6000000000000001E-3</v>
      </c>
      <c r="F133" s="9">
        <f t="shared" si="12"/>
        <v>-2.795880017344075</v>
      </c>
      <c r="G133" s="27"/>
      <c r="H133" s="10"/>
      <c r="I133" s="12" t="str">
        <f t="shared" si="13"/>
        <v/>
      </c>
      <c r="J133" s="8" t="s">
        <v>103</v>
      </c>
      <c r="K133" s="8">
        <v>33</v>
      </c>
      <c r="L133" s="8" t="s">
        <v>319</v>
      </c>
      <c r="M133" s="8" t="s">
        <v>462</v>
      </c>
      <c r="N133" s="8">
        <v>414449</v>
      </c>
      <c r="O133" s="21">
        <v>6417519</v>
      </c>
      <c r="P133" s="8" t="s">
        <v>261</v>
      </c>
    </row>
    <row r="134" spans="1:16">
      <c r="A134" s="13" t="s">
        <v>463</v>
      </c>
      <c r="B134" s="12"/>
      <c r="C134" s="12"/>
      <c r="D134" t="str">
        <f t="shared" si="11"/>
        <v/>
      </c>
      <c r="E134" s="27">
        <v>1.66E-2</v>
      </c>
      <c r="F134" s="9">
        <f t="shared" si="12"/>
        <v>-1.779891911959945</v>
      </c>
      <c r="G134" s="27"/>
      <c r="H134" s="10"/>
      <c r="I134" s="12" t="str">
        <f t="shared" si="13"/>
        <v/>
      </c>
      <c r="J134" s="8" t="s">
        <v>103</v>
      </c>
      <c r="K134" s="8">
        <v>33</v>
      </c>
      <c r="L134" s="8" t="s">
        <v>451</v>
      </c>
      <c r="M134" s="8" t="s">
        <v>464</v>
      </c>
      <c r="N134" s="8">
        <v>417016</v>
      </c>
      <c r="O134" s="21">
        <v>6416284</v>
      </c>
      <c r="P134" s="8" t="s">
        <v>261</v>
      </c>
    </row>
    <row r="135" spans="1:16">
      <c r="A135" s="13" t="s">
        <v>465</v>
      </c>
      <c r="B135" s="12"/>
      <c r="C135" s="12"/>
      <c r="D135" t="str">
        <f t="shared" si="11"/>
        <v/>
      </c>
      <c r="E135" s="27">
        <v>4.0000000000000002E-4</v>
      </c>
      <c r="F135" s="9">
        <f t="shared" si="12"/>
        <v>-3.3979400086720375</v>
      </c>
      <c r="G135" s="27"/>
      <c r="H135" s="10"/>
      <c r="I135" s="12" t="str">
        <f t="shared" si="13"/>
        <v/>
      </c>
      <c r="J135" s="8" t="s">
        <v>103</v>
      </c>
      <c r="K135" s="8">
        <v>33</v>
      </c>
      <c r="L135" s="8" t="s">
        <v>466</v>
      </c>
      <c r="M135" s="8" t="s">
        <v>467</v>
      </c>
      <c r="N135" s="8">
        <v>415316</v>
      </c>
      <c r="O135" s="21">
        <v>6417210</v>
      </c>
      <c r="P135" s="8" t="s">
        <v>261</v>
      </c>
    </row>
    <row r="136" spans="1:16">
      <c r="A136" s="13" t="s">
        <v>468</v>
      </c>
      <c r="B136" s="12"/>
      <c r="C136" s="12"/>
      <c r="D136" t="str">
        <f t="shared" si="11"/>
        <v/>
      </c>
      <c r="E136" s="27">
        <v>5.7000000000000002E-3</v>
      </c>
      <c r="F136" s="9">
        <f t="shared" si="12"/>
        <v>-2.2441251443275085</v>
      </c>
      <c r="G136" s="27"/>
      <c r="H136" s="10"/>
      <c r="I136" s="12" t="str">
        <f t="shared" si="13"/>
        <v/>
      </c>
      <c r="J136" s="8" t="s">
        <v>103</v>
      </c>
      <c r="K136" s="8">
        <v>33</v>
      </c>
      <c r="L136" s="8" t="s">
        <v>466</v>
      </c>
      <c r="M136" s="8" t="s">
        <v>469</v>
      </c>
      <c r="N136" s="8">
        <v>417267</v>
      </c>
      <c r="O136" s="21">
        <v>6418411</v>
      </c>
      <c r="P136" s="8" t="s">
        <v>261</v>
      </c>
    </row>
    <row r="137" spans="1:16">
      <c r="A137" s="13" t="s">
        <v>470</v>
      </c>
      <c r="B137" s="12"/>
      <c r="C137" s="12"/>
      <c r="D137" t="str">
        <f t="shared" si="11"/>
        <v/>
      </c>
      <c r="E137" s="27">
        <v>4.4000000000000003E-3</v>
      </c>
      <c r="F137" s="9">
        <f t="shared" si="12"/>
        <v>-2.3565473235138126</v>
      </c>
      <c r="G137" s="27">
        <f>43</f>
        <v>43</v>
      </c>
      <c r="H137" s="44">
        <f>E137/G137</f>
        <v>1.0232558139534885E-4</v>
      </c>
      <c r="I137" s="12">
        <f t="shared" si="13"/>
        <v>-3.9900157790933992</v>
      </c>
      <c r="J137" s="8" t="s">
        <v>103</v>
      </c>
      <c r="K137" s="8">
        <v>33</v>
      </c>
      <c r="L137" s="8" t="s">
        <v>334</v>
      </c>
      <c r="M137" s="8" t="s">
        <v>42</v>
      </c>
      <c r="N137" s="8">
        <v>414844</v>
      </c>
      <c r="O137" s="21">
        <v>6401254</v>
      </c>
      <c r="P137" s="8" t="s">
        <v>261</v>
      </c>
    </row>
    <row r="138" spans="1:16">
      <c r="A138" s="13" t="s">
        <v>331</v>
      </c>
      <c r="B138" s="12"/>
      <c r="C138" s="12"/>
      <c r="D138" t="str">
        <f t="shared" si="11"/>
        <v/>
      </c>
      <c r="E138" s="27">
        <v>4.1999999999999997E-3</v>
      </c>
      <c r="F138" s="9">
        <f t="shared" si="12"/>
        <v>-2.3767507096020997</v>
      </c>
      <c r="G138" s="27">
        <f>29</f>
        <v>29</v>
      </c>
      <c r="H138" s="44">
        <f t="shared" ref="H138:H144" si="14">E138/G138</f>
        <v>1.4482758620689654E-4</v>
      </c>
      <c r="I138" s="12">
        <f t="shared" si="13"/>
        <v>-3.8391487075010557</v>
      </c>
      <c r="J138" s="8" t="s">
        <v>103</v>
      </c>
      <c r="K138" s="8">
        <v>33</v>
      </c>
      <c r="L138" s="8" t="s">
        <v>329</v>
      </c>
      <c r="M138" s="8" t="s">
        <v>332</v>
      </c>
      <c r="N138" s="8">
        <v>414683</v>
      </c>
      <c r="O138" s="21">
        <v>6408920</v>
      </c>
      <c r="P138" s="8" t="s">
        <v>261</v>
      </c>
    </row>
    <row r="139" spans="1:16">
      <c r="A139" s="13" t="s">
        <v>333</v>
      </c>
      <c r="B139" s="12"/>
      <c r="C139" s="12"/>
      <c r="D139" t="str">
        <f t="shared" si="11"/>
        <v/>
      </c>
      <c r="E139" s="27">
        <v>1.8E-3</v>
      </c>
      <c r="F139" s="9">
        <f t="shared" si="12"/>
        <v>-2.744727494896694</v>
      </c>
      <c r="G139" s="27">
        <f>58</f>
        <v>58</v>
      </c>
      <c r="H139" s="44">
        <f t="shared" si="14"/>
        <v>3.1034482758620692E-5</v>
      </c>
      <c r="I139" s="12">
        <f t="shared" si="13"/>
        <v>-4.5081554884596313</v>
      </c>
      <c r="J139" s="8" t="s">
        <v>103</v>
      </c>
      <c r="K139" s="8">
        <v>33</v>
      </c>
      <c r="L139" s="8" t="s">
        <v>334</v>
      </c>
      <c r="M139" s="8" t="s">
        <v>335</v>
      </c>
      <c r="N139" s="8">
        <v>414828</v>
      </c>
      <c r="O139" s="21">
        <v>6402281</v>
      </c>
      <c r="P139" s="8" t="s">
        <v>261</v>
      </c>
    </row>
    <row r="140" spans="1:16">
      <c r="A140" s="13" t="s">
        <v>338</v>
      </c>
      <c r="B140" s="12"/>
      <c r="C140" s="12"/>
      <c r="D140" t="str">
        <f t="shared" si="11"/>
        <v/>
      </c>
      <c r="E140" s="27">
        <v>2.8999999999999998E-3</v>
      </c>
      <c r="F140" s="9">
        <f t="shared" si="12"/>
        <v>-2.5376020021010439</v>
      </c>
      <c r="G140" s="27">
        <f>66</f>
        <v>66</v>
      </c>
      <c r="H140" s="44">
        <f t="shared" si="14"/>
        <v>4.3939393939393937E-5</v>
      </c>
      <c r="I140" s="12">
        <f t="shared" si="13"/>
        <v>-4.3571459376429127</v>
      </c>
      <c r="J140" s="8" t="s">
        <v>103</v>
      </c>
      <c r="K140" s="8">
        <v>33</v>
      </c>
      <c r="L140" s="8" t="s">
        <v>329</v>
      </c>
      <c r="M140" s="8" t="s">
        <v>339</v>
      </c>
      <c r="N140" s="8">
        <v>414404</v>
      </c>
      <c r="O140" s="21">
        <v>6407332</v>
      </c>
      <c r="P140" s="8" t="s">
        <v>261</v>
      </c>
    </row>
    <row r="141" spans="1:16">
      <c r="A141" s="13" t="s">
        <v>340</v>
      </c>
      <c r="B141" s="12"/>
      <c r="C141" s="12"/>
      <c r="D141" t="str">
        <f t="shared" si="11"/>
        <v/>
      </c>
      <c r="E141" s="27">
        <v>1E-3</v>
      </c>
      <c r="F141" s="9">
        <f t="shared" si="12"/>
        <v>-3</v>
      </c>
      <c r="G141" s="27">
        <f>60</f>
        <v>60</v>
      </c>
      <c r="H141" s="44">
        <f t="shared" si="14"/>
        <v>1.6666666666666667E-5</v>
      </c>
      <c r="I141" s="12">
        <f t="shared" si="13"/>
        <v>-4.7781512503836439</v>
      </c>
      <c r="J141" s="8" t="s">
        <v>103</v>
      </c>
      <c r="K141" s="8">
        <v>33</v>
      </c>
      <c r="L141" s="8" t="s">
        <v>334</v>
      </c>
      <c r="M141" s="8" t="s">
        <v>341</v>
      </c>
      <c r="N141" s="8">
        <v>414528</v>
      </c>
      <c r="O141" s="21">
        <v>6404343</v>
      </c>
      <c r="P141" s="8" t="s">
        <v>261</v>
      </c>
    </row>
    <row r="142" spans="1:16">
      <c r="A142" s="13" t="s">
        <v>342</v>
      </c>
      <c r="B142" s="12"/>
      <c r="C142" s="12"/>
      <c r="D142" t="str">
        <f t="shared" si="11"/>
        <v/>
      </c>
      <c r="E142" s="27">
        <v>3.5000000000000001E-3</v>
      </c>
      <c r="F142" s="9">
        <f t="shared" si="12"/>
        <v>-2.4559319556497243</v>
      </c>
      <c r="G142" s="27">
        <f>43</f>
        <v>43</v>
      </c>
      <c r="H142" s="44">
        <f t="shared" si="14"/>
        <v>8.1395348837209297E-5</v>
      </c>
      <c r="I142" s="12">
        <f t="shared" si="13"/>
        <v>-4.0894004112293105</v>
      </c>
      <c r="J142" s="8" t="s">
        <v>103</v>
      </c>
      <c r="K142" s="8">
        <v>33</v>
      </c>
      <c r="L142" s="8" t="s">
        <v>334</v>
      </c>
      <c r="M142" s="8" t="s">
        <v>344</v>
      </c>
      <c r="N142" s="8">
        <v>415798</v>
      </c>
      <c r="O142" s="21">
        <v>6400869</v>
      </c>
      <c r="P142" s="8" t="s">
        <v>261</v>
      </c>
    </row>
    <row r="143" spans="1:16">
      <c r="A143" s="13" t="s">
        <v>345</v>
      </c>
      <c r="B143" s="12"/>
      <c r="C143" s="12"/>
      <c r="D143" t="str">
        <f t="shared" si="11"/>
        <v/>
      </c>
      <c r="E143" s="27">
        <v>2.2000000000000001E-3</v>
      </c>
      <c r="F143" s="9">
        <f t="shared" si="12"/>
        <v>-2.6575773191777938</v>
      </c>
      <c r="G143" s="27">
        <f>58</f>
        <v>58</v>
      </c>
      <c r="H143" s="44">
        <f t="shared" si="14"/>
        <v>3.7931034482758622E-5</v>
      </c>
      <c r="I143" s="12">
        <f t="shared" si="13"/>
        <v>-4.4210053127407312</v>
      </c>
      <c r="J143" s="8" t="s">
        <v>103</v>
      </c>
      <c r="K143" s="8">
        <v>33</v>
      </c>
      <c r="L143" s="8" t="s">
        <v>346</v>
      </c>
      <c r="M143" s="8" t="s">
        <v>347</v>
      </c>
      <c r="N143" s="8">
        <v>416637</v>
      </c>
      <c r="O143" s="21">
        <v>6406798</v>
      </c>
      <c r="P143" s="8" t="s">
        <v>261</v>
      </c>
    </row>
    <row r="144" spans="1:16">
      <c r="A144" s="13" t="s">
        <v>471</v>
      </c>
      <c r="B144" s="12"/>
      <c r="C144" s="12"/>
      <c r="D144" t="str">
        <f t="shared" si="11"/>
        <v/>
      </c>
      <c r="E144" s="27">
        <v>1.0999999999999999E-2</v>
      </c>
      <c r="F144" s="9">
        <f t="shared" si="12"/>
        <v>-1.9586073148417751</v>
      </c>
      <c r="G144" s="27">
        <f>35</f>
        <v>35</v>
      </c>
      <c r="H144" s="44">
        <f t="shared" si="14"/>
        <v>3.1428571428571427E-4</v>
      </c>
      <c r="I144" s="12">
        <f t="shared" si="13"/>
        <v>-3.5026753591920508</v>
      </c>
      <c r="J144" s="8" t="s">
        <v>103</v>
      </c>
      <c r="K144" s="8">
        <v>33</v>
      </c>
      <c r="L144" s="8" t="s">
        <v>354</v>
      </c>
      <c r="M144" s="8" t="s">
        <v>472</v>
      </c>
      <c r="N144" s="8">
        <v>420277</v>
      </c>
      <c r="O144" s="21">
        <v>6404426</v>
      </c>
      <c r="P144" s="8" t="s">
        <v>261</v>
      </c>
    </row>
    <row r="145" spans="1:16">
      <c r="A145" s="13" t="s">
        <v>353</v>
      </c>
      <c r="B145" s="12"/>
      <c r="C145" s="12"/>
      <c r="D145" t="str">
        <f t="shared" si="11"/>
        <v/>
      </c>
      <c r="E145" s="27">
        <v>0.02</v>
      </c>
      <c r="F145" s="9">
        <f t="shared" si="12"/>
        <v>-1.6989700043360187</v>
      </c>
      <c r="G145" s="27"/>
      <c r="H145" s="10"/>
      <c r="I145" s="12" t="str">
        <f t="shared" si="13"/>
        <v/>
      </c>
      <c r="J145" s="8" t="s">
        <v>103</v>
      </c>
      <c r="K145" s="8">
        <v>33</v>
      </c>
      <c r="L145" s="8" t="s">
        <v>354</v>
      </c>
      <c r="M145" s="8" t="s">
        <v>355</v>
      </c>
      <c r="N145" s="8">
        <v>422838</v>
      </c>
      <c r="O145" s="21">
        <v>6404561</v>
      </c>
      <c r="P145" s="8" t="s">
        <v>261</v>
      </c>
    </row>
    <row r="146" spans="1:16">
      <c r="A146" s="13" t="s">
        <v>473</v>
      </c>
      <c r="B146" s="12"/>
      <c r="C146" s="12"/>
      <c r="D146" t="str">
        <f t="shared" si="11"/>
        <v/>
      </c>
      <c r="E146" s="27">
        <v>2.9999999999999997E-4</v>
      </c>
      <c r="F146" s="9">
        <f t="shared" si="12"/>
        <v>-3.5228787452803374</v>
      </c>
      <c r="G146" s="27"/>
      <c r="H146" s="10"/>
      <c r="I146" s="12" t="str">
        <f t="shared" si="13"/>
        <v/>
      </c>
      <c r="J146" s="8" t="s">
        <v>103</v>
      </c>
      <c r="K146" s="8">
        <v>33</v>
      </c>
      <c r="L146" s="8" t="s">
        <v>357</v>
      </c>
      <c r="M146" s="8" t="s">
        <v>474</v>
      </c>
      <c r="N146" s="8">
        <v>421244</v>
      </c>
      <c r="O146" s="21">
        <v>6407743</v>
      </c>
      <c r="P146" s="8" t="s">
        <v>261</v>
      </c>
    </row>
    <row r="147" spans="1:16">
      <c r="A147" s="13" t="s">
        <v>356</v>
      </c>
      <c r="B147" s="12"/>
      <c r="C147" s="12"/>
      <c r="D147" t="str">
        <f t="shared" si="11"/>
        <v/>
      </c>
      <c r="E147" s="27">
        <v>1.2E-2</v>
      </c>
      <c r="F147" s="9">
        <f t="shared" si="12"/>
        <v>-1.9208187539523751</v>
      </c>
      <c r="G147" s="27"/>
      <c r="H147" s="10"/>
      <c r="I147" s="12" t="str">
        <f t="shared" si="13"/>
        <v/>
      </c>
      <c r="J147" s="8" t="s">
        <v>103</v>
      </c>
      <c r="K147" s="8">
        <v>33</v>
      </c>
      <c r="L147" s="8" t="s">
        <v>357</v>
      </c>
      <c r="M147" s="8" t="s">
        <v>358</v>
      </c>
      <c r="N147" s="8">
        <v>421680</v>
      </c>
      <c r="O147" s="21">
        <v>6406707</v>
      </c>
      <c r="P147" s="8" t="s">
        <v>261</v>
      </c>
    </row>
    <row r="148" spans="1:16">
      <c r="A148" s="13" t="s">
        <v>359</v>
      </c>
      <c r="B148" s="12"/>
      <c r="C148" s="12"/>
      <c r="D148" t="str">
        <f t="shared" si="11"/>
        <v/>
      </c>
      <c r="E148" s="27">
        <v>4.4999999999999998E-2</v>
      </c>
      <c r="F148" s="9">
        <f t="shared" si="12"/>
        <v>-1.3467874862246563</v>
      </c>
      <c r="G148" s="27">
        <f>35</f>
        <v>35</v>
      </c>
      <c r="H148" s="44">
        <f>E148/G148</f>
        <v>1.2857142857142856E-3</v>
      </c>
      <c r="I148" s="12">
        <f t="shared" si="13"/>
        <v>-2.8908555305749322</v>
      </c>
      <c r="J148" s="8" t="s">
        <v>103</v>
      </c>
      <c r="K148" s="8">
        <v>33</v>
      </c>
      <c r="L148" s="8" t="s">
        <v>354</v>
      </c>
      <c r="M148" s="8" t="s">
        <v>360</v>
      </c>
      <c r="N148" s="8">
        <v>421855</v>
      </c>
      <c r="O148" s="21">
        <v>6405270</v>
      </c>
      <c r="P148" s="8" t="s">
        <v>261</v>
      </c>
    </row>
    <row r="149" spans="1:16">
      <c r="A149" s="13" t="s">
        <v>361</v>
      </c>
      <c r="B149" s="12"/>
      <c r="C149" s="12"/>
      <c r="D149" t="str">
        <f t="shared" si="11"/>
        <v/>
      </c>
      <c r="E149" s="27">
        <v>2.8E-3</v>
      </c>
      <c r="F149" s="9">
        <f t="shared" si="12"/>
        <v>-2.5528419686577806</v>
      </c>
      <c r="G149" s="27">
        <f>53</f>
        <v>53</v>
      </c>
      <c r="H149" s="44">
        <f t="shared" ref="H149:H151" si="15">E149/G149</f>
        <v>5.2830188679245283E-5</v>
      </c>
      <c r="I149" s="12">
        <f t="shared" si="13"/>
        <v>-4.2771178382585697</v>
      </c>
      <c r="J149" s="8" t="s">
        <v>103</v>
      </c>
      <c r="K149" s="8">
        <v>33</v>
      </c>
      <c r="L149" s="8" t="s">
        <v>346</v>
      </c>
      <c r="M149" s="8" t="s">
        <v>362</v>
      </c>
      <c r="N149" s="8">
        <v>419797</v>
      </c>
      <c r="O149" s="21">
        <v>6406963</v>
      </c>
      <c r="P149" s="8" t="s">
        <v>261</v>
      </c>
    </row>
    <row r="150" spans="1:16">
      <c r="A150" s="13" t="s">
        <v>475</v>
      </c>
      <c r="B150" s="12"/>
      <c r="C150" s="12"/>
      <c r="D150" t="str">
        <f t="shared" si="11"/>
        <v/>
      </c>
      <c r="E150" s="27">
        <v>5.6000000000000001E-2</v>
      </c>
      <c r="F150" s="9">
        <f t="shared" si="12"/>
        <v>-1.2518119729937995</v>
      </c>
      <c r="G150" s="27">
        <f>35</f>
        <v>35</v>
      </c>
      <c r="H150" s="44">
        <f t="shared" si="15"/>
        <v>1.6000000000000001E-3</v>
      </c>
      <c r="I150" s="12">
        <f t="shared" si="13"/>
        <v>-2.795880017344075</v>
      </c>
      <c r="J150" s="8" t="s">
        <v>103</v>
      </c>
      <c r="K150" s="8">
        <v>33</v>
      </c>
      <c r="L150" s="8" t="s">
        <v>354</v>
      </c>
      <c r="M150" s="8" t="s">
        <v>476</v>
      </c>
      <c r="N150" s="8">
        <v>420142</v>
      </c>
      <c r="O150" s="21">
        <v>6405702</v>
      </c>
      <c r="P150" s="8" t="s">
        <v>261</v>
      </c>
    </row>
    <row r="151" spans="1:16">
      <c r="A151" s="13" t="s">
        <v>477</v>
      </c>
      <c r="B151" s="12"/>
      <c r="C151" s="12"/>
      <c r="D151" t="str">
        <f t="shared" si="11"/>
        <v/>
      </c>
      <c r="E151" s="27">
        <v>1.55E-2</v>
      </c>
      <c r="F151" s="9">
        <f t="shared" si="12"/>
        <v>-1.8096683018297086</v>
      </c>
      <c r="G151" s="27">
        <f>32</f>
        <v>32</v>
      </c>
      <c r="H151" s="44">
        <f t="shared" si="15"/>
        <v>4.84375E-4</v>
      </c>
      <c r="I151" s="12">
        <f t="shared" si="13"/>
        <v>-3.3148182801496144</v>
      </c>
      <c r="J151" s="8" t="s">
        <v>103</v>
      </c>
      <c r="K151" s="8">
        <v>33</v>
      </c>
      <c r="L151" s="8" t="s">
        <v>478</v>
      </c>
      <c r="M151" s="8" t="s">
        <v>479</v>
      </c>
      <c r="N151" s="8">
        <v>425985</v>
      </c>
      <c r="O151" s="21">
        <v>6399926</v>
      </c>
      <c r="P151" s="8" t="s">
        <v>261</v>
      </c>
    </row>
    <row r="152" spans="1:16">
      <c r="A152" s="13" t="s">
        <v>480</v>
      </c>
      <c r="B152" s="12"/>
      <c r="C152" s="12"/>
      <c r="D152" t="str">
        <f t="shared" si="11"/>
        <v/>
      </c>
      <c r="E152" s="27">
        <v>4.0000000000000002E-4</v>
      </c>
      <c r="F152" s="9">
        <f t="shared" si="12"/>
        <v>-3.3979400086720375</v>
      </c>
      <c r="G152" s="27"/>
      <c r="H152" s="10"/>
      <c r="I152" s="12" t="str">
        <f t="shared" si="13"/>
        <v/>
      </c>
      <c r="J152" s="8" t="s">
        <v>103</v>
      </c>
      <c r="K152" s="8">
        <v>33</v>
      </c>
      <c r="L152" s="8" t="s">
        <v>481</v>
      </c>
      <c r="M152" s="8" t="s">
        <v>482</v>
      </c>
      <c r="N152" s="8">
        <v>428491</v>
      </c>
      <c r="O152" s="21">
        <v>6403025</v>
      </c>
      <c r="P152" s="8" t="s">
        <v>261</v>
      </c>
    </row>
    <row r="153" spans="1:16">
      <c r="A153" s="13" t="s">
        <v>483</v>
      </c>
      <c r="B153" s="12"/>
      <c r="C153" s="12"/>
      <c r="D153" t="str">
        <f t="shared" si="11"/>
        <v/>
      </c>
      <c r="E153" s="27">
        <v>3.0000000000000001E-3</v>
      </c>
      <c r="F153" s="9">
        <f t="shared" si="12"/>
        <v>-2.5228787452803374</v>
      </c>
      <c r="G153" s="27"/>
      <c r="H153" s="10"/>
      <c r="I153" s="12" t="str">
        <f t="shared" si="13"/>
        <v/>
      </c>
      <c r="J153" s="8" t="s">
        <v>103</v>
      </c>
      <c r="K153" s="8">
        <v>33</v>
      </c>
      <c r="L153" s="8" t="s">
        <v>484</v>
      </c>
      <c r="M153" s="8" t="s">
        <v>485</v>
      </c>
      <c r="N153" s="8">
        <v>433707</v>
      </c>
      <c r="O153" s="21">
        <v>6399795</v>
      </c>
      <c r="P153" s="8" t="s">
        <v>261</v>
      </c>
    </row>
    <row r="154" spans="1:16">
      <c r="A154" s="13" t="s">
        <v>486</v>
      </c>
      <c r="B154" s="12"/>
      <c r="C154" s="12"/>
      <c r="D154" t="str">
        <f t="shared" si="11"/>
        <v/>
      </c>
      <c r="E154" s="27">
        <v>3.3E-4</v>
      </c>
      <c r="F154" s="9">
        <f t="shared" si="12"/>
        <v>-3.4814860601221125</v>
      </c>
      <c r="G154" s="27">
        <f>265</f>
        <v>265</v>
      </c>
      <c r="H154" s="44">
        <f>E154/G154</f>
        <v>1.2452830188679246E-6</v>
      </c>
      <c r="I154" s="12">
        <f t="shared" si="13"/>
        <v>-5.9047319340589199</v>
      </c>
      <c r="J154" s="8" t="s">
        <v>103</v>
      </c>
      <c r="K154" s="8">
        <v>33</v>
      </c>
      <c r="L154" s="8" t="s">
        <v>487</v>
      </c>
      <c r="M154" s="8" t="s">
        <v>488</v>
      </c>
      <c r="N154" s="8">
        <v>370950</v>
      </c>
      <c r="O154" s="21">
        <v>6390475</v>
      </c>
      <c r="P154" s="8" t="s">
        <v>261</v>
      </c>
    </row>
    <row r="155" spans="1:16">
      <c r="A155" s="13" t="s">
        <v>489</v>
      </c>
      <c r="B155" s="12"/>
      <c r="C155" s="12"/>
      <c r="D155" t="str">
        <f t="shared" si="11"/>
        <v/>
      </c>
      <c r="E155" s="27">
        <v>5.0000000000000001E-3</v>
      </c>
      <c r="F155" s="9">
        <f t="shared" si="12"/>
        <v>-2.3010299956639813</v>
      </c>
      <c r="G155" s="27">
        <f>265</f>
        <v>265</v>
      </c>
      <c r="H155" s="44">
        <f t="shared" ref="H155:H160" si="16">E155/G155</f>
        <v>1.8867924528301888E-5</v>
      </c>
      <c r="I155" s="12">
        <f t="shared" si="13"/>
        <v>-4.7242758696007892</v>
      </c>
      <c r="J155" s="8" t="s">
        <v>103</v>
      </c>
      <c r="K155" s="8">
        <v>33</v>
      </c>
      <c r="L155" s="8" t="s">
        <v>487</v>
      </c>
      <c r="M155" s="8" t="s">
        <v>490</v>
      </c>
      <c r="N155" s="8">
        <v>371593</v>
      </c>
      <c r="O155" s="21">
        <v>6391030</v>
      </c>
      <c r="P155" s="8" t="s">
        <v>261</v>
      </c>
    </row>
    <row r="156" spans="1:16">
      <c r="A156" s="13" t="s">
        <v>491</v>
      </c>
      <c r="B156" s="12"/>
      <c r="C156" s="12"/>
      <c r="D156" t="str">
        <f t="shared" si="11"/>
        <v/>
      </c>
      <c r="E156" s="27">
        <v>1.6000000000000001E-4</v>
      </c>
      <c r="F156" s="9">
        <f t="shared" si="12"/>
        <v>-3.795880017344075</v>
      </c>
      <c r="G156" s="27">
        <f>265</f>
        <v>265</v>
      </c>
      <c r="H156" s="44">
        <f t="shared" si="16"/>
        <v>6.0377358490566038E-7</v>
      </c>
      <c r="I156" s="12">
        <f t="shared" si="13"/>
        <v>-6.2191258912808829</v>
      </c>
      <c r="J156" s="8" t="s">
        <v>103</v>
      </c>
      <c r="K156" s="8">
        <v>33</v>
      </c>
      <c r="L156" s="8" t="s">
        <v>487</v>
      </c>
      <c r="M156" s="8" t="s">
        <v>492</v>
      </c>
      <c r="N156" s="8">
        <v>370424</v>
      </c>
      <c r="O156" s="21">
        <v>6390830</v>
      </c>
      <c r="P156" s="8" t="s">
        <v>261</v>
      </c>
    </row>
    <row r="157" spans="1:16">
      <c r="A157" s="13" t="s">
        <v>493</v>
      </c>
      <c r="B157" s="12"/>
      <c r="C157" s="12"/>
      <c r="D157" t="str">
        <f t="shared" si="11"/>
        <v/>
      </c>
      <c r="E157" s="27">
        <v>1.2999999999999999E-3</v>
      </c>
      <c r="F157" s="9">
        <f t="shared" si="12"/>
        <v>-2.8860566476931631</v>
      </c>
      <c r="G157" s="27">
        <f>143</f>
        <v>143</v>
      </c>
      <c r="H157" s="44">
        <f t="shared" si="16"/>
        <v>9.090909090909091E-6</v>
      </c>
      <c r="I157" s="12">
        <f t="shared" si="13"/>
        <v>-5.0413926851582254</v>
      </c>
      <c r="J157" s="8" t="s">
        <v>103</v>
      </c>
      <c r="K157" s="8">
        <v>33</v>
      </c>
      <c r="L157" s="8" t="s">
        <v>494</v>
      </c>
      <c r="M157" s="8" t="s">
        <v>495</v>
      </c>
      <c r="N157" s="8">
        <v>376843</v>
      </c>
      <c r="O157" s="21">
        <v>6401662</v>
      </c>
      <c r="P157" s="8" t="s">
        <v>261</v>
      </c>
    </row>
    <row r="158" spans="1:16">
      <c r="A158" s="13" t="s">
        <v>496</v>
      </c>
      <c r="B158" s="12"/>
      <c r="C158" s="12"/>
      <c r="D158" t="str">
        <f t="shared" si="11"/>
        <v/>
      </c>
      <c r="E158" s="27">
        <v>1.6999999999999999E-3</v>
      </c>
      <c r="F158" s="9">
        <f t="shared" si="12"/>
        <v>-2.7695510786217259</v>
      </c>
      <c r="G158" s="27">
        <f>71</f>
        <v>71</v>
      </c>
      <c r="H158" s="44">
        <f t="shared" si="16"/>
        <v>2.3943661971830986E-5</v>
      </c>
      <c r="I158" s="12">
        <f t="shared" si="13"/>
        <v>-4.6208094273408014</v>
      </c>
      <c r="J158" s="8" t="s">
        <v>103</v>
      </c>
      <c r="K158" s="8">
        <v>33</v>
      </c>
      <c r="L158" s="8" t="s">
        <v>497</v>
      </c>
      <c r="M158" s="8" t="s">
        <v>498</v>
      </c>
      <c r="N158" s="8">
        <v>401207</v>
      </c>
      <c r="O158" s="21">
        <v>6383871</v>
      </c>
      <c r="P158" s="8" t="s">
        <v>261</v>
      </c>
    </row>
    <row r="159" spans="1:16">
      <c r="A159" s="13" t="s">
        <v>363</v>
      </c>
      <c r="B159" s="12"/>
      <c r="C159" s="12"/>
      <c r="D159" t="str">
        <f t="shared" si="11"/>
        <v/>
      </c>
      <c r="E159" s="27">
        <v>8.9999999999999998E-4</v>
      </c>
      <c r="F159" s="9">
        <f t="shared" si="12"/>
        <v>-3.0457574905606752</v>
      </c>
      <c r="G159" s="27">
        <f>19</f>
        <v>19</v>
      </c>
      <c r="H159" s="44">
        <f t="shared" si="16"/>
        <v>4.7368421052631581E-5</v>
      </c>
      <c r="I159" s="12">
        <f t="shared" si="13"/>
        <v>-4.3245110915135037</v>
      </c>
      <c r="J159" s="8" t="s">
        <v>103</v>
      </c>
      <c r="K159" s="8">
        <v>33</v>
      </c>
      <c r="L159" s="8" t="s">
        <v>334</v>
      </c>
      <c r="M159" s="8" t="s">
        <v>364</v>
      </c>
      <c r="N159" s="8">
        <v>414460</v>
      </c>
      <c r="O159" s="21">
        <v>6398485</v>
      </c>
      <c r="P159" s="8" t="s">
        <v>261</v>
      </c>
    </row>
    <row r="160" spans="1:16">
      <c r="A160" s="13" t="s">
        <v>365</v>
      </c>
      <c r="B160" s="12"/>
      <c r="C160" s="12"/>
      <c r="D160" t="str">
        <f t="shared" si="11"/>
        <v/>
      </c>
      <c r="E160" s="27">
        <v>6.9999999999999999E-4</v>
      </c>
      <c r="F160" s="9">
        <f t="shared" si="12"/>
        <v>-3.1549019599857431</v>
      </c>
      <c r="G160" s="27">
        <f>19</f>
        <v>19</v>
      </c>
      <c r="H160" s="44">
        <f t="shared" si="16"/>
        <v>3.6842105263157895E-5</v>
      </c>
      <c r="I160" s="12">
        <f t="shared" si="13"/>
        <v>-4.4336555609385719</v>
      </c>
      <c r="J160" s="8" t="s">
        <v>103</v>
      </c>
      <c r="K160" s="8">
        <v>33</v>
      </c>
      <c r="L160" s="8" t="s">
        <v>334</v>
      </c>
      <c r="M160" s="8" t="s">
        <v>366</v>
      </c>
      <c r="N160" s="8">
        <v>414112</v>
      </c>
      <c r="O160" s="21">
        <v>6399659</v>
      </c>
      <c r="P160" s="8" t="s">
        <v>261</v>
      </c>
    </row>
    <row r="161" spans="1:16">
      <c r="A161" s="13" t="s">
        <v>499</v>
      </c>
      <c r="B161" s="12"/>
      <c r="C161" s="12"/>
      <c r="D161" t="str">
        <f t="shared" si="11"/>
        <v/>
      </c>
      <c r="E161" s="27">
        <v>4.6999999999999999E-4</v>
      </c>
      <c r="F161" s="9">
        <f t="shared" si="12"/>
        <v>-3.3279021420642825</v>
      </c>
      <c r="G161" s="27"/>
      <c r="H161" s="10"/>
      <c r="I161" s="12" t="str">
        <f t="shared" si="13"/>
        <v/>
      </c>
      <c r="J161" s="8" t="s">
        <v>103</v>
      </c>
      <c r="K161" s="8">
        <v>33</v>
      </c>
      <c r="L161" s="8" t="s">
        <v>500</v>
      </c>
      <c r="M161" s="8" t="s">
        <v>501</v>
      </c>
      <c r="N161" s="8">
        <v>449957</v>
      </c>
      <c r="O161" s="21">
        <v>6382460</v>
      </c>
      <c r="P161" s="8" t="s">
        <v>261</v>
      </c>
    </row>
    <row r="162" spans="1:16">
      <c r="A162" s="13" t="s">
        <v>502</v>
      </c>
      <c r="B162" s="12"/>
      <c r="C162" s="12"/>
      <c r="D162" t="str">
        <f t="shared" si="11"/>
        <v/>
      </c>
      <c r="E162" s="27">
        <v>1.6000000000000001E-3</v>
      </c>
      <c r="F162" s="9">
        <f t="shared" si="12"/>
        <v>-2.795880017344075</v>
      </c>
      <c r="G162" s="27">
        <f>163</f>
        <v>163</v>
      </c>
      <c r="H162" s="44">
        <f>E162/G162</f>
        <v>9.8159509202453985E-6</v>
      </c>
      <c r="I162" s="12">
        <f t="shared" si="13"/>
        <v>-5.0080676217480331</v>
      </c>
      <c r="J162" s="8" t="s">
        <v>103</v>
      </c>
      <c r="K162" s="8">
        <v>40</v>
      </c>
      <c r="L162" s="8" t="s">
        <v>291</v>
      </c>
      <c r="M162" s="8" t="s">
        <v>503</v>
      </c>
      <c r="N162" s="8">
        <v>372646</v>
      </c>
      <c r="O162" s="21">
        <v>6304572</v>
      </c>
      <c r="P162" s="8" t="s">
        <v>261</v>
      </c>
    </row>
    <row r="163" spans="1:16">
      <c r="A163" s="13" t="s">
        <v>504</v>
      </c>
      <c r="B163" s="12"/>
      <c r="C163" s="12"/>
      <c r="D163" t="str">
        <f t="shared" si="11"/>
        <v/>
      </c>
      <c r="E163" s="27">
        <v>9.7000000000000003E-2</v>
      </c>
      <c r="F163" s="9">
        <f t="shared" si="12"/>
        <v>-1.0132282657337552</v>
      </c>
      <c r="G163" s="27">
        <f>261</f>
        <v>261</v>
      </c>
      <c r="H163" s="44">
        <f t="shared" ref="H163:H164" si="17">E163/G163</f>
        <v>3.7164750957854409E-4</v>
      </c>
      <c r="I163" s="12">
        <f t="shared" si="13"/>
        <v>-3.4298687730720361</v>
      </c>
      <c r="J163" s="8" t="s">
        <v>103</v>
      </c>
      <c r="K163" s="8">
        <v>40</v>
      </c>
      <c r="L163" s="8" t="s">
        <v>505</v>
      </c>
      <c r="M163" s="8" t="s">
        <v>506</v>
      </c>
      <c r="N163" s="8">
        <v>384070</v>
      </c>
      <c r="O163" s="21">
        <v>6307538</v>
      </c>
      <c r="P163" s="8" t="s">
        <v>261</v>
      </c>
    </row>
    <row r="164" spans="1:16">
      <c r="A164" s="13" t="s">
        <v>779</v>
      </c>
      <c r="B164" s="12"/>
      <c r="C164" s="12"/>
      <c r="D164" t="str">
        <f t="shared" si="11"/>
        <v/>
      </c>
      <c r="E164" s="27">
        <v>4.7000000000000002E-3</v>
      </c>
      <c r="F164" s="9">
        <f t="shared" si="12"/>
        <v>-2.3279021420642825</v>
      </c>
      <c r="G164" s="27">
        <f>64</f>
        <v>64</v>
      </c>
      <c r="H164" s="44">
        <f t="shared" si="17"/>
        <v>7.3437500000000003E-5</v>
      </c>
      <c r="I164" s="12">
        <f t="shared" si="13"/>
        <v>-4.1340821160481696</v>
      </c>
      <c r="J164" s="8" t="s">
        <v>103</v>
      </c>
      <c r="K164" s="8">
        <v>33</v>
      </c>
      <c r="L164" s="8" t="s">
        <v>104</v>
      </c>
      <c r="M164" s="8" t="s">
        <v>780</v>
      </c>
      <c r="N164" s="8">
        <v>404015</v>
      </c>
      <c r="O164" s="21">
        <v>6425699</v>
      </c>
      <c r="P164" s="8" t="s">
        <v>261</v>
      </c>
    </row>
    <row r="165" spans="1:16">
      <c r="A165" s="13" t="s">
        <v>781</v>
      </c>
      <c r="B165" s="12"/>
      <c r="C165" s="12"/>
      <c r="D165" t="str">
        <f t="shared" si="11"/>
        <v/>
      </c>
      <c r="E165" s="27">
        <v>5.5999999999999999E-3</v>
      </c>
      <c r="F165" s="9">
        <f t="shared" si="12"/>
        <v>-2.2518119729937998</v>
      </c>
      <c r="G165" s="27">
        <f>78</f>
        <v>78</v>
      </c>
      <c r="H165" s="44">
        <f>E165/G165</f>
        <v>7.1794871794871791E-5</v>
      </c>
      <c r="I165" s="12">
        <f t="shared" si="13"/>
        <v>-4.1439065756842801</v>
      </c>
      <c r="J165" s="8" t="s">
        <v>103</v>
      </c>
      <c r="K165" s="8">
        <v>33</v>
      </c>
      <c r="L165" s="8" t="s">
        <v>782</v>
      </c>
      <c r="M165" s="8" t="s">
        <v>783</v>
      </c>
      <c r="N165" s="8">
        <v>367923</v>
      </c>
      <c r="O165" s="21">
        <v>6413086</v>
      </c>
      <c r="P165" s="8" t="s">
        <v>261</v>
      </c>
    </row>
    <row r="166" spans="1:16">
      <c r="A166" s="13" t="s">
        <v>784</v>
      </c>
      <c r="B166" s="12"/>
      <c r="C166" s="12"/>
      <c r="D166" t="str">
        <f t="shared" si="11"/>
        <v/>
      </c>
      <c r="E166" s="27">
        <v>4.3E-3</v>
      </c>
      <c r="F166" s="9">
        <f t="shared" si="12"/>
        <v>-2.3665315444204134</v>
      </c>
      <c r="G166" s="27">
        <f>57</f>
        <v>57</v>
      </c>
      <c r="H166" s="44">
        <f>E166/G166</f>
        <v>7.5438596491228066E-5</v>
      </c>
      <c r="I166" s="12">
        <f t="shared" si="13"/>
        <v>-4.1224064000929053</v>
      </c>
      <c r="J166" s="8" t="s">
        <v>103</v>
      </c>
      <c r="K166" s="8">
        <v>33</v>
      </c>
      <c r="L166" s="8" t="s">
        <v>418</v>
      </c>
      <c r="M166" s="8" t="s">
        <v>419</v>
      </c>
      <c r="N166" s="8">
        <v>398382</v>
      </c>
      <c r="O166" s="21">
        <v>6402265</v>
      </c>
      <c r="P166" s="8" t="s">
        <v>261</v>
      </c>
    </row>
    <row r="167" spans="1:16">
      <c r="A167" s="5" t="s">
        <v>629</v>
      </c>
      <c r="B167" s="12">
        <v>3.0000000000000001E-3</v>
      </c>
      <c r="C167" s="12"/>
      <c r="D167" t="str">
        <f t="shared" si="11"/>
        <v/>
      </c>
      <c r="E167" s="12">
        <v>3.5000000000000001E-3</v>
      </c>
      <c r="F167" s="9">
        <f t="shared" si="12"/>
        <v>-2.4559319556497243</v>
      </c>
      <c r="G167" s="12">
        <f>91</f>
        <v>91</v>
      </c>
      <c r="H167" s="44">
        <f t="shared" ref="H167:H170" si="18">E167/G167</f>
        <v>3.8461538461538463E-5</v>
      </c>
      <c r="I167" s="12">
        <f t="shared" si="13"/>
        <v>-4.4149733479708182</v>
      </c>
      <c r="J167" s="8" t="s">
        <v>96</v>
      </c>
      <c r="K167" s="8">
        <v>33</v>
      </c>
      <c r="L167" t="s">
        <v>100</v>
      </c>
      <c r="M167" t="s">
        <v>807</v>
      </c>
      <c r="N167">
        <v>386274</v>
      </c>
      <c r="O167" s="19">
        <v>6435899</v>
      </c>
      <c r="P167" t="s">
        <v>261</v>
      </c>
    </row>
    <row r="168" spans="1:16" ht="16">
      <c r="A168" s="5" t="s">
        <v>630</v>
      </c>
      <c r="B168" s="12">
        <v>1E-3</v>
      </c>
      <c r="C168" s="12"/>
      <c r="D168" t="str">
        <f t="shared" si="11"/>
        <v/>
      </c>
      <c r="E168" s="12">
        <v>2E-3</v>
      </c>
      <c r="F168" s="9">
        <f t="shared" si="12"/>
        <v>-2.6989700043360187</v>
      </c>
      <c r="G168" s="12">
        <f>110</f>
        <v>110</v>
      </c>
      <c r="H168" s="44">
        <f t="shared" si="18"/>
        <v>1.8181818181818182E-5</v>
      </c>
      <c r="I168" s="12">
        <f t="shared" si="13"/>
        <v>-4.7403626894942441</v>
      </c>
      <c r="J168" s="8" t="s">
        <v>631</v>
      </c>
      <c r="K168" s="8">
        <v>33</v>
      </c>
      <c r="L168" s="8" t="s">
        <v>100</v>
      </c>
      <c r="M168" s="24" t="s">
        <v>808</v>
      </c>
      <c r="N168" s="24">
        <v>391124</v>
      </c>
      <c r="O168" s="19">
        <v>6437944</v>
      </c>
      <c r="P168" s="8" t="s">
        <v>261</v>
      </c>
    </row>
    <row r="169" spans="1:16">
      <c r="A169" s="5" t="s">
        <v>632</v>
      </c>
      <c r="B169" s="12">
        <v>1E-3</v>
      </c>
      <c r="C169" s="12"/>
      <c r="D169" t="str">
        <f t="shared" si="11"/>
        <v/>
      </c>
      <c r="E169" s="12">
        <v>2E-3</v>
      </c>
      <c r="F169" s="9">
        <f t="shared" si="12"/>
        <v>-2.6989700043360187</v>
      </c>
      <c r="G169" s="12">
        <f>128</f>
        <v>128</v>
      </c>
      <c r="H169" s="44">
        <f t="shared" si="18"/>
        <v>1.5625E-5</v>
      </c>
      <c r="I169" s="12">
        <f t="shared" si="13"/>
        <v>-4.8061799739838875</v>
      </c>
      <c r="J169" s="8" t="s">
        <v>633</v>
      </c>
      <c r="K169" s="8">
        <v>33</v>
      </c>
      <c r="L169" s="8" t="s">
        <v>809</v>
      </c>
      <c r="M169" t="s">
        <v>845</v>
      </c>
      <c r="N169">
        <v>397211</v>
      </c>
      <c r="O169" s="19">
        <v>6428259</v>
      </c>
      <c r="P169" s="8" t="s">
        <v>261</v>
      </c>
    </row>
    <row r="170" spans="1:16" ht="16">
      <c r="A170" s="5" t="s">
        <v>634</v>
      </c>
      <c r="C170" s="12">
        <v>3.3E-4</v>
      </c>
      <c r="D170">
        <f t="shared" si="11"/>
        <v>-3.4814860601221125</v>
      </c>
      <c r="E170" s="12">
        <v>3.0999999999999999E-3</v>
      </c>
      <c r="F170" s="9">
        <f t="shared" si="12"/>
        <v>-2.5086383061657274</v>
      </c>
      <c r="G170" s="12">
        <f>81</f>
        <v>81</v>
      </c>
      <c r="H170" s="44">
        <f t="shared" si="18"/>
        <v>3.8271604938271602E-5</v>
      </c>
      <c r="I170" s="12">
        <f t="shared" si="13"/>
        <v>-4.4171233250443773</v>
      </c>
      <c r="J170" s="8" t="s">
        <v>628</v>
      </c>
      <c r="K170" s="8">
        <v>33</v>
      </c>
      <c r="L170" s="2" t="s">
        <v>375</v>
      </c>
      <c r="M170" s="24" t="s">
        <v>810</v>
      </c>
      <c r="N170" s="8">
        <v>385437</v>
      </c>
      <c r="O170" s="21">
        <v>6433708</v>
      </c>
      <c r="P170" s="8" t="s">
        <v>261</v>
      </c>
    </row>
    <row r="171" spans="1:16">
      <c r="A171" s="5" t="s">
        <v>635</v>
      </c>
      <c r="B171" s="12">
        <v>1E-3</v>
      </c>
      <c r="C171" s="12"/>
      <c r="D171" t="str">
        <f t="shared" si="11"/>
        <v/>
      </c>
      <c r="E171" s="12">
        <v>4.3499999999999997E-3</v>
      </c>
      <c r="F171" s="9">
        <f t="shared" si="12"/>
        <v>-2.3615107430453626</v>
      </c>
      <c r="G171" s="12"/>
      <c r="H171" s="10"/>
      <c r="I171" s="12" t="str">
        <f t="shared" si="13"/>
        <v/>
      </c>
      <c r="J171" s="8" t="s">
        <v>378</v>
      </c>
      <c r="K171" s="8">
        <v>33</v>
      </c>
      <c r="L171" t="s">
        <v>354</v>
      </c>
      <c r="M171" t="s">
        <v>811</v>
      </c>
      <c r="N171" s="8">
        <v>416635</v>
      </c>
      <c r="O171" s="21">
        <v>6405978</v>
      </c>
      <c r="P171" s="8" t="s">
        <v>261</v>
      </c>
    </row>
    <row r="172" spans="1:16">
      <c r="A172" s="13" t="s">
        <v>636</v>
      </c>
      <c r="B172" s="12"/>
      <c r="C172" s="12"/>
      <c r="D172" t="str">
        <f t="shared" si="11"/>
        <v/>
      </c>
      <c r="E172" s="27">
        <v>6.6E-3</v>
      </c>
      <c r="F172" s="9">
        <f t="shared" si="12"/>
        <v>-2.1804560644581312</v>
      </c>
      <c r="G172" s="27">
        <f>120</f>
        <v>120</v>
      </c>
      <c r="H172" s="44">
        <f>E172/G172</f>
        <v>5.5000000000000002E-5</v>
      </c>
      <c r="I172" s="12">
        <f t="shared" si="13"/>
        <v>-4.2596373105057559</v>
      </c>
      <c r="J172" s="8" t="s">
        <v>103</v>
      </c>
      <c r="K172" s="8">
        <v>33</v>
      </c>
      <c r="L172" t="s">
        <v>812</v>
      </c>
      <c r="M172" t="s">
        <v>813</v>
      </c>
      <c r="N172" s="25">
        <v>381428</v>
      </c>
      <c r="O172" s="19">
        <v>6408759</v>
      </c>
      <c r="P172" s="8" t="s">
        <v>261</v>
      </c>
    </row>
    <row r="173" spans="1:16">
      <c r="A173" s="13" t="s">
        <v>637</v>
      </c>
      <c r="B173" s="12"/>
      <c r="C173" s="12"/>
      <c r="D173" t="str">
        <f t="shared" si="11"/>
        <v/>
      </c>
      <c r="E173" s="27">
        <v>6.1999999999999998E-3</v>
      </c>
      <c r="F173" s="9">
        <f t="shared" si="12"/>
        <v>-2.2076083105017461</v>
      </c>
      <c r="G173" s="27">
        <f>58</f>
        <v>58</v>
      </c>
      <c r="H173" s="44">
        <f>E173/G173</f>
        <v>1.0689655172413792E-4</v>
      </c>
      <c r="I173" s="12">
        <f t="shared" si="13"/>
        <v>-3.9710363040646834</v>
      </c>
      <c r="J173" s="8" t="s">
        <v>103</v>
      </c>
      <c r="K173" s="8">
        <v>33</v>
      </c>
      <c r="L173" t="s">
        <v>354</v>
      </c>
      <c r="M173" t="s">
        <v>814</v>
      </c>
      <c r="N173">
        <v>416635</v>
      </c>
      <c r="O173" s="19">
        <v>6405978</v>
      </c>
      <c r="P173" s="8" t="s">
        <v>261</v>
      </c>
    </row>
    <row r="174" spans="1:16" ht="16">
      <c r="A174" s="13" t="s">
        <v>638</v>
      </c>
      <c r="B174" s="12"/>
      <c r="C174" s="12"/>
      <c r="D174" t="str">
        <f t="shared" si="11"/>
        <v/>
      </c>
      <c r="E174" s="27">
        <v>1.8E-3</v>
      </c>
      <c r="F174" s="9">
        <f t="shared" si="12"/>
        <v>-2.744727494896694</v>
      </c>
      <c r="G174" s="27"/>
      <c r="H174" s="10"/>
      <c r="I174" s="12" t="str">
        <f t="shared" si="13"/>
        <v/>
      </c>
      <c r="J174" s="8" t="s">
        <v>103</v>
      </c>
      <c r="K174" s="8">
        <v>33</v>
      </c>
      <c r="L174" s="24" t="s">
        <v>466</v>
      </c>
      <c r="M174" s="24" t="s">
        <v>830</v>
      </c>
      <c r="N174" s="8">
        <v>415249</v>
      </c>
      <c r="O174" s="21">
        <v>6419560</v>
      </c>
      <c r="P174" s="8" t="s">
        <v>261</v>
      </c>
    </row>
    <row r="175" spans="1:16">
      <c r="A175" s="13" t="s">
        <v>639</v>
      </c>
      <c r="B175" s="12"/>
      <c r="C175" s="12"/>
      <c r="D175" t="str">
        <f t="shared" si="11"/>
        <v/>
      </c>
      <c r="E175" s="27">
        <v>3.3E-4</v>
      </c>
      <c r="F175" s="9">
        <f t="shared" si="12"/>
        <v>-3.4814860601221125</v>
      </c>
      <c r="G175" s="27"/>
      <c r="H175" s="10"/>
      <c r="I175" s="12" t="str">
        <f t="shared" si="13"/>
        <v/>
      </c>
      <c r="J175" s="8" t="s">
        <v>103</v>
      </c>
      <c r="K175" s="8">
        <v>33</v>
      </c>
      <c r="L175" s="8" t="s">
        <v>466</v>
      </c>
      <c r="M175" s="8" t="s">
        <v>831</v>
      </c>
      <c r="N175" s="8">
        <v>415161</v>
      </c>
      <c r="O175" s="21">
        <v>6419657</v>
      </c>
      <c r="P175" s="8" t="s">
        <v>261</v>
      </c>
    </row>
    <row r="176" spans="1:16">
      <c r="A176" s="13" t="s">
        <v>640</v>
      </c>
      <c r="B176" s="12"/>
      <c r="C176" s="12"/>
      <c r="D176" t="str">
        <f t="shared" si="11"/>
        <v/>
      </c>
      <c r="E176" s="27">
        <v>6.8999999999999999E-3</v>
      </c>
      <c r="F176" s="9">
        <f t="shared" si="12"/>
        <v>-2.1611509092627448</v>
      </c>
      <c r="G176" s="27"/>
      <c r="H176" s="10"/>
      <c r="I176" s="12" t="str">
        <f t="shared" si="13"/>
        <v/>
      </c>
      <c r="J176" s="8" t="s">
        <v>103</v>
      </c>
      <c r="K176" s="8">
        <v>33</v>
      </c>
      <c r="L176" s="8" t="s">
        <v>466</v>
      </c>
      <c r="M176" t="s">
        <v>832</v>
      </c>
      <c r="N176" s="8">
        <v>415952</v>
      </c>
      <c r="O176" s="21">
        <v>6418863</v>
      </c>
      <c r="P176" s="8" t="s">
        <v>261</v>
      </c>
    </row>
    <row r="177" spans="1:16">
      <c r="A177" s="13" t="s">
        <v>641</v>
      </c>
      <c r="B177" s="12"/>
      <c r="C177" s="12"/>
      <c r="D177" t="str">
        <f t="shared" si="11"/>
        <v/>
      </c>
      <c r="E177" s="27">
        <v>5.7999999999999996E-3</v>
      </c>
      <c r="F177" s="9">
        <f t="shared" si="12"/>
        <v>-2.2365720064370627</v>
      </c>
      <c r="G177" s="27"/>
      <c r="H177" s="10"/>
      <c r="I177" s="12" t="str">
        <f t="shared" si="13"/>
        <v/>
      </c>
      <c r="J177" s="8" t="s">
        <v>103</v>
      </c>
      <c r="K177" s="8">
        <v>33</v>
      </c>
      <c r="L177" s="8" t="s">
        <v>834</v>
      </c>
      <c r="M177" s="8" t="s">
        <v>833</v>
      </c>
      <c r="N177" s="8">
        <v>414301</v>
      </c>
      <c r="O177" s="21">
        <v>6417730</v>
      </c>
      <c r="P177" s="8" t="s">
        <v>261</v>
      </c>
    </row>
    <row r="178" spans="1:16">
      <c r="A178" s="13" t="s">
        <v>642</v>
      </c>
      <c r="B178" s="12"/>
      <c r="C178" s="12"/>
      <c r="D178" t="str">
        <f t="shared" si="11"/>
        <v/>
      </c>
      <c r="E178" s="27">
        <v>3.0000000000000001E-6</v>
      </c>
      <c r="F178" s="9">
        <f t="shared" si="12"/>
        <v>-5.5228787452803374</v>
      </c>
      <c r="G178" s="27"/>
      <c r="H178" s="10"/>
      <c r="I178" s="12" t="str">
        <f t="shared" si="13"/>
        <v/>
      </c>
      <c r="J178" s="8" t="s">
        <v>103</v>
      </c>
      <c r="K178" s="8">
        <v>33</v>
      </c>
      <c r="L178" s="8" t="s">
        <v>451</v>
      </c>
      <c r="M178" t="s">
        <v>837</v>
      </c>
      <c r="N178" s="8">
        <v>416975</v>
      </c>
      <c r="O178" s="21">
        <v>6416254</v>
      </c>
      <c r="P178" s="8" t="s">
        <v>261</v>
      </c>
    </row>
    <row r="179" spans="1:16">
      <c r="A179" s="13" t="s">
        <v>643</v>
      </c>
      <c r="B179" s="12"/>
      <c r="C179" s="12"/>
      <c r="D179" t="str">
        <f t="shared" si="11"/>
        <v/>
      </c>
      <c r="E179" s="27">
        <v>2.0000000000000001E-4</v>
      </c>
      <c r="F179" s="9">
        <f t="shared" si="12"/>
        <v>-3.6989700043360187</v>
      </c>
      <c r="G179" s="27"/>
      <c r="H179" s="10"/>
      <c r="I179" s="12" t="str">
        <f t="shared" si="13"/>
        <v/>
      </c>
      <c r="J179" s="8" t="s">
        <v>103</v>
      </c>
      <c r="K179" s="8">
        <v>33</v>
      </c>
      <c r="L179" t="s">
        <v>835</v>
      </c>
      <c r="M179" s="8" t="s">
        <v>836</v>
      </c>
      <c r="N179">
        <v>418909</v>
      </c>
      <c r="O179" s="19">
        <v>6411667</v>
      </c>
      <c r="P179" s="8" t="s">
        <v>261</v>
      </c>
    </row>
    <row r="180" spans="1:16" ht="14.5" customHeight="1">
      <c r="A180" s="13" t="s">
        <v>644</v>
      </c>
      <c r="B180" s="12"/>
      <c r="C180" s="12"/>
      <c r="D180" t="str">
        <f t="shared" si="11"/>
        <v/>
      </c>
      <c r="E180" s="27">
        <v>8.3000000000000001E-3</v>
      </c>
      <c r="F180" s="9">
        <f t="shared" si="12"/>
        <v>-2.0809219076239263</v>
      </c>
      <c r="G180" s="27"/>
      <c r="H180" s="10"/>
      <c r="I180" s="12" t="str">
        <f t="shared" si="13"/>
        <v/>
      </c>
      <c r="J180" s="8" t="s">
        <v>103</v>
      </c>
      <c r="K180" s="8">
        <v>33</v>
      </c>
      <c r="L180" t="s">
        <v>451</v>
      </c>
      <c r="M180" s="8" t="s">
        <v>837</v>
      </c>
      <c r="N180">
        <v>417805</v>
      </c>
      <c r="O180" s="19">
        <v>6417266</v>
      </c>
      <c r="P180" s="8" t="s">
        <v>261</v>
      </c>
    </row>
    <row r="181" spans="1:16">
      <c r="A181" s="13" t="s">
        <v>645</v>
      </c>
      <c r="B181" s="12"/>
      <c r="C181" s="12"/>
      <c r="D181" t="str">
        <f t="shared" si="11"/>
        <v/>
      </c>
      <c r="E181" s="27">
        <v>3.0000000000000001E-3</v>
      </c>
      <c r="F181" s="9">
        <f t="shared" si="12"/>
        <v>-2.5228787452803374</v>
      </c>
      <c r="G181" s="27"/>
      <c r="H181" s="10"/>
      <c r="I181" s="12" t="str">
        <f t="shared" si="13"/>
        <v/>
      </c>
      <c r="J181" s="8" t="s">
        <v>103</v>
      </c>
      <c r="K181" s="8">
        <v>33</v>
      </c>
      <c r="L181" s="8" t="s">
        <v>346</v>
      </c>
      <c r="M181" s="8" t="s">
        <v>838</v>
      </c>
      <c r="N181" s="8">
        <v>418772</v>
      </c>
      <c r="O181" s="21">
        <v>6410979</v>
      </c>
      <c r="P181" s="8" t="s">
        <v>261</v>
      </c>
    </row>
    <row r="182" spans="1:16">
      <c r="A182" s="13" t="s">
        <v>646</v>
      </c>
      <c r="B182" s="12"/>
      <c r="C182" s="12"/>
      <c r="D182" t="str">
        <f t="shared" si="11"/>
        <v/>
      </c>
      <c r="E182" s="27">
        <v>2.9999999999999997E-4</v>
      </c>
      <c r="F182" s="9">
        <f t="shared" si="12"/>
        <v>-3.5228787452803374</v>
      </c>
      <c r="G182" s="27"/>
      <c r="H182" s="10"/>
      <c r="I182" s="12" t="str">
        <f t="shared" si="13"/>
        <v/>
      </c>
      <c r="J182" s="8" t="s">
        <v>103</v>
      </c>
      <c r="K182" s="8">
        <v>33</v>
      </c>
      <c r="L182" s="8" t="s">
        <v>839</v>
      </c>
      <c r="M182" s="8" t="s">
        <v>840</v>
      </c>
      <c r="N182" s="8">
        <v>420720</v>
      </c>
      <c r="O182" s="21">
        <v>6409810</v>
      </c>
      <c r="P182" s="8" t="s">
        <v>261</v>
      </c>
    </row>
    <row r="183" spans="1:16">
      <c r="A183" s="13" t="s">
        <v>647</v>
      </c>
      <c r="B183" s="12"/>
      <c r="C183" s="12"/>
      <c r="D183" t="str">
        <f t="shared" si="11"/>
        <v/>
      </c>
      <c r="E183" s="27">
        <v>7.4999999999999997E-3</v>
      </c>
      <c r="F183" s="9">
        <f t="shared" si="12"/>
        <v>-2.1249387366082999</v>
      </c>
      <c r="G183" s="27"/>
      <c r="H183" s="10"/>
      <c r="I183" s="12" t="str">
        <f t="shared" si="13"/>
        <v/>
      </c>
      <c r="J183" s="8" t="s">
        <v>103</v>
      </c>
      <c r="K183" s="8">
        <v>33</v>
      </c>
      <c r="L183" s="8" t="s">
        <v>346</v>
      </c>
      <c r="M183" s="8" t="s">
        <v>841</v>
      </c>
      <c r="N183" s="8">
        <v>419228</v>
      </c>
      <c r="O183" s="19">
        <v>6409555</v>
      </c>
      <c r="P183" s="8" t="s">
        <v>261</v>
      </c>
    </row>
    <row r="184" spans="1:16">
      <c r="A184" s="13" t="s">
        <v>648</v>
      </c>
      <c r="B184" s="12"/>
      <c r="C184" s="12"/>
      <c r="D184" t="str">
        <f t="shared" si="11"/>
        <v/>
      </c>
      <c r="E184" s="27">
        <v>1.4E-3</v>
      </c>
      <c r="F184" s="9">
        <f t="shared" si="12"/>
        <v>-2.8538719643217618</v>
      </c>
      <c r="G184" s="27"/>
      <c r="H184" s="10"/>
      <c r="I184" s="12" t="str">
        <f t="shared" si="13"/>
        <v/>
      </c>
      <c r="J184" s="8" t="s">
        <v>103</v>
      </c>
      <c r="K184" s="8">
        <v>33</v>
      </c>
      <c r="L184" s="8" t="s">
        <v>346</v>
      </c>
      <c r="M184" t="s">
        <v>844</v>
      </c>
      <c r="N184" s="8">
        <v>419128</v>
      </c>
      <c r="O184" s="21">
        <v>6409556</v>
      </c>
      <c r="P184" s="8" t="s">
        <v>261</v>
      </c>
    </row>
    <row r="185" spans="1:16">
      <c r="A185" s="13" t="s">
        <v>649</v>
      </c>
      <c r="B185" s="12"/>
      <c r="C185" s="12"/>
      <c r="D185" t="str">
        <f t="shared" si="11"/>
        <v/>
      </c>
      <c r="E185" s="27">
        <v>1E-3</v>
      </c>
      <c r="F185" s="9">
        <f t="shared" si="12"/>
        <v>-3</v>
      </c>
      <c r="G185" s="27">
        <f>35</f>
        <v>35</v>
      </c>
      <c r="H185" s="44">
        <f>E185/G185</f>
        <v>2.8571428571428571E-5</v>
      </c>
      <c r="I185" s="12">
        <f t="shared" si="13"/>
        <v>-4.5440680443502757</v>
      </c>
      <c r="J185" s="8" t="s">
        <v>103</v>
      </c>
      <c r="K185" s="8">
        <v>33</v>
      </c>
      <c r="L185" t="s">
        <v>842</v>
      </c>
      <c r="M185" s="8" t="s">
        <v>843</v>
      </c>
      <c r="N185">
        <v>422045</v>
      </c>
      <c r="O185" s="19">
        <v>6405308</v>
      </c>
      <c r="P185" s="8" t="s">
        <v>261</v>
      </c>
    </row>
    <row r="186" spans="1:16">
      <c r="A186" s="13" t="s">
        <v>650</v>
      </c>
      <c r="B186" s="12"/>
      <c r="C186" s="12"/>
      <c r="D186" t="str">
        <f t="shared" si="11"/>
        <v/>
      </c>
      <c r="E186" s="27">
        <v>1.5E-3</v>
      </c>
      <c r="F186" s="9">
        <f t="shared" si="12"/>
        <v>-2.8239087409443187</v>
      </c>
      <c r="G186" s="27"/>
      <c r="H186" s="10"/>
      <c r="I186" s="12" t="str">
        <f t="shared" si="13"/>
        <v/>
      </c>
      <c r="J186" s="8" t="s">
        <v>103</v>
      </c>
      <c r="K186" s="8">
        <v>33</v>
      </c>
      <c r="L186" t="s">
        <v>828</v>
      </c>
      <c r="M186" s="8" t="s">
        <v>829</v>
      </c>
      <c r="N186">
        <v>424431</v>
      </c>
      <c r="O186" s="19">
        <v>6405974</v>
      </c>
      <c r="P186" s="8" t="s">
        <v>261</v>
      </c>
    </row>
    <row r="187" spans="1:16">
      <c r="A187" s="13" t="s">
        <v>651</v>
      </c>
      <c r="B187" s="12"/>
      <c r="C187" s="12"/>
      <c r="D187" t="str">
        <f t="shared" si="11"/>
        <v/>
      </c>
      <c r="E187" s="27">
        <v>1.4E-3</v>
      </c>
      <c r="F187" s="9">
        <f t="shared" si="12"/>
        <v>-2.8538719643217618</v>
      </c>
      <c r="G187" s="27">
        <f>27</f>
        <v>27</v>
      </c>
      <c r="H187" s="44">
        <f>E187/G187</f>
        <v>5.185185185185185E-5</v>
      </c>
      <c r="I187" s="12">
        <f t="shared" si="13"/>
        <v>-4.2852357284807496</v>
      </c>
      <c r="J187" s="8" t="s">
        <v>103</v>
      </c>
      <c r="K187" s="8">
        <v>33</v>
      </c>
      <c r="L187" s="8" t="s">
        <v>478</v>
      </c>
      <c r="M187" s="8" t="s">
        <v>827</v>
      </c>
      <c r="N187">
        <v>423921</v>
      </c>
      <c r="O187" s="19">
        <v>6402890</v>
      </c>
      <c r="P187" s="8" t="s">
        <v>261</v>
      </c>
    </row>
    <row r="188" spans="1:16">
      <c r="A188" s="13" t="s">
        <v>652</v>
      </c>
      <c r="B188" s="12"/>
      <c r="C188" s="12"/>
      <c r="D188" t="str">
        <f t="shared" si="11"/>
        <v/>
      </c>
      <c r="E188" s="27">
        <v>6.9999999999999994E-5</v>
      </c>
      <c r="F188" s="9">
        <f t="shared" si="12"/>
        <v>-4.1549019599857431</v>
      </c>
      <c r="G188" s="27">
        <f>35</f>
        <v>35</v>
      </c>
      <c r="H188" s="44">
        <f>E188/G188</f>
        <v>1.9999999999999999E-6</v>
      </c>
      <c r="I188" s="12">
        <f t="shared" si="13"/>
        <v>-5.6989700043360187</v>
      </c>
      <c r="J188" s="8" t="s">
        <v>103</v>
      </c>
      <c r="K188" s="8">
        <v>33</v>
      </c>
      <c r="L188" s="8" t="s">
        <v>354</v>
      </c>
      <c r="M188" s="26" t="s">
        <v>826</v>
      </c>
      <c r="N188">
        <v>421166</v>
      </c>
      <c r="O188" s="19">
        <v>6405317</v>
      </c>
      <c r="P188" s="8" t="s">
        <v>261</v>
      </c>
    </row>
    <row r="189" spans="1:16">
      <c r="A189" s="13" t="s">
        <v>653</v>
      </c>
      <c r="B189" s="12"/>
      <c r="C189" s="12"/>
      <c r="D189" t="str">
        <f t="shared" si="11"/>
        <v/>
      </c>
      <c r="E189" s="27">
        <v>6.8999999999999999E-3</v>
      </c>
      <c r="F189" s="9">
        <f t="shared" si="12"/>
        <v>-2.1611509092627448</v>
      </c>
      <c r="G189" s="27"/>
      <c r="H189" s="10"/>
      <c r="I189" s="12" t="str">
        <f t="shared" si="13"/>
        <v/>
      </c>
      <c r="J189" s="8" t="s">
        <v>103</v>
      </c>
      <c r="K189" s="8">
        <v>33</v>
      </c>
      <c r="L189" t="s">
        <v>357</v>
      </c>
      <c r="M189" t="s">
        <v>825</v>
      </c>
      <c r="N189">
        <v>421582</v>
      </c>
      <c r="O189" s="19">
        <v>6406952</v>
      </c>
      <c r="P189" s="8" t="s">
        <v>261</v>
      </c>
    </row>
    <row r="190" spans="1:16" ht="16">
      <c r="A190" s="13" t="s">
        <v>654</v>
      </c>
      <c r="B190" s="12"/>
      <c r="C190" s="12"/>
      <c r="D190" t="str">
        <f t="shared" si="11"/>
        <v/>
      </c>
      <c r="E190" s="27">
        <v>3.0000000000000001E-6</v>
      </c>
      <c r="F190" s="9">
        <f t="shared" si="12"/>
        <v>-5.5228787452803374</v>
      </c>
      <c r="G190" s="27">
        <f>27</f>
        <v>27</v>
      </c>
      <c r="H190" s="44">
        <f>E190/G190</f>
        <v>1.1111111111111111E-7</v>
      </c>
      <c r="I190" s="12">
        <f t="shared" si="13"/>
        <v>-6.9542425094393252</v>
      </c>
      <c r="J190" s="8" t="s">
        <v>103</v>
      </c>
      <c r="K190" s="8">
        <v>33</v>
      </c>
      <c r="L190" s="24" t="s">
        <v>478</v>
      </c>
      <c r="M190" s="24" t="s">
        <v>824</v>
      </c>
      <c r="N190">
        <v>423266</v>
      </c>
      <c r="O190" s="19">
        <v>6403357</v>
      </c>
      <c r="P190" s="8" t="s">
        <v>261</v>
      </c>
    </row>
    <row r="191" spans="1:16" ht="16">
      <c r="A191" s="13" t="s">
        <v>655</v>
      </c>
      <c r="B191" s="12"/>
      <c r="C191" s="12"/>
      <c r="D191" t="str">
        <f t="shared" si="11"/>
        <v/>
      </c>
      <c r="E191" s="27">
        <v>3.3000000000000002E-2</v>
      </c>
      <c r="F191" s="9">
        <f t="shared" si="12"/>
        <v>-1.4814860601221125</v>
      </c>
      <c r="G191" s="27"/>
      <c r="H191" s="10"/>
      <c r="I191" s="12" t="str">
        <f t="shared" si="13"/>
        <v/>
      </c>
      <c r="J191" s="8" t="s">
        <v>103</v>
      </c>
      <c r="K191" s="8">
        <v>33</v>
      </c>
      <c r="L191" t="s">
        <v>822</v>
      </c>
      <c r="M191" s="24" t="s">
        <v>823</v>
      </c>
      <c r="N191" s="24">
        <v>450931</v>
      </c>
      <c r="O191" s="21">
        <v>6390370</v>
      </c>
      <c r="P191" s="8" t="s">
        <v>261</v>
      </c>
    </row>
    <row r="192" spans="1:16">
      <c r="A192" s="13" t="s">
        <v>656</v>
      </c>
      <c r="B192" s="12"/>
      <c r="C192" s="12"/>
      <c r="D192" t="str">
        <f t="shared" si="11"/>
        <v/>
      </c>
      <c r="E192" s="27">
        <v>6.9999999999999994E-5</v>
      </c>
      <c r="F192" s="9">
        <f t="shared" si="12"/>
        <v>-4.1549019599857431</v>
      </c>
      <c r="G192" s="27"/>
      <c r="H192" s="10"/>
      <c r="I192" s="12" t="str">
        <f t="shared" si="13"/>
        <v/>
      </c>
      <c r="J192" s="8" t="s">
        <v>103</v>
      </c>
      <c r="K192" s="8">
        <v>33</v>
      </c>
      <c r="L192" s="8" t="s">
        <v>820</v>
      </c>
      <c r="M192" s="8" t="s">
        <v>821</v>
      </c>
      <c r="N192" s="8">
        <v>442517</v>
      </c>
      <c r="O192" s="21">
        <v>6385693</v>
      </c>
      <c r="P192" s="8" t="s">
        <v>261</v>
      </c>
    </row>
    <row r="193" spans="1:16" ht="16">
      <c r="A193" s="13" t="s">
        <v>657</v>
      </c>
      <c r="B193" s="12"/>
      <c r="C193" s="12"/>
      <c r="D193" t="str">
        <f t="shared" si="11"/>
        <v/>
      </c>
      <c r="E193" s="27">
        <v>3.4000000000000002E-2</v>
      </c>
      <c r="F193" s="9">
        <f t="shared" si="12"/>
        <v>-1.4685210829577449</v>
      </c>
      <c r="G193" s="27"/>
      <c r="H193" s="10"/>
      <c r="I193" s="12" t="str">
        <f t="shared" si="13"/>
        <v/>
      </c>
      <c r="J193" s="8" t="s">
        <v>103</v>
      </c>
      <c r="K193" s="8">
        <v>40</v>
      </c>
      <c r="L193" t="s">
        <v>818</v>
      </c>
      <c r="M193" s="24" t="s">
        <v>819</v>
      </c>
      <c r="N193" s="25">
        <v>382982</v>
      </c>
      <c r="O193" s="32">
        <v>6301822</v>
      </c>
      <c r="P193" s="8" t="s">
        <v>261</v>
      </c>
    </row>
    <row r="194" spans="1:16" ht="16">
      <c r="A194" s="16" t="s">
        <v>658</v>
      </c>
      <c r="B194" s="12"/>
      <c r="C194" s="12"/>
      <c r="D194" t="str">
        <f t="shared" si="11"/>
        <v/>
      </c>
      <c r="E194" s="27">
        <v>3.0000000000000001E-5</v>
      </c>
      <c r="F194" s="9">
        <f t="shared" si="12"/>
        <v>-4.5228787452803374</v>
      </c>
      <c r="G194" s="27">
        <f>357</f>
        <v>357</v>
      </c>
      <c r="H194" s="44">
        <f>E194/G194</f>
        <v>8.4033613445378151E-8</v>
      </c>
      <c r="I194" s="12">
        <f t="shared" si="13"/>
        <v>-7.075546961392531</v>
      </c>
      <c r="J194" s="8" t="s">
        <v>103</v>
      </c>
      <c r="K194" s="8">
        <v>40</v>
      </c>
      <c r="L194" s="34" t="s">
        <v>816</v>
      </c>
      <c r="M194" s="24" t="s">
        <v>817</v>
      </c>
      <c r="N194" s="25">
        <v>407503</v>
      </c>
      <c r="O194" s="19">
        <v>6314215</v>
      </c>
      <c r="P194" s="8" t="s">
        <v>261</v>
      </c>
    </row>
    <row r="195" spans="1:16" ht="32">
      <c r="A195" s="16" t="s">
        <v>659</v>
      </c>
      <c r="B195" s="12"/>
      <c r="C195" s="12"/>
      <c r="D195" t="str">
        <f t="shared" ref="D195:D221" si="19">IFERROR(LOG10(C195),"")</f>
        <v/>
      </c>
      <c r="E195" s="27">
        <v>1.5E-3</v>
      </c>
      <c r="F195" s="9">
        <f t="shared" ref="F195:F221" si="20">IFERROR(LOG10(E195),"")</f>
        <v>-2.8239087409443187</v>
      </c>
      <c r="G195" s="27">
        <f>200</f>
        <v>200</v>
      </c>
      <c r="H195" s="44">
        <f>E195/G195</f>
        <v>7.5000000000000002E-6</v>
      </c>
      <c r="I195" s="12">
        <f t="shared" ref="I195:I221" si="21">IFERROR(LOG10(H195),"")</f>
        <v>-5.1249387366082999</v>
      </c>
      <c r="J195" s="8" t="s">
        <v>103</v>
      </c>
      <c r="K195" s="8">
        <v>40</v>
      </c>
      <c r="L195" s="24" t="s">
        <v>291</v>
      </c>
      <c r="M195" t="s">
        <v>815</v>
      </c>
      <c r="N195" s="25">
        <v>367965</v>
      </c>
      <c r="O195" s="33">
        <v>6300699</v>
      </c>
      <c r="P195" s="8" t="s">
        <v>261</v>
      </c>
    </row>
    <row r="196" spans="1:16" ht="17" customHeight="1">
      <c r="A196" t="s">
        <v>660</v>
      </c>
      <c r="B196" s="12"/>
      <c r="C196" s="12"/>
      <c r="D196" t="str">
        <f t="shared" si="19"/>
        <v/>
      </c>
      <c r="E196" s="27">
        <v>1.0999999999999999E-2</v>
      </c>
      <c r="F196" s="9">
        <f t="shared" si="20"/>
        <v>-1.9586073148417751</v>
      </c>
      <c r="G196" s="27"/>
      <c r="H196" s="10"/>
      <c r="I196" s="12" t="str">
        <f t="shared" si="21"/>
        <v/>
      </c>
      <c r="J196" s="8" t="s">
        <v>103</v>
      </c>
      <c r="K196" s="8">
        <v>44</v>
      </c>
      <c r="L196" s="8" t="s">
        <v>294</v>
      </c>
      <c r="M196" t="s">
        <v>295</v>
      </c>
      <c r="N196" s="25">
        <v>371701</v>
      </c>
      <c r="O196" s="19">
        <v>6297249</v>
      </c>
      <c r="P196" s="8" t="s">
        <v>261</v>
      </c>
    </row>
    <row r="197" spans="1:16" ht="12.5" customHeight="1">
      <c r="A197" s="30" t="s">
        <v>859</v>
      </c>
      <c r="D197" t="str">
        <f t="shared" si="19"/>
        <v/>
      </c>
      <c r="E197" s="31">
        <v>2.9999999999999997E-4</v>
      </c>
      <c r="F197" s="9">
        <f t="shared" si="20"/>
        <v>-3.5228787452803374</v>
      </c>
      <c r="G197" s="31"/>
      <c r="I197" s="12" t="str">
        <f t="shared" si="21"/>
        <v/>
      </c>
      <c r="J197" s="8" t="s">
        <v>883</v>
      </c>
      <c r="K197" s="8">
        <v>33</v>
      </c>
      <c r="L197" t="s">
        <v>884</v>
      </c>
      <c r="N197" s="25">
        <v>383594</v>
      </c>
      <c r="O197">
        <v>6484797</v>
      </c>
      <c r="P197" s="8" t="s">
        <v>261</v>
      </c>
    </row>
    <row r="198" spans="1:16">
      <c r="A198" s="30" t="s">
        <v>860</v>
      </c>
      <c r="D198" t="str">
        <f t="shared" si="19"/>
        <v/>
      </c>
      <c r="E198" s="31">
        <v>8.9999999999999993E-3</v>
      </c>
      <c r="F198" s="9">
        <f t="shared" si="20"/>
        <v>-2.0457574905606752</v>
      </c>
      <c r="G198" s="31">
        <f>130</f>
        <v>130</v>
      </c>
      <c r="H198">
        <f>E198/G198</f>
        <v>6.9230769230769224E-5</v>
      </c>
      <c r="I198" s="12">
        <f t="shared" si="21"/>
        <v>-4.1597008428675117</v>
      </c>
      <c r="J198" s="8" t="s">
        <v>883</v>
      </c>
      <c r="K198" s="8">
        <v>33</v>
      </c>
      <c r="L198" t="s">
        <v>297</v>
      </c>
      <c r="M198" t="s">
        <v>298</v>
      </c>
      <c r="N198" s="25">
        <v>375996</v>
      </c>
      <c r="O198">
        <v>6465719</v>
      </c>
      <c r="P198" s="8" t="s">
        <v>261</v>
      </c>
    </row>
    <row r="199" spans="1:16" ht="14" customHeight="1">
      <c r="A199" s="30" t="s">
        <v>861</v>
      </c>
      <c r="D199" t="str">
        <f t="shared" si="19"/>
        <v/>
      </c>
      <c r="E199" s="31">
        <v>7.7999999999999999E-4</v>
      </c>
      <c r="F199" s="9">
        <f t="shared" si="20"/>
        <v>-3.1079053973095196</v>
      </c>
      <c r="G199" s="31"/>
      <c r="I199" s="12" t="str">
        <f t="shared" si="21"/>
        <v/>
      </c>
      <c r="J199" s="8" t="s">
        <v>883</v>
      </c>
      <c r="K199" s="8">
        <v>33</v>
      </c>
      <c r="L199" t="s">
        <v>885</v>
      </c>
      <c r="M199" t="s">
        <v>886</v>
      </c>
      <c r="N199" s="35">
        <v>390485</v>
      </c>
      <c r="O199">
        <v>6475555</v>
      </c>
      <c r="P199" s="8" t="s">
        <v>261</v>
      </c>
    </row>
    <row r="200" spans="1:16" ht="16">
      <c r="A200" s="30" t="s">
        <v>862</v>
      </c>
      <c r="D200" t="str">
        <f t="shared" si="19"/>
        <v/>
      </c>
      <c r="E200" s="31">
        <v>1.1999999999999999E-3</v>
      </c>
      <c r="F200" s="9">
        <f t="shared" si="20"/>
        <v>-2.9208187539523753</v>
      </c>
      <c r="G200" s="31"/>
      <c r="I200" s="12" t="str">
        <f t="shared" si="21"/>
        <v/>
      </c>
      <c r="J200" s="8" t="s">
        <v>883</v>
      </c>
      <c r="K200" s="8">
        <v>33</v>
      </c>
      <c r="L200" t="s">
        <v>887</v>
      </c>
      <c r="M200" s="24" t="s">
        <v>888</v>
      </c>
      <c r="N200" s="24">
        <v>396304</v>
      </c>
      <c r="O200">
        <v>6472928</v>
      </c>
      <c r="P200" s="8" t="s">
        <v>261</v>
      </c>
    </row>
    <row r="201" spans="1:16">
      <c r="A201" s="30" t="s">
        <v>863</v>
      </c>
      <c r="D201" t="str">
        <f t="shared" si="19"/>
        <v/>
      </c>
      <c r="E201" s="31">
        <v>1.2999999999999999E-3</v>
      </c>
      <c r="F201" s="9">
        <f t="shared" si="20"/>
        <v>-2.8860566476931631</v>
      </c>
      <c r="G201" s="31">
        <f>13</f>
        <v>13</v>
      </c>
      <c r="H201">
        <f>E201/G201</f>
        <v>9.9999999999999991E-5</v>
      </c>
      <c r="I201" s="12">
        <f t="shared" si="21"/>
        <v>-4</v>
      </c>
      <c r="J201" s="8" t="s">
        <v>883</v>
      </c>
      <c r="K201" s="8">
        <v>33</v>
      </c>
      <c r="L201" t="s">
        <v>889</v>
      </c>
      <c r="M201" t="s">
        <v>890</v>
      </c>
      <c r="N201" s="35">
        <v>393701</v>
      </c>
      <c r="O201">
        <v>6462562</v>
      </c>
      <c r="P201" s="8" t="s">
        <v>261</v>
      </c>
    </row>
    <row r="202" spans="1:16">
      <c r="A202" s="30" t="s">
        <v>864</v>
      </c>
      <c r="D202" t="str">
        <f t="shared" si="19"/>
        <v/>
      </c>
      <c r="E202" s="31">
        <v>1.6999999999999999E-3</v>
      </c>
      <c r="F202" s="9">
        <f t="shared" si="20"/>
        <v>-2.7695510786217259</v>
      </c>
      <c r="G202" s="31"/>
      <c r="I202" s="12" t="str">
        <f t="shared" si="21"/>
        <v/>
      </c>
      <c r="J202" s="8" t="s">
        <v>883</v>
      </c>
      <c r="K202" s="8">
        <v>33</v>
      </c>
      <c r="L202" t="s">
        <v>892</v>
      </c>
      <c r="M202" t="s">
        <v>891</v>
      </c>
      <c r="N202" s="35">
        <v>395350</v>
      </c>
      <c r="O202">
        <v>6462595</v>
      </c>
      <c r="P202" s="8" t="s">
        <v>261</v>
      </c>
    </row>
    <row r="203" spans="1:16">
      <c r="A203" s="30" t="s">
        <v>865</v>
      </c>
      <c r="D203" t="str">
        <f t="shared" si="19"/>
        <v/>
      </c>
      <c r="E203" s="31">
        <v>6.0000000000000001E-3</v>
      </c>
      <c r="F203" s="9">
        <f t="shared" si="20"/>
        <v>-2.2218487496163561</v>
      </c>
      <c r="G203" s="31">
        <f>117</f>
        <v>117</v>
      </c>
      <c r="H203">
        <f>E203/G203</f>
        <v>5.1282051282051286E-5</v>
      </c>
      <c r="I203" s="12">
        <f t="shared" si="21"/>
        <v>-4.2900346113625183</v>
      </c>
      <c r="J203" s="8" t="s">
        <v>883</v>
      </c>
      <c r="K203" s="8">
        <v>33</v>
      </c>
      <c r="L203" t="s">
        <v>623</v>
      </c>
      <c r="M203" s="30" t="s">
        <v>893</v>
      </c>
      <c r="N203" s="25">
        <v>372714</v>
      </c>
      <c r="O203" s="25">
        <v>6449443</v>
      </c>
      <c r="P203" s="8" t="s">
        <v>261</v>
      </c>
    </row>
    <row r="204" spans="1:16">
      <c r="A204" s="30" t="s">
        <v>866</v>
      </c>
      <c r="B204" s="28"/>
      <c r="C204" s="28"/>
      <c r="D204" t="str">
        <f t="shared" si="19"/>
        <v/>
      </c>
      <c r="E204" s="31">
        <v>4.3E-3</v>
      </c>
      <c r="F204" s="9">
        <f t="shared" si="20"/>
        <v>-2.3665315444204134</v>
      </c>
      <c r="G204" s="31">
        <f>112</f>
        <v>112</v>
      </c>
      <c r="H204" s="28">
        <f>E204/G204</f>
        <v>3.839285714285714E-5</v>
      </c>
      <c r="I204" s="12">
        <f t="shared" si="21"/>
        <v>-4.4157495670905949</v>
      </c>
      <c r="J204" s="8" t="s">
        <v>883</v>
      </c>
      <c r="K204" s="8">
        <v>33</v>
      </c>
      <c r="L204" t="s">
        <v>297</v>
      </c>
      <c r="M204" t="s">
        <v>894</v>
      </c>
      <c r="N204" s="25">
        <v>380028</v>
      </c>
      <c r="O204" s="25">
        <v>6461483</v>
      </c>
      <c r="P204" s="8" t="s">
        <v>261</v>
      </c>
    </row>
    <row r="205" spans="1:16" ht="32">
      <c r="A205" s="30" t="s">
        <v>867</v>
      </c>
      <c r="B205" s="19"/>
      <c r="C205" s="19"/>
      <c r="D205" t="str">
        <f t="shared" si="19"/>
        <v/>
      </c>
      <c r="E205" s="31">
        <v>1.8E-3</v>
      </c>
      <c r="F205" s="9">
        <f t="shared" si="20"/>
        <v>-2.744727494896694</v>
      </c>
      <c r="G205" s="31">
        <f>6</f>
        <v>6</v>
      </c>
      <c r="H205" s="19">
        <f>E205/G205</f>
        <v>2.9999999999999997E-4</v>
      </c>
      <c r="I205" s="12">
        <f t="shared" si="21"/>
        <v>-3.5228787452803374</v>
      </c>
      <c r="J205" s="8" t="s">
        <v>883</v>
      </c>
      <c r="K205" s="8">
        <v>33</v>
      </c>
      <c r="L205" s="24" t="s">
        <v>892</v>
      </c>
      <c r="M205" s="24" t="s">
        <v>895</v>
      </c>
      <c r="N205" s="25">
        <v>393202</v>
      </c>
      <c r="O205" s="25">
        <v>6460688</v>
      </c>
      <c r="P205" s="8" t="s">
        <v>261</v>
      </c>
    </row>
    <row r="206" spans="1:16">
      <c r="A206" s="30" t="s">
        <v>868</v>
      </c>
      <c r="B206" s="19"/>
      <c r="C206" s="19"/>
      <c r="D206" t="str">
        <f t="shared" si="19"/>
        <v/>
      </c>
      <c r="E206" s="31">
        <v>1E-3</v>
      </c>
      <c r="F206" s="9">
        <f t="shared" si="20"/>
        <v>-3</v>
      </c>
      <c r="G206" s="31">
        <f>14</f>
        <v>14</v>
      </c>
      <c r="H206" s="19">
        <f>E206/G206</f>
        <v>7.1428571428571434E-5</v>
      </c>
      <c r="I206" s="12">
        <f t="shared" si="21"/>
        <v>-4.1461280356782382</v>
      </c>
      <c r="J206" s="8" t="s">
        <v>883</v>
      </c>
      <c r="K206" s="8">
        <v>33</v>
      </c>
      <c r="L206" t="s">
        <v>892</v>
      </c>
      <c r="M206" t="s">
        <v>896</v>
      </c>
      <c r="N206" s="25">
        <v>391836</v>
      </c>
      <c r="O206" s="25">
        <v>6457944</v>
      </c>
      <c r="P206" s="8" t="s">
        <v>261</v>
      </c>
    </row>
    <row r="207" spans="1:16" ht="32">
      <c r="A207" s="30" t="s">
        <v>869</v>
      </c>
      <c r="B207" s="19"/>
      <c r="C207" s="19"/>
      <c r="D207" t="str">
        <f t="shared" si="19"/>
        <v/>
      </c>
      <c r="E207" s="31">
        <v>2.9999999999999997E-4</v>
      </c>
      <c r="F207" s="9">
        <f t="shared" si="20"/>
        <v>-3.5228787452803374</v>
      </c>
      <c r="G207" s="31">
        <f>13</f>
        <v>13</v>
      </c>
      <c r="H207" s="19">
        <f t="shared" ref="H207:H218" si="22">E207/G207</f>
        <v>2.3076923076923076E-5</v>
      </c>
      <c r="I207" s="12">
        <f t="shared" si="21"/>
        <v>-4.6368220975871743</v>
      </c>
      <c r="J207" s="8" t="s">
        <v>883</v>
      </c>
      <c r="K207" s="8">
        <v>33</v>
      </c>
      <c r="L207" s="24" t="s">
        <v>892</v>
      </c>
      <c r="M207" s="24" t="s">
        <v>897</v>
      </c>
      <c r="N207" s="25">
        <v>392958</v>
      </c>
      <c r="O207" s="25">
        <v>6453335</v>
      </c>
      <c r="P207" s="8" t="s">
        <v>261</v>
      </c>
    </row>
    <row r="208" spans="1:16" ht="32">
      <c r="A208" s="30" t="s">
        <v>870</v>
      </c>
      <c r="B208" s="19"/>
      <c r="C208" s="19"/>
      <c r="D208" t="str">
        <f t="shared" si="19"/>
        <v/>
      </c>
      <c r="E208" s="31">
        <v>2.9999999999999997E-4</v>
      </c>
      <c r="F208" s="9">
        <f t="shared" si="20"/>
        <v>-3.5228787452803374</v>
      </c>
      <c r="G208" s="31">
        <f>13</f>
        <v>13</v>
      </c>
      <c r="H208" s="19">
        <f t="shared" si="22"/>
        <v>2.3076923076923076E-5</v>
      </c>
      <c r="I208" s="12">
        <f t="shared" si="21"/>
        <v>-4.6368220975871743</v>
      </c>
      <c r="J208" s="8" t="s">
        <v>883</v>
      </c>
      <c r="K208" s="8">
        <v>33</v>
      </c>
      <c r="L208" s="24" t="s">
        <v>892</v>
      </c>
      <c r="M208" s="24" t="s">
        <v>898</v>
      </c>
      <c r="N208" s="25">
        <v>393807</v>
      </c>
      <c r="O208" s="25">
        <v>6453227</v>
      </c>
      <c r="P208" s="8" t="s">
        <v>261</v>
      </c>
    </row>
    <row r="209" spans="1:17" ht="32">
      <c r="A209" s="30" t="s">
        <v>871</v>
      </c>
      <c r="B209" s="28"/>
      <c r="C209" s="28"/>
      <c r="D209" t="str">
        <f t="shared" si="19"/>
        <v/>
      </c>
      <c r="E209" s="31">
        <v>1E-3</v>
      </c>
      <c r="F209" s="9">
        <f t="shared" si="20"/>
        <v>-3</v>
      </c>
      <c r="G209" s="31">
        <f>13</f>
        <v>13</v>
      </c>
      <c r="H209" s="19">
        <f t="shared" si="22"/>
        <v>7.6923076923076926E-5</v>
      </c>
      <c r="I209" s="12">
        <f t="shared" si="21"/>
        <v>-4.1139433523068369</v>
      </c>
      <c r="J209" s="8" t="s">
        <v>883</v>
      </c>
      <c r="K209" s="8">
        <v>33</v>
      </c>
      <c r="L209" s="24" t="s">
        <v>892</v>
      </c>
      <c r="M209" s="24" t="s">
        <v>899</v>
      </c>
      <c r="N209" s="25">
        <v>394089</v>
      </c>
      <c r="O209" s="25">
        <v>6452504</v>
      </c>
      <c r="P209" s="8" t="s">
        <v>261</v>
      </c>
    </row>
    <row r="210" spans="1:17" ht="16">
      <c r="A210" s="30" t="s">
        <v>872</v>
      </c>
      <c r="B210" s="19"/>
      <c r="C210" s="19"/>
      <c r="D210" t="str">
        <f t="shared" si="19"/>
        <v/>
      </c>
      <c r="E210" s="31">
        <v>5.1999999999999998E-3</v>
      </c>
      <c r="F210" s="9">
        <f t="shared" si="20"/>
        <v>-2.283996656365201</v>
      </c>
      <c r="G210" s="31">
        <f>116</f>
        <v>116</v>
      </c>
      <c r="H210" s="19">
        <f t="shared" si="22"/>
        <v>4.4827586206896552E-5</v>
      </c>
      <c r="I210" s="12">
        <f t="shared" si="21"/>
        <v>-4.3484546455921196</v>
      </c>
      <c r="J210" s="8" t="s">
        <v>883</v>
      </c>
      <c r="K210" s="8">
        <v>33</v>
      </c>
      <c r="L210" s="24" t="s">
        <v>304</v>
      </c>
      <c r="M210" s="24" t="s">
        <v>900</v>
      </c>
      <c r="N210" s="25">
        <v>369534</v>
      </c>
      <c r="O210" s="25">
        <v>6441670</v>
      </c>
      <c r="P210" s="8" t="s">
        <v>261</v>
      </c>
    </row>
    <row r="211" spans="1:17" ht="16">
      <c r="A211" s="30" t="s">
        <v>873</v>
      </c>
      <c r="B211" s="19"/>
      <c r="C211" s="19"/>
      <c r="D211" t="str">
        <f t="shared" si="19"/>
        <v/>
      </c>
      <c r="E211" s="31">
        <v>5.0000000000000001E-3</v>
      </c>
      <c r="F211" s="9">
        <f t="shared" si="20"/>
        <v>-2.3010299956639813</v>
      </c>
      <c r="G211" s="31">
        <f>138</f>
        <v>138</v>
      </c>
      <c r="H211" s="19">
        <f t="shared" si="22"/>
        <v>3.6231884057971014E-5</v>
      </c>
      <c r="I211" s="12">
        <f t="shared" si="21"/>
        <v>-4.4409090820652173</v>
      </c>
      <c r="J211" s="8" t="s">
        <v>883</v>
      </c>
      <c r="K211" s="8">
        <v>33</v>
      </c>
      <c r="L211" s="24" t="s">
        <v>901</v>
      </c>
      <c r="M211" t="s">
        <v>902</v>
      </c>
      <c r="N211" s="25">
        <v>373654</v>
      </c>
      <c r="O211" s="25">
        <v>6441878</v>
      </c>
      <c r="P211" s="8" t="s">
        <v>261</v>
      </c>
    </row>
    <row r="212" spans="1:17" ht="16">
      <c r="A212" s="30" t="s">
        <v>874</v>
      </c>
      <c r="B212" s="19"/>
      <c r="C212" s="19"/>
      <c r="D212" t="str">
        <f t="shared" si="19"/>
        <v/>
      </c>
      <c r="E212" s="31">
        <v>6.0000000000000001E-3</v>
      </c>
      <c r="F212" s="9">
        <f t="shared" si="20"/>
        <v>-2.2218487496163561</v>
      </c>
      <c r="G212" s="31">
        <f>151</f>
        <v>151</v>
      </c>
      <c r="H212" s="19">
        <f t="shared" si="22"/>
        <v>3.9735099337748346E-5</v>
      </c>
      <c r="I212" s="12">
        <f t="shared" si="21"/>
        <v>-4.4008256969095259</v>
      </c>
      <c r="J212" s="8" t="s">
        <v>883</v>
      </c>
      <c r="K212" s="8">
        <v>33</v>
      </c>
      <c r="L212" s="24" t="s">
        <v>304</v>
      </c>
      <c r="M212" s="24" t="s">
        <v>903</v>
      </c>
      <c r="N212" s="25">
        <v>373190</v>
      </c>
      <c r="O212" s="25">
        <v>6439096</v>
      </c>
      <c r="P212" s="8" t="s">
        <v>261</v>
      </c>
    </row>
    <row r="213" spans="1:17" ht="16">
      <c r="A213" s="30" t="s">
        <v>875</v>
      </c>
      <c r="B213" s="19"/>
      <c r="C213" s="19"/>
      <c r="D213" t="str">
        <f t="shared" si="19"/>
        <v/>
      </c>
      <c r="E213" s="31">
        <v>5.7000000000000002E-3</v>
      </c>
      <c r="F213" s="9">
        <f t="shared" si="20"/>
        <v>-2.2441251443275085</v>
      </c>
      <c r="G213" s="31">
        <f>147</f>
        <v>147</v>
      </c>
      <c r="H213" s="19">
        <f t="shared" si="22"/>
        <v>3.8775510204081634E-5</v>
      </c>
      <c r="I213" s="12">
        <f t="shared" si="21"/>
        <v>-4.411442479075685</v>
      </c>
      <c r="J213" s="8" t="s">
        <v>883</v>
      </c>
      <c r="K213" s="8">
        <v>33</v>
      </c>
      <c r="L213" s="24" t="s">
        <v>310</v>
      </c>
      <c r="M213" t="s">
        <v>376</v>
      </c>
      <c r="N213" s="25">
        <v>376867</v>
      </c>
      <c r="O213" s="25">
        <v>6427602</v>
      </c>
      <c r="P213" s="8" t="s">
        <v>261</v>
      </c>
    </row>
    <row r="214" spans="1:17" ht="16">
      <c r="A214" s="30" t="s">
        <v>876</v>
      </c>
      <c r="D214" t="str">
        <f t="shared" si="19"/>
        <v/>
      </c>
      <c r="E214" s="31">
        <v>2.0999999999999999E-3</v>
      </c>
      <c r="F214" s="9">
        <f t="shared" si="20"/>
        <v>-2.6777807052660809</v>
      </c>
      <c r="G214" s="31">
        <f>78</f>
        <v>78</v>
      </c>
      <c r="H214" s="19">
        <f t="shared" si="22"/>
        <v>2.692307692307692E-5</v>
      </c>
      <c r="I214" s="12">
        <f t="shared" si="21"/>
        <v>-4.5698753079565613</v>
      </c>
      <c r="J214" s="8" t="s">
        <v>883</v>
      </c>
      <c r="K214" s="8">
        <v>33</v>
      </c>
      <c r="L214" s="24" t="s">
        <v>304</v>
      </c>
      <c r="M214" t="s">
        <v>904</v>
      </c>
      <c r="N214" s="25">
        <v>378903</v>
      </c>
      <c r="O214" s="25">
        <v>6439186</v>
      </c>
      <c r="P214" s="8" t="s">
        <v>261</v>
      </c>
    </row>
    <row r="215" spans="1:17" ht="32">
      <c r="A215" s="30" t="s">
        <v>877</v>
      </c>
      <c r="D215" t="str">
        <f t="shared" si="19"/>
        <v/>
      </c>
      <c r="E215" s="31">
        <v>2.1000000000000001E-2</v>
      </c>
      <c r="F215" s="9">
        <f t="shared" si="20"/>
        <v>-1.6777807052660807</v>
      </c>
      <c r="G215" s="31"/>
      <c r="H215" s="19"/>
      <c r="I215" s="12" t="str">
        <f t="shared" si="21"/>
        <v/>
      </c>
      <c r="J215" s="8" t="s">
        <v>883</v>
      </c>
      <c r="K215" s="8">
        <v>33</v>
      </c>
      <c r="L215" s="24" t="s">
        <v>905</v>
      </c>
      <c r="M215" s="24" t="s">
        <v>906</v>
      </c>
      <c r="N215" s="25">
        <v>406308</v>
      </c>
      <c r="O215" s="25">
        <v>6432113</v>
      </c>
      <c r="P215" s="8" t="s">
        <v>261</v>
      </c>
    </row>
    <row r="216" spans="1:17" ht="32">
      <c r="A216" s="30" t="s">
        <v>878</v>
      </c>
      <c r="D216" t="str">
        <f t="shared" si="19"/>
        <v/>
      </c>
      <c r="E216" s="31">
        <v>4.3999999999999997E-2</v>
      </c>
      <c r="F216" s="9">
        <f t="shared" si="20"/>
        <v>-1.3565473235138126</v>
      </c>
      <c r="G216" s="31">
        <f>58</f>
        <v>58</v>
      </c>
      <c r="H216" s="19">
        <f t="shared" si="22"/>
        <v>7.5862068965517238E-4</v>
      </c>
      <c r="I216" s="12">
        <f t="shared" si="21"/>
        <v>-3.1199753170767499</v>
      </c>
      <c r="J216" s="8" t="s">
        <v>883</v>
      </c>
      <c r="K216" s="8">
        <v>33</v>
      </c>
      <c r="L216" s="24" t="s">
        <v>905</v>
      </c>
      <c r="M216" s="24" t="s">
        <v>907</v>
      </c>
      <c r="N216" s="25">
        <v>404704</v>
      </c>
      <c r="O216" s="25">
        <v>6431663</v>
      </c>
      <c r="P216" s="8" t="s">
        <v>261</v>
      </c>
    </row>
    <row r="217" spans="1:17">
      <c r="A217" s="30" t="s">
        <v>879</v>
      </c>
      <c r="D217" t="str">
        <f t="shared" si="19"/>
        <v/>
      </c>
      <c r="E217" s="31">
        <v>1E-4</v>
      </c>
      <c r="F217" s="9">
        <f t="shared" si="20"/>
        <v>-4</v>
      </c>
      <c r="G217" s="31">
        <f>72</f>
        <v>72</v>
      </c>
      <c r="H217" s="19">
        <f t="shared" si="22"/>
        <v>1.388888888888889E-6</v>
      </c>
      <c r="I217" s="12">
        <f t="shared" si="21"/>
        <v>-5.8573324964312681</v>
      </c>
      <c r="J217" s="8" t="s">
        <v>883</v>
      </c>
      <c r="K217" s="8">
        <v>33</v>
      </c>
      <c r="L217" t="s">
        <v>104</v>
      </c>
      <c r="M217" t="s">
        <v>908</v>
      </c>
      <c r="N217" s="25">
        <v>404409</v>
      </c>
      <c r="O217" s="25">
        <v>6426600</v>
      </c>
      <c r="P217" s="8" t="s">
        <v>261</v>
      </c>
    </row>
    <row r="218" spans="1:17" ht="16">
      <c r="A218" s="30" t="s">
        <v>542</v>
      </c>
      <c r="D218" t="str">
        <f t="shared" si="19"/>
        <v/>
      </c>
      <c r="E218" s="31">
        <v>1.6999999999999999E-3</v>
      </c>
      <c r="F218" s="9">
        <f t="shared" si="20"/>
        <v>-2.7695510786217259</v>
      </c>
      <c r="G218" s="31">
        <f>67</f>
        <v>67</v>
      </c>
      <c r="H218" s="19">
        <f t="shared" si="22"/>
        <v>2.5373134328358206E-5</v>
      </c>
      <c r="I218" s="12">
        <f t="shared" si="21"/>
        <v>-4.5956258813225528</v>
      </c>
      <c r="J218" s="8" t="s">
        <v>883</v>
      </c>
      <c r="K218" s="8">
        <v>33</v>
      </c>
      <c r="L218" s="24" t="s">
        <v>909</v>
      </c>
      <c r="M218" t="s">
        <v>543</v>
      </c>
      <c r="N218" s="25">
        <v>406522</v>
      </c>
      <c r="O218" s="25">
        <v>6422476</v>
      </c>
      <c r="P218" s="8" t="s">
        <v>261</v>
      </c>
    </row>
    <row r="219" spans="1:17">
      <c r="A219" s="30" t="s">
        <v>880</v>
      </c>
      <c r="D219" t="str">
        <f t="shared" si="19"/>
        <v/>
      </c>
      <c r="E219" s="31">
        <v>3.5000000000000001E-3</v>
      </c>
      <c r="F219" s="9">
        <f t="shared" si="20"/>
        <v>-2.4559319556497243</v>
      </c>
      <c r="G219" s="31"/>
      <c r="I219" s="12" t="str">
        <f t="shared" si="21"/>
        <v/>
      </c>
      <c r="J219" s="8" t="s">
        <v>883</v>
      </c>
      <c r="K219" s="8">
        <v>33</v>
      </c>
      <c r="L219" t="s">
        <v>910</v>
      </c>
      <c r="M219" t="s">
        <v>911</v>
      </c>
      <c r="N219" s="25">
        <v>427854</v>
      </c>
      <c r="O219" s="25">
        <v>6397253</v>
      </c>
      <c r="P219" s="8"/>
    </row>
    <row r="220" spans="1:17">
      <c r="A220" s="30" t="s">
        <v>881</v>
      </c>
      <c r="D220" t="str">
        <f t="shared" si="19"/>
        <v/>
      </c>
      <c r="E220" s="31">
        <v>2.5000000000000001E-4</v>
      </c>
      <c r="F220" s="9">
        <f t="shared" si="20"/>
        <v>-3.6020599913279625</v>
      </c>
      <c r="G220" s="31"/>
      <c r="I220" s="12" t="str">
        <f t="shared" si="21"/>
        <v/>
      </c>
      <c r="J220" s="8" t="s">
        <v>883</v>
      </c>
      <c r="K220" s="8">
        <v>33</v>
      </c>
      <c r="L220" t="s">
        <v>910</v>
      </c>
      <c r="M220" t="s">
        <v>912</v>
      </c>
      <c r="N220" s="25">
        <v>426584</v>
      </c>
      <c r="O220" s="25">
        <v>6397166</v>
      </c>
      <c r="P220" s="8"/>
    </row>
    <row r="221" spans="1:17">
      <c r="A221" s="30" t="s">
        <v>882</v>
      </c>
      <c r="D221" t="str">
        <f t="shared" si="19"/>
        <v/>
      </c>
      <c r="E221" s="31">
        <v>2.9999999999999997E-4</v>
      </c>
      <c r="F221" s="9">
        <f t="shared" si="20"/>
        <v>-3.5228787452803374</v>
      </c>
      <c r="G221" s="31"/>
      <c r="I221" s="12" t="str">
        <f t="shared" si="21"/>
        <v/>
      </c>
      <c r="J221" s="8" t="s">
        <v>883</v>
      </c>
      <c r="K221" s="8">
        <v>33</v>
      </c>
      <c r="L221" t="s">
        <v>913</v>
      </c>
      <c r="M221" t="s">
        <v>521</v>
      </c>
      <c r="N221" s="25">
        <v>421948</v>
      </c>
      <c r="O221" s="25">
        <v>6389414</v>
      </c>
      <c r="P221" s="8"/>
    </row>
    <row r="223" spans="1:17">
      <c r="A223" s="30"/>
      <c r="E223" s="31"/>
      <c r="F223" s="31"/>
      <c r="G223" s="31"/>
      <c r="K223" s="8"/>
      <c r="L223" s="8"/>
      <c r="M223" s="24"/>
      <c r="O223" s="25"/>
      <c r="P223" s="25"/>
      <c r="Q223" s="8"/>
    </row>
    <row r="224" spans="1:17">
      <c r="A224" s="30"/>
      <c r="E224" s="31"/>
      <c r="F224" s="31"/>
      <c r="G224" s="31"/>
      <c r="K224" s="8"/>
      <c r="L224" s="8"/>
      <c r="M224" s="24"/>
      <c r="N224" s="24"/>
      <c r="O224" s="25"/>
      <c r="P224" s="25"/>
      <c r="Q224" s="8"/>
    </row>
    <row r="229" spans="1:17">
      <c r="A229" s="30"/>
      <c r="E229" s="31"/>
      <c r="F229" s="31"/>
      <c r="G229" s="31"/>
      <c r="K229" s="8"/>
      <c r="L229" s="8"/>
      <c r="M229" s="24"/>
      <c r="N229" s="24"/>
      <c r="O229" s="25"/>
      <c r="P229" s="25"/>
      <c r="Q229" s="8"/>
    </row>
    <row r="230" spans="1:17">
      <c r="A230" s="30"/>
      <c r="E230" s="31"/>
      <c r="F230" s="31"/>
      <c r="G230" s="31"/>
      <c r="K230" s="8"/>
      <c r="L230" s="8"/>
      <c r="M230" s="24"/>
      <c r="N230" s="24"/>
      <c r="O230" s="25"/>
      <c r="P230" s="25"/>
      <c r="Q230" s="8"/>
    </row>
    <row r="231" spans="1:17" ht="19">
      <c r="A231" s="39" t="s">
        <v>849</v>
      </c>
      <c r="B231" s="39" t="s">
        <v>850</v>
      </c>
      <c r="C231" s="39" t="s">
        <v>851</v>
      </c>
      <c r="D231" s="39" t="s">
        <v>852</v>
      </c>
      <c r="E231" s="39" t="s">
        <v>853</v>
      </c>
      <c r="F231" s="39" t="s">
        <v>934</v>
      </c>
      <c r="G231" s="39" t="s">
        <v>967</v>
      </c>
      <c r="I231" s="39"/>
      <c r="K231" s="8"/>
      <c r="L231" s="8"/>
      <c r="M231" s="24"/>
      <c r="N231" s="35"/>
      <c r="O231" s="25"/>
      <c r="P231" s="25"/>
      <c r="Q231" s="8"/>
    </row>
    <row r="232" spans="1:17" ht="19">
      <c r="A232" s="39" t="s">
        <v>855</v>
      </c>
      <c r="B232" s="39">
        <f>COUNTA(B2:B221)</f>
        <v>18</v>
      </c>
      <c r="C232" s="40">
        <f xml:space="preserve"> MIN(B2:B221)</f>
        <v>1E-3</v>
      </c>
      <c r="D232" s="40">
        <f xml:space="preserve"> MAX(B2:B221)</f>
        <v>0.1</v>
      </c>
      <c r="E232" s="40">
        <f>AVERAGEIF(B2:B221,"&lt;&gt;0")</f>
        <v>1.9394444444444447E-2</v>
      </c>
      <c r="F232" s="40"/>
      <c r="G232" s="40"/>
      <c r="I232" s="40"/>
      <c r="K232" s="8"/>
      <c r="L232" s="8"/>
      <c r="N232" s="35"/>
      <c r="O232" s="25"/>
      <c r="P232" s="25"/>
      <c r="Q232" s="8"/>
    </row>
    <row r="233" spans="1:17" ht="19">
      <c r="A233" s="39" t="s">
        <v>857</v>
      </c>
      <c r="B233" s="39">
        <f>COUNTA(C2:C221)</f>
        <v>33</v>
      </c>
      <c r="C233" s="40">
        <f xml:space="preserve"> MIN(C2:C221)</f>
        <v>2.0000000000000002E-5</v>
      </c>
      <c r="D233" s="40">
        <f xml:space="preserve"> MAX(C2:C221)</f>
        <v>2.5999999999999999E-2</v>
      </c>
      <c r="E233" s="40">
        <f>AVERAGEIF(C2:C221,"&lt;&gt;0")</f>
        <v>2.502121212121212E-3</v>
      </c>
      <c r="F233" s="40">
        <f>AVERAGE(D2:D221)</f>
        <v>-3.3095363311650323</v>
      </c>
      <c r="G233" s="40">
        <f>10^F233</f>
        <v>4.9030200456832691E-4</v>
      </c>
      <c r="I233" s="40"/>
      <c r="K233" s="8"/>
      <c r="L233" s="8"/>
      <c r="N233" s="35"/>
      <c r="O233" s="25"/>
      <c r="P233" s="25"/>
      <c r="Q233" s="8"/>
    </row>
    <row r="234" spans="1:17" ht="19">
      <c r="A234" s="39" t="s">
        <v>914</v>
      </c>
      <c r="B234" s="39">
        <f>COUNTA(E2:E221)</f>
        <v>175</v>
      </c>
      <c r="C234" s="40">
        <f xml:space="preserve"> MIN(E2:E221)</f>
        <v>3.0000000000000001E-6</v>
      </c>
      <c r="D234" s="40">
        <f xml:space="preserve"> MAX(E2:E221)</f>
        <v>0.12</v>
      </c>
      <c r="E234" s="40">
        <f>AVERAGEIF(E2:E221,"&lt;&gt;0")</f>
        <v>8.8523371428571342E-3</v>
      </c>
      <c r="F234" s="40">
        <f>AVERAGE(F2:F221)</f>
        <v>-2.5788825074719366</v>
      </c>
      <c r="G234" s="40">
        <f t="shared" ref="G234:G235" si="23">10^F234</f>
        <v>2.6370447062917107E-3</v>
      </c>
      <c r="I234" s="40"/>
      <c r="K234" s="8"/>
      <c r="L234" s="8"/>
      <c r="M234" s="30"/>
      <c r="N234" s="35"/>
      <c r="O234" s="25"/>
      <c r="P234" s="25"/>
      <c r="Q234" s="8"/>
    </row>
    <row r="235" spans="1:17" ht="19">
      <c r="A235" s="39" t="s">
        <v>915</v>
      </c>
      <c r="B235" s="39">
        <f>COUNTA(H2:H221)</f>
        <v>124</v>
      </c>
      <c r="C235" s="40">
        <f xml:space="preserve"> MIN(H2:H221)</f>
        <v>8.4033613445378151E-8</v>
      </c>
      <c r="D235" s="40">
        <f xml:space="preserve"> MAX(H2:H221)</f>
        <v>2.7906976744186047E-3</v>
      </c>
      <c r="E235" s="40">
        <f>AVERAGEIF(H2:H221,"&lt;&gt;0")</f>
        <v>1.4781277594575384E-4</v>
      </c>
      <c r="F235" s="40">
        <f>AVERAGE(I2:I221)</f>
        <v>-4.3822274408547663</v>
      </c>
      <c r="G235" s="40">
        <f t="shared" si="23"/>
        <v>4.1473678729829204E-5</v>
      </c>
      <c r="I235" s="40"/>
      <c r="K235" s="8"/>
      <c r="L235" s="8"/>
      <c r="N235" s="35"/>
      <c r="O235" s="25"/>
      <c r="P235" s="25"/>
      <c r="Q235" s="8"/>
    </row>
    <row r="236" spans="1:17">
      <c r="A236" s="30"/>
      <c r="E236" s="31"/>
      <c r="F236" s="31"/>
      <c r="G236" s="31"/>
      <c r="K236" s="8"/>
      <c r="L236" s="8"/>
      <c r="N236" s="35"/>
      <c r="O236" s="25"/>
      <c r="P236" s="25"/>
      <c r="Q236" s="8"/>
    </row>
    <row r="237" spans="1:17">
      <c r="A237" s="30"/>
      <c r="E237" s="31"/>
      <c r="F237" s="31"/>
      <c r="G237" s="31"/>
      <c r="K237" s="8"/>
      <c r="L237" s="8"/>
      <c r="N237" s="24"/>
      <c r="O237" s="25"/>
      <c r="P237" s="25"/>
      <c r="Q237" s="8"/>
    </row>
    <row r="238" spans="1:17">
      <c r="A238" s="30"/>
      <c r="E238" s="31"/>
      <c r="F238" s="31"/>
      <c r="G238" s="31"/>
      <c r="K238" s="8"/>
      <c r="L238" s="8"/>
      <c r="O238" s="25"/>
      <c r="P238" s="25"/>
      <c r="Q238" s="8"/>
    </row>
    <row r="239" spans="1:17">
      <c r="A239" s="30"/>
      <c r="E239" s="31"/>
      <c r="F239" s="31"/>
      <c r="G239" s="31"/>
      <c r="K239" s="8"/>
      <c r="L239" s="8"/>
      <c r="N239" s="24"/>
      <c r="O239" s="25"/>
      <c r="P239" s="25"/>
      <c r="Q239" s="25"/>
    </row>
    <row r="240" spans="1:17">
      <c r="E240" s="31"/>
      <c r="F240" s="31"/>
      <c r="G240" s="31"/>
      <c r="K240" s="8"/>
      <c r="L240" s="8"/>
      <c r="M240" s="2"/>
      <c r="N240" s="24"/>
      <c r="P240" s="25"/>
      <c r="Q240" s="8"/>
    </row>
    <row r="241" spans="1:17" ht="19">
      <c r="A241" s="45"/>
      <c r="B241" s="49"/>
      <c r="E241" s="50"/>
      <c r="F241" s="50"/>
      <c r="G241" s="31"/>
      <c r="K241" s="8"/>
      <c r="L241" s="8"/>
      <c r="M241" s="24"/>
      <c r="N241" s="24"/>
      <c r="O241" s="25"/>
      <c r="P241" s="25"/>
      <c r="Q241" s="8"/>
    </row>
    <row r="242" spans="1:17" ht="19">
      <c r="A242" s="45"/>
      <c r="B242" s="49"/>
      <c r="E242" s="50"/>
      <c r="F242" s="50"/>
      <c r="G242" s="31"/>
      <c r="K242" s="8"/>
      <c r="L242" s="8"/>
      <c r="M242" s="30"/>
      <c r="N242" s="24"/>
      <c r="O242" s="25"/>
      <c r="P242" s="25"/>
      <c r="Q242" s="8"/>
    </row>
    <row r="243" spans="1:17" ht="19">
      <c r="A243" s="45"/>
      <c r="B243" s="49"/>
      <c r="E243" s="50"/>
      <c r="F243" s="50"/>
      <c r="G243" s="31"/>
      <c r="K243" s="8"/>
      <c r="L243" s="8"/>
      <c r="M243" s="30"/>
      <c r="N243" s="24"/>
      <c r="O243" s="25"/>
      <c r="P243" s="25"/>
      <c r="Q243" s="8"/>
    </row>
    <row r="244" spans="1:17" ht="19">
      <c r="A244" s="45"/>
      <c r="B244" s="49"/>
      <c r="E244" s="50"/>
      <c r="F244" s="50"/>
      <c r="G244" s="31"/>
      <c r="K244" s="8"/>
      <c r="L244" s="8"/>
      <c r="N244" s="35"/>
      <c r="O244" s="25"/>
      <c r="P244" s="25"/>
      <c r="Q244" s="8"/>
    </row>
    <row r="245" spans="1:17" ht="19">
      <c r="A245" s="45"/>
      <c r="B245" s="49"/>
      <c r="E245" s="50"/>
      <c r="F245" s="50"/>
      <c r="G245" s="31"/>
      <c r="K245" s="8"/>
      <c r="L245" s="8"/>
      <c r="N245" s="35"/>
      <c r="O245" s="25"/>
      <c r="Q245" s="8"/>
    </row>
    <row r="246" spans="1:17" ht="19">
      <c r="A246" s="45"/>
      <c r="B246" s="49"/>
      <c r="E246" s="50"/>
      <c r="F246" s="50"/>
    </row>
    <row r="247" spans="1:17" ht="19">
      <c r="A247" s="45"/>
      <c r="B247" s="49"/>
      <c r="E247" s="50"/>
      <c r="F247" s="50"/>
    </row>
    <row r="248" spans="1:17" ht="19">
      <c r="A248" s="45"/>
      <c r="B248" s="49"/>
      <c r="E248" s="50"/>
      <c r="F248" s="50"/>
    </row>
    <row r="249" spans="1:17" ht="19">
      <c r="A249" s="45"/>
      <c r="B249" s="49"/>
      <c r="E249" s="50"/>
      <c r="F249" s="50"/>
    </row>
    <row r="250" spans="1:17">
      <c r="B250" s="49">
        <v>0.05</v>
      </c>
    </row>
    <row r="251" spans="1:17">
      <c r="B251" s="49">
        <v>0.1</v>
      </c>
    </row>
    <row r="252" spans="1:17">
      <c r="A252" s="30"/>
      <c r="E252" s="31"/>
      <c r="F252" s="31"/>
      <c r="G252" s="31"/>
      <c r="K252" s="8"/>
      <c r="L252" s="8"/>
      <c r="O252" s="25"/>
      <c r="P252" s="25"/>
      <c r="Q252" s="8"/>
    </row>
    <row r="253" spans="1:17">
      <c r="A253" s="30"/>
      <c r="E253" s="31"/>
      <c r="F253" s="31"/>
      <c r="G253" s="31"/>
      <c r="K253" s="8"/>
      <c r="L253" s="8"/>
      <c r="N253" s="25"/>
      <c r="O253" s="25"/>
      <c r="P253" s="25"/>
      <c r="Q253" s="8"/>
    </row>
    <row r="254" spans="1:17">
      <c r="A254" s="30"/>
      <c r="E254" s="31"/>
      <c r="F254" s="31"/>
      <c r="G254" s="31"/>
      <c r="K254" s="8"/>
      <c r="L254" s="8"/>
      <c r="O254" s="25"/>
      <c r="P254" s="25"/>
      <c r="Q254" s="8"/>
    </row>
    <row r="255" spans="1:17">
      <c r="A255" s="30"/>
      <c r="E255" s="31"/>
      <c r="F255" s="31"/>
      <c r="G255" s="31"/>
      <c r="K255" s="8"/>
      <c r="L255" s="8"/>
      <c r="N255" s="30"/>
      <c r="O255" s="25"/>
      <c r="P255" s="25"/>
      <c r="Q255" s="8"/>
    </row>
    <row r="256" spans="1:17">
      <c r="A256" s="30"/>
      <c r="E256" s="31"/>
      <c r="F256" s="31"/>
      <c r="G256" s="31"/>
      <c r="K256" s="8"/>
      <c r="L256" s="8"/>
      <c r="O256" s="25"/>
      <c r="P256" s="25"/>
      <c r="Q256" s="8"/>
    </row>
    <row r="260" spans="1:17">
      <c r="A260" s="30"/>
      <c r="E260" s="31"/>
      <c r="F260" s="31"/>
      <c r="G260" s="31"/>
      <c r="K260" s="8"/>
      <c r="L260" s="8"/>
      <c r="Q260" s="8"/>
    </row>
    <row r="261" spans="1:17">
      <c r="A261" s="30"/>
      <c r="E261" s="31"/>
      <c r="F261" s="31"/>
      <c r="G261" s="31"/>
      <c r="K261" s="8"/>
      <c r="L261" s="8"/>
      <c r="Q261" s="8"/>
    </row>
    <row r="262" spans="1:17">
      <c r="A262" s="30"/>
      <c r="E262" s="31"/>
      <c r="F262" s="31"/>
      <c r="G262" s="31"/>
      <c r="K262" s="8"/>
      <c r="L262" s="8"/>
      <c r="Q262" s="8"/>
    </row>
    <row r="263" spans="1:17">
      <c r="A263" s="30"/>
      <c r="E263" s="31"/>
      <c r="F263" s="31"/>
      <c r="G263" s="31"/>
      <c r="K263" s="8"/>
      <c r="L263" s="8"/>
      <c r="Q263" s="8"/>
    </row>
    <row r="264" spans="1:17">
      <c r="A264" s="30"/>
      <c r="E264" s="31"/>
      <c r="F264" s="31"/>
      <c r="G264" s="31"/>
      <c r="K264" s="8"/>
      <c r="L264" s="8"/>
      <c r="Q264" s="8"/>
    </row>
    <row r="265" spans="1:17">
      <c r="A265" s="30"/>
      <c r="E265" s="31"/>
      <c r="F265" s="31"/>
      <c r="G265" s="31"/>
      <c r="K265" s="8"/>
      <c r="L265" s="8"/>
      <c r="Q265" s="8"/>
    </row>
    <row r="266" spans="1:17">
      <c r="A266" s="30"/>
      <c r="E266" s="31"/>
      <c r="F266" s="31"/>
      <c r="G266" s="31"/>
      <c r="K266" s="8"/>
      <c r="L266" s="8"/>
      <c r="Q266" s="8"/>
    </row>
    <row r="267" spans="1:17">
      <c r="A267" s="30"/>
      <c r="E267" s="31"/>
      <c r="F267" s="31"/>
      <c r="G267" s="31"/>
      <c r="K267" s="8"/>
      <c r="L267" s="8"/>
      <c r="Q267" s="8"/>
    </row>
    <row r="268" spans="1:17">
      <c r="A268" s="30"/>
      <c r="E268" s="31"/>
      <c r="F268" s="31"/>
      <c r="G268" s="31"/>
      <c r="K268" s="8"/>
      <c r="L268" s="8"/>
      <c r="Q268" s="8"/>
    </row>
    <row r="269" spans="1:17">
      <c r="A269" s="30"/>
      <c r="E269" s="31"/>
      <c r="F269" s="31"/>
      <c r="G269" s="31"/>
      <c r="K269" s="8"/>
      <c r="L269" s="8"/>
      <c r="Q269" s="8"/>
    </row>
    <row r="270" spans="1:17">
      <c r="A270" s="30"/>
      <c r="E270" s="31"/>
      <c r="F270" s="31"/>
      <c r="G270" s="31"/>
      <c r="K270" s="8"/>
      <c r="L270" s="8"/>
      <c r="Q270" s="8"/>
    </row>
    <row r="271" spans="1:17">
      <c r="A271" s="30"/>
      <c r="E271" s="31"/>
      <c r="F271" s="31"/>
      <c r="G271" s="31"/>
      <c r="K271" s="8"/>
      <c r="L271" s="8"/>
      <c r="Q271" s="8"/>
    </row>
    <row r="272" spans="1:17">
      <c r="A272" s="30"/>
      <c r="E272" s="31"/>
      <c r="F272" s="31"/>
      <c r="G272" s="31"/>
      <c r="K272" s="8"/>
      <c r="L272" s="8"/>
      <c r="Q272" s="8"/>
    </row>
    <row r="273" spans="1:17">
      <c r="A273" s="30"/>
      <c r="E273" s="31"/>
      <c r="F273" s="31"/>
      <c r="G273" s="31"/>
      <c r="K273" s="8"/>
      <c r="L273" s="8"/>
      <c r="Q273" s="8"/>
    </row>
    <row r="274" spans="1:17">
      <c r="A274" s="30"/>
      <c r="E274" s="31"/>
      <c r="F274" s="31"/>
      <c r="G274" s="31"/>
      <c r="K274" s="8"/>
      <c r="L274" s="8"/>
      <c r="Q274" s="8"/>
    </row>
    <row r="275" spans="1:17">
      <c r="A275" s="30"/>
      <c r="E275" s="31"/>
      <c r="F275" s="31"/>
      <c r="G275" s="31"/>
      <c r="K275" s="8"/>
      <c r="L275" s="8"/>
      <c r="Q275" s="8"/>
    </row>
    <row r="276" spans="1:17">
      <c r="A276" s="30"/>
      <c r="E276" s="31"/>
      <c r="F276" s="31"/>
      <c r="G276" s="31"/>
      <c r="K276" s="8"/>
      <c r="L276" s="8"/>
      <c r="Q276" s="8"/>
    </row>
    <row r="277" spans="1:17">
      <c r="A277" s="30"/>
      <c r="E277" s="31"/>
      <c r="F277" s="31"/>
      <c r="G277" s="31"/>
      <c r="K277" s="8"/>
      <c r="L277" s="8"/>
      <c r="Q277" s="8"/>
    </row>
    <row r="278" spans="1:17">
      <c r="A278" s="30"/>
      <c r="E278" s="31"/>
      <c r="F278" s="31"/>
      <c r="G278" s="31"/>
      <c r="K278" s="8"/>
      <c r="L278" s="8"/>
      <c r="Q278" s="8"/>
    </row>
    <row r="279" spans="1:17">
      <c r="A279" s="30"/>
      <c r="E279" s="31"/>
      <c r="F279" s="31"/>
      <c r="G279" s="31"/>
      <c r="K279" s="8"/>
      <c r="L279" s="8"/>
      <c r="Q279" s="8"/>
    </row>
    <row r="280" spans="1:17">
      <c r="A280" s="30"/>
      <c r="E280" s="31"/>
      <c r="F280" s="31"/>
      <c r="G280" s="31"/>
      <c r="K280" s="8"/>
      <c r="L280" s="8"/>
      <c r="Q280" s="8"/>
    </row>
    <row r="281" spans="1:17">
      <c r="A281" s="30"/>
      <c r="E281" s="31"/>
      <c r="F281" s="31"/>
      <c r="G281" s="31"/>
      <c r="K281" s="8"/>
      <c r="L281" s="8"/>
      <c r="Q281" s="8"/>
    </row>
    <row r="282" spans="1:17">
      <c r="A282" s="30"/>
      <c r="E282" s="31"/>
      <c r="F282" s="31"/>
      <c r="G282" s="31"/>
      <c r="K282" s="8"/>
      <c r="L282" s="8"/>
      <c r="Q282" s="8"/>
    </row>
    <row r="283" spans="1:17">
      <c r="A283" s="30"/>
      <c r="E283" s="31"/>
      <c r="F283" s="31"/>
      <c r="G283" s="31"/>
      <c r="K283" s="8"/>
      <c r="L283" s="8"/>
      <c r="Q283" s="8"/>
    </row>
    <row r="284" spans="1:17">
      <c r="A284" s="30"/>
      <c r="E284" s="31"/>
      <c r="F284" s="31"/>
      <c r="G284" s="31"/>
      <c r="K284" s="8"/>
      <c r="L284" s="8"/>
      <c r="Q284" s="8"/>
    </row>
    <row r="285" spans="1:17">
      <c r="A285" s="30"/>
      <c r="E285" s="31"/>
      <c r="F285" s="31"/>
      <c r="G285" s="31"/>
      <c r="K285" s="8"/>
      <c r="L285" s="8"/>
      <c r="Q285" s="8"/>
    </row>
    <row r="286" spans="1:17">
      <c r="A286" s="30"/>
      <c r="E286" s="31"/>
      <c r="F286" s="31"/>
      <c r="G286" s="31"/>
      <c r="K286" s="8"/>
      <c r="L286" s="8"/>
      <c r="Q286" s="8"/>
    </row>
    <row r="287" spans="1:17">
      <c r="A287" s="30"/>
      <c r="E287" s="31"/>
      <c r="F287" s="31"/>
      <c r="G287" s="31"/>
      <c r="K287" s="8"/>
      <c r="L287" s="8"/>
      <c r="Q287" s="8"/>
    </row>
    <row r="288" spans="1:17">
      <c r="A288" s="30"/>
      <c r="E288" s="31"/>
      <c r="F288" s="31"/>
      <c r="G288" s="31"/>
      <c r="K288" s="8"/>
      <c r="L288" s="8"/>
      <c r="Q288" s="8"/>
    </row>
    <row r="289" spans="1:17">
      <c r="A289" s="30"/>
      <c r="E289" s="31"/>
      <c r="F289" s="31"/>
      <c r="G289" s="31"/>
      <c r="K289" s="8"/>
      <c r="L289" s="8"/>
      <c r="Q289" s="8"/>
    </row>
    <row r="290" spans="1:17">
      <c r="A290" s="30"/>
      <c r="E290" s="31"/>
      <c r="F290" s="31"/>
      <c r="G290" s="31"/>
      <c r="K290" s="8"/>
      <c r="L290" s="8"/>
      <c r="Q290" s="8"/>
    </row>
    <row r="291" spans="1:17">
      <c r="A291" s="30"/>
      <c r="E291" s="31"/>
      <c r="F291" s="31"/>
      <c r="G291" s="31"/>
      <c r="K291" s="8"/>
      <c r="L291" s="8"/>
      <c r="Q291" s="8"/>
    </row>
    <row r="292" spans="1:17">
      <c r="A292" s="30"/>
      <c r="E292" s="31"/>
      <c r="F292" s="31"/>
      <c r="G292" s="31"/>
      <c r="K292" s="8"/>
      <c r="L292" s="8"/>
      <c r="Q292" s="8"/>
    </row>
    <row r="293" spans="1:17">
      <c r="A293" s="30"/>
      <c r="E293" s="31"/>
      <c r="F293" s="31"/>
      <c r="G293" s="31"/>
      <c r="K293" s="8"/>
      <c r="L293" s="8"/>
      <c r="Q293" s="8"/>
    </row>
    <row r="294" spans="1:17">
      <c r="A294" s="30"/>
      <c r="E294" s="31"/>
      <c r="F294" s="31"/>
      <c r="G294" s="31"/>
      <c r="K294" s="8"/>
      <c r="L294" s="8"/>
      <c r="Q294" s="8"/>
    </row>
    <row r="295" spans="1:17">
      <c r="A295" s="30"/>
      <c r="E295" s="31"/>
      <c r="F295" s="31"/>
      <c r="G295" s="31"/>
      <c r="K295" s="8"/>
      <c r="L295" s="8"/>
      <c r="Q295" s="8"/>
    </row>
    <row r="296" spans="1:17">
      <c r="A296" s="30"/>
      <c r="E296" s="31"/>
      <c r="F296" s="31"/>
      <c r="G296" s="31"/>
      <c r="K296" s="8"/>
      <c r="L296" s="8"/>
      <c r="Q296" s="8"/>
    </row>
    <row r="297" spans="1:17">
      <c r="A297" s="30"/>
      <c r="E297" s="31"/>
      <c r="F297" s="31"/>
      <c r="G297" s="31"/>
      <c r="K297" s="8"/>
      <c r="L297" s="8"/>
      <c r="Q297" s="8"/>
    </row>
    <row r="298" spans="1:17">
      <c r="A298" s="30"/>
      <c r="E298" s="31"/>
      <c r="F298" s="31"/>
      <c r="G298" s="31"/>
      <c r="K298" s="8"/>
      <c r="L298" s="8"/>
      <c r="Q298" s="8"/>
    </row>
    <row r="299" spans="1:17">
      <c r="A299" s="30"/>
      <c r="E299" s="31"/>
      <c r="F299" s="31"/>
      <c r="G299" s="31"/>
      <c r="K299" s="8"/>
      <c r="L299" s="8"/>
      <c r="Q299" s="8"/>
    </row>
    <row r="300" spans="1:17">
      <c r="A300" s="30"/>
      <c r="E300" s="31"/>
      <c r="F300" s="31"/>
      <c r="G300" s="31"/>
      <c r="K300" s="8"/>
      <c r="L300" s="8"/>
      <c r="Q300" s="8"/>
    </row>
    <row r="301" spans="1:17">
      <c r="A301" s="30"/>
      <c r="E301" s="31"/>
      <c r="F301" s="31"/>
      <c r="G301" s="31"/>
      <c r="K301" s="8"/>
      <c r="L301" s="8"/>
      <c r="Q301" s="8"/>
    </row>
    <row r="302" spans="1:17">
      <c r="A302" s="30"/>
      <c r="E302" s="31"/>
      <c r="F302" s="31"/>
      <c r="G302" s="31"/>
      <c r="K302" s="8"/>
      <c r="L302" s="8"/>
      <c r="Q302" s="8"/>
    </row>
    <row r="303" spans="1:17">
      <c r="A303" s="30"/>
      <c r="E303" s="31"/>
      <c r="F303" s="31"/>
      <c r="G303" s="31"/>
      <c r="K303" s="8"/>
      <c r="L303" s="8"/>
      <c r="Q303" s="8"/>
    </row>
    <row r="304" spans="1:17">
      <c r="A304" s="30"/>
      <c r="E304" s="31"/>
      <c r="F304" s="31"/>
      <c r="G304" s="31"/>
      <c r="K304" s="8"/>
      <c r="L304" s="8"/>
      <c r="Q304" s="8"/>
    </row>
    <row r="305" spans="1:17">
      <c r="A305" s="30"/>
      <c r="E305" s="31"/>
      <c r="F305" s="31"/>
      <c r="G305" s="31"/>
      <c r="K305" s="8"/>
      <c r="L305" s="8"/>
      <c r="Q305" s="8"/>
    </row>
    <row r="306" spans="1:17">
      <c r="A306" s="30"/>
      <c r="E306" s="31"/>
      <c r="F306" s="31"/>
      <c r="G306" s="31"/>
      <c r="K306" s="8"/>
      <c r="L306" s="8"/>
      <c r="Q306" s="8"/>
    </row>
    <row r="307" spans="1:17">
      <c r="A307" s="30"/>
      <c r="E307" s="31"/>
      <c r="F307" s="31"/>
      <c r="G307" s="31"/>
      <c r="K307" s="8"/>
      <c r="L307" s="8"/>
      <c r="Q307" s="8"/>
    </row>
    <row r="308" spans="1:17">
      <c r="A308" s="30"/>
      <c r="E308" s="31"/>
      <c r="F308" s="31"/>
      <c r="G308" s="31"/>
      <c r="K308" s="8"/>
      <c r="L308" s="8"/>
      <c r="Q308" s="8"/>
    </row>
    <row r="309" spans="1:17">
      <c r="A309" s="30"/>
      <c r="E309" s="31"/>
      <c r="F309" s="31"/>
      <c r="G309" s="31"/>
      <c r="K309" s="8"/>
      <c r="L309" s="8"/>
      <c r="Q309" s="8"/>
    </row>
    <row r="310" spans="1:17">
      <c r="A310" s="30"/>
      <c r="E310" s="31"/>
      <c r="F310" s="31"/>
      <c r="G310" s="31"/>
      <c r="K310" s="8"/>
      <c r="L310" s="8"/>
      <c r="Q310" s="8"/>
    </row>
    <row r="311" spans="1:17">
      <c r="A311" s="30"/>
      <c r="E311" s="31"/>
      <c r="F311" s="31"/>
      <c r="G311" s="31"/>
      <c r="K311" s="8"/>
      <c r="L311" s="8"/>
      <c r="Q311" s="8"/>
    </row>
    <row r="312" spans="1:17">
      <c r="A312" s="30"/>
      <c r="E312" s="31"/>
      <c r="F312" s="31"/>
      <c r="G312" s="31"/>
      <c r="K312" s="8"/>
      <c r="L312" s="8"/>
      <c r="Q312" s="8"/>
    </row>
    <row r="313" spans="1:17">
      <c r="A313" s="30"/>
      <c r="E313" s="31"/>
      <c r="F313" s="31"/>
      <c r="G313" s="31"/>
      <c r="K313" s="8"/>
      <c r="L313" s="8"/>
      <c r="Q313" s="8"/>
    </row>
    <row r="314" spans="1:17">
      <c r="A314" s="30"/>
      <c r="E314" s="31"/>
      <c r="F314" s="31"/>
      <c r="G314" s="31"/>
      <c r="K314" s="8"/>
      <c r="L314" s="8"/>
      <c r="Q314" s="8"/>
    </row>
    <row r="315" spans="1:17">
      <c r="A315" s="30"/>
      <c r="E315" s="31"/>
      <c r="F315" s="31"/>
      <c r="G315" s="31"/>
      <c r="K315" s="8"/>
      <c r="L315" s="8"/>
      <c r="Q315" s="8"/>
    </row>
    <row r="316" spans="1:17">
      <c r="A316" s="30"/>
      <c r="E316" s="31"/>
      <c r="F316" s="31"/>
      <c r="G316" s="31"/>
      <c r="K316" s="8"/>
      <c r="L316" s="8"/>
      <c r="Q316" s="8"/>
    </row>
    <row r="317" spans="1:17">
      <c r="A317" s="30"/>
      <c r="E317" s="31"/>
      <c r="F317" s="31"/>
      <c r="G317" s="31"/>
      <c r="K317" s="8"/>
      <c r="L317" s="8"/>
      <c r="Q317" s="8"/>
    </row>
    <row r="318" spans="1:17">
      <c r="A318" s="30"/>
      <c r="E318" s="31"/>
      <c r="F318" s="31"/>
      <c r="G318" s="31"/>
      <c r="K318" s="8"/>
      <c r="L318" s="8"/>
      <c r="Q318" s="8"/>
    </row>
    <row r="319" spans="1:17">
      <c r="Q319" s="8"/>
    </row>
    <row r="320" spans="1:17">
      <c r="Q320" s="8"/>
    </row>
    <row r="321" spans="17:17">
      <c r="Q321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9"/>
  <sheetViews>
    <sheetView workbookViewId="0">
      <selection activeCell="D40" sqref="D40"/>
    </sheetView>
  </sheetViews>
  <sheetFormatPr baseColWidth="10" defaultRowHeight="15"/>
  <cols>
    <col min="5" max="6" width="14.1640625" customWidth="1"/>
    <col min="8" max="8" width="11.83203125" bestFit="1" customWidth="1"/>
    <col min="9" max="9" width="11.83203125" customWidth="1"/>
    <col min="10" max="10" width="13.1640625" customWidth="1"/>
  </cols>
  <sheetData>
    <row r="1" spans="1:17" ht="34">
      <c r="A1" s="1" t="s">
        <v>0</v>
      </c>
      <c r="B1" s="2" t="s">
        <v>855</v>
      </c>
      <c r="C1" s="2" t="s">
        <v>856</v>
      </c>
      <c r="D1" s="2" t="s">
        <v>935</v>
      </c>
      <c r="E1" s="3" t="s">
        <v>1</v>
      </c>
      <c r="F1" s="3" t="s">
        <v>936</v>
      </c>
      <c r="G1" s="3" t="s">
        <v>919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7">
      <c r="A2" s="5" t="s">
        <v>931</v>
      </c>
      <c r="B2" s="6"/>
      <c r="C2" s="12">
        <f>0.00004</f>
        <v>4.0000000000000003E-5</v>
      </c>
      <c r="D2" s="12">
        <f>IFERROR(LOG10(C2),"")</f>
        <v>-4.3979400086720375</v>
      </c>
      <c r="E2" s="9">
        <f>H2*52</f>
        <v>5.2000000000000002E-8</v>
      </c>
      <c r="F2" s="9">
        <f>IFERROR(LOG10(E2),"")</f>
        <v>-7.2839966563652006</v>
      </c>
      <c r="G2" s="7"/>
      <c r="H2" s="12">
        <f>0.000000001</f>
        <v>1.0000000000000001E-9</v>
      </c>
      <c r="I2" s="12">
        <f>IFERROR(LOG10(H2),"")</f>
        <v>-9</v>
      </c>
      <c r="J2" s="8" t="s">
        <v>932</v>
      </c>
      <c r="K2" s="8">
        <v>40</v>
      </c>
      <c r="L2" s="8" t="s">
        <v>619</v>
      </c>
      <c r="M2" s="8" t="s">
        <v>620</v>
      </c>
      <c r="N2" s="8">
        <v>366770</v>
      </c>
      <c r="O2" s="8">
        <v>6339411</v>
      </c>
      <c r="P2" s="8" t="s">
        <v>930</v>
      </c>
    </row>
    <row r="3" spans="1:17">
      <c r="A3" s="5" t="s">
        <v>931</v>
      </c>
      <c r="B3" s="6"/>
      <c r="C3" s="6"/>
      <c r="D3" s="12" t="str">
        <f t="shared" ref="D3:D6" si="0">IFERROR(LOG10(C3),"")</f>
        <v/>
      </c>
      <c r="E3" s="45">
        <f>H3*50</f>
        <v>4.9999999999999996E-6</v>
      </c>
      <c r="F3" s="9">
        <f t="shared" ref="F3:F6" si="1">IFERROR(LOG10(E3),"")</f>
        <v>-5.3010299956639813</v>
      </c>
      <c r="G3" s="7"/>
      <c r="H3" s="12">
        <f>0.0000001</f>
        <v>9.9999999999999995E-8</v>
      </c>
      <c r="I3" s="12">
        <f t="shared" ref="I3:I6" si="2">IFERROR(LOG10(H3),"")</f>
        <v>-7</v>
      </c>
      <c r="J3" s="8"/>
      <c r="K3" s="8"/>
      <c r="L3" s="8"/>
      <c r="M3" s="8"/>
      <c r="N3" s="8"/>
      <c r="O3" s="8">
        <v>6339411</v>
      </c>
      <c r="P3" s="8" t="s">
        <v>930</v>
      </c>
      <c r="Q3" s="8"/>
    </row>
    <row r="4" spans="1:17">
      <c r="A4" s="5" t="s">
        <v>931</v>
      </c>
      <c r="B4" s="6"/>
      <c r="C4" s="6"/>
      <c r="D4" s="12" t="str">
        <f t="shared" si="0"/>
        <v/>
      </c>
      <c r="E4" s="45">
        <f t="shared" ref="E4:E6" si="3">H4*50</f>
        <v>5.0000000000000002E-11</v>
      </c>
      <c r="F4" s="9">
        <f t="shared" si="1"/>
        <v>-10.301029995663981</v>
      </c>
      <c r="G4" s="7"/>
      <c r="H4" s="12">
        <f>0.000000000001</f>
        <v>9.9999999999999998E-13</v>
      </c>
      <c r="I4" s="12">
        <f t="shared" si="2"/>
        <v>-12</v>
      </c>
      <c r="J4" s="8"/>
      <c r="K4" s="8"/>
      <c r="L4" s="8"/>
      <c r="M4" s="8"/>
      <c r="N4" s="8"/>
      <c r="O4" s="8">
        <v>6339411</v>
      </c>
      <c r="P4" s="8" t="s">
        <v>930</v>
      </c>
      <c r="Q4" s="8"/>
    </row>
    <row r="5" spans="1:17">
      <c r="A5" s="5" t="s">
        <v>931</v>
      </c>
      <c r="B5" s="6"/>
      <c r="C5" s="6"/>
      <c r="D5" s="12" t="str">
        <f t="shared" si="0"/>
        <v/>
      </c>
      <c r="E5" s="45">
        <f t="shared" si="3"/>
        <v>4.9999999999999993E-10</v>
      </c>
      <c r="F5" s="9">
        <f t="shared" si="1"/>
        <v>-9.3010299956639813</v>
      </c>
      <c r="G5" s="9">
        <f>H3*50</f>
        <v>4.9999999999999996E-6</v>
      </c>
      <c r="H5" s="12">
        <f>0.00000000001</f>
        <v>9.9999999999999994E-12</v>
      </c>
      <c r="I5" s="12">
        <f t="shared" si="2"/>
        <v>-11</v>
      </c>
      <c r="J5" s="8"/>
      <c r="K5" s="8"/>
      <c r="L5" s="8"/>
      <c r="M5" s="8"/>
      <c r="N5" s="8"/>
      <c r="O5" s="8">
        <v>6339411</v>
      </c>
      <c r="P5" s="8" t="s">
        <v>930</v>
      </c>
      <c r="Q5" s="8"/>
    </row>
    <row r="6" spans="1:17">
      <c r="A6" s="5" t="s">
        <v>931</v>
      </c>
      <c r="B6" s="6"/>
      <c r="C6" s="6"/>
      <c r="D6" s="12" t="str">
        <f t="shared" si="0"/>
        <v/>
      </c>
      <c r="E6" s="45">
        <f t="shared" si="3"/>
        <v>4.9999999999999998E-7</v>
      </c>
      <c r="F6" s="9">
        <f t="shared" si="1"/>
        <v>-6.3010299956639813</v>
      </c>
      <c r="G6" s="7"/>
      <c r="H6" s="12">
        <f>0.00000001</f>
        <v>1E-8</v>
      </c>
      <c r="I6" s="12">
        <f t="shared" si="2"/>
        <v>-8</v>
      </c>
      <c r="J6" s="8"/>
      <c r="K6" s="8"/>
      <c r="L6" s="8"/>
      <c r="M6" s="8"/>
      <c r="N6" s="8"/>
      <c r="O6" s="8">
        <v>6339411</v>
      </c>
      <c r="P6" s="8" t="s">
        <v>930</v>
      </c>
      <c r="Q6" s="8"/>
    </row>
    <row r="7" spans="1:17">
      <c r="A7" s="5"/>
      <c r="B7" s="6"/>
      <c r="C7" s="6"/>
      <c r="D7" s="6"/>
      <c r="E7" s="7"/>
      <c r="F7" s="7"/>
      <c r="G7" s="7"/>
      <c r="H7" s="6"/>
      <c r="I7" s="6"/>
      <c r="J7" s="8"/>
      <c r="K7" s="8"/>
      <c r="L7" s="8"/>
      <c r="M7" s="8"/>
      <c r="N7" s="8"/>
      <c r="O7" s="8"/>
      <c r="P7" s="8"/>
      <c r="Q7" s="8"/>
    </row>
    <row r="8" spans="1:17">
      <c r="A8" s="5"/>
      <c r="B8" s="6"/>
      <c r="C8" s="6"/>
      <c r="D8" s="6"/>
      <c r="E8" s="7"/>
      <c r="F8" s="7"/>
      <c r="G8" s="7"/>
      <c r="H8" s="6"/>
      <c r="I8" s="6"/>
      <c r="J8" s="8"/>
      <c r="K8" s="8"/>
      <c r="L8" s="8"/>
      <c r="M8" s="8"/>
      <c r="N8" s="8"/>
      <c r="O8" s="8"/>
      <c r="P8" s="8"/>
      <c r="Q8" s="8"/>
    </row>
    <row r="9" spans="1:17">
      <c r="A9" s="5"/>
      <c r="B9" s="6"/>
      <c r="C9" s="6"/>
      <c r="D9" s="6"/>
      <c r="E9" s="7"/>
      <c r="F9" s="7"/>
      <c r="G9" s="7"/>
      <c r="H9" s="6"/>
      <c r="I9" s="6"/>
      <c r="J9" s="8"/>
      <c r="K9" s="8"/>
      <c r="L9" s="8"/>
      <c r="M9" s="8"/>
      <c r="N9" s="8"/>
      <c r="O9" s="8"/>
      <c r="P9" s="8"/>
      <c r="Q9" s="8"/>
    </row>
    <row r="10" spans="1:17">
      <c r="A10" s="5"/>
      <c r="B10" s="6"/>
      <c r="C10" s="6"/>
      <c r="D10" s="6"/>
      <c r="E10" s="7"/>
      <c r="F10" s="7"/>
      <c r="G10" s="7"/>
      <c r="H10" s="6"/>
      <c r="I10" s="6"/>
      <c r="J10" s="8"/>
      <c r="K10" s="8"/>
      <c r="L10" s="8"/>
      <c r="M10" s="8"/>
      <c r="N10" s="8"/>
      <c r="O10" s="8"/>
      <c r="P10" s="8"/>
      <c r="Q10" s="8"/>
    </row>
    <row r="11" spans="1:17">
      <c r="A11" s="5"/>
      <c r="B11" s="12"/>
      <c r="C11" s="12"/>
      <c r="D11" s="12"/>
      <c r="E11" s="12"/>
      <c r="F11" s="12"/>
      <c r="G11" s="12"/>
      <c r="H11" s="12"/>
      <c r="I11" s="12"/>
      <c r="J11" s="8"/>
      <c r="K11" s="8"/>
      <c r="L11" s="8"/>
      <c r="M11" s="8"/>
      <c r="N11" s="8"/>
      <c r="O11" s="8"/>
      <c r="P11" s="8"/>
      <c r="Q11" s="8"/>
    </row>
    <row r="12" spans="1:17">
      <c r="A12" s="5"/>
      <c r="B12" s="6"/>
      <c r="C12" s="6"/>
      <c r="D12" s="6"/>
      <c r="E12" s="7"/>
      <c r="F12" s="7"/>
      <c r="G12" s="7"/>
      <c r="H12" s="6"/>
      <c r="I12" s="6"/>
      <c r="J12" s="8"/>
      <c r="K12" s="8"/>
      <c r="L12" s="8"/>
      <c r="M12" s="8"/>
      <c r="N12" s="8"/>
      <c r="O12" s="8"/>
      <c r="P12" s="8"/>
      <c r="Q12" s="8"/>
    </row>
    <row r="13" spans="1:17">
      <c r="A13" s="5"/>
      <c r="B13" s="6"/>
      <c r="C13" s="6"/>
      <c r="D13" s="6"/>
      <c r="E13" s="9"/>
      <c r="F13" s="9"/>
      <c r="G13" s="9"/>
      <c r="H13" s="6"/>
      <c r="I13" s="6"/>
      <c r="J13" s="8"/>
      <c r="K13" s="8"/>
      <c r="L13" s="8"/>
      <c r="M13" s="8"/>
      <c r="N13" s="8"/>
      <c r="O13" s="8"/>
      <c r="P13" s="8"/>
      <c r="Q13" s="8"/>
    </row>
    <row r="14" spans="1:17">
      <c r="A14" s="5"/>
      <c r="E14" s="9"/>
      <c r="F14" s="9"/>
      <c r="G14" s="9"/>
      <c r="H14" s="45"/>
      <c r="I14" s="45"/>
    </row>
    <row r="17" spans="1:10">
      <c r="A17" s="28" t="s">
        <v>849</v>
      </c>
      <c r="B17" s="28" t="s">
        <v>850</v>
      </c>
      <c r="C17" s="28" t="s">
        <v>851</v>
      </c>
      <c r="D17" s="28" t="s">
        <v>852</v>
      </c>
      <c r="E17" s="28" t="s">
        <v>853</v>
      </c>
      <c r="F17" s="28" t="s">
        <v>927</v>
      </c>
      <c r="G17" t="s">
        <v>967</v>
      </c>
      <c r="J17" s="36"/>
    </row>
    <row r="18" spans="1:10">
      <c r="A18" s="28" t="s">
        <v>855</v>
      </c>
      <c r="B18" s="28">
        <f>COUNTA(B2:B14)</f>
        <v>0</v>
      </c>
      <c r="C18" s="37">
        <f>+MIN(B1:B14)</f>
        <v>0</v>
      </c>
      <c r="D18" s="37">
        <v>0</v>
      </c>
      <c r="E18" s="37" t="e">
        <f>AVERAGE(B2:B14)</f>
        <v>#DIV/0!</v>
      </c>
      <c r="F18" s="37"/>
      <c r="J18" s="36"/>
    </row>
    <row r="19" spans="1:10">
      <c r="A19" s="28" t="s">
        <v>857</v>
      </c>
      <c r="B19" s="28">
        <f>COUNTA(C2:C14)</f>
        <v>1</v>
      </c>
      <c r="C19" s="37">
        <f>MIN(C2:C14)</f>
        <v>4.0000000000000003E-5</v>
      </c>
      <c r="D19" s="37">
        <f>MAX(C2:C14)</f>
        <v>4.0000000000000003E-5</v>
      </c>
      <c r="E19" s="37">
        <f>AVERAGEIF(C2:C6,"&lt;&gt;0")</f>
        <v>4.0000000000000003E-5</v>
      </c>
      <c r="F19" s="37">
        <f>AVERAGE(D2:D14)</f>
        <v>-4.3979400086720375</v>
      </c>
      <c r="G19" s="45">
        <f>10^F19</f>
        <v>4.0000000000000003E-5</v>
      </c>
      <c r="J19" s="36"/>
    </row>
    <row r="20" spans="1:10">
      <c r="A20" s="28" t="s">
        <v>914</v>
      </c>
      <c r="B20" s="28">
        <f>COUNTA(E2:E13)</f>
        <v>5</v>
      </c>
      <c r="C20" s="37">
        <f>MIN(E2:E6)</f>
        <v>5.0000000000000002E-11</v>
      </c>
      <c r="D20" s="37">
        <f>MAX(E2:E6)</f>
        <v>4.9999999999999996E-6</v>
      </c>
      <c r="E20" s="37">
        <f>AVERAGEIF(E2:E6,"&lt;&gt;0")</f>
        <v>1.1105100000000001E-6</v>
      </c>
      <c r="F20" s="37">
        <f>AVERAGE(F2:F6)</f>
        <v>-7.6976233278042256</v>
      </c>
      <c r="G20" s="45">
        <f t="shared" ref="G20" si="4">10^F20</f>
        <v>2.0062112997524782E-8</v>
      </c>
      <c r="J20" s="36"/>
    </row>
    <row r="21" spans="1:10">
      <c r="A21" s="28" t="s">
        <v>915</v>
      </c>
      <c r="B21" s="28">
        <f>COUNTA(H2:H13)</f>
        <v>5</v>
      </c>
      <c r="C21" s="37">
        <f>MIN(H2:H6)</f>
        <v>9.9999999999999998E-13</v>
      </c>
      <c r="D21" s="37">
        <f>MAX(H2:H6)</f>
        <v>9.9999999999999995E-8</v>
      </c>
      <c r="E21" s="37">
        <f>AVERAGEIF(H2:H6,"&lt;&gt;0")</f>
        <v>2.2202199999999997E-8</v>
      </c>
      <c r="F21" s="37">
        <f>AVERAGE(I2:I6)</f>
        <v>-9.4</v>
      </c>
      <c r="G21" s="45">
        <f>10^F21</f>
        <v>3.9810717055349621E-10</v>
      </c>
      <c r="J21" s="36"/>
    </row>
    <row r="22" spans="1:10">
      <c r="A22" s="19"/>
      <c r="B22" s="19"/>
      <c r="C22" s="19"/>
      <c r="D22" s="19"/>
      <c r="E22" s="19"/>
      <c r="F22" s="19"/>
      <c r="G22" s="19"/>
      <c r="H22" s="19"/>
      <c r="I22" s="19"/>
    </row>
    <row r="25" spans="1:10">
      <c r="D25" s="45"/>
    </row>
    <row r="26" spans="1:10">
      <c r="D26" s="45"/>
    </row>
    <row r="27" spans="1:10">
      <c r="D27" s="45"/>
    </row>
    <row r="28" spans="1:10">
      <c r="D28" s="45"/>
      <c r="F28" s="45"/>
    </row>
    <row r="29" spans="1:10">
      <c r="F29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3"/>
  <sheetViews>
    <sheetView topLeftCell="A16" zoomScale="80" zoomScaleNormal="80" workbookViewId="0">
      <selection activeCell="G26" sqref="G26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8" width="11.83203125" customWidth="1"/>
    <col min="9" max="9" width="19.5" customWidth="1"/>
    <col min="10" max="10" width="24.1640625" customWidth="1"/>
    <col min="12" max="12" width="14.5" customWidth="1"/>
    <col min="18" max="18" width="18.6640625" bestFit="1" customWidth="1"/>
  </cols>
  <sheetData>
    <row r="1" spans="1:16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918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12</v>
      </c>
      <c r="B2" s="6"/>
      <c r="C2" s="6"/>
      <c r="D2" s="6" t="str">
        <f>IFERROR(LOG10(C2),"")</f>
        <v/>
      </c>
      <c r="E2" s="9">
        <v>1.8E-3</v>
      </c>
      <c r="F2" s="9">
        <f>IFERROR(LOG10(E2),"")</f>
        <v>-2.744727494896694</v>
      </c>
      <c r="G2" s="9"/>
      <c r="H2" s="6"/>
      <c r="I2" s="6" t="str">
        <f>IFERROR(LOG10(H2),"")</f>
        <v/>
      </c>
      <c r="J2" s="8" t="s">
        <v>11</v>
      </c>
      <c r="K2" s="8">
        <v>33</v>
      </c>
      <c r="L2" s="8" t="s">
        <v>13</v>
      </c>
      <c r="M2" s="8" t="s">
        <v>14</v>
      </c>
      <c r="N2" s="8">
        <v>379036</v>
      </c>
      <c r="O2" s="8">
        <v>6490132</v>
      </c>
      <c r="P2" s="8" t="s">
        <v>15</v>
      </c>
    </row>
    <row r="3" spans="1:16">
      <c r="A3" s="5" t="s">
        <v>12</v>
      </c>
      <c r="B3" s="6"/>
      <c r="C3" s="6"/>
      <c r="D3" s="6" t="str">
        <f t="shared" ref="D3:D18" si="0">IFERROR(LOG10(C3),"")</f>
        <v/>
      </c>
      <c r="E3" s="9">
        <v>1.1999999999999999E-3</v>
      </c>
      <c r="F3" s="9">
        <f t="shared" ref="F3:F18" si="1">IFERROR(LOG10(E3),"")</f>
        <v>-2.9208187539523753</v>
      </c>
      <c r="G3" s="9"/>
      <c r="H3" s="6"/>
      <c r="I3" s="6" t="str">
        <f t="shared" ref="I3:I18" si="2">IFERROR(LOG10(H3),"")</f>
        <v/>
      </c>
      <c r="J3" s="8" t="s">
        <v>11</v>
      </c>
      <c r="K3" s="8">
        <v>33</v>
      </c>
      <c r="L3" s="8" t="s">
        <v>13</v>
      </c>
      <c r="M3" s="8" t="s">
        <v>14</v>
      </c>
      <c r="N3" s="8">
        <v>379036</v>
      </c>
      <c r="O3" s="8">
        <v>6490132</v>
      </c>
      <c r="P3" s="8" t="s">
        <v>15</v>
      </c>
    </row>
    <row r="4" spans="1:16">
      <c r="A4" s="5" t="s">
        <v>16</v>
      </c>
      <c r="B4" s="6"/>
      <c r="C4" s="6"/>
      <c r="D4" s="6" t="str">
        <f t="shared" si="0"/>
        <v/>
      </c>
      <c r="E4" s="9">
        <v>2.3999999999999998E-3</v>
      </c>
      <c r="F4" s="9">
        <f t="shared" si="1"/>
        <v>-2.6197887582883941</v>
      </c>
      <c r="G4" s="9"/>
      <c r="H4" s="6"/>
      <c r="I4" s="6" t="str">
        <f t="shared" si="2"/>
        <v/>
      </c>
      <c r="J4" s="8" t="s">
        <v>11</v>
      </c>
      <c r="K4" s="8">
        <v>33</v>
      </c>
      <c r="L4" s="8" t="s">
        <v>13</v>
      </c>
      <c r="M4" s="8" t="s">
        <v>17</v>
      </c>
      <c r="N4" s="8">
        <v>381350</v>
      </c>
      <c r="O4" s="8">
        <v>6489136</v>
      </c>
      <c r="P4" s="8" t="s">
        <v>15</v>
      </c>
    </row>
    <row r="5" spans="1:16">
      <c r="A5" s="5" t="s">
        <v>16</v>
      </c>
      <c r="B5" s="6"/>
      <c r="C5" s="6"/>
      <c r="D5" s="6" t="str">
        <f t="shared" si="0"/>
        <v/>
      </c>
      <c r="E5" s="9">
        <v>1.1999999999999999E-3</v>
      </c>
      <c r="F5" s="9">
        <f t="shared" si="1"/>
        <v>-2.9208187539523753</v>
      </c>
      <c r="G5" s="9"/>
      <c r="H5" s="6"/>
      <c r="I5" s="6" t="str">
        <f t="shared" si="2"/>
        <v/>
      </c>
      <c r="J5" s="8" t="s">
        <v>11</v>
      </c>
      <c r="K5" s="8">
        <v>33</v>
      </c>
      <c r="L5" s="8" t="s">
        <v>13</v>
      </c>
      <c r="M5" s="8" t="s">
        <v>17</v>
      </c>
      <c r="N5" s="8">
        <v>381350</v>
      </c>
      <c r="O5" s="8">
        <v>6489136</v>
      </c>
      <c r="P5" s="8" t="s">
        <v>15</v>
      </c>
    </row>
    <row r="6" spans="1:16">
      <c r="A6" s="5" t="s">
        <v>16</v>
      </c>
      <c r="B6" s="6"/>
      <c r="C6" s="6"/>
      <c r="D6" s="6" t="str">
        <f t="shared" si="0"/>
        <v/>
      </c>
      <c r="E6" s="9">
        <v>2.0999999999999999E-3</v>
      </c>
      <c r="F6" s="9">
        <f t="shared" si="1"/>
        <v>-2.6777807052660809</v>
      </c>
      <c r="G6" s="9"/>
      <c r="H6" s="6"/>
      <c r="I6" s="6" t="str">
        <f t="shared" si="2"/>
        <v/>
      </c>
      <c r="J6" s="8" t="s">
        <v>11</v>
      </c>
      <c r="K6" s="8">
        <v>33</v>
      </c>
      <c r="L6" s="8" t="s">
        <v>13</v>
      </c>
      <c r="M6" s="8" t="s">
        <v>17</v>
      </c>
      <c r="N6" s="8">
        <v>381350</v>
      </c>
      <c r="O6" s="8">
        <v>6489136</v>
      </c>
      <c r="P6" s="8" t="s">
        <v>15</v>
      </c>
    </row>
    <row r="7" spans="1:16">
      <c r="A7" s="5" t="s">
        <v>16</v>
      </c>
      <c r="B7" s="6"/>
      <c r="C7" s="6"/>
      <c r="D7" s="6" t="str">
        <f t="shared" si="0"/>
        <v/>
      </c>
      <c r="E7" s="9">
        <v>1.2999999999999999E-3</v>
      </c>
      <c r="F7" s="9">
        <f t="shared" si="1"/>
        <v>-2.8860566476931631</v>
      </c>
      <c r="G7" s="9"/>
      <c r="H7" s="6"/>
      <c r="I7" s="6" t="str">
        <f t="shared" si="2"/>
        <v/>
      </c>
      <c r="J7" s="8" t="s">
        <v>11</v>
      </c>
      <c r="K7" s="8">
        <v>33</v>
      </c>
      <c r="L7" s="8" t="s">
        <v>13</v>
      </c>
      <c r="M7" s="8" t="s">
        <v>17</v>
      </c>
      <c r="N7" s="8">
        <v>381350</v>
      </c>
      <c r="O7" s="8">
        <v>6489136</v>
      </c>
      <c r="P7" s="8" t="s">
        <v>15</v>
      </c>
    </row>
    <row r="8" spans="1:16">
      <c r="A8" s="5" t="s">
        <v>16</v>
      </c>
      <c r="B8" s="6"/>
      <c r="C8" s="6"/>
      <c r="D8" s="6" t="str">
        <f t="shared" si="0"/>
        <v/>
      </c>
      <c r="E8" s="9">
        <v>1.5E-3</v>
      </c>
      <c r="F8" s="9">
        <f t="shared" si="1"/>
        <v>-2.8239087409443187</v>
      </c>
      <c r="G8" s="9"/>
      <c r="H8" s="6"/>
      <c r="I8" s="6" t="str">
        <f t="shared" si="2"/>
        <v/>
      </c>
      <c r="J8" s="8" t="s">
        <v>11</v>
      </c>
      <c r="K8" s="8">
        <v>33</v>
      </c>
      <c r="L8" s="8" t="s">
        <v>13</v>
      </c>
      <c r="M8" s="8" t="s">
        <v>17</v>
      </c>
      <c r="N8" s="8">
        <v>381350</v>
      </c>
      <c r="O8" s="8">
        <v>6489136</v>
      </c>
      <c r="P8" s="8" t="s">
        <v>15</v>
      </c>
    </row>
    <row r="9" spans="1:16">
      <c r="A9" s="5" t="s">
        <v>18</v>
      </c>
      <c r="B9" s="6"/>
      <c r="C9" s="6"/>
      <c r="D9" s="6" t="str">
        <f t="shared" si="0"/>
        <v/>
      </c>
      <c r="E9" s="9">
        <v>1.5E-5</v>
      </c>
      <c r="F9" s="9">
        <f t="shared" si="1"/>
        <v>-4.8239087409443187</v>
      </c>
      <c r="G9" s="9"/>
      <c r="H9" s="6"/>
      <c r="I9" s="6" t="str">
        <f t="shared" si="2"/>
        <v/>
      </c>
      <c r="J9" s="8" t="s">
        <v>11</v>
      </c>
      <c r="K9" s="8">
        <v>33</v>
      </c>
      <c r="L9" s="8" t="s">
        <v>19</v>
      </c>
      <c r="M9" s="8" t="s">
        <v>20</v>
      </c>
      <c r="N9" s="8">
        <v>391187</v>
      </c>
      <c r="O9" s="8">
        <v>6479854</v>
      </c>
      <c r="P9" s="8" t="s">
        <v>15</v>
      </c>
    </row>
    <row r="10" spans="1:16">
      <c r="A10" s="5" t="s">
        <v>21</v>
      </c>
      <c r="B10" s="6"/>
      <c r="C10" s="6"/>
      <c r="D10" s="6" t="str">
        <f t="shared" si="0"/>
        <v/>
      </c>
      <c r="E10" s="9">
        <v>2.0999999999999999E-3</v>
      </c>
      <c r="F10" s="9">
        <f t="shared" si="1"/>
        <v>-2.6777807052660809</v>
      </c>
      <c r="G10" s="9"/>
      <c r="H10" s="6"/>
      <c r="I10" s="6" t="str">
        <f t="shared" si="2"/>
        <v/>
      </c>
      <c r="J10" s="8" t="s">
        <v>11</v>
      </c>
      <c r="K10" s="8">
        <v>33</v>
      </c>
      <c r="L10" s="8" t="s">
        <v>22</v>
      </c>
      <c r="M10" s="8" t="s">
        <v>23</v>
      </c>
      <c r="N10" s="8">
        <v>436393</v>
      </c>
      <c r="O10" s="8">
        <v>6428613</v>
      </c>
      <c r="P10" s="8" t="s">
        <v>15</v>
      </c>
    </row>
    <row r="11" spans="1:16">
      <c r="A11" s="5" t="s">
        <v>21</v>
      </c>
      <c r="B11" s="6"/>
      <c r="C11" s="6"/>
      <c r="D11" s="6" t="str">
        <f t="shared" si="0"/>
        <v/>
      </c>
      <c r="E11" s="9">
        <v>1.6999999999999999E-3</v>
      </c>
      <c r="F11" s="9">
        <f t="shared" si="1"/>
        <v>-2.7695510786217259</v>
      </c>
      <c r="G11" s="9"/>
      <c r="H11" s="6"/>
      <c r="I11" s="6" t="str">
        <f t="shared" si="2"/>
        <v/>
      </c>
      <c r="J11" s="8" t="s">
        <v>11</v>
      </c>
      <c r="K11" s="8">
        <v>33</v>
      </c>
      <c r="L11" s="8" t="s">
        <v>22</v>
      </c>
      <c r="M11" s="8" t="s">
        <v>23</v>
      </c>
      <c r="N11" s="8">
        <v>436393</v>
      </c>
      <c r="O11" s="8">
        <v>6428613</v>
      </c>
      <c r="P11" s="8" t="s">
        <v>15</v>
      </c>
    </row>
    <row r="12" spans="1:16">
      <c r="A12" s="5" t="s">
        <v>24</v>
      </c>
      <c r="B12" s="6"/>
      <c r="C12" s="6"/>
      <c r="D12" s="6" t="str">
        <f t="shared" si="0"/>
        <v/>
      </c>
      <c r="E12" s="7"/>
      <c r="F12" s="9" t="str">
        <f t="shared" si="1"/>
        <v/>
      </c>
      <c r="G12" s="7"/>
      <c r="H12" s="6"/>
      <c r="I12" s="6" t="str">
        <f t="shared" si="2"/>
        <v/>
      </c>
      <c r="J12" s="8" t="s">
        <v>11</v>
      </c>
      <c r="K12" s="8">
        <v>33</v>
      </c>
      <c r="L12" s="8" t="s">
        <v>25</v>
      </c>
      <c r="M12" s="8" t="s">
        <v>26</v>
      </c>
      <c r="N12" s="8">
        <v>404058</v>
      </c>
      <c r="O12" s="8">
        <v>6444070</v>
      </c>
      <c r="P12" s="8" t="s">
        <v>15</v>
      </c>
    </row>
    <row r="13" spans="1:16" ht="16">
      <c r="A13" s="5" t="s">
        <v>24</v>
      </c>
      <c r="B13" s="76">
        <f xml:space="preserve"> 0.15</f>
        <v>0.15</v>
      </c>
      <c r="C13" s="6"/>
      <c r="D13" s="6" t="str">
        <f t="shared" si="0"/>
        <v/>
      </c>
      <c r="E13" s="7"/>
      <c r="F13" s="9" t="str">
        <f t="shared" si="1"/>
        <v/>
      </c>
      <c r="G13" s="7"/>
      <c r="H13" s="6"/>
      <c r="I13" s="76"/>
      <c r="J13" s="8" t="s">
        <v>962</v>
      </c>
      <c r="K13" s="8">
        <v>33</v>
      </c>
      <c r="L13" s="8" t="s">
        <v>25</v>
      </c>
      <c r="M13" s="8" t="s">
        <v>26</v>
      </c>
      <c r="N13" s="8">
        <v>404058</v>
      </c>
      <c r="O13" s="8">
        <v>6444070</v>
      </c>
      <c r="P13" s="8" t="s">
        <v>15</v>
      </c>
    </row>
    <row r="14" spans="1:16">
      <c r="A14" s="5" t="s">
        <v>24</v>
      </c>
      <c r="B14" s="6"/>
      <c r="C14" s="6">
        <f>0.0014</f>
        <v>1.4E-3</v>
      </c>
      <c r="D14" s="6">
        <f t="shared" si="0"/>
        <v>-2.8538719643217618</v>
      </c>
      <c r="E14" s="7"/>
      <c r="F14" s="9" t="str">
        <f t="shared" si="1"/>
        <v/>
      </c>
      <c r="G14" s="7"/>
      <c r="H14" s="6"/>
      <c r="I14" s="6" t="str">
        <f t="shared" si="2"/>
        <v/>
      </c>
      <c r="J14" s="8" t="s">
        <v>11</v>
      </c>
      <c r="K14" s="8">
        <v>33</v>
      </c>
      <c r="L14" s="8" t="s">
        <v>25</v>
      </c>
      <c r="M14" s="8" t="s">
        <v>26</v>
      </c>
      <c r="N14" s="8">
        <v>404058</v>
      </c>
      <c r="O14" s="8">
        <v>6444070</v>
      </c>
      <c r="P14" s="8" t="s">
        <v>15</v>
      </c>
    </row>
    <row r="15" spans="1:16">
      <c r="A15" s="5" t="s">
        <v>24</v>
      </c>
      <c r="B15" s="6"/>
      <c r="C15" s="6"/>
      <c r="D15" s="6" t="str">
        <f t="shared" si="0"/>
        <v/>
      </c>
      <c r="E15" s="7"/>
      <c r="F15" s="9" t="str">
        <f t="shared" si="1"/>
        <v/>
      </c>
      <c r="G15" s="7"/>
      <c r="H15" s="6"/>
      <c r="I15" s="6" t="str">
        <f t="shared" si="2"/>
        <v/>
      </c>
      <c r="J15" s="8" t="s">
        <v>11</v>
      </c>
      <c r="K15" s="8">
        <v>33</v>
      </c>
      <c r="L15" s="8" t="s">
        <v>25</v>
      </c>
      <c r="M15" s="8" t="s">
        <v>26</v>
      </c>
      <c r="N15" s="8">
        <v>404058</v>
      </c>
      <c r="O15" s="8">
        <v>6444070</v>
      </c>
      <c r="P15" s="8" t="s">
        <v>15</v>
      </c>
    </row>
    <row r="16" spans="1:16">
      <c r="A16" s="5" t="s">
        <v>24</v>
      </c>
      <c r="B16" s="6"/>
      <c r="C16" s="6"/>
      <c r="D16" s="6" t="str">
        <f t="shared" si="0"/>
        <v/>
      </c>
      <c r="E16" s="7"/>
      <c r="F16" s="9" t="str">
        <f t="shared" si="1"/>
        <v/>
      </c>
      <c r="G16" s="7"/>
      <c r="H16" s="6"/>
      <c r="I16" s="6" t="str">
        <f t="shared" si="2"/>
        <v/>
      </c>
      <c r="J16" s="8" t="s">
        <v>11</v>
      </c>
      <c r="K16" s="8">
        <v>33</v>
      </c>
      <c r="L16" s="8" t="s">
        <v>25</v>
      </c>
      <c r="M16" s="8" t="s">
        <v>26</v>
      </c>
      <c r="N16" s="8">
        <v>404058</v>
      </c>
      <c r="O16" s="8">
        <v>6444070</v>
      </c>
      <c r="P16" s="8" t="s">
        <v>15</v>
      </c>
    </row>
    <row r="17" spans="1:16">
      <c r="A17" s="13" t="s">
        <v>781</v>
      </c>
      <c r="B17" s="12"/>
      <c r="C17" s="12"/>
      <c r="D17" s="6" t="str">
        <f t="shared" si="0"/>
        <v/>
      </c>
      <c r="E17" s="27">
        <v>5.5999999999999999E-3</v>
      </c>
      <c r="F17" s="9">
        <f t="shared" si="1"/>
        <v>-2.2518119729937998</v>
      </c>
      <c r="G17" s="27">
        <f>53</f>
        <v>53</v>
      </c>
      <c r="H17" s="44">
        <f>E17/G17</f>
        <v>1.0566037735849057E-4</v>
      </c>
      <c r="I17" s="6">
        <f t="shared" si="2"/>
        <v>-3.9760878425945885</v>
      </c>
      <c r="J17" s="8" t="s">
        <v>103</v>
      </c>
      <c r="K17" s="8">
        <v>33</v>
      </c>
      <c r="L17" s="8" t="s">
        <v>782</v>
      </c>
      <c r="M17" s="8" t="s">
        <v>783</v>
      </c>
      <c r="N17" s="8">
        <v>367923</v>
      </c>
      <c r="O17" s="8">
        <v>6413086</v>
      </c>
      <c r="P17" s="8" t="s">
        <v>796</v>
      </c>
    </row>
    <row r="18" spans="1:16">
      <c r="A18" s="13" t="s">
        <v>785</v>
      </c>
      <c r="B18" s="12"/>
      <c r="C18" s="12"/>
      <c r="D18" s="6" t="str">
        <f t="shared" si="0"/>
        <v/>
      </c>
      <c r="E18" s="27">
        <v>3.0000000000000001E-3</v>
      </c>
      <c r="F18" s="9">
        <f t="shared" si="1"/>
        <v>-2.5228787452803374</v>
      </c>
      <c r="G18" s="27">
        <f>26</f>
        <v>26</v>
      </c>
      <c r="H18" s="44">
        <f>E18/G18</f>
        <v>1.1538461538461538E-4</v>
      </c>
      <c r="I18" s="6">
        <f t="shared" si="2"/>
        <v>-3.9378520932511556</v>
      </c>
      <c r="J18" s="8" t="s">
        <v>103</v>
      </c>
      <c r="K18" s="8">
        <v>33</v>
      </c>
      <c r="L18" s="8" t="s">
        <v>334</v>
      </c>
      <c r="M18" s="8" t="s">
        <v>786</v>
      </c>
      <c r="N18" s="8">
        <v>410491</v>
      </c>
      <c r="O18" s="8">
        <v>6398167</v>
      </c>
      <c r="P18" s="8" t="s">
        <v>15</v>
      </c>
    </row>
    <row r="26" spans="1:16">
      <c r="A26" s="28" t="s">
        <v>849</v>
      </c>
      <c r="B26" s="28" t="s">
        <v>850</v>
      </c>
      <c r="C26" s="28" t="s">
        <v>851</v>
      </c>
      <c r="D26" s="28" t="s">
        <v>852</v>
      </c>
      <c r="E26" s="28" t="s">
        <v>853</v>
      </c>
      <c r="F26" s="28" t="s">
        <v>937</v>
      </c>
      <c r="G26" s="28" t="s">
        <v>967</v>
      </c>
      <c r="I26" s="37"/>
      <c r="J26" s="37"/>
      <c r="K26" s="45"/>
    </row>
    <row r="27" spans="1:16">
      <c r="A27" s="28" t="s">
        <v>855</v>
      </c>
      <c r="B27" s="28">
        <f xml:space="preserve"> COUNTA(B2:B18)</f>
        <v>1</v>
      </c>
      <c r="C27" s="28">
        <f>MIN(B2:B18)</f>
        <v>0.15</v>
      </c>
      <c r="D27" s="28">
        <f>MAX(B2:B18)</f>
        <v>0.15</v>
      </c>
      <c r="E27" s="28">
        <f>AVERAGEIF(B2:B18,"&lt;&gt;0")</f>
        <v>0.15</v>
      </c>
      <c r="F27" s="28"/>
      <c r="G27" s="28"/>
      <c r="I27" s="37"/>
      <c r="J27" s="37"/>
      <c r="K27" s="45"/>
    </row>
    <row r="28" spans="1:16">
      <c r="A28" s="28" t="s">
        <v>857</v>
      </c>
      <c r="B28" s="28">
        <f>COUNTA(C2:C18)</f>
        <v>1</v>
      </c>
      <c r="C28" s="28">
        <f xml:space="preserve"> MIN(C2:C18)</f>
        <v>1.4E-3</v>
      </c>
      <c r="D28" s="28">
        <f xml:space="preserve"> MAX(C2:C18)</f>
        <v>1.4E-3</v>
      </c>
      <c r="E28" s="28">
        <f xml:space="preserve"> AVERAGEIF(C2:C18,"&lt;&gt;0")</f>
        <v>1.4E-3</v>
      </c>
      <c r="F28" s="28">
        <f>AVERAGE(D2:D18)</f>
        <v>-2.8538719643217618</v>
      </c>
      <c r="G28" s="28">
        <f>10^F28</f>
        <v>1.3999999999999991E-3</v>
      </c>
      <c r="I28" s="28"/>
      <c r="J28" s="28"/>
    </row>
    <row r="29" spans="1:16">
      <c r="A29" s="28" t="s">
        <v>914</v>
      </c>
      <c r="B29" s="28">
        <f>COUNTA(E2:E18)</f>
        <v>12</v>
      </c>
      <c r="C29" s="37">
        <f xml:space="preserve"> MIN(E2:E18)</f>
        <v>1.5E-5</v>
      </c>
      <c r="D29" s="37">
        <f xml:space="preserve"> MAX(E2:E18)</f>
        <v>5.5999999999999999E-3</v>
      </c>
      <c r="E29" s="28">
        <f>AVERAGEIF(E2:E18,"&lt;&gt;0")</f>
        <v>1.9929166666666663E-3</v>
      </c>
      <c r="F29" s="37">
        <f>AVERAGE(F2:F18)</f>
        <v>-2.8866525915083052</v>
      </c>
      <c r="G29" s="28">
        <f t="shared" ref="G29:G30" si="3">10^F29</f>
        <v>1.2982173486184364E-3</v>
      </c>
      <c r="I29" s="28"/>
      <c r="J29" s="28"/>
    </row>
    <row r="30" spans="1:16">
      <c r="A30" s="28" t="s">
        <v>915</v>
      </c>
      <c r="B30" s="28">
        <f>COUNTA(H2:H18)</f>
        <v>2</v>
      </c>
      <c r="C30" s="28">
        <f xml:space="preserve"> MIN(H2:H18)</f>
        <v>1.0566037735849057E-4</v>
      </c>
      <c r="D30" s="28">
        <f xml:space="preserve"> MAX(H2:H18)</f>
        <v>1.1538461538461538E-4</v>
      </c>
      <c r="E30" s="28">
        <f>AVERAGEIF(H2:H18,"&lt;&gt;0")</f>
        <v>1.1052249637155297E-4</v>
      </c>
      <c r="F30" s="28">
        <f>AVERAGE(I2:I18)</f>
        <v>-3.956969967922872</v>
      </c>
      <c r="G30" s="28">
        <f t="shared" si="3"/>
        <v>1.1041549711386859E-4</v>
      </c>
      <c r="I30" s="28"/>
      <c r="J30" s="37"/>
    </row>
    <row r="31" spans="1:16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 spans="1:16">
      <c r="A32" s="28"/>
      <c r="B32" s="19"/>
      <c r="C32" s="19"/>
      <c r="D32" s="19"/>
      <c r="E32" s="19"/>
      <c r="F32" s="19"/>
      <c r="G32" s="19"/>
      <c r="H32" s="19"/>
      <c r="I32" s="19"/>
      <c r="J32" s="19"/>
    </row>
    <row r="33" spans="1:10">
      <c r="A33" s="29"/>
      <c r="B33" s="28"/>
      <c r="C33" s="28"/>
      <c r="D33" s="28"/>
      <c r="E33" s="28"/>
      <c r="F33" s="28"/>
      <c r="G33" s="28"/>
      <c r="H33" s="28"/>
      <c r="I33" s="28"/>
      <c r="J33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57"/>
  <sheetViews>
    <sheetView topLeftCell="A121" zoomScale="80" zoomScaleNormal="80" workbookViewId="0">
      <selection activeCell="G135" sqref="G135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8" width="11.83203125" customWidth="1"/>
    <col min="9" max="9" width="22.83203125" customWidth="1"/>
    <col min="10" max="10" width="24.1640625" customWidth="1"/>
    <col min="12" max="12" width="14.5" customWidth="1"/>
    <col min="13" max="13" width="19.5" customWidth="1"/>
    <col min="18" max="18" width="18.6640625" bestFit="1" customWidth="1"/>
  </cols>
  <sheetData>
    <row r="1" spans="1:16" ht="34">
      <c r="A1" s="1" t="s">
        <v>0</v>
      </c>
      <c r="B1" s="2" t="s">
        <v>858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918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27</v>
      </c>
      <c r="C2" s="9">
        <v>5.0000000000000002E-5</v>
      </c>
      <c r="D2" s="9">
        <f>IFERROR(LOG10(C2),"")</f>
        <v>-4.3010299956639813</v>
      </c>
      <c r="E2" s="9">
        <v>6.4999999999999997E-3</v>
      </c>
      <c r="F2" s="9">
        <f>IFERROR(LOG10(E2),"")</f>
        <v>-2.1870866433571443</v>
      </c>
      <c r="G2" s="9">
        <f>158</f>
        <v>158</v>
      </c>
      <c r="H2" s="12">
        <f>E2/G2</f>
        <v>4.1139240506329113E-5</v>
      </c>
      <c r="I2" s="12">
        <f>IFERROR(LOG10(H2),"")</f>
        <v>-4.3857437303115674</v>
      </c>
      <c r="J2" s="8" t="s">
        <v>11</v>
      </c>
      <c r="K2" s="8">
        <v>33</v>
      </c>
      <c r="L2" s="8" t="s">
        <v>28</v>
      </c>
      <c r="M2" s="8" t="s">
        <v>29</v>
      </c>
      <c r="N2" s="8">
        <v>380083</v>
      </c>
      <c r="O2" s="8">
        <v>6485741</v>
      </c>
      <c r="P2" s="8" t="s">
        <v>30</v>
      </c>
    </row>
    <row r="3" spans="1:16">
      <c r="A3" s="5" t="s">
        <v>27</v>
      </c>
      <c r="B3" s="9"/>
      <c r="C3" s="9"/>
      <c r="D3" s="9" t="str">
        <f t="shared" ref="D3:D66" si="0">IFERROR(LOG10(C3),"")</f>
        <v/>
      </c>
      <c r="E3" s="9">
        <v>8.2000000000000007E-3</v>
      </c>
      <c r="F3" s="9">
        <f t="shared" ref="F3:F66" si="1">IFERROR(LOG10(E3),"")</f>
        <v>-2.0861861476162833</v>
      </c>
      <c r="G3" s="9">
        <f>158</f>
        <v>158</v>
      </c>
      <c r="H3" s="12">
        <f t="shared" ref="H3:H31" si="2">E3/G3</f>
        <v>5.1898734177215194E-5</v>
      </c>
      <c r="I3" s="12">
        <f t="shared" ref="I3:I66" si="3">IFERROR(LOG10(H3),"")</f>
        <v>-4.2848432345707055</v>
      </c>
      <c r="J3" s="8" t="s">
        <v>11</v>
      </c>
      <c r="K3" s="8">
        <v>33</v>
      </c>
      <c r="L3" s="8" t="s">
        <v>28</v>
      </c>
      <c r="M3" s="8" t="s">
        <v>29</v>
      </c>
      <c r="N3" s="8">
        <v>380083</v>
      </c>
      <c r="O3" s="8">
        <v>6485741</v>
      </c>
      <c r="P3" s="8" t="s">
        <v>30</v>
      </c>
    </row>
    <row r="4" spans="1:16">
      <c r="A4" s="5" t="s">
        <v>27</v>
      </c>
      <c r="B4" s="9">
        <v>2.7000000000000001E-3</v>
      </c>
      <c r="C4" s="9"/>
      <c r="D4" s="9" t="str">
        <f t="shared" si="0"/>
        <v/>
      </c>
      <c r="E4" s="9">
        <v>4.0000000000000003E-5</v>
      </c>
      <c r="F4" s="9">
        <f t="shared" si="1"/>
        <v>-4.3979400086720375</v>
      </c>
      <c r="G4" s="9">
        <f>158</f>
        <v>158</v>
      </c>
      <c r="H4" s="12">
        <f t="shared" si="2"/>
        <v>2.5316455696202533E-7</v>
      </c>
      <c r="I4" s="12">
        <f t="shared" si="3"/>
        <v>-6.5965970956264606</v>
      </c>
      <c r="J4" s="8" t="s">
        <v>11</v>
      </c>
      <c r="K4" s="8">
        <v>33</v>
      </c>
      <c r="L4" s="8" t="s">
        <v>28</v>
      </c>
      <c r="M4" s="8" t="s">
        <v>29</v>
      </c>
      <c r="N4" s="8">
        <v>380083</v>
      </c>
      <c r="O4" s="8">
        <v>6485741</v>
      </c>
      <c r="P4" s="8" t="s">
        <v>30</v>
      </c>
    </row>
    <row r="5" spans="1:16">
      <c r="A5" s="5" t="s">
        <v>31</v>
      </c>
      <c r="C5" s="9">
        <v>2.1000000000000001E-4</v>
      </c>
      <c r="D5" s="9">
        <f t="shared" si="0"/>
        <v>-3.6777807052660809</v>
      </c>
      <c r="E5" s="9">
        <v>1.2E-2</v>
      </c>
      <c r="F5" s="9">
        <f t="shared" si="1"/>
        <v>-1.9208187539523751</v>
      </c>
      <c r="G5" s="9">
        <f>142</f>
        <v>142</v>
      </c>
      <c r="H5" s="12">
        <f t="shared" si="2"/>
        <v>8.4507042253521126E-5</v>
      </c>
      <c r="I5" s="12">
        <f t="shared" si="3"/>
        <v>-4.0731070983354316</v>
      </c>
      <c r="J5" s="8" t="s">
        <v>11</v>
      </c>
      <c r="K5" s="8">
        <v>33</v>
      </c>
      <c r="L5" s="8" t="s">
        <v>13</v>
      </c>
      <c r="M5" s="8" t="s">
        <v>32</v>
      </c>
      <c r="N5" s="8">
        <v>379472</v>
      </c>
      <c r="O5" s="8">
        <v>6487257</v>
      </c>
      <c r="P5" s="8" t="s">
        <v>30</v>
      </c>
    </row>
    <row r="6" spans="1:16">
      <c r="A6" s="5" t="s">
        <v>31</v>
      </c>
      <c r="B6" s="9">
        <v>5.0000000000000001E-3</v>
      </c>
      <c r="C6" s="9"/>
      <c r="D6" s="9" t="str">
        <f t="shared" si="0"/>
        <v/>
      </c>
      <c r="E6" s="9">
        <v>1.4E-2</v>
      </c>
      <c r="F6" s="9">
        <f t="shared" si="1"/>
        <v>-1.853871964321762</v>
      </c>
      <c r="G6" s="9">
        <f>142</f>
        <v>142</v>
      </c>
      <c r="H6" s="12">
        <f t="shared" si="2"/>
        <v>9.8591549295774656E-5</v>
      </c>
      <c r="I6" s="12">
        <f t="shared" si="3"/>
        <v>-4.0061603087048185</v>
      </c>
      <c r="J6" s="8" t="s">
        <v>11</v>
      </c>
      <c r="K6" s="8">
        <v>33</v>
      </c>
      <c r="L6" s="8" t="s">
        <v>13</v>
      </c>
      <c r="M6" s="8" t="s">
        <v>32</v>
      </c>
      <c r="N6" s="8">
        <v>379472</v>
      </c>
      <c r="O6" s="8">
        <v>6487257</v>
      </c>
      <c r="P6" s="8" t="s">
        <v>30</v>
      </c>
    </row>
    <row r="7" spans="1:16">
      <c r="A7" s="5" t="s">
        <v>31</v>
      </c>
      <c r="B7" s="9">
        <v>0.02</v>
      </c>
      <c r="C7" s="9"/>
      <c r="D7" s="9" t="str">
        <f t="shared" si="0"/>
        <v/>
      </c>
      <c r="E7" s="9">
        <v>3.8999999999999998E-3</v>
      </c>
      <c r="F7" s="9">
        <f t="shared" si="1"/>
        <v>-2.4089353929735009</v>
      </c>
      <c r="G7" s="9">
        <f>142</f>
        <v>142</v>
      </c>
      <c r="H7" s="12">
        <f t="shared" si="2"/>
        <v>2.7464788732394365E-5</v>
      </c>
      <c r="I7" s="12">
        <f t="shared" si="3"/>
        <v>-4.5612237373565572</v>
      </c>
      <c r="J7" s="8" t="s">
        <v>11</v>
      </c>
      <c r="K7" s="8">
        <v>33</v>
      </c>
      <c r="L7" s="8" t="s">
        <v>13</v>
      </c>
      <c r="M7" s="8" t="s">
        <v>32</v>
      </c>
      <c r="N7" s="8">
        <v>379472</v>
      </c>
      <c r="O7" s="8">
        <v>6487257</v>
      </c>
      <c r="P7" s="8" t="s">
        <v>30</v>
      </c>
    </row>
    <row r="8" spans="1:16">
      <c r="A8" s="5" t="s">
        <v>33</v>
      </c>
      <c r="B8" s="6"/>
      <c r="C8" s="6"/>
      <c r="D8" s="9" t="str">
        <f t="shared" si="0"/>
        <v/>
      </c>
      <c r="E8" s="9">
        <v>6.4000000000000003E-3</v>
      </c>
      <c r="F8" s="9">
        <f t="shared" si="1"/>
        <v>-2.1938200260161129</v>
      </c>
      <c r="G8" s="9">
        <f>150</f>
        <v>150</v>
      </c>
      <c r="H8" s="12">
        <f t="shared" si="2"/>
        <v>4.2666666666666669E-5</v>
      </c>
      <c r="I8" s="12">
        <f t="shared" si="3"/>
        <v>-4.3699112850717938</v>
      </c>
      <c r="J8" s="8" t="s">
        <v>11</v>
      </c>
      <c r="K8" s="8">
        <v>33</v>
      </c>
      <c r="L8" s="8" t="s">
        <v>34</v>
      </c>
      <c r="M8" s="8" t="s">
        <v>35</v>
      </c>
      <c r="N8" s="8">
        <v>375806</v>
      </c>
      <c r="O8" s="8">
        <v>6483641</v>
      </c>
      <c r="P8" s="8" t="s">
        <v>30</v>
      </c>
    </row>
    <row r="9" spans="1:16">
      <c r="A9" s="5" t="s">
        <v>33</v>
      </c>
      <c r="B9" s="9">
        <v>1E-3</v>
      </c>
      <c r="C9" s="9"/>
      <c r="D9" s="9" t="str">
        <f t="shared" si="0"/>
        <v/>
      </c>
      <c r="E9" s="9">
        <v>5.4900000000000001E-3</v>
      </c>
      <c r="F9" s="9">
        <f t="shared" si="1"/>
        <v>-2.2604276555499081</v>
      </c>
      <c r="G9" s="9">
        <f>150</f>
        <v>150</v>
      </c>
      <c r="H9" s="12">
        <f t="shared" si="2"/>
        <v>3.6600000000000002E-5</v>
      </c>
      <c r="I9" s="12">
        <f t="shared" si="3"/>
        <v>-4.436518914605589</v>
      </c>
      <c r="J9" s="8" t="s">
        <v>11</v>
      </c>
      <c r="K9" s="8">
        <v>33</v>
      </c>
      <c r="L9" s="8" t="s">
        <v>34</v>
      </c>
      <c r="M9" s="8" t="s">
        <v>35</v>
      </c>
      <c r="N9" s="8">
        <v>375806</v>
      </c>
      <c r="O9" s="8">
        <v>6483641</v>
      </c>
      <c r="P9" s="8" t="s">
        <v>30</v>
      </c>
    </row>
    <row r="10" spans="1:16">
      <c r="A10" s="5" t="s">
        <v>33</v>
      </c>
      <c r="B10" s="9">
        <v>1E-3</v>
      </c>
      <c r="C10" s="9"/>
      <c r="D10" s="9" t="str">
        <f t="shared" si="0"/>
        <v/>
      </c>
      <c r="E10" s="9">
        <v>6.4000000000000003E-3</v>
      </c>
      <c r="F10" s="9">
        <f t="shared" si="1"/>
        <v>-2.1938200260161129</v>
      </c>
      <c r="G10" s="9">
        <f>150</f>
        <v>150</v>
      </c>
      <c r="H10" s="12">
        <f t="shared" si="2"/>
        <v>4.2666666666666669E-5</v>
      </c>
      <c r="I10" s="12">
        <f t="shared" si="3"/>
        <v>-4.3699112850717938</v>
      </c>
      <c r="J10" s="8" t="s">
        <v>11</v>
      </c>
      <c r="K10" s="8">
        <v>33</v>
      </c>
      <c r="L10" s="8" t="s">
        <v>34</v>
      </c>
      <c r="M10" s="8" t="s">
        <v>35</v>
      </c>
      <c r="N10" s="8">
        <v>375806</v>
      </c>
      <c r="O10" s="8">
        <v>6483641</v>
      </c>
      <c r="P10" s="8" t="s">
        <v>30</v>
      </c>
    </row>
    <row r="11" spans="1:16">
      <c r="A11" s="5" t="s">
        <v>36</v>
      </c>
      <c r="B11" s="6"/>
      <c r="C11" s="6"/>
      <c r="D11" s="9" t="str">
        <f t="shared" si="0"/>
        <v/>
      </c>
      <c r="E11" s="9">
        <v>2E-3</v>
      </c>
      <c r="F11" s="9">
        <f t="shared" si="1"/>
        <v>-2.6989700043360187</v>
      </c>
      <c r="G11" s="9">
        <f>117</f>
        <v>117</v>
      </c>
      <c r="H11" s="12">
        <f t="shared" si="2"/>
        <v>1.7094017094017095E-5</v>
      </c>
      <c r="I11" s="12">
        <f t="shared" si="3"/>
        <v>-4.76715586608218</v>
      </c>
      <c r="J11" s="8" t="s">
        <v>11</v>
      </c>
      <c r="K11" s="8">
        <v>33</v>
      </c>
      <c r="L11" s="8" t="s">
        <v>37</v>
      </c>
      <c r="M11" s="8" t="s">
        <v>38</v>
      </c>
      <c r="N11" s="8">
        <v>387441</v>
      </c>
      <c r="O11" s="8">
        <v>6486621</v>
      </c>
      <c r="P11" s="8" t="s">
        <v>30</v>
      </c>
    </row>
    <row r="12" spans="1:16">
      <c r="A12" s="5" t="s">
        <v>36</v>
      </c>
      <c r="B12" s="11"/>
      <c r="C12" s="11"/>
      <c r="D12" s="9" t="str">
        <f t="shared" si="0"/>
        <v/>
      </c>
      <c r="E12" s="9">
        <v>3.2000000000000002E-3</v>
      </c>
      <c r="F12" s="9">
        <f t="shared" si="1"/>
        <v>-2.4948500216800942</v>
      </c>
      <c r="G12" s="9">
        <f>117</f>
        <v>117</v>
      </c>
      <c r="H12" s="12">
        <f t="shared" si="2"/>
        <v>2.7350427350427351E-5</v>
      </c>
      <c r="I12" s="12">
        <f t="shared" si="3"/>
        <v>-4.5630358834262559</v>
      </c>
      <c r="J12" s="8" t="s">
        <v>11</v>
      </c>
      <c r="K12" s="8">
        <v>33</v>
      </c>
      <c r="L12" s="8" t="s">
        <v>37</v>
      </c>
      <c r="M12" s="8" t="s">
        <v>38</v>
      </c>
      <c r="N12" s="8">
        <v>387441</v>
      </c>
      <c r="O12" s="8">
        <v>6486621</v>
      </c>
      <c r="P12" s="8" t="s">
        <v>30</v>
      </c>
    </row>
    <row r="13" spans="1:16">
      <c r="A13" s="5" t="s">
        <v>39</v>
      </c>
      <c r="B13" s="6"/>
      <c r="C13" s="6"/>
      <c r="D13" s="9" t="str">
        <f t="shared" si="0"/>
        <v/>
      </c>
      <c r="E13" s="7"/>
      <c r="F13" s="9" t="str">
        <f t="shared" si="1"/>
        <v/>
      </c>
      <c r="G13" s="7">
        <f>156</f>
        <v>156</v>
      </c>
      <c r="H13" s="12">
        <f t="shared" si="2"/>
        <v>0</v>
      </c>
      <c r="I13" s="12" t="str">
        <f t="shared" si="3"/>
        <v/>
      </c>
      <c r="J13" s="8" t="s">
        <v>11</v>
      </c>
      <c r="K13" s="8">
        <v>33</v>
      </c>
      <c r="L13" s="8" t="s">
        <v>28</v>
      </c>
      <c r="M13" s="8" t="s">
        <v>40</v>
      </c>
      <c r="N13" s="8">
        <v>381568</v>
      </c>
      <c r="O13" s="8">
        <v>6485976</v>
      </c>
      <c r="P13" s="8" t="s">
        <v>30</v>
      </c>
    </row>
    <row r="14" spans="1:16">
      <c r="A14" s="5" t="s">
        <v>39</v>
      </c>
      <c r="B14" s="6"/>
      <c r="C14" s="6"/>
      <c r="D14" s="9" t="str">
        <f t="shared" si="0"/>
        <v/>
      </c>
      <c r="E14" s="7"/>
      <c r="F14" s="9" t="str">
        <f t="shared" si="1"/>
        <v/>
      </c>
      <c r="G14" s="7">
        <f>156</f>
        <v>156</v>
      </c>
      <c r="H14" s="12">
        <f t="shared" si="2"/>
        <v>0</v>
      </c>
      <c r="I14" s="12" t="str">
        <f t="shared" si="3"/>
        <v/>
      </c>
      <c r="J14" s="8" t="s">
        <v>11</v>
      </c>
      <c r="K14" s="8">
        <v>33</v>
      </c>
      <c r="L14" s="8" t="s">
        <v>28</v>
      </c>
      <c r="M14" s="8" t="s">
        <v>40</v>
      </c>
      <c r="N14" s="8">
        <v>381568</v>
      </c>
      <c r="O14" s="8">
        <v>6485976</v>
      </c>
      <c r="P14" s="8" t="s">
        <v>30</v>
      </c>
    </row>
    <row r="15" spans="1:16">
      <c r="A15" s="5" t="s">
        <v>39</v>
      </c>
      <c r="B15" s="6"/>
      <c r="C15" s="6"/>
      <c r="D15" s="9" t="str">
        <f t="shared" si="0"/>
        <v/>
      </c>
      <c r="E15" s="7"/>
      <c r="F15" s="9" t="str">
        <f t="shared" si="1"/>
        <v/>
      </c>
      <c r="G15" s="7">
        <f>156</f>
        <v>156</v>
      </c>
      <c r="H15" s="12">
        <f t="shared" si="2"/>
        <v>0</v>
      </c>
      <c r="I15" s="12" t="str">
        <f t="shared" si="3"/>
        <v/>
      </c>
      <c r="J15" s="8" t="s">
        <v>11</v>
      </c>
      <c r="K15" s="8">
        <v>33</v>
      </c>
      <c r="L15" s="8" t="s">
        <v>28</v>
      </c>
      <c r="M15" s="8" t="s">
        <v>40</v>
      </c>
      <c r="N15" s="8">
        <v>381568</v>
      </c>
      <c r="O15" s="8">
        <v>6485976</v>
      </c>
      <c r="P15" s="8" t="s">
        <v>30</v>
      </c>
    </row>
    <row r="16" spans="1:16">
      <c r="A16" s="5" t="s">
        <v>39</v>
      </c>
      <c r="B16" s="6"/>
      <c r="C16" s="6"/>
      <c r="D16" s="9" t="str">
        <f t="shared" si="0"/>
        <v/>
      </c>
      <c r="E16" s="7"/>
      <c r="F16" s="9" t="str">
        <f t="shared" si="1"/>
        <v/>
      </c>
      <c r="G16" s="7">
        <f>156</f>
        <v>156</v>
      </c>
      <c r="H16" s="12">
        <f t="shared" si="2"/>
        <v>0</v>
      </c>
      <c r="I16" s="12" t="str">
        <f t="shared" si="3"/>
        <v/>
      </c>
      <c r="J16" s="8" t="s">
        <v>11</v>
      </c>
      <c r="K16" s="8">
        <v>33</v>
      </c>
      <c r="L16" s="8" t="s">
        <v>28</v>
      </c>
      <c r="M16" s="8" t="s">
        <v>40</v>
      </c>
      <c r="N16" s="8">
        <v>381568</v>
      </c>
      <c r="O16" s="8">
        <v>6485976</v>
      </c>
      <c r="P16" s="8" t="s">
        <v>30</v>
      </c>
    </row>
    <row r="17" spans="1:16">
      <c r="A17" s="5" t="s">
        <v>39</v>
      </c>
      <c r="B17" s="6"/>
      <c r="C17" s="6"/>
      <c r="D17" s="9" t="str">
        <f t="shared" si="0"/>
        <v/>
      </c>
      <c r="E17" s="7"/>
      <c r="F17" s="9" t="str">
        <f t="shared" si="1"/>
        <v/>
      </c>
      <c r="G17" s="7">
        <f>156</f>
        <v>156</v>
      </c>
      <c r="H17" s="12">
        <f t="shared" si="2"/>
        <v>0</v>
      </c>
      <c r="I17" s="12" t="str">
        <f t="shared" si="3"/>
        <v/>
      </c>
      <c r="J17" s="8" t="s">
        <v>11</v>
      </c>
      <c r="K17" s="8">
        <v>33</v>
      </c>
      <c r="L17" s="8" t="s">
        <v>28</v>
      </c>
      <c r="M17" s="8" t="s">
        <v>40</v>
      </c>
      <c r="N17" s="8">
        <v>381568</v>
      </c>
      <c r="O17" s="8">
        <v>6485976</v>
      </c>
      <c r="P17" s="8" t="s">
        <v>30</v>
      </c>
    </row>
    <row r="18" spans="1:16">
      <c r="A18" s="5" t="s">
        <v>39</v>
      </c>
      <c r="C18" s="9">
        <v>1.0000000000000001E-5</v>
      </c>
      <c r="D18" s="9">
        <f t="shared" si="0"/>
        <v>-5</v>
      </c>
      <c r="E18" s="9">
        <v>7.4999999999999997E-3</v>
      </c>
      <c r="F18" s="9">
        <f t="shared" si="1"/>
        <v>-2.1249387366082999</v>
      </c>
      <c r="G18" s="7">
        <f>156</f>
        <v>156</v>
      </c>
      <c r="H18" s="12">
        <f t="shared" si="2"/>
        <v>4.8076923076923077E-5</v>
      </c>
      <c r="I18" s="12">
        <f t="shared" si="3"/>
        <v>-4.318063334962762</v>
      </c>
      <c r="J18" s="8" t="s">
        <v>11</v>
      </c>
      <c r="K18" s="8">
        <v>33</v>
      </c>
      <c r="L18" s="8" t="s">
        <v>28</v>
      </c>
      <c r="M18" s="8" t="s">
        <v>40</v>
      </c>
      <c r="N18" s="8">
        <v>381568</v>
      </c>
      <c r="O18" s="8">
        <v>6485976</v>
      </c>
      <c r="P18" s="8" t="s">
        <v>30</v>
      </c>
    </row>
    <row r="19" spans="1:16">
      <c r="A19" s="5" t="s">
        <v>39</v>
      </c>
      <c r="C19" s="9">
        <v>4.0000000000000002E-4</v>
      </c>
      <c r="D19" s="9">
        <f t="shared" si="0"/>
        <v>-3.3979400086720375</v>
      </c>
      <c r="E19" s="9">
        <v>0.01</v>
      </c>
      <c r="F19" s="9">
        <f t="shared" si="1"/>
        <v>-2</v>
      </c>
      <c r="G19" s="7">
        <f>156</f>
        <v>156</v>
      </c>
      <c r="H19" s="12">
        <f t="shared" si="2"/>
        <v>6.4102564102564103E-5</v>
      </c>
      <c r="I19" s="12">
        <f t="shared" si="3"/>
        <v>-4.1931245983544612</v>
      </c>
      <c r="J19" s="8" t="s">
        <v>11</v>
      </c>
      <c r="K19" s="8">
        <v>33</v>
      </c>
      <c r="L19" s="8" t="s">
        <v>28</v>
      </c>
      <c r="M19" s="8" t="s">
        <v>40</v>
      </c>
      <c r="N19" s="8">
        <v>381568</v>
      </c>
      <c r="O19" s="8">
        <v>6485976</v>
      </c>
      <c r="P19" s="8" t="s">
        <v>30</v>
      </c>
    </row>
    <row r="20" spans="1:16">
      <c r="A20" s="5" t="s">
        <v>39</v>
      </c>
      <c r="B20" s="6"/>
      <c r="C20" s="6"/>
      <c r="D20" s="9" t="str">
        <f t="shared" si="0"/>
        <v/>
      </c>
      <c r="E20" s="9">
        <v>1.1599999999999999E-2</v>
      </c>
      <c r="F20" s="9">
        <f t="shared" si="1"/>
        <v>-1.9355420107730816</v>
      </c>
      <c r="G20" s="7">
        <f>156</f>
        <v>156</v>
      </c>
      <c r="H20" s="12">
        <f t="shared" si="2"/>
        <v>7.4358974358974358E-5</v>
      </c>
      <c r="I20" s="12">
        <f t="shared" si="3"/>
        <v>-4.128666609127543</v>
      </c>
      <c r="J20" s="8" t="s">
        <v>11</v>
      </c>
      <c r="K20" s="8">
        <v>33</v>
      </c>
      <c r="L20" s="8" t="s">
        <v>28</v>
      </c>
      <c r="M20" s="8" t="s">
        <v>40</v>
      </c>
      <c r="N20" s="8">
        <v>381568</v>
      </c>
      <c r="O20" s="8">
        <v>6485976</v>
      </c>
      <c r="P20" s="8" t="s">
        <v>30</v>
      </c>
    </row>
    <row r="21" spans="1:16">
      <c r="A21" s="5" t="s">
        <v>41</v>
      </c>
      <c r="B21" s="6"/>
      <c r="C21" s="6"/>
      <c r="D21" s="9" t="str">
        <f t="shared" si="0"/>
        <v/>
      </c>
      <c r="E21" s="7"/>
      <c r="F21" s="9" t="str">
        <f t="shared" si="1"/>
        <v/>
      </c>
      <c r="G21" s="7">
        <f>178</f>
        <v>178</v>
      </c>
      <c r="H21" s="12">
        <f t="shared" si="2"/>
        <v>0</v>
      </c>
      <c r="I21" s="12" t="str">
        <f t="shared" si="3"/>
        <v/>
      </c>
      <c r="J21" s="8" t="s">
        <v>11</v>
      </c>
      <c r="K21" s="8">
        <v>33</v>
      </c>
      <c r="L21" s="8" t="s">
        <v>34</v>
      </c>
      <c r="M21" s="8" t="s">
        <v>42</v>
      </c>
      <c r="N21" s="8">
        <v>382246</v>
      </c>
      <c r="O21" s="8">
        <v>6480974</v>
      </c>
      <c r="P21" s="8" t="s">
        <v>30</v>
      </c>
    </row>
    <row r="22" spans="1:16">
      <c r="A22" s="5" t="s">
        <v>41</v>
      </c>
      <c r="B22" s="6"/>
      <c r="C22" s="6"/>
      <c r="D22" s="9" t="str">
        <f t="shared" si="0"/>
        <v/>
      </c>
      <c r="E22" s="7"/>
      <c r="F22" s="9" t="str">
        <f t="shared" si="1"/>
        <v/>
      </c>
      <c r="G22" s="7">
        <f>178</f>
        <v>178</v>
      </c>
      <c r="H22" s="12">
        <f t="shared" si="2"/>
        <v>0</v>
      </c>
      <c r="I22" s="12" t="str">
        <f t="shared" si="3"/>
        <v/>
      </c>
      <c r="J22" s="8" t="s">
        <v>11</v>
      </c>
      <c r="K22" s="8">
        <v>33</v>
      </c>
      <c r="L22" s="8" t="s">
        <v>34</v>
      </c>
      <c r="M22" s="8" t="s">
        <v>42</v>
      </c>
      <c r="N22" s="8">
        <v>382246</v>
      </c>
      <c r="O22" s="8">
        <v>6480974</v>
      </c>
      <c r="P22" s="8" t="s">
        <v>30</v>
      </c>
    </row>
    <row r="23" spans="1:16">
      <c r="A23" s="5" t="s">
        <v>41</v>
      </c>
      <c r="B23" s="6"/>
      <c r="C23" s="6"/>
      <c r="D23" s="9" t="str">
        <f t="shared" si="0"/>
        <v/>
      </c>
      <c r="E23" s="7"/>
      <c r="F23" s="9" t="str">
        <f t="shared" si="1"/>
        <v/>
      </c>
      <c r="G23" s="7">
        <f>178</f>
        <v>178</v>
      </c>
      <c r="H23" s="12">
        <f t="shared" si="2"/>
        <v>0</v>
      </c>
      <c r="I23" s="12" t="str">
        <f t="shared" si="3"/>
        <v/>
      </c>
      <c r="J23" s="8" t="s">
        <v>11</v>
      </c>
      <c r="K23" s="8">
        <v>33</v>
      </c>
      <c r="L23" s="8" t="s">
        <v>34</v>
      </c>
      <c r="M23" s="8" t="s">
        <v>42</v>
      </c>
      <c r="N23" s="8">
        <v>382246</v>
      </c>
      <c r="O23" s="8">
        <v>6480974</v>
      </c>
      <c r="P23" s="8" t="s">
        <v>30</v>
      </c>
    </row>
    <row r="24" spans="1:16">
      <c r="A24" s="5" t="s">
        <v>41</v>
      </c>
      <c r="B24" s="6"/>
      <c r="C24" s="6"/>
      <c r="D24" s="9" t="str">
        <f t="shared" si="0"/>
        <v/>
      </c>
      <c r="E24" s="7"/>
      <c r="F24" s="9" t="str">
        <f t="shared" si="1"/>
        <v/>
      </c>
      <c r="G24" s="7">
        <f>178</f>
        <v>178</v>
      </c>
      <c r="H24" s="12">
        <f t="shared" si="2"/>
        <v>0</v>
      </c>
      <c r="I24" s="12" t="str">
        <f t="shared" si="3"/>
        <v/>
      </c>
      <c r="J24" s="8" t="s">
        <v>11</v>
      </c>
      <c r="K24" s="8">
        <v>33</v>
      </c>
      <c r="L24" s="8" t="s">
        <v>34</v>
      </c>
      <c r="M24" s="8" t="s">
        <v>42</v>
      </c>
      <c r="N24" s="8">
        <v>382246</v>
      </c>
      <c r="O24" s="8">
        <v>6480974</v>
      </c>
      <c r="P24" s="8" t="s">
        <v>30</v>
      </c>
    </row>
    <row r="25" spans="1:16">
      <c r="A25" s="5" t="s">
        <v>41</v>
      </c>
      <c r="B25" s="6"/>
      <c r="C25" s="6"/>
      <c r="D25" s="9" t="str">
        <f t="shared" si="0"/>
        <v/>
      </c>
      <c r="E25" s="7"/>
      <c r="F25" s="9" t="str">
        <f t="shared" si="1"/>
        <v/>
      </c>
      <c r="G25" s="7">
        <f>178</f>
        <v>178</v>
      </c>
      <c r="H25" s="12">
        <f t="shared" si="2"/>
        <v>0</v>
      </c>
      <c r="I25" s="12" t="str">
        <f t="shared" si="3"/>
        <v/>
      </c>
      <c r="J25" s="8" t="s">
        <v>11</v>
      </c>
      <c r="K25" s="8">
        <v>33</v>
      </c>
      <c r="L25" s="8" t="s">
        <v>34</v>
      </c>
      <c r="M25" s="8" t="s">
        <v>42</v>
      </c>
      <c r="N25" s="8">
        <v>382246</v>
      </c>
      <c r="O25" s="8">
        <v>6480974</v>
      </c>
      <c r="P25" s="8" t="s">
        <v>30</v>
      </c>
    </row>
    <row r="26" spans="1:16">
      <c r="A26" s="5" t="s">
        <v>41</v>
      </c>
      <c r="B26" s="6"/>
      <c r="C26" s="6"/>
      <c r="D26" s="9" t="str">
        <f t="shared" si="0"/>
        <v/>
      </c>
      <c r="E26" s="7"/>
      <c r="F26" s="9" t="str">
        <f t="shared" si="1"/>
        <v/>
      </c>
      <c r="G26" s="7">
        <f>178</f>
        <v>178</v>
      </c>
      <c r="H26" s="12">
        <f t="shared" si="2"/>
        <v>0</v>
      </c>
      <c r="I26" s="12" t="str">
        <f t="shared" si="3"/>
        <v/>
      </c>
      <c r="J26" s="8" t="s">
        <v>11</v>
      </c>
      <c r="K26" s="8">
        <v>33</v>
      </c>
      <c r="L26" s="8" t="s">
        <v>34</v>
      </c>
      <c r="M26" s="8" t="s">
        <v>42</v>
      </c>
      <c r="N26" s="8">
        <v>382246</v>
      </c>
      <c r="O26" s="8">
        <v>6480974</v>
      </c>
      <c r="P26" s="8" t="s">
        <v>30</v>
      </c>
    </row>
    <row r="27" spans="1:16">
      <c r="A27" s="5" t="s">
        <v>41</v>
      </c>
      <c r="B27" s="9"/>
      <c r="C27" s="9"/>
      <c r="D27" s="9" t="str">
        <f t="shared" si="0"/>
        <v/>
      </c>
      <c r="E27" s="9">
        <v>1.25E-3</v>
      </c>
      <c r="F27" s="9">
        <f t="shared" si="1"/>
        <v>-2.9030899869919438</v>
      </c>
      <c r="G27" s="7">
        <f>178</f>
        <v>178</v>
      </c>
      <c r="H27" s="12">
        <f t="shared" si="2"/>
        <v>7.0224719101123598E-6</v>
      </c>
      <c r="I27" s="12">
        <f t="shared" si="3"/>
        <v>-5.1535099893008374</v>
      </c>
      <c r="J27" s="8" t="s">
        <v>11</v>
      </c>
      <c r="K27" s="8">
        <v>33</v>
      </c>
      <c r="L27" s="8" t="s">
        <v>34</v>
      </c>
      <c r="M27" s="8" t="s">
        <v>42</v>
      </c>
      <c r="N27" s="8">
        <v>382246</v>
      </c>
      <c r="O27" s="8">
        <v>6480974</v>
      </c>
      <c r="P27" s="8" t="s">
        <v>30</v>
      </c>
    </row>
    <row r="28" spans="1:16">
      <c r="A28" s="5" t="s">
        <v>41</v>
      </c>
      <c r="B28" s="9"/>
      <c r="C28" s="9"/>
      <c r="D28" s="9" t="str">
        <f t="shared" si="0"/>
        <v/>
      </c>
      <c r="E28" s="9">
        <v>1.1999999999999999E-3</v>
      </c>
      <c r="F28" s="9">
        <f t="shared" si="1"/>
        <v>-2.9208187539523753</v>
      </c>
      <c r="G28" s="7">
        <f>178</f>
        <v>178</v>
      </c>
      <c r="H28" s="12">
        <f t="shared" si="2"/>
        <v>6.7415730337078645E-6</v>
      </c>
      <c r="I28" s="12">
        <f t="shared" si="3"/>
        <v>-5.1712387562612694</v>
      </c>
      <c r="J28" s="8" t="s">
        <v>11</v>
      </c>
      <c r="K28" s="8">
        <v>33</v>
      </c>
      <c r="L28" s="8" t="s">
        <v>34</v>
      </c>
      <c r="M28" s="8" t="s">
        <v>42</v>
      </c>
      <c r="N28" s="8">
        <v>382246</v>
      </c>
      <c r="O28" s="8">
        <v>6480974</v>
      </c>
      <c r="P28" s="8" t="s">
        <v>30</v>
      </c>
    </row>
    <row r="29" spans="1:16">
      <c r="A29" s="5" t="s">
        <v>41</v>
      </c>
      <c r="B29" s="9">
        <v>0.03</v>
      </c>
      <c r="C29" s="9"/>
      <c r="D29" s="9" t="str">
        <f t="shared" si="0"/>
        <v/>
      </c>
      <c r="E29" s="9">
        <v>9.9500000000000001E-4</v>
      </c>
      <c r="F29" s="9">
        <f t="shared" si="1"/>
        <v>-3.0021769192542744</v>
      </c>
      <c r="G29" s="7">
        <f>178</f>
        <v>178</v>
      </c>
      <c r="H29" s="12">
        <f t="shared" si="2"/>
        <v>5.5898876404494379E-6</v>
      </c>
      <c r="I29" s="12">
        <f t="shared" si="3"/>
        <v>-5.2525969215631685</v>
      </c>
      <c r="J29" s="8" t="s">
        <v>11</v>
      </c>
      <c r="K29" s="8">
        <v>33</v>
      </c>
      <c r="L29" s="8" t="s">
        <v>34</v>
      </c>
      <c r="M29" s="8" t="s">
        <v>42</v>
      </c>
      <c r="N29" s="8">
        <v>382246</v>
      </c>
      <c r="O29" s="8">
        <v>6480974</v>
      </c>
      <c r="P29" s="8" t="s">
        <v>30</v>
      </c>
    </row>
    <row r="30" spans="1:16">
      <c r="A30" s="5" t="s">
        <v>41</v>
      </c>
      <c r="B30" s="9"/>
      <c r="C30" s="9"/>
      <c r="D30" s="9" t="str">
        <f t="shared" si="0"/>
        <v/>
      </c>
      <c r="E30" s="9">
        <v>9.4300000000000004E-4</v>
      </c>
      <c r="F30" s="9">
        <f t="shared" si="1"/>
        <v>-3.0254883072626715</v>
      </c>
      <c r="G30" s="7">
        <f>178</f>
        <v>178</v>
      </c>
      <c r="H30" s="12">
        <f t="shared" si="2"/>
        <v>5.2977528089887647E-6</v>
      </c>
      <c r="I30" s="12">
        <f t="shared" si="3"/>
        <v>-5.275908309571566</v>
      </c>
      <c r="J30" s="8" t="s">
        <v>11</v>
      </c>
      <c r="K30" s="8">
        <v>33</v>
      </c>
      <c r="L30" s="8" t="s">
        <v>34</v>
      </c>
      <c r="M30" s="8" t="s">
        <v>42</v>
      </c>
      <c r="N30" s="8">
        <v>382246</v>
      </c>
      <c r="O30" s="8">
        <v>6480974</v>
      </c>
      <c r="P30" s="8" t="s">
        <v>30</v>
      </c>
    </row>
    <row r="31" spans="1:16">
      <c r="A31" s="5" t="s">
        <v>41</v>
      </c>
      <c r="B31" s="9">
        <v>0.04</v>
      </c>
      <c r="C31" s="9"/>
      <c r="D31" s="9" t="str">
        <f t="shared" si="0"/>
        <v/>
      </c>
      <c r="E31" s="9">
        <v>8.0000000000000004E-4</v>
      </c>
      <c r="F31" s="9">
        <f t="shared" si="1"/>
        <v>-3.0969100130080562</v>
      </c>
      <c r="G31" s="7">
        <f>178</f>
        <v>178</v>
      </c>
      <c r="H31" s="12">
        <f t="shared" si="2"/>
        <v>4.4943820224719099E-6</v>
      </c>
      <c r="I31" s="12">
        <f t="shared" si="3"/>
        <v>-5.3473300153169507</v>
      </c>
      <c r="J31" s="8" t="s">
        <v>11</v>
      </c>
      <c r="K31" s="8">
        <v>33</v>
      </c>
      <c r="L31" s="8" t="s">
        <v>34</v>
      </c>
      <c r="M31" s="8" t="s">
        <v>42</v>
      </c>
      <c r="N31" s="8">
        <v>382246</v>
      </c>
      <c r="O31" s="8">
        <v>6480974</v>
      </c>
      <c r="P31" s="8" t="s">
        <v>30</v>
      </c>
    </row>
    <row r="32" spans="1:16">
      <c r="A32" s="5" t="s">
        <v>43</v>
      </c>
      <c r="B32" s="6"/>
      <c r="C32" s="6"/>
      <c r="D32" s="9" t="str">
        <f t="shared" si="0"/>
        <v/>
      </c>
      <c r="E32" s="9">
        <v>1.25E-3</v>
      </c>
      <c r="F32" s="9">
        <f t="shared" si="1"/>
        <v>-2.9030899869919438</v>
      </c>
      <c r="G32" s="9"/>
      <c r="H32" s="6"/>
      <c r="I32" s="12" t="str">
        <f t="shared" si="3"/>
        <v/>
      </c>
      <c r="J32" s="8"/>
      <c r="K32" s="8">
        <v>33</v>
      </c>
      <c r="L32" s="8" t="s">
        <v>44</v>
      </c>
      <c r="M32" s="8" t="s">
        <v>45</v>
      </c>
      <c r="N32" s="8">
        <v>415869</v>
      </c>
      <c r="O32" s="8">
        <v>6472324</v>
      </c>
      <c r="P32" s="8" t="s">
        <v>30</v>
      </c>
    </row>
    <row r="33" spans="1:16">
      <c r="A33" s="5" t="s">
        <v>43</v>
      </c>
      <c r="B33" s="6"/>
      <c r="C33" s="6"/>
      <c r="D33" s="9" t="str">
        <f t="shared" si="0"/>
        <v/>
      </c>
      <c r="E33" s="9">
        <v>7.5000000000000002E-4</v>
      </c>
      <c r="F33" s="9">
        <f t="shared" si="1"/>
        <v>-3.1249387366082999</v>
      </c>
      <c r="G33" s="9"/>
      <c r="H33" s="6"/>
      <c r="I33" s="12" t="str">
        <f t="shared" si="3"/>
        <v/>
      </c>
      <c r="J33" s="8"/>
      <c r="K33" s="8">
        <v>33</v>
      </c>
      <c r="L33" s="8" t="s">
        <v>44</v>
      </c>
      <c r="M33" s="8" t="s">
        <v>45</v>
      </c>
      <c r="N33" s="8">
        <v>415869</v>
      </c>
      <c r="O33" s="8">
        <v>6472324</v>
      </c>
      <c r="P33" s="8" t="s">
        <v>30</v>
      </c>
    </row>
    <row r="34" spans="1:16">
      <c r="A34" s="5" t="s">
        <v>46</v>
      </c>
      <c r="B34" s="6"/>
      <c r="C34" s="6"/>
      <c r="D34" s="9" t="str">
        <f t="shared" si="0"/>
        <v/>
      </c>
      <c r="E34" s="7"/>
      <c r="F34" s="9" t="str">
        <f t="shared" si="1"/>
        <v/>
      </c>
      <c r="G34" s="7"/>
      <c r="H34" s="6"/>
      <c r="I34" s="12" t="str">
        <f t="shared" si="3"/>
        <v/>
      </c>
      <c r="J34" s="8"/>
      <c r="K34" s="8">
        <v>33</v>
      </c>
      <c r="L34" s="8" t="s">
        <v>47</v>
      </c>
      <c r="M34" s="8" t="s">
        <v>48</v>
      </c>
      <c r="N34" s="8">
        <v>415628</v>
      </c>
      <c r="O34" s="8">
        <v>6467788</v>
      </c>
      <c r="P34" s="8" t="s">
        <v>30</v>
      </c>
    </row>
    <row r="35" spans="1:16">
      <c r="A35" s="5" t="s">
        <v>46</v>
      </c>
      <c r="B35" s="6"/>
      <c r="C35" s="6"/>
      <c r="D35" s="9" t="str">
        <f t="shared" si="0"/>
        <v/>
      </c>
      <c r="E35" s="7"/>
      <c r="F35" s="9" t="str">
        <f t="shared" si="1"/>
        <v/>
      </c>
      <c r="G35" s="7"/>
      <c r="H35" s="6"/>
      <c r="I35" s="12" t="str">
        <f t="shared" si="3"/>
        <v/>
      </c>
      <c r="J35" s="8"/>
      <c r="K35" s="8">
        <v>33</v>
      </c>
      <c r="L35" s="8" t="s">
        <v>47</v>
      </c>
      <c r="M35" s="8" t="s">
        <v>48</v>
      </c>
      <c r="N35" s="8">
        <v>415628</v>
      </c>
      <c r="O35" s="8">
        <v>6467788</v>
      </c>
      <c r="P35" s="8" t="s">
        <v>30</v>
      </c>
    </row>
    <row r="36" spans="1:16">
      <c r="A36" s="5" t="s">
        <v>46</v>
      </c>
      <c r="B36" s="6"/>
      <c r="C36" s="6"/>
      <c r="D36" s="9" t="str">
        <f t="shared" si="0"/>
        <v/>
      </c>
      <c r="E36" s="7"/>
      <c r="F36" s="9" t="str">
        <f t="shared" si="1"/>
        <v/>
      </c>
      <c r="G36" s="7"/>
      <c r="H36" s="6"/>
      <c r="I36" s="12" t="str">
        <f t="shared" si="3"/>
        <v/>
      </c>
      <c r="J36" s="8"/>
      <c r="K36" s="8">
        <v>33</v>
      </c>
      <c r="L36" s="8" t="s">
        <v>47</v>
      </c>
      <c r="M36" s="8" t="s">
        <v>48</v>
      </c>
      <c r="N36" s="8">
        <v>415628</v>
      </c>
      <c r="O36" s="8">
        <v>6467788</v>
      </c>
      <c r="P36" s="8" t="s">
        <v>30</v>
      </c>
    </row>
    <row r="37" spans="1:16">
      <c r="A37" s="5" t="s">
        <v>49</v>
      </c>
      <c r="B37" s="6"/>
      <c r="C37" s="6"/>
      <c r="D37" s="9" t="str">
        <f t="shared" si="0"/>
        <v/>
      </c>
      <c r="E37" s="9">
        <v>2.3E-6</v>
      </c>
      <c r="F37" s="9">
        <f t="shared" si="1"/>
        <v>-5.6382721639824069</v>
      </c>
      <c r="G37" s="9">
        <f>108</f>
        <v>108</v>
      </c>
      <c r="H37" s="12">
        <f>E37/G37</f>
        <v>2.1296296296296297E-8</v>
      </c>
      <c r="I37" s="12">
        <f t="shared" si="3"/>
        <v>-7.6716959194693572</v>
      </c>
      <c r="J37" s="8" t="s">
        <v>50</v>
      </c>
      <c r="K37" s="8">
        <v>33</v>
      </c>
      <c r="L37" s="8" t="s">
        <v>51</v>
      </c>
      <c r="M37" s="8" t="s">
        <v>52</v>
      </c>
      <c r="N37" s="8">
        <v>406705</v>
      </c>
      <c r="O37" s="8">
        <v>6457994</v>
      </c>
      <c r="P37" s="8" t="s">
        <v>30</v>
      </c>
    </row>
    <row r="38" spans="1:16">
      <c r="A38" s="5" t="s">
        <v>53</v>
      </c>
      <c r="B38" s="6"/>
      <c r="C38" s="6"/>
      <c r="D38" s="9" t="str">
        <f t="shared" si="0"/>
        <v/>
      </c>
      <c r="E38" s="9">
        <v>6.8999999999999999E-3</v>
      </c>
      <c r="F38" s="9">
        <f t="shared" si="1"/>
        <v>-2.1611509092627448</v>
      </c>
      <c r="G38" s="9">
        <f>146</f>
        <v>146</v>
      </c>
      <c r="H38" s="12">
        <f t="shared" ref="H38:H42" si="4">E38/G38</f>
        <v>4.7260273972602741E-5</v>
      </c>
      <c r="I38" s="12">
        <f t="shared" si="3"/>
        <v>-4.3255037650471815</v>
      </c>
      <c r="J38" s="8"/>
      <c r="K38" s="8">
        <v>33</v>
      </c>
      <c r="L38" s="8" t="s">
        <v>54</v>
      </c>
      <c r="M38" s="8" t="s">
        <v>55</v>
      </c>
      <c r="N38" s="8">
        <v>420865</v>
      </c>
      <c r="O38" s="8">
        <v>6446923</v>
      </c>
      <c r="P38" s="8" t="s">
        <v>30</v>
      </c>
    </row>
    <row r="39" spans="1:16">
      <c r="A39" s="5" t="s">
        <v>53</v>
      </c>
      <c r="B39" s="6"/>
      <c r="C39" s="6"/>
      <c r="D39" s="9" t="str">
        <f t="shared" si="0"/>
        <v/>
      </c>
      <c r="E39" s="9">
        <v>5.8100000000000001E-3</v>
      </c>
      <c r="F39" s="9">
        <f t="shared" si="1"/>
        <v>-2.2358238676096693</v>
      </c>
      <c r="G39" s="9">
        <f>146</f>
        <v>146</v>
      </c>
      <c r="H39" s="12">
        <f t="shared" si="4"/>
        <v>3.9794520547945208E-5</v>
      </c>
      <c r="I39" s="12">
        <f t="shared" si="3"/>
        <v>-4.4001767233941065</v>
      </c>
      <c r="J39" s="8"/>
      <c r="K39" s="8">
        <v>33</v>
      </c>
      <c r="L39" s="8" t="s">
        <v>54</v>
      </c>
      <c r="M39" s="8" t="s">
        <v>55</v>
      </c>
      <c r="N39" s="8">
        <v>420865</v>
      </c>
      <c r="O39" s="8">
        <v>6446923</v>
      </c>
      <c r="P39" s="8" t="s">
        <v>30</v>
      </c>
    </row>
    <row r="40" spans="1:16">
      <c r="A40" s="5" t="s">
        <v>56</v>
      </c>
      <c r="B40" s="6"/>
      <c r="C40" s="6"/>
      <c r="D40" s="9" t="str">
        <f t="shared" si="0"/>
        <v/>
      </c>
      <c r="E40" s="9">
        <v>1.4999999999999999E-2</v>
      </c>
      <c r="F40" s="9">
        <f t="shared" si="1"/>
        <v>-1.8239087409443189</v>
      </c>
      <c r="G40" s="9">
        <f>157</f>
        <v>157</v>
      </c>
      <c r="H40" s="12">
        <f t="shared" si="4"/>
        <v>9.5541401273885348E-5</v>
      </c>
      <c r="I40" s="12">
        <f t="shared" si="3"/>
        <v>-4.0198083933535527</v>
      </c>
      <c r="J40" s="8"/>
      <c r="K40" s="8">
        <v>33</v>
      </c>
      <c r="L40" s="8" t="s">
        <v>57</v>
      </c>
      <c r="M40" s="8" t="s">
        <v>58</v>
      </c>
      <c r="N40" s="8">
        <v>417653</v>
      </c>
      <c r="O40" s="8">
        <v>6442255</v>
      </c>
      <c r="P40" s="8" t="s">
        <v>30</v>
      </c>
    </row>
    <row r="41" spans="1:16">
      <c r="A41" s="5" t="s">
        <v>56</v>
      </c>
      <c r="C41" s="9">
        <v>4.0000000000000002E-4</v>
      </c>
      <c r="D41" s="9">
        <f t="shared" si="0"/>
        <v>-3.3979400086720375</v>
      </c>
      <c r="E41" s="9">
        <v>0.03</v>
      </c>
      <c r="F41" s="9">
        <f t="shared" si="1"/>
        <v>-1.5228787452803376</v>
      </c>
      <c r="G41" s="9">
        <f>157</f>
        <v>157</v>
      </c>
      <c r="H41" s="12">
        <f t="shared" si="4"/>
        <v>1.910828025477707E-4</v>
      </c>
      <c r="I41" s="12">
        <f t="shared" si="3"/>
        <v>-3.7187783976895714</v>
      </c>
      <c r="J41" s="8"/>
      <c r="K41" s="8">
        <v>33</v>
      </c>
      <c r="L41" s="8" t="s">
        <v>57</v>
      </c>
      <c r="M41" s="8" t="s">
        <v>58</v>
      </c>
      <c r="N41" s="8">
        <v>417653</v>
      </c>
      <c r="O41" s="8">
        <v>6442255</v>
      </c>
      <c r="P41" s="8" t="s">
        <v>30</v>
      </c>
    </row>
    <row r="42" spans="1:16">
      <c r="A42" s="5" t="s">
        <v>59</v>
      </c>
      <c r="B42" s="6"/>
      <c r="C42" s="6"/>
      <c r="D42" s="9" t="str">
        <f t="shared" si="0"/>
        <v/>
      </c>
      <c r="E42" s="9">
        <v>6.1000000000000004E-3</v>
      </c>
      <c r="F42" s="9">
        <f t="shared" si="1"/>
        <v>-2.2146701649892329</v>
      </c>
      <c r="G42" s="9">
        <f>166</f>
        <v>166</v>
      </c>
      <c r="H42" s="12">
        <f t="shared" si="4"/>
        <v>3.6746987951807233E-5</v>
      </c>
      <c r="I42" s="12">
        <f t="shared" si="3"/>
        <v>-4.4347782530292879</v>
      </c>
      <c r="J42" s="8" t="s">
        <v>60</v>
      </c>
      <c r="K42" s="8">
        <v>33</v>
      </c>
      <c r="L42" s="8" t="s">
        <v>61</v>
      </c>
      <c r="M42" s="8" t="s">
        <v>62</v>
      </c>
      <c r="N42" s="8">
        <v>420812</v>
      </c>
      <c r="O42" s="8">
        <v>6430260</v>
      </c>
      <c r="P42" s="8" t="s">
        <v>30</v>
      </c>
    </row>
    <row r="43" spans="1:16">
      <c r="A43" s="5" t="s">
        <v>59</v>
      </c>
      <c r="B43" s="6"/>
      <c r="C43" s="6"/>
      <c r="D43" s="9" t="str">
        <f t="shared" si="0"/>
        <v/>
      </c>
      <c r="E43" s="9"/>
      <c r="F43" s="9" t="str">
        <f t="shared" si="1"/>
        <v/>
      </c>
      <c r="G43" s="9"/>
      <c r="H43" s="6"/>
      <c r="I43" s="12" t="str">
        <f t="shared" si="3"/>
        <v/>
      </c>
      <c r="J43" s="8" t="s">
        <v>60</v>
      </c>
      <c r="K43" s="8">
        <v>33</v>
      </c>
      <c r="L43" s="8" t="s">
        <v>61</v>
      </c>
      <c r="M43" s="8" t="s">
        <v>62</v>
      </c>
      <c r="N43" s="8">
        <v>420812</v>
      </c>
      <c r="O43" s="8">
        <v>6430260</v>
      </c>
      <c r="P43" s="8" t="s">
        <v>30</v>
      </c>
    </row>
    <row r="44" spans="1:16">
      <c r="A44" s="5" t="s">
        <v>59</v>
      </c>
      <c r="B44" s="6"/>
      <c r="C44" s="6"/>
      <c r="D44" s="9" t="str">
        <f t="shared" si="0"/>
        <v/>
      </c>
      <c r="E44" s="9">
        <v>5.8000000000000003E-2</v>
      </c>
      <c r="F44" s="9">
        <f t="shared" si="1"/>
        <v>-1.2365720064370627</v>
      </c>
      <c r="G44" s="9">
        <f>166</f>
        <v>166</v>
      </c>
      <c r="H44" s="12">
        <f>E44/G44</f>
        <v>3.4939759036144581E-4</v>
      </c>
      <c r="I44" s="12">
        <f t="shared" si="3"/>
        <v>-3.4566800944771177</v>
      </c>
      <c r="J44" s="8" t="s">
        <v>60</v>
      </c>
      <c r="K44" s="8">
        <v>33</v>
      </c>
      <c r="L44" s="8" t="s">
        <v>61</v>
      </c>
      <c r="M44" s="8" t="s">
        <v>62</v>
      </c>
      <c r="N44" s="8">
        <v>420812</v>
      </c>
      <c r="O44" s="8">
        <v>6430260</v>
      </c>
      <c r="P44" s="8" t="s">
        <v>30</v>
      </c>
    </row>
    <row r="45" spans="1:16">
      <c r="A45" s="5" t="s">
        <v>59</v>
      </c>
      <c r="B45" s="6"/>
      <c r="C45" s="6"/>
      <c r="D45" s="9" t="str">
        <f t="shared" si="0"/>
        <v/>
      </c>
      <c r="E45" s="9">
        <v>3.9E-2</v>
      </c>
      <c r="F45" s="9">
        <f t="shared" si="1"/>
        <v>-1.4089353929735009</v>
      </c>
      <c r="G45" s="9">
        <f>166</f>
        <v>166</v>
      </c>
      <c r="H45" s="12">
        <f t="shared" ref="H45:H63" si="5">E45/G45</f>
        <v>2.3493975903614457E-4</v>
      </c>
      <c r="I45" s="12">
        <f t="shared" si="3"/>
        <v>-3.6290434810135559</v>
      </c>
      <c r="J45" s="8" t="s">
        <v>60</v>
      </c>
      <c r="K45" s="8">
        <v>33</v>
      </c>
      <c r="L45" s="8" t="s">
        <v>61</v>
      </c>
      <c r="M45" s="8" t="s">
        <v>62</v>
      </c>
      <c r="N45" s="8">
        <v>420812</v>
      </c>
      <c r="O45" s="8">
        <v>6430260</v>
      </c>
      <c r="P45" s="8" t="s">
        <v>30</v>
      </c>
    </row>
    <row r="46" spans="1:16">
      <c r="A46" s="5" t="s">
        <v>59</v>
      </c>
      <c r="B46" s="6"/>
      <c r="C46" s="6"/>
      <c r="D46" s="9" t="str">
        <f t="shared" si="0"/>
        <v/>
      </c>
      <c r="E46" s="9">
        <v>5.7999999999999996E-3</v>
      </c>
      <c r="F46" s="9">
        <f t="shared" si="1"/>
        <v>-2.2365720064370627</v>
      </c>
      <c r="G46" s="9">
        <f>166</f>
        <v>166</v>
      </c>
      <c r="H46" s="12">
        <f t="shared" si="5"/>
        <v>3.4939759036144578E-5</v>
      </c>
      <c r="I46" s="12">
        <f t="shared" si="3"/>
        <v>-4.4566800944771181</v>
      </c>
      <c r="J46" s="8" t="s">
        <v>60</v>
      </c>
      <c r="K46" s="8">
        <v>33</v>
      </c>
      <c r="L46" s="8" t="s">
        <v>61</v>
      </c>
      <c r="M46" s="8" t="s">
        <v>62</v>
      </c>
      <c r="N46" s="8">
        <v>420812</v>
      </c>
      <c r="O46" s="8">
        <v>6430260</v>
      </c>
      <c r="P46" s="8" t="s">
        <v>30</v>
      </c>
    </row>
    <row r="47" spans="1:16">
      <c r="A47" s="5" t="s">
        <v>59</v>
      </c>
      <c r="B47" s="6"/>
      <c r="C47" s="6"/>
      <c r="D47" s="9" t="str">
        <f t="shared" si="0"/>
        <v/>
      </c>
      <c r="E47" s="9">
        <v>6.8999999999999999E-3</v>
      </c>
      <c r="F47" s="9">
        <f t="shared" si="1"/>
        <v>-2.1611509092627448</v>
      </c>
      <c r="G47" s="9">
        <f>166</f>
        <v>166</v>
      </c>
      <c r="H47" s="12">
        <f t="shared" si="5"/>
        <v>4.1566265060240963E-5</v>
      </c>
      <c r="I47" s="12">
        <f t="shared" si="3"/>
        <v>-4.3812589973028002</v>
      </c>
      <c r="J47" s="8" t="s">
        <v>60</v>
      </c>
      <c r="K47" s="8">
        <v>33</v>
      </c>
      <c r="L47" s="8" t="s">
        <v>61</v>
      </c>
      <c r="M47" s="8" t="s">
        <v>62</v>
      </c>
      <c r="N47" s="8">
        <v>420812</v>
      </c>
      <c r="O47" s="8">
        <v>6430260</v>
      </c>
      <c r="P47" s="8" t="s">
        <v>30</v>
      </c>
    </row>
    <row r="48" spans="1:16">
      <c r="A48" s="5" t="s">
        <v>63</v>
      </c>
      <c r="B48" s="6"/>
      <c r="C48" s="6"/>
      <c r="D48" s="9" t="str">
        <f t="shared" si="0"/>
        <v/>
      </c>
      <c r="E48" s="9">
        <v>1.7999999999999999E-2</v>
      </c>
      <c r="F48" s="9">
        <f t="shared" si="1"/>
        <v>-1.744727494896694</v>
      </c>
      <c r="G48" s="9">
        <f>195</f>
        <v>195</v>
      </c>
      <c r="H48" s="12">
        <f t="shared" si="5"/>
        <v>9.2307692307692303E-5</v>
      </c>
      <c r="I48" s="12">
        <f t="shared" si="3"/>
        <v>-4.0347621062592118</v>
      </c>
      <c r="J48" s="8"/>
      <c r="K48" s="8">
        <v>33</v>
      </c>
      <c r="L48" s="8" t="s">
        <v>64</v>
      </c>
      <c r="M48" s="8" t="s">
        <v>65</v>
      </c>
      <c r="N48" s="8">
        <v>424481</v>
      </c>
      <c r="O48" s="8">
        <v>6429334</v>
      </c>
      <c r="P48" s="8" t="s">
        <v>30</v>
      </c>
    </row>
    <row r="49" spans="1:16">
      <c r="A49" s="5" t="s">
        <v>63</v>
      </c>
      <c r="B49" s="6"/>
      <c r="C49" s="6"/>
      <c r="D49" s="9" t="str">
        <f t="shared" si="0"/>
        <v/>
      </c>
      <c r="E49" s="9">
        <v>1.4E-2</v>
      </c>
      <c r="F49" s="9">
        <f t="shared" si="1"/>
        <v>-1.853871964321762</v>
      </c>
      <c r="G49" s="9">
        <f>195</f>
        <v>195</v>
      </c>
      <c r="H49" s="12">
        <f t="shared" si="5"/>
        <v>7.1794871794871791E-5</v>
      </c>
      <c r="I49" s="12">
        <f t="shared" si="3"/>
        <v>-4.1439065756842801</v>
      </c>
      <c r="J49" s="8"/>
      <c r="K49" s="8">
        <v>33</v>
      </c>
      <c r="L49" s="8" t="s">
        <v>64</v>
      </c>
      <c r="M49" s="8" t="s">
        <v>65</v>
      </c>
      <c r="N49" s="8">
        <v>424481</v>
      </c>
      <c r="O49" s="8">
        <v>6429334</v>
      </c>
      <c r="P49" s="8" t="s">
        <v>30</v>
      </c>
    </row>
    <row r="50" spans="1:16">
      <c r="A50" s="5" t="s">
        <v>63</v>
      </c>
      <c r="B50" s="6"/>
      <c r="C50" s="6"/>
      <c r="D50" s="9" t="str">
        <f t="shared" si="0"/>
        <v/>
      </c>
      <c r="E50" s="9">
        <v>1.7999999999999999E-2</v>
      </c>
      <c r="F50" s="9">
        <f t="shared" si="1"/>
        <v>-1.744727494896694</v>
      </c>
      <c r="G50" s="9">
        <f>195</f>
        <v>195</v>
      </c>
      <c r="H50" s="12">
        <f t="shared" si="5"/>
        <v>9.2307692307692303E-5</v>
      </c>
      <c r="I50" s="12">
        <f t="shared" si="3"/>
        <v>-4.0347621062592118</v>
      </c>
      <c r="J50" s="8"/>
      <c r="K50" s="8">
        <v>33</v>
      </c>
      <c r="L50" s="8" t="s">
        <v>64</v>
      </c>
      <c r="M50" s="8" t="s">
        <v>65</v>
      </c>
      <c r="N50" s="8">
        <v>424481</v>
      </c>
      <c r="O50" s="8">
        <v>6429334</v>
      </c>
      <c r="P50" s="8" t="s">
        <v>30</v>
      </c>
    </row>
    <row r="51" spans="1:16">
      <c r="A51" s="5" t="s">
        <v>66</v>
      </c>
      <c r="B51" s="6"/>
      <c r="C51" s="6"/>
      <c r="D51" s="9" t="str">
        <f t="shared" si="0"/>
        <v/>
      </c>
      <c r="E51" s="9">
        <v>1.2E-2</v>
      </c>
      <c r="F51" s="9">
        <f t="shared" si="1"/>
        <v>-1.9208187539523751</v>
      </c>
      <c r="G51" s="9">
        <f>144</f>
        <v>144</v>
      </c>
      <c r="H51" s="12">
        <f t="shared" si="5"/>
        <v>8.3333333333333331E-5</v>
      </c>
      <c r="I51" s="12">
        <f t="shared" si="3"/>
        <v>-4.0791812460476251</v>
      </c>
      <c r="J51" s="8"/>
      <c r="K51" s="8">
        <v>33</v>
      </c>
      <c r="L51" s="8" t="s">
        <v>67</v>
      </c>
      <c r="M51" s="8" t="s">
        <v>68</v>
      </c>
      <c r="N51" s="8">
        <v>423189</v>
      </c>
      <c r="O51" s="8">
        <v>6422963</v>
      </c>
      <c r="P51" s="8" t="s">
        <v>30</v>
      </c>
    </row>
    <row r="52" spans="1:16">
      <c r="A52" s="5" t="s">
        <v>69</v>
      </c>
      <c r="B52" s="6"/>
      <c r="C52" s="6"/>
      <c r="D52" s="9" t="str">
        <f t="shared" si="0"/>
        <v/>
      </c>
      <c r="E52" s="9">
        <v>8.5000000000000006E-3</v>
      </c>
      <c r="F52" s="9">
        <f t="shared" si="1"/>
        <v>-2.0705810742857071</v>
      </c>
      <c r="G52" s="9">
        <f>104</f>
        <v>104</v>
      </c>
      <c r="H52" s="12">
        <f t="shared" si="5"/>
        <v>8.1730769230769243E-5</v>
      </c>
      <c r="I52" s="12">
        <f t="shared" si="3"/>
        <v>-4.0876144135844878</v>
      </c>
      <c r="J52" s="8"/>
      <c r="K52" s="8">
        <v>33</v>
      </c>
      <c r="L52" s="8" t="s">
        <v>70</v>
      </c>
      <c r="M52" s="8" t="s">
        <v>71</v>
      </c>
      <c r="N52" s="8">
        <v>422761</v>
      </c>
      <c r="O52" s="8">
        <v>6420095</v>
      </c>
      <c r="P52" s="8" t="s">
        <v>30</v>
      </c>
    </row>
    <row r="53" spans="1:16">
      <c r="A53" s="5" t="s">
        <v>69</v>
      </c>
      <c r="B53" s="6"/>
      <c r="C53" s="6"/>
      <c r="D53" s="9" t="str">
        <f t="shared" si="0"/>
        <v/>
      </c>
      <c r="E53" s="9">
        <v>1.2E-2</v>
      </c>
      <c r="F53" s="9">
        <f t="shared" si="1"/>
        <v>-1.9208187539523751</v>
      </c>
      <c r="G53" s="9">
        <f>104</f>
        <v>104</v>
      </c>
      <c r="H53" s="12">
        <f t="shared" si="5"/>
        <v>1.1538461538461538E-4</v>
      </c>
      <c r="I53" s="12">
        <f t="shared" si="3"/>
        <v>-3.9378520932511556</v>
      </c>
      <c r="J53" s="8"/>
      <c r="K53" s="8">
        <v>33</v>
      </c>
      <c r="L53" s="8" t="s">
        <v>70</v>
      </c>
      <c r="M53" s="8" t="s">
        <v>71</v>
      </c>
      <c r="N53" s="8">
        <v>422761</v>
      </c>
      <c r="O53" s="8">
        <v>6420095</v>
      </c>
      <c r="P53" s="8" t="s">
        <v>30</v>
      </c>
    </row>
    <row r="54" spans="1:16">
      <c r="A54" s="5" t="s">
        <v>72</v>
      </c>
      <c r="B54" s="6"/>
      <c r="C54" s="6"/>
      <c r="D54" s="9" t="str">
        <f t="shared" si="0"/>
        <v/>
      </c>
      <c r="E54" s="9">
        <v>1.2999999999999999E-2</v>
      </c>
      <c r="F54" s="9">
        <f t="shared" si="1"/>
        <v>-1.8860566476931633</v>
      </c>
      <c r="G54" s="9">
        <f>184</f>
        <v>184</v>
      </c>
      <c r="H54" s="12">
        <f t="shared" si="5"/>
        <v>7.0652173913043472E-5</v>
      </c>
      <c r="I54" s="12">
        <f t="shared" si="3"/>
        <v>-4.1508744707026999</v>
      </c>
      <c r="J54" s="8"/>
      <c r="K54" s="8">
        <v>33</v>
      </c>
      <c r="L54" s="8" t="s">
        <v>73</v>
      </c>
      <c r="M54" s="8" t="s">
        <v>74</v>
      </c>
      <c r="N54" s="8">
        <v>422697</v>
      </c>
      <c r="O54" s="8">
        <v>6425764</v>
      </c>
      <c r="P54" s="8" t="s">
        <v>30</v>
      </c>
    </row>
    <row r="55" spans="1:16">
      <c r="A55" s="5" t="s">
        <v>75</v>
      </c>
      <c r="B55" s="6"/>
      <c r="C55" s="6"/>
      <c r="D55" s="9" t="str">
        <f t="shared" si="0"/>
        <v/>
      </c>
      <c r="E55" s="9">
        <v>6.0000000000000001E-3</v>
      </c>
      <c r="F55" s="9">
        <f t="shared" si="1"/>
        <v>-2.2218487496163561</v>
      </c>
      <c r="G55" s="9">
        <f>161</f>
        <v>161</v>
      </c>
      <c r="H55" s="12">
        <f t="shared" si="5"/>
        <v>3.7267080745341614E-5</v>
      </c>
      <c r="I55" s="12">
        <f t="shared" si="3"/>
        <v>-4.4286746256482061</v>
      </c>
      <c r="J55" s="8" t="s">
        <v>11</v>
      </c>
      <c r="K55" s="8">
        <v>33</v>
      </c>
      <c r="L55" s="8" t="s">
        <v>76</v>
      </c>
      <c r="M55" s="8" t="s">
        <v>77</v>
      </c>
      <c r="N55" s="8">
        <v>445011</v>
      </c>
      <c r="O55" s="8">
        <v>6432437</v>
      </c>
      <c r="P55" s="8" t="s">
        <v>30</v>
      </c>
    </row>
    <row r="56" spans="1:16">
      <c r="A56" s="5" t="s">
        <v>75</v>
      </c>
      <c r="B56" s="6"/>
      <c r="C56" s="6"/>
      <c r="D56" s="9" t="str">
        <f t="shared" si="0"/>
        <v/>
      </c>
      <c r="E56" s="9">
        <v>0.02</v>
      </c>
      <c r="F56" s="9">
        <f t="shared" si="1"/>
        <v>-1.6989700043360187</v>
      </c>
      <c r="G56" s="9">
        <f>161</f>
        <v>161</v>
      </c>
      <c r="H56" s="12">
        <f t="shared" si="5"/>
        <v>1.2422360248447205E-4</v>
      </c>
      <c r="I56" s="12">
        <f t="shared" si="3"/>
        <v>-3.9057958803678683</v>
      </c>
      <c r="J56" s="8" t="s">
        <v>11</v>
      </c>
      <c r="K56" s="8">
        <v>33</v>
      </c>
      <c r="L56" s="8" t="s">
        <v>76</v>
      </c>
      <c r="M56" s="8" t="s">
        <v>77</v>
      </c>
      <c r="N56" s="8">
        <v>445011</v>
      </c>
      <c r="O56" s="8">
        <v>6432437</v>
      </c>
      <c r="P56" s="8" t="s">
        <v>30</v>
      </c>
    </row>
    <row r="57" spans="1:16">
      <c r="A57" s="5" t="s">
        <v>78</v>
      </c>
      <c r="B57" s="6"/>
      <c r="C57" s="6"/>
      <c r="D57" s="9" t="str">
        <f t="shared" si="0"/>
        <v/>
      </c>
      <c r="E57" s="9">
        <v>0.06</v>
      </c>
      <c r="F57" s="9">
        <f t="shared" si="1"/>
        <v>-1.2218487496163564</v>
      </c>
      <c r="G57" s="9">
        <f>120</f>
        <v>120</v>
      </c>
      <c r="H57" s="12">
        <f t="shared" si="5"/>
        <v>5.0000000000000001E-4</v>
      </c>
      <c r="I57" s="12">
        <f t="shared" si="3"/>
        <v>-3.3010299956639813</v>
      </c>
      <c r="J57" s="8" t="s">
        <v>11</v>
      </c>
      <c r="K57" s="8">
        <v>33</v>
      </c>
      <c r="L57" s="8" t="s">
        <v>79</v>
      </c>
      <c r="M57" s="8" t="s">
        <v>80</v>
      </c>
      <c r="N57" s="8">
        <v>447534</v>
      </c>
      <c r="O57" s="8">
        <v>6438429</v>
      </c>
      <c r="P57" s="8" t="s">
        <v>30</v>
      </c>
    </row>
    <row r="58" spans="1:16">
      <c r="A58" s="5" t="s">
        <v>81</v>
      </c>
      <c r="B58" s="6"/>
      <c r="C58" s="6"/>
      <c r="D58" s="9" t="str">
        <f t="shared" si="0"/>
        <v/>
      </c>
      <c r="E58" s="9">
        <v>2.7000000000000001E-3</v>
      </c>
      <c r="F58" s="9">
        <f t="shared" si="1"/>
        <v>-2.5686362358410126</v>
      </c>
      <c r="G58" s="9">
        <f>203</f>
        <v>203</v>
      </c>
      <c r="H58" s="12">
        <f t="shared" si="5"/>
        <v>1.330049261083744E-5</v>
      </c>
      <c r="I58" s="12">
        <f t="shared" si="3"/>
        <v>-4.8761322737542256</v>
      </c>
      <c r="J58" s="8" t="s">
        <v>82</v>
      </c>
      <c r="K58" s="8">
        <v>33</v>
      </c>
      <c r="L58" s="8" t="s">
        <v>22</v>
      </c>
      <c r="M58" s="8" t="s">
        <v>23</v>
      </c>
      <c r="N58" s="8">
        <v>436092</v>
      </c>
      <c r="O58" s="8">
        <v>6428829</v>
      </c>
      <c r="P58" s="8" t="s">
        <v>30</v>
      </c>
    </row>
    <row r="59" spans="1:16">
      <c r="A59" s="5" t="s">
        <v>81</v>
      </c>
      <c r="B59" s="6"/>
      <c r="C59" s="6"/>
      <c r="D59" s="9" t="str">
        <f t="shared" si="0"/>
        <v/>
      </c>
      <c r="E59" s="9">
        <v>1.9E-3</v>
      </c>
      <c r="F59" s="9">
        <f t="shared" si="1"/>
        <v>-2.7212463990471711</v>
      </c>
      <c r="G59" s="9">
        <f>203</f>
        <v>203</v>
      </c>
      <c r="H59" s="12">
        <f t="shared" si="5"/>
        <v>9.359605911330049E-6</v>
      </c>
      <c r="I59" s="12">
        <f t="shared" si="3"/>
        <v>-5.0287424369603837</v>
      </c>
      <c r="J59" s="8" t="s">
        <v>82</v>
      </c>
      <c r="K59" s="8">
        <v>33</v>
      </c>
      <c r="L59" s="8" t="s">
        <v>22</v>
      </c>
      <c r="M59" s="8" t="s">
        <v>23</v>
      </c>
      <c r="N59" s="8">
        <v>436092</v>
      </c>
      <c r="O59" s="8">
        <v>6428829</v>
      </c>
      <c r="P59" s="8" t="s">
        <v>30</v>
      </c>
    </row>
    <row r="60" spans="1:16">
      <c r="A60" s="5" t="s">
        <v>83</v>
      </c>
      <c r="B60" s="6"/>
      <c r="C60" s="6"/>
      <c r="D60" s="9" t="str">
        <f t="shared" si="0"/>
        <v/>
      </c>
      <c r="E60" s="9">
        <v>1.7000000000000001E-2</v>
      </c>
      <c r="F60" s="9">
        <f t="shared" si="1"/>
        <v>-1.7695510786217261</v>
      </c>
      <c r="G60" s="9">
        <f>91</f>
        <v>91</v>
      </c>
      <c r="H60" s="12">
        <f t="shared" si="5"/>
        <v>1.8681318681318683E-4</v>
      </c>
      <c r="I60" s="12">
        <f t="shared" si="3"/>
        <v>-3.7285924709428198</v>
      </c>
      <c r="J60" s="8" t="s">
        <v>11</v>
      </c>
      <c r="K60" s="8">
        <v>33</v>
      </c>
      <c r="L60" s="8" t="s">
        <v>84</v>
      </c>
      <c r="M60" s="8" t="s">
        <v>85</v>
      </c>
      <c r="N60" s="8">
        <v>457676</v>
      </c>
      <c r="O60" s="8">
        <v>6374024</v>
      </c>
      <c r="P60" s="8" t="s">
        <v>30</v>
      </c>
    </row>
    <row r="61" spans="1:16">
      <c r="A61" s="5" t="s">
        <v>83</v>
      </c>
      <c r="B61" s="6"/>
      <c r="C61" s="6"/>
      <c r="D61" s="9" t="str">
        <f t="shared" si="0"/>
        <v/>
      </c>
      <c r="E61" s="9">
        <v>0.03</v>
      </c>
      <c r="F61" s="9">
        <f t="shared" si="1"/>
        <v>-1.5228787452803376</v>
      </c>
      <c r="G61" s="9">
        <f>91</f>
        <v>91</v>
      </c>
      <c r="H61" s="12">
        <f t="shared" si="5"/>
        <v>3.2967032967032967E-4</v>
      </c>
      <c r="I61" s="12">
        <f t="shared" si="3"/>
        <v>-3.4819201376014313</v>
      </c>
      <c r="J61" s="8" t="s">
        <v>11</v>
      </c>
      <c r="K61" s="8">
        <v>33</v>
      </c>
      <c r="L61" s="8" t="s">
        <v>84</v>
      </c>
      <c r="M61" s="8" t="s">
        <v>85</v>
      </c>
      <c r="N61" s="8">
        <v>457676</v>
      </c>
      <c r="O61" s="8">
        <v>6374024</v>
      </c>
      <c r="P61" s="8" t="s">
        <v>30</v>
      </c>
    </row>
    <row r="62" spans="1:16">
      <c r="A62" s="5" t="s">
        <v>86</v>
      </c>
      <c r="B62" s="6"/>
      <c r="C62" s="6"/>
      <c r="D62" s="9" t="str">
        <f t="shared" si="0"/>
        <v/>
      </c>
      <c r="E62" s="9">
        <v>1.8499999999999999E-2</v>
      </c>
      <c r="F62" s="9">
        <f t="shared" si="1"/>
        <v>-1.7328282715969863</v>
      </c>
      <c r="G62" s="9">
        <f>83</f>
        <v>83</v>
      </c>
      <c r="H62" s="12">
        <f t="shared" si="5"/>
        <v>2.2289156626506022E-4</v>
      </c>
      <c r="I62" s="12">
        <f t="shared" si="3"/>
        <v>-3.65190636397306</v>
      </c>
      <c r="J62" s="8" t="s">
        <v>11</v>
      </c>
      <c r="K62" s="8">
        <v>33</v>
      </c>
      <c r="L62" s="8" t="s">
        <v>87</v>
      </c>
      <c r="M62" s="8" t="s">
        <v>88</v>
      </c>
      <c r="N62" s="8">
        <v>458805</v>
      </c>
      <c r="O62" s="8">
        <v>6371376</v>
      </c>
      <c r="P62" s="8" t="s">
        <v>30</v>
      </c>
    </row>
    <row r="63" spans="1:16">
      <c r="A63" s="5" t="s">
        <v>86</v>
      </c>
      <c r="B63" s="6"/>
      <c r="C63" s="6"/>
      <c r="D63" s="9" t="str">
        <f t="shared" si="0"/>
        <v/>
      </c>
      <c r="E63" s="9">
        <v>1.21E-2</v>
      </c>
      <c r="F63" s="9">
        <f t="shared" si="1"/>
        <v>-1.9172146296835499</v>
      </c>
      <c r="G63" s="9">
        <f>83</f>
        <v>83</v>
      </c>
      <c r="H63" s="12">
        <f t="shared" si="5"/>
        <v>1.4578313253012047E-4</v>
      </c>
      <c r="I63" s="12">
        <f t="shared" si="3"/>
        <v>-3.8362927220596239</v>
      </c>
      <c r="J63" s="8" t="s">
        <v>11</v>
      </c>
      <c r="K63" s="8">
        <v>33</v>
      </c>
      <c r="L63" s="8" t="s">
        <v>87</v>
      </c>
      <c r="M63" s="8" t="s">
        <v>88</v>
      </c>
      <c r="N63" s="8">
        <v>458805</v>
      </c>
      <c r="O63" s="8">
        <v>6371376</v>
      </c>
      <c r="P63" s="8" t="s">
        <v>30</v>
      </c>
    </row>
    <row r="64" spans="1:16">
      <c r="A64" s="5" t="s">
        <v>89</v>
      </c>
      <c r="B64" s="6"/>
      <c r="C64" s="6"/>
      <c r="D64" s="9" t="str">
        <f t="shared" si="0"/>
        <v/>
      </c>
      <c r="E64" s="7"/>
      <c r="F64" s="9" t="str">
        <f t="shared" si="1"/>
        <v/>
      </c>
      <c r="G64" s="9"/>
      <c r="H64" s="6"/>
      <c r="I64" s="12" t="str">
        <f t="shared" si="3"/>
        <v/>
      </c>
      <c r="J64" s="8" t="s">
        <v>11</v>
      </c>
      <c r="K64" s="8">
        <v>33</v>
      </c>
      <c r="L64" s="8" t="s">
        <v>90</v>
      </c>
      <c r="M64" s="8" t="s">
        <v>91</v>
      </c>
      <c r="N64" s="8">
        <v>426506</v>
      </c>
      <c r="O64" s="8">
        <v>6450163</v>
      </c>
      <c r="P64" s="8" t="s">
        <v>30</v>
      </c>
    </row>
    <row r="65" spans="1:16">
      <c r="A65" s="5" t="s">
        <v>92</v>
      </c>
      <c r="B65" s="6"/>
      <c r="C65" s="6"/>
      <c r="D65" s="9" t="str">
        <f t="shared" si="0"/>
        <v/>
      </c>
      <c r="E65" s="7"/>
      <c r="F65" s="9" t="str">
        <f t="shared" si="1"/>
        <v/>
      </c>
      <c r="G65" s="7"/>
      <c r="H65" s="6"/>
      <c r="I65" s="12" t="str">
        <f t="shared" si="3"/>
        <v/>
      </c>
      <c r="J65" s="8" t="s">
        <v>11</v>
      </c>
      <c r="K65" s="8">
        <v>33</v>
      </c>
      <c r="L65" s="8" t="s">
        <v>93</v>
      </c>
      <c r="M65" s="8" t="s">
        <v>94</v>
      </c>
      <c r="N65" s="8">
        <v>436095</v>
      </c>
      <c r="O65" s="8">
        <v>6443960</v>
      </c>
      <c r="P65" s="8" t="s">
        <v>30</v>
      </c>
    </row>
    <row r="66" spans="1:16">
      <c r="A66" s="5" t="s">
        <v>92</v>
      </c>
      <c r="B66" s="6"/>
      <c r="C66" s="6"/>
      <c r="D66" s="9" t="str">
        <f t="shared" si="0"/>
        <v/>
      </c>
      <c r="E66" s="7"/>
      <c r="F66" s="9" t="str">
        <f t="shared" si="1"/>
        <v/>
      </c>
      <c r="G66" s="7"/>
      <c r="H66" s="6"/>
      <c r="I66" s="12" t="str">
        <f t="shared" si="3"/>
        <v/>
      </c>
      <c r="J66" s="8" t="s">
        <v>11</v>
      </c>
      <c r="K66" s="8">
        <v>33</v>
      </c>
      <c r="L66" s="8" t="s">
        <v>93</v>
      </c>
      <c r="M66" s="8" t="s">
        <v>94</v>
      </c>
      <c r="N66" s="8">
        <v>436095</v>
      </c>
      <c r="O66" s="8">
        <v>6443960</v>
      </c>
      <c r="P66" s="8" t="s">
        <v>30</v>
      </c>
    </row>
    <row r="67" spans="1:16">
      <c r="A67" s="5" t="s">
        <v>92</v>
      </c>
      <c r="B67" s="6"/>
      <c r="C67" s="6"/>
      <c r="D67" s="9" t="str">
        <f t="shared" ref="D67:D127" si="6">IFERROR(LOG10(C67),"")</f>
        <v/>
      </c>
      <c r="E67" s="7"/>
      <c r="F67" s="9" t="str">
        <f t="shared" ref="F67:F127" si="7">IFERROR(LOG10(E67),"")</f>
        <v/>
      </c>
      <c r="G67" s="7"/>
      <c r="H67" s="6"/>
      <c r="I67" s="12" t="str">
        <f t="shared" ref="I67:I127" si="8">IFERROR(LOG10(H67),"")</f>
        <v/>
      </c>
      <c r="J67" s="8" t="s">
        <v>11</v>
      </c>
      <c r="K67" s="8">
        <v>33</v>
      </c>
      <c r="L67" s="8" t="s">
        <v>93</v>
      </c>
      <c r="M67" s="8" t="s">
        <v>94</v>
      </c>
      <c r="N67" s="8">
        <v>436095</v>
      </c>
      <c r="O67" s="8">
        <v>6443960</v>
      </c>
      <c r="P67" s="8" t="s">
        <v>30</v>
      </c>
    </row>
    <row r="68" spans="1:16">
      <c r="A68" s="5" t="s">
        <v>92</v>
      </c>
      <c r="B68" s="6"/>
      <c r="C68" s="6"/>
      <c r="D68" s="9" t="str">
        <f t="shared" si="6"/>
        <v/>
      </c>
      <c r="E68" s="7"/>
      <c r="F68" s="9" t="str">
        <f t="shared" si="7"/>
        <v/>
      </c>
      <c r="G68" s="7"/>
      <c r="H68" s="6"/>
      <c r="I68" s="12" t="str">
        <f t="shared" si="8"/>
        <v/>
      </c>
      <c r="J68" s="8" t="s">
        <v>11</v>
      </c>
      <c r="K68" s="8">
        <v>33</v>
      </c>
      <c r="L68" s="8" t="s">
        <v>93</v>
      </c>
      <c r="M68" s="8" t="s">
        <v>94</v>
      </c>
      <c r="N68" s="8">
        <v>436095</v>
      </c>
      <c r="O68" s="8">
        <v>6443960</v>
      </c>
      <c r="P68" s="8" t="s">
        <v>30</v>
      </c>
    </row>
    <row r="69" spans="1:16">
      <c r="A69" s="5" t="s">
        <v>95</v>
      </c>
      <c r="B69" s="12"/>
      <c r="C69" s="12"/>
      <c r="D69" s="9" t="str">
        <f t="shared" si="6"/>
        <v/>
      </c>
      <c r="E69" s="12"/>
      <c r="F69" s="9" t="str">
        <f t="shared" si="7"/>
        <v/>
      </c>
      <c r="G69" s="12">
        <f>80</f>
        <v>80</v>
      </c>
      <c r="H69" s="12">
        <v>1.6000000000000001E-4</v>
      </c>
      <c r="I69" s="12">
        <f t="shared" si="8"/>
        <v>-3.795880017344075</v>
      </c>
      <c r="J69" s="8" t="s">
        <v>96</v>
      </c>
      <c r="K69" s="8">
        <v>33</v>
      </c>
      <c r="L69" s="8" t="s">
        <v>97</v>
      </c>
      <c r="M69" s="8" t="s">
        <v>98</v>
      </c>
      <c r="N69" s="8">
        <v>397787</v>
      </c>
      <c r="O69" s="8">
        <v>6443528</v>
      </c>
      <c r="P69" s="8" t="s">
        <v>30</v>
      </c>
    </row>
    <row r="70" spans="1:16">
      <c r="A70" s="5" t="s">
        <v>99</v>
      </c>
      <c r="C70" s="12">
        <v>1.0000000000000001E-5</v>
      </c>
      <c r="D70" s="9">
        <f t="shared" si="6"/>
        <v>-5</v>
      </c>
      <c r="E70" s="12">
        <v>2.0000000000000001E-4</v>
      </c>
      <c r="F70" s="9">
        <f t="shared" si="7"/>
        <v>-3.6989700043360187</v>
      </c>
      <c r="G70" s="12">
        <f>43</f>
        <v>43</v>
      </c>
      <c r="H70" s="12">
        <f>E70/G70</f>
        <v>4.6511627906976743E-6</v>
      </c>
      <c r="I70" s="12">
        <f t="shared" si="8"/>
        <v>-5.3324384599156049</v>
      </c>
      <c r="J70" s="8" t="s">
        <v>96</v>
      </c>
      <c r="K70" s="8">
        <v>33</v>
      </c>
      <c r="L70" s="8" t="s">
        <v>100</v>
      </c>
      <c r="M70" s="8" t="s">
        <v>101</v>
      </c>
      <c r="N70" s="8">
        <v>386582</v>
      </c>
      <c r="O70" s="8">
        <v>6436610</v>
      </c>
      <c r="P70" s="8" t="s">
        <v>30</v>
      </c>
    </row>
    <row r="71" spans="1:16">
      <c r="A71" s="13" t="s">
        <v>102</v>
      </c>
      <c r="B71" s="12"/>
      <c r="C71" s="12"/>
      <c r="D71" s="9" t="str">
        <f t="shared" si="6"/>
        <v/>
      </c>
      <c r="E71" s="27">
        <v>4.3E-3</v>
      </c>
      <c r="F71" s="9">
        <f t="shared" si="7"/>
        <v>-2.3665315444204134</v>
      </c>
      <c r="G71" s="27">
        <f>203</f>
        <v>203</v>
      </c>
      <c r="H71" s="12">
        <f t="shared" ref="H71:H73" si="9">E71/G71</f>
        <v>2.1182266009852215E-5</v>
      </c>
      <c r="I71" s="12">
        <f t="shared" si="8"/>
        <v>-4.6740275823336264</v>
      </c>
      <c r="J71" s="8" t="s">
        <v>103</v>
      </c>
      <c r="K71" s="8">
        <v>33</v>
      </c>
      <c r="L71" s="8" t="s">
        <v>104</v>
      </c>
      <c r="M71" s="8" t="s">
        <v>105</v>
      </c>
      <c r="N71" s="8">
        <v>405770</v>
      </c>
      <c r="O71" s="8">
        <v>6426651</v>
      </c>
      <c r="P71" s="8" t="s">
        <v>30</v>
      </c>
    </row>
    <row r="72" spans="1:16">
      <c r="A72" s="13" t="s">
        <v>779</v>
      </c>
      <c r="B72" s="12"/>
      <c r="C72" s="12"/>
      <c r="D72" s="9" t="str">
        <f t="shared" si="6"/>
        <v/>
      </c>
      <c r="E72" s="27">
        <v>4.7000000000000002E-3</v>
      </c>
      <c r="F72" s="9">
        <f t="shared" si="7"/>
        <v>-2.3279021420642825</v>
      </c>
      <c r="G72" s="27">
        <f>182</f>
        <v>182</v>
      </c>
      <c r="H72" s="12">
        <f t="shared" si="9"/>
        <v>2.5824175824175825E-5</v>
      </c>
      <c r="I72" s="12">
        <f t="shared" si="8"/>
        <v>-4.5879735300493572</v>
      </c>
      <c r="J72" s="8" t="s">
        <v>103</v>
      </c>
      <c r="K72" s="8">
        <v>33</v>
      </c>
      <c r="L72" s="8" t="s">
        <v>104</v>
      </c>
      <c r="M72" s="8" t="s">
        <v>780</v>
      </c>
      <c r="N72" s="8">
        <v>404015</v>
      </c>
      <c r="O72" s="8">
        <v>6425699</v>
      </c>
      <c r="P72" s="8" t="s">
        <v>793</v>
      </c>
    </row>
    <row r="73" spans="1:16">
      <c r="A73" s="5" t="s">
        <v>153</v>
      </c>
      <c r="B73" s="6"/>
      <c r="C73" s="6"/>
      <c r="D73" s="9" t="str">
        <f t="shared" si="6"/>
        <v/>
      </c>
      <c r="E73" s="9">
        <v>0.02</v>
      </c>
      <c r="F73" s="9">
        <f t="shared" si="7"/>
        <v>-1.6989700043360187</v>
      </c>
      <c r="G73" s="9">
        <f>138</f>
        <v>138</v>
      </c>
      <c r="H73" s="12">
        <f t="shared" si="9"/>
        <v>1.4492753623188405E-4</v>
      </c>
      <c r="I73" s="12">
        <f t="shared" si="8"/>
        <v>-3.8388490907372552</v>
      </c>
      <c r="J73" s="8"/>
      <c r="K73" s="8">
        <v>33</v>
      </c>
      <c r="L73" s="8" t="s">
        <v>154</v>
      </c>
      <c r="M73" s="8" t="s">
        <v>155</v>
      </c>
      <c r="N73" s="8">
        <v>405992</v>
      </c>
      <c r="O73" s="8">
        <v>6465947</v>
      </c>
      <c r="P73" s="8" t="s">
        <v>794</v>
      </c>
    </row>
    <row r="74" spans="1:16">
      <c r="A74" s="5" t="s">
        <v>156</v>
      </c>
      <c r="B74" s="6"/>
      <c r="C74" s="6"/>
      <c r="D74" s="9" t="str">
        <f t="shared" si="6"/>
        <v/>
      </c>
      <c r="E74" s="7"/>
      <c r="F74" s="9" t="str">
        <f t="shared" si="7"/>
        <v/>
      </c>
      <c r="G74" s="7"/>
      <c r="H74" s="6"/>
      <c r="I74" s="12" t="str">
        <f t="shared" si="8"/>
        <v/>
      </c>
      <c r="J74" s="8" t="s">
        <v>157</v>
      </c>
      <c r="K74" s="8">
        <v>24</v>
      </c>
      <c r="L74" s="8" t="s">
        <v>158</v>
      </c>
      <c r="M74" s="8" t="s">
        <v>159</v>
      </c>
      <c r="N74" s="8">
        <v>485454</v>
      </c>
      <c r="O74" s="8">
        <v>6413792</v>
      </c>
      <c r="P74" s="8" t="s">
        <v>30</v>
      </c>
    </row>
    <row r="75" spans="1:16">
      <c r="A75" s="5" t="s">
        <v>156</v>
      </c>
      <c r="B75" s="6"/>
      <c r="C75" s="6"/>
      <c r="D75" s="9" t="str">
        <f t="shared" si="6"/>
        <v/>
      </c>
      <c r="E75" s="7"/>
      <c r="F75" s="9" t="str">
        <f t="shared" si="7"/>
        <v/>
      </c>
      <c r="G75" s="7"/>
      <c r="H75" s="6"/>
      <c r="I75" s="12" t="str">
        <f t="shared" si="8"/>
        <v/>
      </c>
      <c r="J75" s="8" t="s">
        <v>157</v>
      </c>
      <c r="K75" s="8">
        <v>24</v>
      </c>
      <c r="L75" s="8" t="s">
        <v>158</v>
      </c>
      <c r="M75" s="8" t="s">
        <v>159</v>
      </c>
      <c r="N75" s="8">
        <v>485454</v>
      </c>
      <c r="O75" s="8">
        <v>6413792</v>
      </c>
      <c r="P75" s="8" t="s">
        <v>30</v>
      </c>
    </row>
    <row r="76" spans="1:16">
      <c r="A76" s="5" t="s">
        <v>156</v>
      </c>
      <c r="B76" s="6"/>
      <c r="C76" s="6"/>
      <c r="D76" s="9" t="str">
        <f t="shared" si="6"/>
        <v/>
      </c>
      <c r="E76" s="7"/>
      <c r="F76" s="9" t="str">
        <f t="shared" si="7"/>
        <v/>
      </c>
      <c r="G76" s="7"/>
      <c r="H76" s="6"/>
      <c r="I76" s="12" t="str">
        <f t="shared" si="8"/>
        <v/>
      </c>
      <c r="J76" s="8" t="s">
        <v>157</v>
      </c>
      <c r="K76" s="8">
        <v>24</v>
      </c>
      <c r="L76" s="8" t="s">
        <v>158</v>
      </c>
      <c r="M76" s="8" t="s">
        <v>159</v>
      </c>
      <c r="N76" s="8">
        <v>485454</v>
      </c>
      <c r="O76" s="8">
        <v>6413792</v>
      </c>
      <c r="P76" s="8" t="s">
        <v>30</v>
      </c>
    </row>
    <row r="77" spans="1:16">
      <c r="A77" s="5" t="s">
        <v>156</v>
      </c>
      <c r="B77" s="6"/>
      <c r="C77" s="6"/>
      <c r="D77" s="9" t="str">
        <f t="shared" si="6"/>
        <v/>
      </c>
      <c r="E77" s="7"/>
      <c r="F77" s="9" t="str">
        <f t="shared" si="7"/>
        <v/>
      </c>
      <c r="G77" s="7"/>
      <c r="H77" s="6"/>
      <c r="I77" s="12" t="str">
        <f t="shared" si="8"/>
        <v/>
      </c>
      <c r="J77" s="8" t="s">
        <v>157</v>
      </c>
      <c r="K77" s="8">
        <v>24</v>
      </c>
      <c r="L77" s="8" t="s">
        <v>158</v>
      </c>
      <c r="M77" s="8" t="s">
        <v>159</v>
      </c>
      <c r="N77" s="8">
        <v>485454</v>
      </c>
      <c r="O77" s="8">
        <v>6413792</v>
      </c>
      <c r="P77" s="8" t="s">
        <v>30</v>
      </c>
    </row>
    <row r="78" spans="1:16">
      <c r="A78" s="5" t="s">
        <v>156</v>
      </c>
      <c r="C78" s="12">
        <v>2.9999999999999997E-4</v>
      </c>
      <c r="D78" s="9">
        <f t="shared" si="6"/>
        <v>-3.5228787452803374</v>
      </c>
      <c r="E78" s="9">
        <v>3.16E-3</v>
      </c>
      <c r="F78" s="9">
        <f t="shared" si="7"/>
        <v>-2.5003129173815961</v>
      </c>
      <c r="G78" s="9">
        <f>80</f>
        <v>80</v>
      </c>
      <c r="H78" s="12">
        <f>E78/G78</f>
        <v>3.9499999999999998E-5</v>
      </c>
      <c r="I78" s="12">
        <f t="shared" si="8"/>
        <v>-4.4034029043735394</v>
      </c>
      <c r="J78" s="8" t="s">
        <v>157</v>
      </c>
      <c r="K78" s="8">
        <v>24</v>
      </c>
      <c r="L78" s="8" t="s">
        <v>158</v>
      </c>
      <c r="M78" s="8" t="s">
        <v>159</v>
      </c>
      <c r="N78" s="8">
        <v>485454</v>
      </c>
      <c r="O78" s="8">
        <v>6413792</v>
      </c>
      <c r="P78" s="8" t="s">
        <v>30</v>
      </c>
    </row>
    <row r="79" spans="1:16">
      <c r="A79" s="5" t="s">
        <v>149</v>
      </c>
      <c r="B79" s="9">
        <v>5.0000000000000001E-3</v>
      </c>
      <c r="C79" s="9"/>
      <c r="D79" s="9" t="str">
        <f t="shared" si="6"/>
        <v/>
      </c>
      <c r="E79" s="9">
        <v>8.5000000000000006E-3</v>
      </c>
      <c r="F79" s="9">
        <f t="shared" si="7"/>
        <v>-2.0705810742857071</v>
      </c>
      <c r="G79" s="6">
        <f>146</f>
        <v>146</v>
      </c>
      <c r="H79" s="12">
        <f t="shared" ref="H79:H82" si="10">E79/G79</f>
        <v>5.8219178082191788E-5</v>
      </c>
      <c r="I79" s="12">
        <f t="shared" si="8"/>
        <v>-4.2349339300701443</v>
      </c>
      <c r="J79" s="8" t="s">
        <v>150</v>
      </c>
      <c r="K79" s="8">
        <v>33</v>
      </c>
      <c r="L79" s="8" t="s">
        <v>151</v>
      </c>
      <c r="M79" s="8" t="s">
        <v>152</v>
      </c>
      <c r="N79" s="8">
        <v>391957</v>
      </c>
      <c r="O79" s="8">
        <v>6474890</v>
      </c>
      <c r="P79" s="8" t="s">
        <v>793</v>
      </c>
    </row>
    <row r="80" spans="1:16">
      <c r="A80" s="5" t="s">
        <v>149</v>
      </c>
      <c r="B80" s="9">
        <v>5.0000000000000001E-3</v>
      </c>
      <c r="C80" s="9"/>
      <c r="D80" s="9" t="str">
        <f t="shared" si="6"/>
        <v/>
      </c>
      <c r="E80" s="9">
        <v>7.9000000000000008E-3</v>
      </c>
      <c r="F80" s="9">
        <f t="shared" si="7"/>
        <v>-2.1023729087095586</v>
      </c>
      <c r="G80" s="6">
        <f>146</f>
        <v>146</v>
      </c>
      <c r="H80" s="12">
        <f t="shared" si="10"/>
        <v>5.4109589041095895E-5</v>
      </c>
      <c r="I80" s="12">
        <f t="shared" si="8"/>
        <v>-4.2667257644939953</v>
      </c>
      <c r="J80" s="8" t="s">
        <v>150</v>
      </c>
      <c r="K80" s="8">
        <v>33</v>
      </c>
      <c r="L80" s="8" t="s">
        <v>151</v>
      </c>
      <c r="M80" s="8" t="s">
        <v>152</v>
      </c>
      <c r="N80" s="8">
        <v>391957</v>
      </c>
      <c r="O80" s="8">
        <v>6474890</v>
      </c>
      <c r="P80" s="8" t="s">
        <v>793</v>
      </c>
    </row>
    <row r="81" spans="1:16">
      <c r="A81" s="13" t="s">
        <v>781</v>
      </c>
      <c r="B81" s="12"/>
      <c r="C81" s="12"/>
      <c r="D81" s="9" t="str">
        <f t="shared" si="6"/>
        <v/>
      </c>
      <c r="E81" s="27">
        <v>5.5999999999999999E-3</v>
      </c>
      <c r="F81" s="9">
        <f t="shared" si="7"/>
        <v>-2.2518119729937998</v>
      </c>
      <c r="G81" s="19">
        <f>111</f>
        <v>111</v>
      </c>
      <c r="H81" s="12">
        <f t="shared" si="10"/>
        <v>5.0450450450450452E-5</v>
      </c>
      <c r="I81" s="12">
        <f t="shared" si="8"/>
        <v>-4.2971349517804569</v>
      </c>
      <c r="J81" s="8" t="s">
        <v>103</v>
      </c>
      <c r="K81" s="8">
        <v>33</v>
      </c>
      <c r="L81" s="8" t="s">
        <v>782</v>
      </c>
      <c r="M81" s="8" t="s">
        <v>783</v>
      </c>
      <c r="N81" s="8">
        <v>367923</v>
      </c>
      <c r="O81" s="8">
        <v>6413086</v>
      </c>
      <c r="P81" s="8" t="s">
        <v>793</v>
      </c>
    </row>
    <row r="82" spans="1:16">
      <c r="A82" s="13" t="s">
        <v>785</v>
      </c>
      <c r="B82" s="12"/>
      <c r="C82" s="12"/>
      <c r="D82" s="9" t="str">
        <f t="shared" si="6"/>
        <v/>
      </c>
      <c r="E82" s="27">
        <v>3.0000000000000001E-3</v>
      </c>
      <c r="F82" s="9">
        <f t="shared" si="7"/>
        <v>-2.5228787452803374</v>
      </c>
      <c r="G82" s="27">
        <f>54</f>
        <v>54</v>
      </c>
      <c r="H82" s="12">
        <f t="shared" si="10"/>
        <v>5.5555555555555558E-5</v>
      </c>
      <c r="I82" s="12">
        <f t="shared" si="8"/>
        <v>-4.2552725051033065</v>
      </c>
      <c r="J82" s="8" t="s">
        <v>103</v>
      </c>
      <c r="K82" s="8">
        <v>33</v>
      </c>
      <c r="L82" s="8" t="s">
        <v>334</v>
      </c>
      <c r="M82" s="8" t="s">
        <v>786</v>
      </c>
      <c r="N82" s="8">
        <v>410491</v>
      </c>
      <c r="O82" s="8">
        <v>6398167</v>
      </c>
      <c r="P82" s="8" t="s">
        <v>793</v>
      </c>
    </row>
    <row r="83" spans="1:16">
      <c r="A83" t="s">
        <v>846</v>
      </c>
      <c r="D83" s="9" t="str">
        <f t="shared" si="6"/>
        <v/>
      </c>
      <c r="E83" s="19">
        <v>5.0000000000000001E-3</v>
      </c>
      <c r="F83" s="9">
        <f t="shared" si="7"/>
        <v>-2.3010299956639813</v>
      </c>
      <c r="G83" s="19"/>
      <c r="H83" s="19">
        <v>9.0909090909090904E-5</v>
      </c>
      <c r="I83" s="12">
        <f t="shared" si="8"/>
        <v>-4.0413926851582254</v>
      </c>
      <c r="L83" t="s">
        <v>847</v>
      </c>
      <c r="M83" t="s">
        <v>848</v>
      </c>
      <c r="P83" s="8" t="s">
        <v>30</v>
      </c>
    </row>
    <row r="84" spans="1:16">
      <c r="A84" s="5" t="s">
        <v>665</v>
      </c>
      <c r="B84" s="6"/>
      <c r="C84" s="6"/>
      <c r="D84" s="9" t="str">
        <f t="shared" si="6"/>
        <v/>
      </c>
      <c r="E84" s="7"/>
      <c r="F84" s="9" t="str">
        <f t="shared" si="7"/>
        <v/>
      </c>
      <c r="G84" s="7"/>
      <c r="H84" s="6"/>
      <c r="I84" s="12" t="str">
        <f t="shared" si="8"/>
        <v/>
      </c>
      <c r="J84" s="8" t="s">
        <v>11</v>
      </c>
      <c r="K84" s="8">
        <v>40</v>
      </c>
      <c r="L84" s="8" t="s">
        <v>666</v>
      </c>
      <c r="M84" s="8" t="s">
        <v>667</v>
      </c>
      <c r="N84" s="8">
        <v>365775</v>
      </c>
      <c r="O84" s="8">
        <v>6296909</v>
      </c>
      <c r="P84" s="8" t="s">
        <v>30</v>
      </c>
    </row>
    <row r="85" spans="1:16">
      <c r="A85" s="5" t="s">
        <v>668</v>
      </c>
      <c r="B85" s="6"/>
      <c r="C85" s="6"/>
      <c r="D85" s="9" t="str">
        <f t="shared" si="6"/>
        <v/>
      </c>
      <c r="E85" s="7"/>
      <c r="F85" s="9" t="str">
        <f t="shared" si="7"/>
        <v/>
      </c>
      <c r="G85" s="7"/>
      <c r="H85" s="6"/>
      <c r="I85" s="12" t="str">
        <f t="shared" si="8"/>
        <v/>
      </c>
      <c r="J85" s="8" t="s">
        <v>11</v>
      </c>
      <c r="K85" s="8">
        <v>40</v>
      </c>
      <c r="L85" s="8" t="s">
        <v>669</v>
      </c>
      <c r="M85" s="8" t="s">
        <v>670</v>
      </c>
      <c r="N85" s="8">
        <v>361546</v>
      </c>
      <c r="O85" s="8">
        <v>6292231</v>
      </c>
      <c r="P85" s="8" t="s">
        <v>30</v>
      </c>
    </row>
    <row r="86" spans="1:16">
      <c r="A86" s="5" t="s">
        <v>668</v>
      </c>
      <c r="B86" s="6"/>
      <c r="C86" s="6"/>
      <c r="D86" s="9" t="str">
        <f t="shared" si="6"/>
        <v/>
      </c>
      <c r="E86" s="7"/>
      <c r="F86" s="9" t="str">
        <f t="shared" si="7"/>
        <v/>
      </c>
      <c r="G86" s="7"/>
      <c r="H86" s="6"/>
      <c r="I86" s="12" t="str">
        <f t="shared" si="8"/>
        <v/>
      </c>
      <c r="J86" s="8"/>
      <c r="K86" s="8">
        <v>40</v>
      </c>
      <c r="L86" s="8" t="s">
        <v>669</v>
      </c>
      <c r="M86" s="8" t="s">
        <v>670</v>
      </c>
      <c r="N86" s="8">
        <v>361546</v>
      </c>
      <c r="O86" s="8">
        <v>6292231</v>
      </c>
      <c r="P86" s="8" t="s">
        <v>30</v>
      </c>
    </row>
    <row r="87" spans="1:16">
      <c r="A87" s="5" t="s">
        <v>668</v>
      </c>
      <c r="B87" s="6"/>
      <c r="C87" s="6"/>
      <c r="D87" s="9" t="str">
        <f t="shared" si="6"/>
        <v/>
      </c>
      <c r="E87" s="7"/>
      <c r="F87" s="9" t="str">
        <f t="shared" si="7"/>
        <v/>
      </c>
      <c r="G87" s="7"/>
      <c r="H87" s="6"/>
      <c r="I87" s="12" t="str">
        <f t="shared" si="8"/>
        <v/>
      </c>
      <c r="J87" s="8"/>
      <c r="K87" s="8">
        <v>40</v>
      </c>
      <c r="L87" s="8" t="s">
        <v>669</v>
      </c>
      <c r="M87" s="8" t="s">
        <v>670</v>
      </c>
      <c r="N87" s="8">
        <v>361546</v>
      </c>
      <c r="O87" s="8">
        <v>6292231</v>
      </c>
      <c r="P87" t="s">
        <v>30</v>
      </c>
    </row>
    <row r="88" spans="1:16">
      <c r="A88" s="5" t="s">
        <v>668</v>
      </c>
      <c r="B88" s="6"/>
      <c r="C88" s="6"/>
      <c r="D88" s="9" t="str">
        <f t="shared" si="6"/>
        <v/>
      </c>
      <c r="E88" s="7"/>
      <c r="F88" s="9" t="str">
        <f t="shared" si="7"/>
        <v/>
      </c>
      <c r="G88" s="7"/>
      <c r="H88" s="6"/>
      <c r="I88" s="12" t="str">
        <f t="shared" si="8"/>
        <v/>
      </c>
      <c r="J88" s="8" t="s">
        <v>11</v>
      </c>
      <c r="K88" s="8">
        <v>40</v>
      </c>
      <c r="L88" s="8" t="s">
        <v>669</v>
      </c>
      <c r="M88" s="8" t="s">
        <v>670</v>
      </c>
      <c r="N88" s="8">
        <v>361546</v>
      </c>
      <c r="O88" s="8">
        <v>6292231</v>
      </c>
      <c r="P88" t="s">
        <v>30</v>
      </c>
    </row>
    <row r="89" spans="1:16">
      <c r="A89" s="5" t="s">
        <v>668</v>
      </c>
      <c r="B89" s="6"/>
      <c r="C89" s="6"/>
      <c r="D89" s="9" t="str">
        <f t="shared" si="6"/>
        <v/>
      </c>
      <c r="E89" s="9">
        <v>6.5500000000000003E-3</v>
      </c>
      <c r="F89" s="9">
        <f t="shared" si="7"/>
        <v>-2.1837587000082168</v>
      </c>
      <c r="G89" s="9"/>
      <c r="H89" s="6"/>
      <c r="I89" s="12" t="str">
        <f t="shared" si="8"/>
        <v/>
      </c>
      <c r="J89" s="8" t="s">
        <v>11</v>
      </c>
      <c r="K89" s="8">
        <v>40</v>
      </c>
      <c r="L89" s="8" t="s">
        <v>669</v>
      </c>
      <c r="M89" s="8" t="s">
        <v>670</v>
      </c>
      <c r="N89" s="8">
        <v>361546</v>
      </c>
      <c r="O89" s="8">
        <v>6292231</v>
      </c>
      <c r="P89" t="s">
        <v>30</v>
      </c>
    </row>
    <row r="90" spans="1:16">
      <c r="A90" s="5" t="s">
        <v>668</v>
      </c>
      <c r="B90" s="6"/>
      <c r="C90" s="6"/>
      <c r="D90" s="9" t="str">
        <f t="shared" si="6"/>
        <v/>
      </c>
      <c r="E90" s="9">
        <v>1.3500000000000001E-3</v>
      </c>
      <c r="F90" s="9">
        <f t="shared" si="7"/>
        <v>-2.8696662315049939</v>
      </c>
      <c r="G90" s="9"/>
      <c r="H90" s="6"/>
      <c r="I90" s="12" t="str">
        <f t="shared" si="8"/>
        <v/>
      </c>
      <c r="J90" s="8" t="s">
        <v>11</v>
      </c>
      <c r="K90" s="8">
        <v>40</v>
      </c>
      <c r="L90" s="8" t="s">
        <v>669</v>
      </c>
      <c r="M90" s="8" t="s">
        <v>670</v>
      </c>
      <c r="N90" s="8">
        <v>361546</v>
      </c>
      <c r="O90" s="8">
        <v>6292231</v>
      </c>
      <c r="P90" t="s">
        <v>30</v>
      </c>
    </row>
    <row r="91" spans="1:16">
      <c r="A91" s="5" t="s">
        <v>671</v>
      </c>
      <c r="B91" s="6"/>
      <c r="C91" s="6"/>
      <c r="D91" s="9" t="str">
        <f t="shared" si="6"/>
        <v/>
      </c>
      <c r="E91" s="7"/>
      <c r="F91" s="9" t="str">
        <f t="shared" si="7"/>
        <v/>
      </c>
      <c r="G91" s="7"/>
      <c r="H91" s="6"/>
      <c r="I91" s="12" t="str">
        <f t="shared" si="8"/>
        <v/>
      </c>
      <c r="J91" s="8" t="s">
        <v>11</v>
      </c>
      <c r="K91" s="8">
        <v>40</v>
      </c>
      <c r="L91" s="8" t="s">
        <v>672</v>
      </c>
      <c r="M91" s="8" t="s">
        <v>673</v>
      </c>
      <c r="N91" s="8">
        <v>392499</v>
      </c>
      <c r="O91" s="8">
        <v>6298225</v>
      </c>
      <c r="P91" t="s">
        <v>30</v>
      </c>
    </row>
    <row r="92" spans="1:16">
      <c r="A92" s="5" t="s">
        <v>674</v>
      </c>
      <c r="B92" s="6"/>
      <c r="C92" s="6"/>
      <c r="D92" s="9" t="str">
        <f t="shared" si="6"/>
        <v/>
      </c>
      <c r="E92" s="7"/>
      <c r="F92" s="9" t="str">
        <f t="shared" si="7"/>
        <v/>
      </c>
      <c r="G92" s="7"/>
      <c r="H92" s="6"/>
      <c r="I92" s="12" t="str">
        <f t="shared" si="8"/>
        <v/>
      </c>
      <c r="J92" s="8" t="s">
        <v>11</v>
      </c>
      <c r="K92" s="8">
        <v>40</v>
      </c>
      <c r="L92" s="8" t="s">
        <v>675</v>
      </c>
      <c r="M92" s="8" t="s">
        <v>676</v>
      </c>
      <c r="N92" s="8">
        <v>394533</v>
      </c>
      <c r="O92" s="8">
        <v>6291562</v>
      </c>
      <c r="P92" t="s">
        <v>30</v>
      </c>
    </row>
    <row r="93" spans="1:16">
      <c r="A93" s="5" t="s">
        <v>674</v>
      </c>
      <c r="B93" s="6"/>
      <c r="C93" s="6"/>
      <c r="D93" s="9" t="str">
        <f t="shared" si="6"/>
        <v/>
      </c>
      <c r="E93" s="7"/>
      <c r="F93" s="9" t="str">
        <f t="shared" si="7"/>
        <v/>
      </c>
      <c r="G93" s="7"/>
      <c r="H93" s="6"/>
      <c r="I93" s="12" t="str">
        <f t="shared" si="8"/>
        <v/>
      </c>
      <c r="J93" s="8" t="s">
        <v>11</v>
      </c>
      <c r="K93" s="8">
        <v>40</v>
      </c>
      <c r="L93" s="8" t="s">
        <v>675</v>
      </c>
      <c r="M93" s="8" t="s">
        <v>676</v>
      </c>
      <c r="N93" s="8">
        <v>394533</v>
      </c>
      <c r="O93" s="8">
        <v>6291562</v>
      </c>
      <c r="P93" t="s">
        <v>30</v>
      </c>
    </row>
    <row r="94" spans="1:16">
      <c r="A94" s="5" t="s">
        <v>674</v>
      </c>
      <c r="B94" s="6"/>
      <c r="C94" s="6"/>
      <c r="D94" s="9" t="str">
        <f t="shared" si="6"/>
        <v/>
      </c>
      <c r="E94" s="7"/>
      <c r="F94" s="9" t="str">
        <f t="shared" si="7"/>
        <v/>
      </c>
      <c r="G94" s="7"/>
      <c r="H94" s="6"/>
      <c r="I94" s="12" t="str">
        <f t="shared" si="8"/>
        <v/>
      </c>
      <c r="J94" s="8" t="s">
        <v>11</v>
      </c>
      <c r="K94" s="8">
        <v>40</v>
      </c>
      <c r="L94" s="8" t="s">
        <v>675</v>
      </c>
      <c r="M94" s="8" t="s">
        <v>676</v>
      </c>
      <c r="N94" s="8">
        <v>394533</v>
      </c>
      <c r="O94" s="8">
        <v>6291562</v>
      </c>
      <c r="P94" t="s">
        <v>30</v>
      </c>
    </row>
    <row r="95" spans="1:16">
      <c r="A95" s="5" t="s">
        <v>677</v>
      </c>
      <c r="B95" s="6"/>
      <c r="C95" s="6"/>
      <c r="D95" s="9" t="str">
        <f t="shared" si="6"/>
        <v/>
      </c>
      <c r="E95" s="9">
        <v>4.7999999999999996E-3</v>
      </c>
      <c r="F95" s="9">
        <f t="shared" si="7"/>
        <v>-2.3187587626244128</v>
      </c>
      <c r="G95" s="9"/>
      <c r="H95" s="6"/>
      <c r="I95" s="12" t="str">
        <f t="shared" si="8"/>
        <v/>
      </c>
      <c r="J95" s="8" t="s">
        <v>11</v>
      </c>
      <c r="K95" s="8">
        <v>64</v>
      </c>
      <c r="L95" s="8" t="s">
        <v>678</v>
      </c>
      <c r="M95" s="8" t="s">
        <v>679</v>
      </c>
      <c r="N95" s="8">
        <v>439490</v>
      </c>
      <c r="O95" s="8">
        <v>6273885</v>
      </c>
      <c r="P95" t="s">
        <v>30</v>
      </c>
    </row>
    <row r="96" spans="1:16">
      <c r="A96" s="5" t="s">
        <v>677</v>
      </c>
      <c r="B96" s="6"/>
      <c r="C96" s="6"/>
      <c r="D96" s="9" t="str">
        <f t="shared" si="6"/>
        <v/>
      </c>
      <c r="E96" s="9">
        <v>8.9999999999999998E-4</v>
      </c>
      <c r="F96" s="9">
        <f t="shared" si="7"/>
        <v>-3.0457574905606752</v>
      </c>
      <c r="G96" s="9"/>
      <c r="H96" s="6"/>
      <c r="I96" s="12" t="str">
        <f t="shared" si="8"/>
        <v/>
      </c>
      <c r="J96" s="8" t="s">
        <v>11</v>
      </c>
      <c r="K96" s="8">
        <v>64</v>
      </c>
      <c r="L96" s="8" t="s">
        <v>678</v>
      </c>
      <c r="M96" s="8" t="s">
        <v>679</v>
      </c>
      <c r="N96" s="8">
        <v>439490</v>
      </c>
      <c r="O96" s="8">
        <v>6273885</v>
      </c>
      <c r="P96" t="s">
        <v>30</v>
      </c>
    </row>
    <row r="97" spans="1:16">
      <c r="A97" s="5" t="s">
        <v>677</v>
      </c>
      <c r="B97" s="6"/>
      <c r="C97" s="6"/>
      <c r="D97" s="9" t="str">
        <f t="shared" si="6"/>
        <v/>
      </c>
      <c r="E97" s="9">
        <v>7.5000000000000002E-4</v>
      </c>
      <c r="F97" s="9">
        <f t="shared" si="7"/>
        <v>-3.1249387366082999</v>
      </c>
      <c r="G97" s="9"/>
      <c r="H97" s="6"/>
      <c r="I97" s="12" t="str">
        <f t="shared" si="8"/>
        <v/>
      </c>
      <c r="J97" s="8" t="s">
        <v>11</v>
      </c>
      <c r="K97" s="8">
        <v>64</v>
      </c>
      <c r="L97" s="8" t="s">
        <v>678</v>
      </c>
      <c r="M97" s="8" t="s">
        <v>679</v>
      </c>
      <c r="N97" s="8">
        <v>439490</v>
      </c>
      <c r="O97" s="8">
        <v>6273885</v>
      </c>
      <c r="P97" t="s">
        <v>30</v>
      </c>
    </row>
    <row r="98" spans="1:16">
      <c r="A98" s="5" t="s">
        <v>680</v>
      </c>
      <c r="B98" s="6"/>
      <c r="C98" s="6"/>
      <c r="D98" s="9" t="str">
        <f t="shared" si="6"/>
        <v/>
      </c>
      <c r="E98" s="7"/>
      <c r="F98" s="9" t="str">
        <f t="shared" si="7"/>
        <v/>
      </c>
      <c r="G98" s="7"/>
      <c r="H98" s="6"/>
      <c r="I98" s="12" t="str">
        <f t="shared" si="8"/>
        <v/>
      </c>
      <c r="J98" s="8" t="s">
        <v>11</v>
      </c>
      <c r="K98" s="8">
        <v>64</v>
      </c>
      <c r="L98" s="8" t="s">
        <v>681</v>
      </c>
      <c r="M98" s="8" t="s">
        <v>682</v>
      </c>
      <c r="N98" s="8">
        <v>440837</v>
      </c>
      <c r="O98" s="8">
        <v>6269360</v>
      </c>
      <c r="P98" t="s">
        <v>30</v>
      </c>
    </row>
    <row r="99" spans="1:16">
      <c r="A99" s="5" t="s">
        <v>680</v>
      </c>
      <c r="B99" s="6"/>
      <c r="C99" s="6"/>
      <c r="D99" s="9" t="str">
        <f t="shared" si="6"/>
        <v/>
      </c>
      <c r="E99" s="7"/>
      <c r="F99" s="9" t="str">
        <f t="shared" si="7"/>
        <v/>
      </c>
      <c r="G99" s="7"/>
      <c r="H99" s="6"/>
      <c r="I99" s="12" t="str">
        <f t="shared" si="8"/>
        <v/>
      </c>
      <c r="J99" s="8" t="s">
        <v>11</v>
      </c>
      <c r="K99" s="8">
        <v>64</v>
      </c>
      <c r="L99" s="8" t="s">
        <v>681</v>
      </c>
      <c r="M99" s="8" t="s">
        <v>682</v>
      </c>
      <c r="N99" s="8">
        <v>440837</v>
      </c>
      <c r="O99" s="8">
        <v>6269360</v>
      </c>
      <c r="P99" t="s">
        <v>30</v>
      </c>
    </row>
    <row r="100" spans="1:16">
      <c r="A100" s="5" t="s">
        <v>680</v>
      </c>
      <c r="B100" s="6"/>
      <c r="C100" s="6"/>
      <c r="D100" s="9" t="str">
        <f t="shared" si="6"/>
        <v/>
      </c>
      <c r="E100" s="7"/>
      <c r="F100" s="9" t="str">
        <f t="shared" si="7"/>
        <v/>
      </c>
      <c r="G100" s="7"/>
      <c r="H100" s="6"/>
      <c r="I100" s="12" t="str">
        <f t="shared" si="8"/>
        <v/>
      </c>
      <c r="J100" s="8" t="s">
        <v>11</v>
      </c>
      <c r="K100" s="8">
        <v>64</v>
      </c>
      <c r="L100" s="8" t="s">
        <v>681</v>
      </c>
      <c r="M100" s="8" t="s">
        <v>682</v>
      </c>
      <c r="N100" s="8">
        <v>440837</v>
      </c>
      <c r="O100" s="8">
        <v>6269360</v>
      </c>
      <c r="P100" t="s">
        <v>30</v>
      </c>
    </row>
    <row r="101" spans="1:16">
      <c r="A101" s="5" t="s">
        <v>680</v>
      </c>
      <c r="B101" s="6"/>
      <c r="C101" s="6"/>
      <c r="D101" s="9" t="str">
        <f t="shared" si="6"/>
        <v/>
      </c>
      <c r="E101" s="7"/>
      <c r="F101" s="9" t="str">
        <f t="shared" si="7"/>
        <v/>
      </c>
      <c r="G101" s="7"/>
      <c r="H101" s="6"/>
      <c r="I101" s="12" t="str">
        <f t="shared" si="8"/>
        <v/>
      </c>
      <c r="J101" s="8" t="s">
        <v>11</v>
      </c>
      <c r="K101" s="8">
        <v>64</v>
      </c>
      <c r="L101" s="8" t="s">
        <v>681</v>
      </c>
      <c r="M101" s="8" t="s">
        <v>682</v>
      </c>
      <c r="N101" s="8">
        <v>440837</v>
      </c>
      <c r="O101" s="8">
        <v>6269360</v>
      </c>
      <c r="P101" t="s">
        <v>30</v>
      </c>
    </row>
    <row r="102" spans="1:16">
      <c r="A102" s="5" t="s">
        <v>680</v>
      </c>
      <c r="B102" s="6"/>
      <c r="C102" s="6"/>
      <c r="D102" s="9" t="str">
        <f t="shared" si="6"/>
        <v/>
      </c>
      <c r="E102" s="7"/>
      <c r="F102" s="9" t="str">
        <f t="shared" si="7"/>
        <v/>
      </c>
      <c r="G102" s="7"/>
      <c r="H102" s="6"/>
      <c r="I102" s="12" t="str">
        <f t="shared" si="8"/>
        <v/>
      </c>
      <c r="J102" s="8" t="s">
        <v>11</v>
      </c>
      <c r="K102" s="8">
        <v>64</v>
      </c>
      <c r="L102" s="8" t="s">
        <v>681</v>
      </c>
      <c r="M102" s="8" t="s">
        <v>682</v>
      </c>
      <c r="N102" s="8">
        <v>440837</v>
      </c>
      <c r="O102" s="8">
        <v>6269360</v>
      </c>
      <c r="P102" t="s">
        <v>30</v>
      </c>
    </row>
    <row r="103" spans="1:16">
      <c r="A103" s="5" t="s">
        <v>680</v>
      </c>
      <c r="B103" s="6"/>
      <c r="C103" s="6"/>
      <c r="D103" s="9" t="str">
        <f t="shared" si="6"/>
        <v/>
      </c>
      <c r="E103" s="7"/>
      <c r="F103" s="9" t="str">
        <f t="shared" si="7"/>
        <v/>
      </c>
      <c r="G103" s="7"/>
      <c r="H103" s="6"/>
      <c r="I103" s="12" t="str">
        <f t="shared" si="8"/>
        <v/>
      </c>
      <c r="J103" s="8" t="s">
        <v>11</v>
      </c>
      <c r="K103" s="8">
        <v>64</v>
      </c>
      <c r="L103" s="8" t="s">
        <v>681</v>
      </c>
      <c r="M103" s="8" t="s">
        <v>682</v>
      </c>
      <c r="N103" s="8">
        <v>440837</v>
      </c>
      <c r="O103" s="8">
        <v>6269360</v>
      </c>
      <c r="P103" t="s">
        <v>30</v>
      </c>
    </row>
    <row r="104" spans="1:16">
      <c r="A104" s="5" t="s">
        <v>683</v>
      </c>
      <c r="B104" s="12">
        <v>0.05</v>
      </c>
      <c r="C104" s="12"/>
      <c r="D104" s="9" t="str">
        <f t="shared" si="6"/>
        <v/>
      </c>
      <c r="E104" s="12">
        <v>8.0000000000000002E-3</v>
      </c>
      <c r="F104" s="9">
        <f t="shared" si="7"/>
        <v>-2.0969100130080562</v>
      </c>
      <c r="G104" s="12"/>
      <c r="H104" s="10"/>
      <c r="I104" s="12" t="str">
        <f t="shared" si="8"/>
        <v/>
      </c>
      <c r="J104" s="8" t="s">
        <v>684</v>
      </c>
      <c r="K104" s="8">
        <v>64</v>
      </c>
      <c r="L104" s="8" t="s">
        <v>685</v>
      </c>
      <c r="M104" s="8" t="s">
        <v>685</v>
      </c>
      <c r="N104" s="8">
        <v>445165</v>
      </c>
      <c r="O104" s="8">
        <v>6268968</v>
      </c>
      <c r="P104" t="s">
        <v>30</v>
      </c>
    </row>
    <row r="105" spans="1:16">
      <c r="A105" s="5" t="s">
        <v>683</v>
      </c>
      <c r="B105" s="12">
        <v>0.05</v>
      </c>
      <c r="C105" s="12"/>
      <c r="D105" s="9" t="str">
        <f t="shared" si="6"/>
        <v/>
      </c>
      <c r="E105" s="12">
        <v>8.0000000000000002E-3</v>
      </c>
      <c r="F105" s="9">
        <f t="shared" si="7"/>
        <v>-2.0969100130080562</v>
      </c>
      <c r="G105" s="12"/>
      <c r="H105" s="10"/>
      <c r="I105" s="12" t="str">
        <f t="shared" si="8"/>
        <v/>
      </c>
      <c r="J105" s="8" t="s">
        <v>684</v>
      </c>
      <c r="K105" s="8">
        <v>64</v>
      </c>
      <c r="L105" s="8" t="s">
        <v>685</v>
      </c>
      <c r="M105" s="8" t="s">
        <v>685</v>
      </c>
      <c r="N105" s="8">
        <v>445165</v>
      </c>
      <c r="O105" s="8">
        <v>6268968</v>
      </c>
      <c r="P105" t="s">
        <v>30</v>
      </c>
    </row>
    <row r="106" spans="1:16">
      <c r="A106" s="5" t="s">
        <v>683</v>
      </c>
      <c r="B106" s="12">
        <v>0.05</v>
      </c>
      <c r="C106" s="12"/>
      <c r="D106" s="9" t="str">
        <f t="shared" si="6"/>
        <v/>
      </c>
      <c r="E106" s="12">
        <v>8.0000000000000002E-3</v>
      </c>
      <c r="F106" s="9">
        <f t="shared" si="7"/>
        <v>-2.0969100130080562</v>
      </c>
      <c r="G106" s="12"/>
      <c r="H106" s="10"/>
      <c r="I106" s="12" t="str">
        <f t="shared" si="8"/>
        <v/>
      </c>
      <c r="J106" s="8" t="s">
        <v>684</v>
      </c>
      <c r="K106" s="8">
        <v>64</v>
      </c>
      <c r="L106" s="8" t="s">
        <v>685</v>
      </c>
      <c r="M106" s="8" t="s">
        <v>685</v>
      </c>
      <c r="N106" s="8">
        <v>445165</v>
      </c>
      <c r="O106" s="8">
        <v>6268968</v>
      </c>
      <c r="P106" t="s">
        <v>30</v>
      </c>
    </row>
    <row r="107" spans="1:16">
      <c r="A107" s="5" t="s">
        <v>683</v>
      </c>
      <c r="B107" s="12">
        <v>0.05</v>
      </c>
      <c r="C107" s="12"/>
      <c r="D107" s="9" t="str">
        <f t="shared" si="6"/>
        <v/>
      </c>
      <c r="E107" s="12">
        <v>8.0000000000000002E-3</v>
      </c>
      <c r="F107" s="9">
        <f t="shared" si="7"/>
        <v>-2.0969100130080562</v>
      </c>
      <c r="G107" s="12"/>
      <c r="H107" s="10"/>
      <c r="I107" s="12" t="str">
        <f t="shared" si="8"/>
        <v/>
      </c>
      <c r="J107" s="8" t="s">
        <v>684</v>
      </c>
      <c r="K107" s="8">
        <v>64</v>
      </c>
      <c r="L107" s="8" t="s">
        <v>685</v>
      </c>
      <c r="M107" s="8" t="s">
        <v>685</v>
      </c>
      <c r="N107" s="8">
        <v>445165</v>
      </c>
      <c r="O107" s="8">
        <v>6268968</v>
      </c>
      <c r="P107" t="s">
        <v>30</v>
      </c>
    </row>
    <row r="108" spans="1:16">
      <c r="A108" s="5" t="s">
        <v>686</v>
      </c>
      <c r="B108" s="12">
        <v>0.06</v>
      </c>
      <c r="C108" s="12"/>
      <c r="D108" s="9" t="str">
        <f t="shared" si="6"/>
        <v/>
      </c>
      <c r="E108" s="12">
        <v>4.0000000000000001E-3</v>
      </c>
      <c r="F108" s="9">
        <f t="shared" si="7"/>
        <v>-2.3979400086720375</v>
      </c>
      <c r="G108" s="12"/>
      <c r="H108" s="10"/>
      <c r="I108" s="12" t="str">
        <f t="shared" si="8"/>
        <v/>
      </c>
      <c r="J108" s="8" t="s">
        <v>684</v>
      </c>
      <c r="K108" s="8">
        <v>64</v>
      </c>
      <c r="L108" s="8" t="s">
        <v>687</v>
      </c>
      <c r="M108" s="8" t="s">
        <v>688</v>
      </c>
      <c r="N108" s="8">
        <v>446074</v>
      </c>
      <c r="O108" s="8">
        <v>6266738</v>
      </c>
      <c r="P108" t="s">
        <v>30</v>
      </c>
    </row>
    <row r="109" spans="1:16">
      <c r="A109" s="5" t="s">
        <v>686</v>
      </c>
      <c r="B109" s="12">
        <v>0.06</v>
      </c>
      <c r="C109" s="12"/>
      <c r="D109" s="9" t="str">
        <f t="shared" si="6"/>
        <v/>
      </c>
      <c r="E109" s="12">
        <v>4.0000000000000001E-3</v>
      </c>
      <c r="F109" s="9">
        <f t="shared" si="7"/>
        <v>-2.3979400086720375</v>
      </c>
      <c r="G109" s="12"/>
      <c r="H109" s="10"/>
      <c r="I109" s="12" t="str">
        <f t="shared" si="8"/>
        <v/>
      </c>
      <c r="J109" s="8" t="s">
        <v>684</v>
      </c>
      <c r="K109" s="8">
        <v>64</v>
      </c>
      <c r="L109" s="8" t="s">
        <v>687</v>
      </c>
      <c r="M109" s="8" t="s">
        <v>688</v>
      </c>
      <c r="N109" s="8">
        <v>446074</v>
      </c>
      <c r="O109" s="8">
        <v>6266738</v>
      </c>
      <c r="P109" t="s">
        <v>30</v>
      </c>
    </row>
    <row r="110" spans="1:16">
      <c r="A110" s="5" t="s">
        <v>686</v>
      </c>
      <c r="B110" s="12">
        <v>0.06</v>
      </c>
      <c r="C110" s="12"/>
      <c r="D110" s="9" t="str">
        <f t="shared" si="6"/>
        <v/>
      </c>
      <c r="E110" s="12">
        <v>4.0000000000000001E-3</v>
      </c>
      <c r="F110" s="9">
        <f t="shared" si="7"/>
        <v>-2.3979400086720375</v>
      </c>
      <c r="G110" s="12"/>
      <c r="H110" s="10"/>
      <c r="I110" s="12" t="str">
        <f t="shared" si="8"/>
        <v/>
      </c>
      <c r="J110" s="8" t="s">
        <v>684</v>
      </c>
      <c r="K110" s="8">
        <v>64</v>
      </c>
      <c r="L110" s="8" t="s">
        <v>687</v>
      </c>
      <c r="M110" s="8" t="s">
        <v>688</v>
      </c>
      <c r="N110" s="8">
        <v>446074</v>
      </c>
      <c r="O110" s="8">
        <v>6266738</v>
      </c>
      <c r="P110" t="s">
        <v>30</v>
      </c>
    </row>
    <row r="111" spans="1:16">
      <c r="A111" s="5" t="s">
        <v>677</v>
      </c>
      <c r="B111" s="12">
        <v>1E-3</v>
      </c>
      <c r="C111" s="12"/>
      <c r="D111" s="9" t="str">
        <f t="shared" si="6"/>
        <v/>
      </c>
      <c r="E111" s="12">
        <v>7.5000000000000002E-4</v>
      </c>
      <c r="F111" s="9">
        <f t="shared" si="7"/>
        <v>-3.1249387366082999</v>
      </c>
      <c r="G111" s="12"/>
      <c r="H111" s="10"/>
      <c r="I111" s="12" t="str">
        <f t="shared" si="8"/>
        <v/>
      </c>
      <c r="J111" s="8" t="s">
        <v>684</v>
      </c>
      <c r="K111" s="8">
        <v>64</v>
      </c>
      <c r="L111" s="8" t="s">
        <v>678</v>
      </c>
      <c r="M111" s="8" t="s">
        <v>679</v>
      </c>
      <c r="N111" s="8">
        <v>439490</v>
      </c>
      <c r="O111" s="8">
        <v>6273885</v>
      </c>
      <c r="P111" t="s">
        <v>30</v>
      </c>
    </row>
    <row r="112" spans="1:16">
      <c r="A112" s="5" t="s">
        <v>680</v>
      </c>
      <c r="B112" s="12">
        <v>3.0000000000000001E-3</v>
      </c>
      <c r="C112" s="12"/>
      <c r="D112" s="9" t="str">
        <f t="shared" si="6"/>
        <v/>
      </c>
      <c r="E112" s="12">
        <v>1.4999999999999999E-2</v>
      </c>
      <c r="F112" s="9">
        <f t="shared" si="7"/>
        <v>-1.8239087409443189</v>
      </c>
      <c r="G112" s="12"/>
      <c r="H112" s="10"/>
      <c r="I112" s="12" t="str">
        <f t="shared" si="8"/>
        <v/>
      </c>
      <c r="J112" s="8" t="s">
        <v>684</v>
      </c>
      <c r="K112" s="8">
        <v>64</v>
      </c>
      <c r="L112" s="8" t="s">
        <v>681</v>
      </c>
      <c r="M112" s="8" t="s">
        <v>682</v>
      </c>
      <c r="N112" s="8">
        <v>440837</v>
      </c>
      <c r="O112" s="8">
        <v>6269360</v>
      </c>
      <c r="P112" t="s">
        <v>30</v>
      </c>
    </row>
    <row r="113" spans="1:16">
      <c r="A113" s="14" t="s">
        <v>689</v>
      </c>
      <c r="B113" s="6"/>
      <c r="C113" s="6"/>
      <c r="D113" s="9" t="str">
        <f t="shared" si="6"/>
        <v/>
      </c>
      <c r="E113" s="7">
        <v>4.8000000000000001E-4</v>
      </c>
      <c r="F113" s="9">
        <f t="shared" si="7"/>
        <v>-3.3187587626244128</v>
      </c>
      <c r="G113" s="7"/>
      <c r="H113" s="10"/>
      <c r="I113" s="12" t="str">
        <f t="shared" si="8"/>
        <v/>
      </c>
      <c r="J113" s="8" t="s">
        <v>690</v>
      </c>
      <c r="K113" s="8">
        <v>32</v>
      </c>
      <c r="L113" s="8" t="s">
        <v>691</v>
      </c>
      <c r="M113" s="8" t="s">
        <v>692</v>
      </c>
      <c r="N113" s="8">
        <v>508198</v>
      </c>
      <c r="O113" s="8">
        <v>6318489</v>
      </c>
      <c r="P113" t="s">
        <v>30</v>
      </c>
    </row>
    <row r="114" spans="1:16">
      <c r="A114" s="14" t="s">
        <v>689</v>
      </c>
      <c r="B114" s="6"/>
      <c r="C114" s="6"/>
      <c r="D114" s="9" t="str">
        <f t="shared" si="6"/>
        <v/>
      </c>
      <c r="E114" s="7">
        <f>7*10^-4</f>
        <v>6.9999999999999999E-4</v>
      </c>
      <c r="F114" s="9">
        <f t="shared" si="7"/>
        <v>-3.1549019599857431</v>
      </c>
      <c r="G114" s="7"/>
      <c r="H114" s="10"/>
      <c r="I114" s="12" t="str">
        <f t="shared" si="8"/>
        <v/>
      </c>
      <c r="J114" s="8" t="s">
        <v>693</v>
      </c>
      <c r="K114" s="8">
        <v>32</v>
      </c>
      <c r="L114" s="8" t="s">
        <v>691</v>
      </c>
      <c r="M114" s="8" t="s">
        <v>692</v>
      </c>
      <c r="N114" s="8">
        <v>508198</v>
      </c>
      <c r="O114" s="8">
        <v>6318489</v>
      </c>
      <c r="P114" t="s">
        <v>30</v>
      </c>
    </row>
    <row r="115" spans="1:16">
      <c r="A115" s="14" t="s">
        <v>689</v>
      </c>
      <c r="B115" s="6"/>
      <c r="C115" s="6"/>
      <c r="D115" s="9" t="str">
        <f t="shared" si="6"/>
        <v/>
      </c>
      <c r="E115" s="7">
        <v>4.1999999999999997E-3</v>
      </c>
      <c r="F115" s="9">
        <f t="shared" si="7"/>
        <v>-2.3767507096020997</v>
      </c>
      <c r="G115" s="7"/>
      <c r="H115" s="10"/>
      <c r="I115" s="12" t="str">
        <f t="shared" si="8"/>
        <v/>
      </c>
      <c r="J115" s="8" t="s">
        <v>693</v>
      </c>
      <c r="K115" s="8">
        <v>32</v>
      </c>
      <c r="L115" s="8" t="s">
        <v>691</v>
      </c>
      <c r="M115" s="8" t="s">
        <v>692</v>
      </c>
      <c r="N115" s="8">
        <v>508198</v>
      </c>
      <c r="O115" s="8">
        <v>6318489</v>
      </c>
      <c r="P115" t="s">
        <v>30</v>
      </c>
    </row>
    <row r="116" spans="1:16">
      <c r="A116" s="14" t="s">
        <v>689</v>
      </c>
      <c r="B116" s="6"/>
      <c r="C116" s="6"/>
      <c r="D116" s="9" t="str">
        <f t="shared" si="6"/>
        <v/>
      </c>
      <c r="E116" s="7">
        <f xml:space="preserve"> 4* 10^-3</f>
        <v>4.0000000000000001E-3</v>
      </c>
      <c r="F116" s="9">
        <f t="shared" si="7"/>
        <v>-2.3979400086720375</v>
      </c>
      <c r="G116" s="7"/>
      <c r="H116" s="10"/>
      <c r="I116" s="12" t="str">
        <f t="shared" si="8"/>
        <v/>
      </c>
      <c r="J116" s="8" t="s">
        <v>693</v>
      </c>
      <c r="K116" s="8">
        <v>32</v>
      </c>
      <c r="L116" s="8" t="s">
        <v>691</v>
      </c>
      <c r="M116" s="8" t="s">
        <v>692</v>
      </c>
      <c r="N116" s="8">
        <v>508198</v>
      </c>
      <c r="O116" s="8">
        <v>6318489</v>
      </c>
      <c r="P116" t="s">
        <v>30</v>
      </c>
    </row>
    <row r="117" spans="1:16">
      <c r="A117" s="14" t="s">
        <v>694</v>
      </c>
      <c r="C117" s="6">
        <f>10^-4</f>
        <v>1E-4</v>
      </c>
      <c r="D117" s="9">
        <f t="shared" si="6"/>
        <v>-4</v>
      </c>
      <c r="E117" s="7">
        <v>3.8999999999999999E-4</v>
      </c>
      <c r="F117" s="9">
        <f t="shared" si="7"/>
        <v>-3.4089353929735009</v>
      </c>
      <c r="G117" s="7"/>
      <c r="H117" s="10"/>
      <c r="I117" s="12" t="str">
        <f t="shared" si="8"/>
        <v/>
      </c>
      <c r="J117" s="8" t="s">
        <v>695</v>
      </c>
      <c r="K117" s="8">
        <v>32</v>
      </c>
      <c r="L117" s="8" t="s">
        <v>696</v>
      </c>
      <c r="M117" s="8" t="s">
        <v>697</v>
      </c>
      <c r="N117" s="8">
        <v>493489</v>
      </c>
      <c r="O117" s="8">
        <v>6276564</v>
      </c>
      <c r="P117" t="s">
        <v>30</v>
      </c>
    </row>
    <row r="118" spans="1:16">
      <c r="A118" s="14" t="s">
        <v>694</v>
      </c>
      <c r="C118" s="6">
        <f>10^-4</f>
        <v>1E-4</v>
      </c>
      <c r="D118" s="9">
        <f t="shared" si="6"/>
        <v>-4</v>
      </c>
      <c r="E118" s="7">
        <v>6.9999999999999999E-4</v>
      </c>
      <c r="F118" s="9">
        <f t="shared" si="7"/>
        <v>-3.1549019599857431</v>
      </c>
      <c r="G118" s="7"/>
      <c r="H118" s="10"/>
      <c r="I118" s="12" t="str">
        <f t="shared" si="8"/>
        <v/>
      </c>
      <c r="J118" s="8" t="s">
        <v>698</v>
      </c>
      <c r="K118" s="8">
        <v>32</v>
      </c>
      <c r="L118" s="8" t="s">
        <v>696</v>
      </c>
      <c r="M118" s="8" t="s">
        <v>697</v>
      </c>
      <c r="N118" s="8">
        <v>493489</v>
      </c>
      <c r="O118" s="8">
        <v>6276564</v>
      </c>
      <c r="P118" t="s">
        <v>30</v>
      </c>
    </row>
    <row r="119" spans="1:16">
      <c r="A119" s="14" t="s">
        <v>694</v>
      </c>
      <c r="C119" s="6">
        <f>10^-4</f>
        <v>1E-4</v>
      </c>
      <c r="D119" s="9">
        <f t="shared" si="6"/>
        <v>-4</v>
      </c>
      <c r="E119" s="7">
        <v>8.9999999999999998E-4</v>
      </c>
      <c r="F119" s="9">
        <f t="shared" si="7"/>
        <v>-3.0457574905606752</v>
      </c>
      <c r="G119" s="7"/>
      <c r="H119" s="10"/>
      <c r="I119" s="12" t="str">
        <f t="shared" si="8"/>
        <v/>
      </c>
      <c r="J119" s="8" t="s">
        <v>698</v>
      </c>
      <c r="K119" s="8">
        <v>32</v>
      </c>
      <c r="L119" s="8" t="s">
        <v>696</v>
      </c>
      <c r="M119" s="8" t="s">
        <v>697</v>
      </c>
      <c r="N119" s="8">
        <v>493489</v>
      </c>
      <c r="O119" s="8">
        <v>6276564</v>
      </c>
      <c r="P119" t="s">
        <v>30</v>
      </c>
    </row>
    <row r="120" spans="1:16">
      <c r="A120" s="14" t="s">
        <v>694</v>
      </c>
      <c r="B120" s="6"/>
      <c r="C120" s="6"/>
      <c r="D120" s="9" t="str">
        <f t="shared" si="6"/>
        <v/>
      </c>
      <c r="E120" s="7"/>
      <c r="F120" s="9" t="str">
        <f t="shared" si="7"/>
        <v/>
      </c>
      <c r="G120" s="7"/>
      <c r="H120" s="10"/>
      <c r="I120" s="12" t="str">
        <f t="shared" si="8"/>
        <v/>
      </c>
      <c r="J120" s="8"/>
      <c r="K120" s="8">
        <v>32</v>
      </c>
      <c r="L120" s="8" t="s">
        <v>696</v>
      </c>
      <c r="M120" s="8" t="s">
        <v>697</v>
      </c>
      <c r="N120" s="8">
        <v>493489</v>
      </c>
      <c r="O120" s="8">
        <v>6276564</v>
      </c>
      <c r="P120" t="s">
        <v>30</v>
      </c>
    </row>
    <row r="121" spans="1:16">
      <c r="A121" s="14" t="s">
        <v>694</v>
      </c>
      <c r="B121" s="6"/>
      <c r="C121" s="6"/>
      <c r="D121" s="9" t="str">
        <f t="shared" si="6"/>
        <v/>
      </c>
      <c r="E121" s="7"/>
      <c r="F121" s="9" t="str">
        <f t="shared" si="7"/>
        <v/>
      </c>
      <c r="G121" s="7"/>
      <c r="H121" s="10"/>
      <c r="I121" s="12" t="str">
        <f t="shared" si="8"/>
        <v/>
      </c>
      <c r="J121" s="8"/>
      <c r="K121" s="8">
        <v>32</v>
      </c>
      <c r="L121" s="8" t="s">
        <v>696</v>
      </c>
      <c r="M121" s="8" t="s">
        <v>697</v>
      </c>
      <c r="N121" s="8">
        <v>493489</v>
      </c>
      <c r="O121" s="8">
        <v>6276564</v>
      </c>
      <c r="P121" t="s">
        <v>30</v>
      </c>
    </row>
    <row r="122" spans="1:16">
      <c r="A122" s="14" t="s">
        <v>694</v>
      </c>
      <c r="C122" s="6">
        <f>10^-4</f>
        <v>1E-4</v>
      </c>
      <c r="D122" s="9">
        <f t="shared" si="6"/>
        <v>-4</v>
      </c>
      <c r="E122" s="7">
        <v>4.0000000000000002E-4</v>
      </c>
      <c r="F122" s="9">
        <f t="shared" si="7"/>
        <v>-3.3979400086720375</v>
      </c>
      <c r="G122" s="7"/>
      <c r="H122" s="10"/>
      <c r="I122" s="12" t="str">
        <f t="shared" si="8"/>
        <v/>
      </c>
      <c r="J122" s="8" t="s">
        <v>699</v>
      </c>
      <c r="K122" s="8">
        <v>32</v>
      </c>
      <c r="L122" s="8" t="s">
        <v>696</v>
      </c>
      <c r="M122" s="8" t="s">
        <v>697</v>
      </c>
      <c r="N122" s="8">
        <v>493489</v>
      </c>
      <c r="O122" s="8">
        <v>6276564</v>
      </c>
      <c r="P122" t="s">
        <v>30</v>
      </c>
    </row>
    <row r="123" spans="1:16">
      <c r="A123" s="14" t="s">
        <v>694</v>
      </c>
      <c r="B123" s="6"/>
      <c r="C123" s="6"/>
      <c r="D123" s="9" t="str">
        <f t="shared" si="6"/>
        <v/>
      </c>
      <c r="E123" s="7"/>
      <c r="F123" s="9" t="str">
        <f t="shared" si="7"/>
        <v/>
      </c>
      <c r="G123" s="7"/>
      <c r="H123" s="10"/>
      <c r="I123" s="12" t="str">
        <f t="shared" si="8"/>
        <v/>
      </c>
      <c r="J123" s="8"/>
      <c r="K123" s="8">
        <v>32</v>
      </c>
      <c r="L123" s="8" t="s">
        <v>696</v>
      </c>
      <c r="M123" s="8" t="s">
        <v>697</v>
      </c>
      <c r="N123" s="8">
        <v>493489</v>
      </c>
      <c r="O123" s="8">
        <v>6276564</v>
      </c>
      <c r="P123" t="s">
        <v>30</v>
      </c>
    </row>
    <row r="124" spans="1:16">
      <c r="A124" s="14" t="s">
        <v>694</v>
      </c>
      <c r="B124" s="6"/>
      <c r="C124" s="6"/>
      <c r="D124" s="9" t="str">
        <f t="shared" si="6"/>
        <v/>
      </c>
      <c r="E124" s="7"/>
      <c r="F124" s="9" t="str">
        <f t="shared" si="7"/>
        <v/>
      </c>
      <c r="G124" s="7"/>
      <c r="H124" s="10"/>
      <c r="I124" s="12" t="str">
        <f t="shared" si="8"/>
        <v/>
      </c>
      <c r="J124" s="8"/>
      <c r="K124" s="8">
        <v>32</v>
      </c>
      <c r="L124" s="8" t="s">
        <v>696</v>
      </c>
      <c r="M124" s="8" t="s">
        <v>697</v>
      </c>
      <c r="N124" s="8">
        <v>493489</v>
      </c>
      <c r="O124" s="8">
        <v>6276564</v>
      </c>
      <c r="P124" t="s">
        <v>30</v>
      </c>
    </row>
    <row r="125" spans="1:16">
      <c r="A125" s="14" t="s">
        <v>694</v>
      </c>
      <c r="C125" s="6">
        <f>10^-4</f>
        <v>1E-4</v>
      </c>
      <c r="D125" s="9">
        <f t="shared" si="6"/>
        <v>-4</v>
      </c>
      <c r="E125" s="7">
        <v>5.9999999999999995E-4</v>
      </c>
      <c r="F125" s="9">
        <f t="shared" si="7"/>
        <v>-3.2218487496163566</v>
      </c>
      <c r="G125" s="7"/>
      <c r="H125" s="10"/>
      <c r="I125" s="12" t="str">
        <f t="shared" si="8"/>
        <v/>
      </c>
      <c r="J125" s="8" t="s">
        <v>699</v>
      </c>
      <c r="K125" s="8">
        <v>32</v>
      </c>
      <c r="L125" s="8" t="s">
        <v>696</v>
      </c>
      <c r="M125" s="8" t="s">
        <v>697</v>
      </c>
      <c r="N125" s="8">
        <v>493489</v>
      </c>
      <c r="O125" s="8">
        <v>6276564</v>
      </c>
      <c r="P125" t="s">
        <v>30</v>
      </c>
    </row>
    <row r="126" spans="1:16">
      <c r="A126" s="14" t="s">
        <v>694</v>
      </c>
      <c r="B126" s="6"/>
      <c r="C126" s="6"/>
      <c r="D126" s="9" t="str">
        <f t="shared" si="6"/>
        <v/>
      </c>
      <c r="E126" s="7"/>
      <c r="F126" s="9" t="str">
        <f t="shared" si="7"/>
        <v/>
      </c>
      <c r="G126" s="7"/>
      <c r="H126" s="10"/>
      <c r="I126" s="12" t="str">
        <f t="shared" si="8"/>
        <v/>
      </c>
      <c r="J126" s="8"/>
      <c r="K126" s="8">
        <v>32</v>
      </c>
      <c r="L126" s="8" t="s">
        <v>696</v>
      </c>
      <c r="M126" s="8" t="s">
        <v>697</v>
      </c>
      <c r="N126" s="8">
        <v>493489</v>
      </c>
      <c r="O126" s="8">
        <v>6276564</v>
      </c>
      <c r="P126" t="s">
        <v>30</v>
      </c>
    </row>
    <row r="127" spans="1:16">
      <c r="A127" s="14" t="s">
        <v>694</v>
      </c>
      <c r="B127" s="6"/>
      <c r="C127" s="6"/>
      <c r="D127" s="9" t="str">
        <f t="shared" si="6"/>
        <v/>
      </c>
      <c r="E127" s="7"/>
      <c r="F127" s="9" t="str">
        <f t="shared" si="7"/>
        <v/>
      </c>
      <c r="G127" s="7"/>
      <c r="H127" s="10"/>
      <c r="I127" s="12" t="str">
        <f t="shared" si="8"/>
        <v/>
      </c>
      <c r="J127" s="8"/>
      <c r="K127" s="8">
        <v>32</v>
      </c>
      <c r="L127" s="8" t="s">
        <v>696</v>
      </c>
      <c r="M127" s="8" t="s">
        <v>697</v>
      </c>
      <c r="N127" s="8">
        <v>493489</v>
      </c>
      <c r="O127" s="8">
        <v>6276564</v>
      </c>
      <c r="P127" t="s">
        <v>30</v>
      </c>
    </row>
    <row r="135" spans="1:10">
      <c r="A135" s="28" t="s">
        <v>849</v>
      </c>
      <c r="B135" s="28" t="s">
        <v>850</v>
      </c>
      <c r="C135" s="28" t="s">
        <v>851</v>
      </c>
      <c r="D135" s="28" t="s">
        <v>852</v>
      </c>
      <c r="E135" s="28" t="s">
        <v>853</v>
      </c>
      <c r="F135" s="28" t="s">
        <v>934</v>
      </c>
      <c r="G135" s="28" t="s">
        <v>967</v>
      </c>
      <c r="I135" s="28"/>
      <c r="J135" s="28"/>
    </row>
    <row r="136" spans="1:10">
      <c r="A136" s="28" t="s">
        <v>855</v>
      </c>
      <c r="B136" s="28">
        <f xml:space="preserve"> COUNTA(B2:B127)</f>
        <v>18</v>
      </c>
      <c r="C136" s="28">
        <f xml:space="preserve"> MIN(B2:B127)</f>
        <v>1E-3</v>
      </c>
      <c r="D136" s="37">
        <f xml:space="preserve"> MAX(B2:B127)</f>
        <v>0.06</v>
      </c>
      <c r="E136" s="28">
        <f>AVERAGEIF(B2:B127,"&lt;&gt;0")</f>
        <v>2.7427777777777777E-2</v>
      </c>
      <c r="F136" s="37"/>
      <c r="G136" s="37"/>
      <c r="I136" s="28"/>
      <c r="J136" s="19"/>
    </row>
    <row r="137" spans="1:10">
      <c r="A137" s="28" t="s">
        <v>857</v>
      </c>
      <c r="B137" s="28">
        <f xml:space="preserve"> COUNTA(C2:C127)</f>
        <v>12</v>
      </c>
      <c r="C137" s="37">
        <f xml:space="preserve"> MIN(C2:C127)</f>
        <v>1.0000000000000001E-5</v>
      </c>
      <c r="D137" s="37">
        <f xml:space="preserve"> MAX(C2:C127)</f>
        <v>4.0000000000000002E-4</v>
      </c>
      <c r="E137" s="28">
        <f>AVERAGEIF(C2:C127,"&lt;&gt;0")</f>
        <v>1.5666666666666669E-4</v>
      </c>
      <c r="F137" s="37">
        <f>AVERAGE(D2:D127)</f>
        <v>-4.0247974552962065</v>
      </c>
      <c r="G137" s="37">
        <f>10^F137</f>
        <v>9.4450126669940086E-5</v>
      </c>
      <c r="I137" s="28"/>
      <c r="J137" s="19"/>
    </row>
    <row r="138" spans="1:10">
      <c r="A138" s="28" t="s">
        <v>914</v>
      </c>
      <c r="B138" s="28">
        <f xml:space="preserve"> COUNTA(E2:E127)</f>
        <v>80</v>
      </c>
      <c r="C138" s="37">
        <f xml:space="preserve"> MIN(E2:E127)</f>
        <v>2.3E-6</v>
      </c>
      <c r="D138" s="37">
        <f xml:space="preserve"> MAX(E2:E127)</f>
        <v>0.06</v>
      </c>
      <c r="E138" s="28">
        <f>AVERAGEIF(E2:E127,"&lt;&gt;0")</f>
        <v>8.6307537500000028E-3</v>
      </c>
      <c r="F138" s="37">
        <f>AVERAGE(F2:F127)</f>
        <v>-2.4035320484978948</v>
      </c>
      <c r="G138" s="37">
        <f t="shared" ref="G138:G139" si="11">10^F138</f>
        <v>3.9488255815487488E-3</v>
      </c>
      <c r="I138" s="28"/>
      <c r="J138" s="19"/>
    </row>
    <row r="139" spans="1:10">
      <c r="A139" s="28" t="s">
        <v>915</v>
      </c>
      <c r="B139" s="28">
        <f xml:space="preserve"> COUNTA(H2:H127)</f>
        <v>67</v>
      </c>
      <c r="C139" s="28">
        <f xml:space="preserve"> MIN(H2:H127)</f>
        <v>0</v>
      </c>
      <c r="D139" s="37">
        <f xml:space="preserve"> MAX(H2:H127)</f>
        <v>5.0000000000000001E-4</v>
      </c>
      <c r="E139" s="28">
        <f>AVERAGEIF(H2:H127,"&lt;&gt;0")</f>
        <v>8.2845654152431086E-5</v>
      </c>
      <c r="F139" s="37">
        <f>AVERAGE(I2:I127)</f>
        <v>-4.3961629005892018</v>
      </c>
      <c r="G139" s="37">
        <f t="shared" si="11"/>
        <v>4.0164013040326045E-5</v>
      </c>
      <c r="I139" s="28"/>
      <c r="J139" s="19"/>
    </row>
    <row r="147" spans="1:10">
      <c r="C147" s="31"/>
      <c r="D147" s="31"/>
      <c r="G147" s="28"/>
      <c r="H147" s="28"/>
      <c r="I147" s="28"/>
      <c r="J147" s="28"/>
    </row>
    <row r="148" spans="1:10" ht="19">
      <c r="A148" s="45"/>
      <c r="B148" s="49"/>
      <c r="C148" s="50"/>
      <c r="D148" s="50"/>
      <c r="G148" s="19"/>
      <c r="H148" s="19"/>
      <c r="I148" s="19"/>
      <c r="J148" s="19"/>
    </row>
    <row r="149" spans="1:10" ht="19">
      <c r="A149" s="45"/>
      <c r="B149" s="49"/>
      <c r="C149" s="50"/>
      <c r="D149" s="50"/>
      <c r="G149" s="27"/>
      <c r="H149" s="27"/>
      <c r="I149" s="27"/>
      <c r="J149" s="19"/>
    </row>
    <row r="150" spans="1:10" ht="19">
      <c r="A150" s="45"/>
      <c r="B150" s="49"/>
      <c r="C150" s="50"/>
      <c r="D150" s="50"/>
      <c r="G150" s="19"/>
      <c r="H150" s="19"/>
      <c r="I150" s="19"/>
      <c r="J150" s="19"/>
    </row>
    <row r="151" spans="1:10" ht="19">
      <c r="A151" s="45"/>
      <c r="B151" s="49"/>
      <c r="C151" s="50"/>
      <c r="D151" s="50"/>
      <c r="G151" s="19"/>
      <c r="H151" s="19"/>
      <c r="I151" s="19"/>
      <c r="J151" s="19"/>
    </row>
    <row r="152" spans="1:10" ht="19">
      <c r="A152" s="45"/>
      <c r="B152" s="49"/>
      <c r="C152" s="50"/>
      <c r="D152" s="50"/>
    </row>
    <row r="153" spans="1:10" ht="19">
      <c r="A153" s="45"/>
      <c r="B153" s="49"/>
      <c r="C153" s="50"/>
      <c r="D153" s="50"/>
    </row>
    <row r="154" spans="1:10" ht="19">
      <c r="A154" s="45"/>
      <c r="B154" s="49"/>
      <c r="C154" s="50"/>
      <c r="D154" s="50"/>
    </row>
    <row r="155" spans="1:10" ht="19">
      <c r="A155" s="45"/>
      <c r="B155" s="49"/>
      <c r="C155" s="50"/>
      <c r="D155" s="50"/>
    </row>
    <row r="156" spans="1:10" ht="19">
      <c r="A156" s="45"/>
      <c r="B156" s="49"/>
      <c r="C156" s="50"/>
      <c r="D156" s="50"/>
    </row>
    <row r="157" spans="1:10" ht="19">
      <c r="A157" s="45"/>
      <c r="C157" s="50"/>
      <c r="D157" s="5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31"/>
  <sheetViews>
    <sheetView topLeftCell="A16" zoomScale="80" zoomScaleNormal="80" workbookViewId="0">
      <selection activeCell="G27" sqref="G27"/>
    </sheetView>
  </sheetViews>
  <sheetFormatPr baseColWidth="10" defaultRowHeight="15"/>
  <cols>
    <col min="1" max="1" width="18.1640625" customWidth="1"/>
    <col min="2" max="4" width="21.83203125" customWidth="1"/>
    <col min="5" max="7" width="22.5" customWidth="1"/>
    <col min="8" max="9" width="21.5" customWidth="1"/>
    <col min="10" max="10" width="30.5" customWidth="1"/>
    <col min="12" max="12" width="16.6640625" customWidth="1"/>
    <col min="13" max="13" width="18.33203125" customWidth="1"/>
    <col min="16" max="16" width="18.33203125" customWidth="1"/>
    <col min="17" max="17" width="16.6640625" customWidth="1"/>
    <col min="18" max="18" width="18.6640625" bestFit="1" customWidth="1"/>
  </cols>
  <sheetData>
    <row r="1" spans="1:16" ht="32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919</v>
      </c>
      <c r="H1" s="2" t="s">
        <v>2</v>
      </c>
      <c r="I1" s="2" t="s">
        <v>938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550</v>
      </c>
      <c r="B2" s="6"/>
      <c r="C2" s="6"/>
      <c r="D2" s="6" t="str">
        <f>IFERROR(LOG10(C2),"")</f>
        <v/>
      </c>
      <c r="E2" s="7"/>
      <c r="F2" s="7" t="str">
        <f>IFERROR(LOG10(E2),"")</f>
        <v/>
      </c>
      <c r="G2" s="7"/>
      <c r="H2" s="6"/>
      <c r="I2" s="6" t="str">
        <f>IFERROR(LOG10(H2),"")</f>
        <v/>
      </c>
      <c r="J2" s="21" t="s">
        <v>551</v>
      </c>
      <c r="K2" s="21">
        <v>24</v>
      </c>
      <c r="L2" s="21" t="s">
        <v>158</v>
      </c>
      <c r="M2" s="21" t="s">
        <v>552</v>
      </c>
      <c r="N2" s="21">
        <v>489857</v>
      </c>
      <c r="O2" s="21">
        <v>6412231</v>
      </c>
      <c r="P2" s="21" t="s">
        <v>553</v>
      </c>
    </row>
    <row r="3" spans="1:16">
      <c r="A3" s="5" t="s">
        <v>550</v>
      </c>
      <c r="B3" s="6"/>
      <c r="C3" s="6"/>
      <c r="D3" s="6" t="str">
        <f t="shared" ref="D3:D22" si="0">IFERROR(LOG10(C3),"")</f>
        <v/>
      </c>
      <c r="E3" s="7"/>
      <c r="F3" s="7" t="str">
        <f t="shared" ref="F3:F22" si="1">IFERROR(LOG10(E3),"")</f>
        <v/>
      </c>
      <c r="G3" s="7"/>
      <c r="H3" s="6"/>
      <c r="I3" s="6" t="str">
        <f t="shared" ref="I3:I22" si="2">IFERROR(LOG10(H3),"")</f>
        <v/>
      </c>
      <c r="J3" s="21" t="s">
        <v>551</v>
      </c>
      <c r="K3" s="21">
        <v>24</v>
      </c>
      <c r="L3" s="21" t="s">
        <v>158</v>
      </c>
      <c r="M3" s="21" t="s">
        <v>552</v>
      </c>
      <c r="N3" s="21">
        <v>489857</v>
      </c>
      <c r="O3" s="21">
        <v>6412231</v>
      </c>
      <c r="P3" s="21" t="s">
        <v>553</v>
      </c>
    </row>
    <row r="4" spans="1:16">
      <c r="A4" s="5" t="s">
        <v>550</v>
      </c>
      <c r="B4" s="6"/>
      <c r="C4" s="6"/>
      <c r="D4" s="6" t="str">
        <f t="shared" si="0"/>
        <v/>
      </c>
      <c r="E4" s="7"/>
      <c r="F4" s="7" t="str">
        <f t="shared" si="1"/>
        <v/>
      </c>
      <c r="G4" s="7"/>
      <c r="H4" s="6"/>
      <c r="I4" s="6" t="str">
        <f t="shared" si="2"/>
        <v/>
      </c>
      <c r="J4" s="21" t="s">
        <v>551</v>
      </c>
      <c r="K4" s="21">
        <v>24</v>
      </c>
      <c r="L4" s="21" t="s">
        <v>158</v>
      </c>
      <c r="M4" s="21" t="s">
        <v>552</v>
      </c>
      <c r="N4" s="21">
        <v>489857</v>
      </c>
      <c r="O4" s="21">
        <v>6412231</v>
      </c>
      <c r="P4" s="21" t="s">
        <v>553</v>
      </c>
    </row>
    <row r="5" spans="1:16">
      <c r="A5" s="5" t="s">
        <v>550</v>
      </c>
      <c r="B5" s="6"/>
      <c r="C5" s="6"/>
      <c r="D5" s="6" t="str">
        <f t="shared" si="0"/>
        <v/>
      </c>
      <c r="E5" s="7"/>
      <c r="F5" s="7" t="str">
        <f t="shared" si="1"/>
        <v/>
      </c>
      <c r="G5" s="7"/>
      <c r="H5" s="6"/>
      <c r="I5" s="6" t="str">
        <f t="shared" si="2"/>
        <v/>
      </c>
      <c r="J5" s="21" t="s">
        <v>551</v>
      </c>
      <c r="K5" s="21">
        <v>24</v>
      </c>
      <c r="L5" s="21" t="s">
        <v>158</v>
      </c>
      <c r="M5" s="21" t="s">
        <v>552</v>
      </c>
      <c r="N5" s="21">
        <v>489857</v>
      </c>
      <c r="O5" s="21">
        <v>6412231</v>
      </c>
      <c r="P5" s="21" t="s">
        <v>553</v>
      </c>
    </row>
    <row r="6" spans="1:16">
      <c r="A6" s="5" t="s">
        <v>550</v>
      </c>
      <c r="B6" s="19"/>
      <c r="C6" s="9">
        <v>1E-4</v>
      </c>
      <c r="D6" s="6">
        <f t="shared" si="0"/>
        <v>-4</v>
      </c>
      <c r="E6" s="9">
        <v>2.5000000000000001E-3</v>
      </c>
      <c r="F6" s="7">
        <f t="shared" si="1"/>
        <v>-2.6020599913279625</v>
      </c>
      <c r="G6" s="9">
        <f>82</f>
        <v>82</v>
      </c>
      <c r="H6" s="12">
        <f>E6/G6</f>
        <v>3.048780487804878E-5</v>
      </c>
      <c r="I6" s="6">
        <f t="shared" si="2"/>
        <v>-4.5158738437116792</v>
      </c>
      <c r="J6" s="21" t="s">
        <v>551</v>
      </c>
      <c r="K6" s="21">
        <v>24</v>
      </c>
      <c r="L6" s="21" t="s">
        <v>158</v>
      </c>
      <c r="M6" s="21" t="s">
        <v>552</v>
      </c>
      <c r="N6" s="21">
        <v>489857</v>
      </c>
      <c r="O6" s="21">
        <v>6412231</v>
      </c>
      <c r="P6" s="21" t="s">
        <v>553</v>
      </c>
    </row>
    <row r="7" spans="1:16">
      <c r="A7" s="5" t="s">
        <v>554</v>
      </c>
      <c r="B7" s="6"/>
      <c r="C7" s="6"/>
      <c r="D7" s="6" t="str">
        <f t="shared" si="0"/>
        <v/>
      </c>
      <c r="E7" s="7"/>
      <c r="F7" s="7" t="str">
        <f t="shared" si="1"/>
        <v/>
      </c>
      <c r="G7" s="7"/>
      <c r="H7" s="6"/>
      <c r="I7" s="6" t="str">
        <f t="shared" si="2"/>
        <v/>
      </c>
      <c r="J7" s="21" t="s">
        <v>11</v>
      </c>
      <c r="K7" s="21">
        <v>47</v>
      </c>
      <c r="L7" s="21" t="s">
        <v>555</v>
      </c>
      <c r="M7" s="21" t="s">
        <v>556</v>
      </c>
      <c r="N7" s="21">
        <v>466697</v>
      </c>
      <c r="O7" s="21">
        <v>6370562</v>
      </c>
      <c r="P7" s="21" t="s">
        <v>553</v>
      </c>
    </row>
    <row r="8" spans="1:16">
      <c r="A8" s="5" t="s">
        <v>554</v>
      </c>
      <c r="B8" s="6"/>
      <c r="C8" s="6"/>
      <c r="D8" s="6" t="str">
        <f t="shared" si="0"/>
        <v/>
      </c>
      <c r="E8" s="7"/>
      <c r="F8" s="7" t="str">
        <f t="shared" si="1"/>
        <v/>
      </c>
      <c r="G8" s="7"/>
      <c r="H8" s="6"/>
      <c r="I8" s="6" t="str">
        <f t="shared" si="2"/>
        <v/>
      </c>
      <c r="J8" s="21" t="s">
        <v>11</v>
      </c>
      <c r="K8" s="21">
        <v>47</v>
      </c>
      <c r="L8" s="21" t="s">
        <v>555</v>
      </c>
      <c r="M8" s="21" t="s">
        <v>556</v>
      </c>
      <c r="N8" s="21">
        <v>466697</v>
      </c>
      <c r="O8" s="21">
        <v>6370562</v>
      </c>
      <c r="P8" s="21" t="s">
        <v>553</v>
      </c>
    </row>
    <row r="9" spans="1:16">
      <c r="A9" s="5" t="s">
        <v>554</v>
      </c>
      <c r="B9" s="6"/>
      <c r="C9" s="6"/>
      <c r="D9" s="6" t="str">
        <f t="shared" si="0"/>
        <v/>
      </c>
      <c r="E9" s="7"/>
      <c r="F9" s="7" t="str">
        <f t="shared" si="1"/>
        <v/>
      </c>
      <c r="G9" s="7"/>
      <c r="H9" s="6"/>
      <c r="I9" s="6" t="str">
        <f t="shared" si="2"/>
        <v/>
      </c>
      <c r="J9" s="21" t="s">
        <v>11</v>
      </c>
      <c r="K9" s="21">
        <v>47</v>
      </c>
      <c r="L9" s="21" t="s">
        <v>555</v>
      </c>
      <c r="M9" s="21" t="s">
        <v>556</v>
      </c>
      <c r="N9" s="21">
        <v>466697</v>
      </c>
      <c r="O9" s="21">
        <v>6370562</v>
      </c>
      <c r="P9" s="21" t="s">
        <v>553</v>
      </c>
    </row>
    <row r="10" spans="1:16">
      <c r="A10" s="5" t="s">
        <v>153</v>
      </c>
      <c r="B10" s="6"/>
      <c r="C10" s="6"/>
      <c r="D10" s="6" t="str">
        <f t="shared" si="0"/>
        <v/>
      </c>
      <c r="E10" s="9">
        <v>0.02</v>
      </c>
      <c r="F10" s="7">
        <f t="shared" si="1"/>
        <v>-1.6989700043360187</v>
      </c>
      <c r="G10" s="9">
        <f>96</f>
        <v>96</v>
      </c>
      <c r="H10" s="12">
        <f>E10/G10</f>
        <v>2.0833333333333335E-4</v>
      </c>
      <c r="I10" s="6">
        <f t="shared" si="2"/>
        <v>-3.6812412373755872</v>
      </c>
      <c r="J10" s="21"/>
      <c r="K10" s="21">
        <v>33</v>
      </c>
      <c r="L10" s="21" t="s">
        <v>154</v>
      </c>
      <c r="M10" s="21" t="s">
        <v>155</v>
      </c>
      <c r="N10" s="21">
        <v>405992</v>
      </c>
      <c r="O10" s="21">
        <v>6465947</v>
      </c>
      <c r="P10" s="21" t="s">
        <v>795</v>
      </c>
    </row>
    <row r="11" spans="1:16">
      <c r="A11" s="5" t="s">
        <v>156</v>
      </c>
      <c r="B11" s="6"/>
      <c r="C11" s="6"/>
      <c r="D11" s="6" t="str">
        <f t="shared" si="0"/>
        <v/>
      </c>
      <c r="E11" s="7"/>
      <c r="F11" s="7" t="str">
        <f t="shared" si="1"/>
        <v/>
      </c>
      <c r="G11" s="7"/>
      <c r="H11" s="6"/>
      <c r="I11" s="6" t="str">
        <f t="shared" si="2"/>
        <v/>
      </c>
      <c r="J11" s="21" t="s">
        <v>157</v>
      </c>
      <c r="K11" s="21">
        <v>24</v>
      </c>
      <c r="L11" s="21" t="s">
        <v>158</v>
      </c>
      <c r="M11" s="21" t="s">
        <v>159</v>
      </c>
      <c r="N11" s="21">
        <v>485454</v>
      </c>
      <c r="O11" s="21">
        <v>6413792</v>
      </c>
      <c r="P11" s="21" t="s">
        <v>553</v>
      </c>
    </row>
    <row r="12" spans="1:16">
      <c r="A12" s="5" t="s">
        <v>156</v>
      </c>
      <c r="B12" s="6"/>
      <c r="C12" s="6"/>
      <c r="D12" s="6" t="str">
        <f t="shared" si="0"/>
        <v/>
      </c>
      <c r="E12" s="7"/>
      <c r="F12" s="7" t="str">
        <f t="shared" si="1"/>
        <v/>
      </c>
      <c r="G12" s="7"/>
      <c r="H12" s="6"/>
      <c r="I12" s="6" t="str">
        <f t="shared" si="2"/>
        <v/>
      </c>
      <c r="J12" s="21" t="s">
        <v>157</v>
      </c>
      <c r="K12" s="21">
        <v>24</v>
      </c>
      <c r="L12" s="21" t="s">
        <v>158</v>
      </c>
      <c r="M12" s="21" t="s">
        <v>159</v>
      </c>
      <c r="N12" s="21">
        <v>485454</v>
      </c>
      <c r="O12" s="21">
        <v>6413792</v>
      </c>
      <c r="P12" s="21" t="s">
        <v>553</v>
      </c>
    </row>
    <row r="13" spans="1:16">
      <c r="A13" s="5" t="s">
        <v>156</v>
      </c>
      <c r="B13" s="6"/>
      <c r="C13" s="6"/>
      <c r="D13" s="6" t="str">
        <f t="shared" si="0"/>
        <v/>
      </c>
      <c r="E13" s="7"/>
      <c r="F13" s="7" t="str">
        <f t="shared" si="1"/>
        <v/>
      </c>
      <c r="G13" s="7"/>
      <c r="H13" s="6"/>
      <c r="I13" s="6" t="str">
        <f t="shared" si="2"/>
        <v/>
      </c>
      <c r="J13" s="21" t="s">
        <v>157</v>
      </c>
      <c r="K13" s="21">
        <v>24</v>
      </c>
      <c r="L13" s="21" t="s">
        <v>158</v>
      </c>
      <c r="M13" s="21" t="s">
        <v>159</v>
      </c>
      <c r="N13" s="21">
        <v>485454</v>
      </c>
      <c r="O13" s="21">
        <v>6413792</v>
      </c>
      <c r="P13" s="21" t="s">
        <v>553</v>
      </c>
    </row>
    <row r="14" spans="1:16">
      <c r="A14" s="5" t="s">
        <v>156</v>
      </c>
      <c r="B14" s="6"/>
      <c r="C14" s="6"/>
      <c r="D14" s="6" t="str">
        <f t="shared" si="0"/>
        <v/>
      </c>
      <c r="E14" s="7"/>
      <c r="F14" s="7" t="str">
        <f t="shared" si="1"/>
        <v/>
      </c>
      <c r="G14" s="7"/>
      <c r="H14" s="6"/>
      <c r="I14" s="6" t="str">
        <f t="shared" si="2"/>
        <v/>
      </c>
      <c r="J14" s="21" t="s">
        <v>157</v>
      </c>
      <c r="K14" s="21">
        <v>24</v>
      </c>
      <c r="L14" s="21" t="s">
        <v>158</v>
      </c>
      <c r="M14" s="21" t="s">
        <v>159</v>
      </c>
      <c r="N14" s="21">
        <v>485454</v>
      </c>
      <c r="O14" s="21">
        <v>6413792</v>
      </c>
      <c r="P14" s="21" t="s">
        <v>553</v>
      </c>
    </row>
    <row r="15" spans="1:16">
      <c r="A15" s="5" t="s">
        <v>156</v>
      </c>
      <c r="B15" s="19"/>
      <c r="C15" s="12">
        <v>2.9999999999999997E-4</v>
      </c>
      <c r="D15" s="6">
        <f t="shared" si="0"/>
        <v>-3.5228787452803374</v>
      </c>
      <c r="E15" s="9">
        <v>3.16E-3</v>
      </c>
      <c r="F15" s="7">
        <f t="shared" si="1"/>
        <v>-2.5003129173815961</v>
      </c>
      <c r="G15" s="9">
        <f>108</f>
        <v>108</v>
      </c>
      <c r="H15" s="12">
        <f>E15/G15</f>
        <v>2.9259259259259259E-5</v>
      </c>
      <c r="I15" s="6">
        <f t="shared" si="2"/>
        <v>-4.533736672868546</v>
      </c>
      <c r="J15" s="21" t="s">
        <v>157</v>
      </c>
      <c r="K15" s="21">
        <v>24</v>
      </c>
      <c r="L15" s="21" t="s">
        <v>158</v>
      </c>
      <c r="M15" s="21" t="s">
        <v>159</v>
      </c>
      <c r="N15" s="21">
        <v>485454</v>
      </c>
      <c r="O15" s="21">
        <v>6413792</v>
      </c>
      <c r="P15" s="21" t="s">
        <v>553</v>
      </c>
    </row>
    <row r="16" spans="1:16">
      <c r="A16" s="5" t="s">
        <v>149</v>
      </c>
      <c r="B16" s="9">
        <v>5.0000000000000001E-3</v>
      </c>
      <c r="C16" s="9"/>
      <c r="D16" s="6" t="str">
        <f t="shared" si="0"/>
        <v/>
      </c>
      <c r="E16" s="9">
        <v>8.5000000000000006E-3</v>
      </c>
      <c r="F16" s="7">
        <f t="shared" si="1"/>
        <v>-2.0705810742857071</v>
      </c>
      <c r="G16" s="9">
        <f>54</f>
        <v>54</v>
      </c>
      <c r="H16" s="12">
        <f>E16/G16</f>
        <v>1.5740740740740743E-4</v>
      </c>
      <c r="I16" s="6">
        <f t="shared" si="2"/>
        <v>-3.8029748341086758</v>
      </c>
      <c r="J16" s="21" t="s">
        <v>150</v>
      </c>
      <c r="K16" s="21">
        <v>33</v>
      </c>
      <c r="L16" s="21" t="s">
        <v>151</v>
      </c>
      <c r="M16" s="21" t="s">
        <v>152</v>
      </c>
      <c r="N16" s="21">
        <v>391957</v>
      </c>
      <c r="O16" s="21">
        <v>6474890</v>
      </c>
      <c r="P16" s="21" t="s">
        <v>795</v>
      </c>
    </row>
    <row r="17" spans="1:18">
      <c r="A17" s="5" t="s">
        <v>149</v>
      </c>
      <c r="B17" s="9">
        <v>5.0000000000000001E-3</v>
      </c>
      <c r="C17" s="9"/>
      <c r="D17" s="6" t="str">
        <f t="shared" si="0"/>
        <v/>
      </c>
      <c r="E17" s="9">
        <v>7.9000000000000008E-3</v>
      </c>
      <c r="F17" s="7">
        <f t="shared" si="1"/>
        <v>-2.1023729087095586</v>
      </c>
      <c r="G17" s="9">
        <f>54</f>
        <v>54</v>
      </c>
      <c r="H17" s="12">
        <f t="shared" ref="H17:H22" si="3">E17/G17</f>
        <v>1.4629629629629631E-4</v>
      </c>
      <c r="I17" s="6">
        <f t="shared" si="2"/>
        <v>-3.8347666685325272</v>
      </c>
      <c r="J17" s="21" t="s">
        <v>150</v>
      </c>
      <c r="K17" s="21">
        <v>33</v>
      </c>
      <c r="L17" s="21" t="s">
        <v>151</v>
      </c>
      <c r="M17" s="21" t="s">
        <v>152</v>
      </c>
      <c r="N17" s="21">
        <v>391957</v>
      </c>
      <c r="O17" s="21">
        <v>6474890</v>
      </c>
      <c r="P17" s="21" t="s">
        <v>553</v>
      </c>
    </row>
    <row r="18" spans="1:18">
      <c r="A18" s="41" t="s">
        <v>797</v>
      </c>
      <c r="B18" s="19"/>
      <c r="C18" s="19"/>
      <c r="D18" s="6" t="str">
        <f t="shared" si="0"/>
        <v/>
      </c>
      <c r="E18" s="20">
        <v>1.4E-2</v>
      </c>
      <c r="F18" s="7">
        <f t="shared" si="1"/>
        <v>-1.853871964321762</v>
      </c>
      <c r="G18" s="20">
        <f>104</f>
        <v>104</v>
      </c>
      <c r="H18" s="12">
        <f t="shared" si="3"/>
        <v>1.3461538461538461E-4</v>
      </c>
      <c r="I18" s="6">
        <f t="shared" si="2"/>
        <v>-3.8709053036205425</v>
      </c>
      <c r="J18" s="21" t="s">
        <v>11</v>
      </c>
      <c r="K18" s="21">
        <v>33</v>
      </c>
      <c r="L18" s="19"/>
      <c r="M18" s="21" t="s">
        <v>802</v>
      </c>
      <c r="N18" s="18">
        <v>419688</v>
      </c>
      <c r="O18" s="22">
        <v>6421560</v>
      </c>
      <c r="P18" s="21" t="s">
        <v>553</v>
      </c>
    </row>
    <row r="19" spans="1:18">
      <c r="A19" s="41" t="s">
        <v>798</v>
      </c>
      <c r="B19" s="19"/>
      <c r="C19" s="20">
        <v>2.7999999999999998E-4</v>
      </c>
      <c r="D19" s="6">
        <f t="shared" si="0"/>
        <v>-3.552841968657781</v>
      </c>
      <c r="E19" s="20">
        <v>1.5599999999999999E-2</v>
      </c>
      <c r="F19" s="7">
        <f t="shared" si="1"/>
        <v>-1.8068754016455384</v>
      </c>
      <c r="G19" s="20">
        <f>121</f>
        <v>121</v>
      </c>
      <c r="H19" s="12">
        <f t="shared" si="3"/>
        <v>1.2892561983471074E-4</v>
      </c>
      <c r="I19" s="6">
        <f t="shared" si="2"/>
        <v>-3.8896607719619887</v>
      </c>
      <c r="J19" s="21" t="s">
        <v>11</v>
      </c>
      <c r="K19" s="21">
        <v>33</v>
      </c>
      <c r="L19" s="19"/>
      <c r="M19" s="21" t="s">
        <v>803</v>
      </c>
      <c r="N19" s="18">
        <v>420474</v>
      </c>
      <c r="O19" s="18">
        <v>6427375</v>
      </c>
      <c r="P19" s="21" t="s">
        <v>553</v>
      </c>
    </row>
    <row r="20" spans="1:18">
      <c r="A20" s="41" t="s">
        <v>799</v>
      </c>
      <c r="B20" s="19"/>
      <c r="C20" s="19"/>
      <c r="D20" s="6" t="str">
        <f t="shared" si="0"/>
        <v/>
      </c>
      <c r="E20" s="20">
        <v>1.4800000000000001E-2</v>
      </c>
      <c r="F20" s="7">
        <f t="shared" si="1"/>
        <v>-1.8297382846050425</v>
      </c>
      <c r="G20" s="20">
        <f>111</f>
        <v>111</v>
      </c>
      <c r="H20" s="12">
        <f t="shared" si="3"/>
        <v>1.3333333333333334E-4</v>
      </c>
      <c r="I20" s="6">
        <f t="shared" si="2"/>
        <v>-3.8750612633917001</v>
      </c>
      <c r="J20" s="21" t="s">
        <v>11</v>
      </c>
      <c r="K20" s="21">
        <v>33</v>
      </c>
      <c r="L20" s="19"/>
      <c r="M20" s="21" t="s">
        <v>804</v>
      </c>
      <c r="N20" s="18">
        <v>418525</v>
      </c>
      <c r="O20" s="18">
        <v>6425124</v>
      </c>
      <c r="P20" s="21" t="s">
        <v>553</v>
      </c>
    </row>
    <row r="21" spans="1:18">
      <c r="A21" s="41" t="s">
        <v>800</v>
      </c>
      <c r="B21" s="19"/>
      <c r="C21" s="19"/>
      <c r="D21" s="6" t="str">
        <f t="shared" si="0"/>
        <v/>
      </c>
      <c r="E21" s="20">
        <v>1.7999999999999999E-2</v>
      </c>
      <c r="F21" s="7">
        <f t="shared" si="1"/>
        <v>-1.744727494896694</v>
      </c>
      <c r="G21" s="20">
        <f>166</f>
        <v>166</v>
      </c>
      <c r="H21" s="12">
        <f t="shared" si="3"/>
        <v>1.0843373493975903E-4</v>
      </c>
      <c r="I21" s="6">
        <f t="shared" si="2"/>
        <v>-3.964835582936749</v>
      </c>
      <c r="J21" s="21" t="s">
        <v>11</v>
      </c>
      <c r="K21" s="21">
        <v>33</v>
      </c>
      <c r="L21" s="19"/>
      <c r="M21" s="21" t="s">
        <v>805</v>
      </c>
      <c r="N21" s="18">
        <v>420442</v>
      </c>
      <c r="O21" s="18">
        <v>6422613</v>
      </c>
      <c r="P21" s="21" t="s">
        <v>553</v>
      </c>
    </row>
    <row r="22" spans="1:18">
      <c r="A22" s="41" t="s">
        <v>801</v>
      </c>
      <c r="B22" s="19"/>
      <c r="C22" s="19"/>
      <c r="D22" s="6" t="str">
        <f t="shared" si="0"/>
        <v/>
      </c>
      <c r="E22" s="20">
        <v>1.2E-2</v>
      </c>
      <c r="F22" s="7">
        <f t="shared" si="1"/>
        <v>-1.9208187539523751</v>
      </c>
      <c r="G22" s="20">
        <f>111</f>
        <v>111</v>
      </c>
      <c r="H22" s="12">
        <f t="shared" si="3"/>
        <v>1.0810810810810811E-4</v>
      </c>
      <c r="I22" s="6">
        <f t="shared" si="2"/>
        <v>-3.9661417327390325</v>
      </c>
      <c r="J22" s="21" t="s">
        <v>11</v>
      </c>
      <c r="K22" s="21">
        <v>33</v>
      </c>
      <c r="L22" s="19"/>
      <c r="M22" s="19" t="s">
        <v>806</v>
      </c>
      <c r="N22" s="18">
        <v>419143</v>
      </c>
      <c r="O22" s="18">
        <v>6424199</v>
      </c>
      <c r="P22" s="21" t="s">
        <v>553</v>
      </c>
    </row>
    <row r="23" spans="1:18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21"/>
      <c r="L23" s="19"/>
      <c r="M23" s="19"/>
      <c r="N23" s="19"/>
      <c r="O23" s="19"/>
      <c r="P23" s="19"/>
      <c r="Q23" s="19"/>
      <c r="R23" s="23"/>
    </row>
    <row r="24" spans="1:18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8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8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8">
      <c r="A27" s="28" t="s">
        <v>849</v>
      </c>
      <c r="B27" s="28" t="s">
        <v>850</v>
      </c>
      <c r="C27" s="37" t="s">
        <v>851</v>
      </c>
      <c r="D27" s="37" t="s">
        <v>852</v>
      </c>
      <c r="E27" s="37" t="s">
        <v>853</v>
      </c>
      <c r="F27" s="37" t="s">
        <v>934</v>
      </c>
      <c r="G27" t="s">
        <v>967</v>
      </c>
      <c r="I27" s="28"/>
      <c r="J27" s="28"/>
      <c r="K27" s="19"/>
      <c r="L27" s="19"/>
      <c r="M27" s="19"/>
      <c r="N27" s="19"/>
      <c r="O27" s="19"/>
      <c r="P27" s="19"/>
      <c r="Q27" s="19"/>
    </row>
    <row r="28" spans="1:18">
      <c r="A28" s="28" t="s">
        <v>855</v>
      </c>
      <c r="B28" s="28">
        <f>COUNTA(B2:B22)</f>
        <v>2</v>
      </c>
      <c r="C28" s="37">
        <f>MIN(B2:B22)</f>
        <v>5.0000000000000001E-3</v>
      </c>
      <c r="D28" s="37">
        <f>MAX(B2:B22)</f>
        <v>5.0000000000000001E-3</v>
      </c>
      <c r="E28" s="37">
        <f>AVERAGEIF(B2:B22,"&lt;&gt;0")</f>
        <v>5.0000000000000001E-3</v>
      </c>
      <c r="F28" s="45"/>
      <c r="J28" s="19"/>
      <c r="K28" s="19"/>
      <c r="L28" s="19"/>
      <c r="M28" s="19"/>
      <c r="N28" s="19"/>
      <c r="O28" s="19"/>
      <c r="P28" s="19"/>
      <c r="Q28" s="19"/>
    </row>
    <row r="29" spans="1:18">
      <c r="A29" s="28" t="s">
        <v>857</v>
      </c>
      <c r="B29" s="28">
        <f>COUNTA(C2:C22)</f>
        <v>3</v>
      </c>
      <c r="C29" s="37">
        <f xml:space="preserve"> MIN(C2:C22)</f>
        <v>1E-4</v>
      </c>
      <c r="D29" s="37">
        <f xml:space="preserve"> MAX(C2:C22)</f>
        <v>2.9999999999999997E-4</v>
      </c>
      <c r="E29" s="37">
        <f>AVERAGEIF(C2:C22,"&lt;&gt;0")</f>
        <v>2.2666666666666666E-4</v>
      </c>
      <c r="F29" s="45">
        <f>AVERAGE(D2:D22)</f>
        <v>-3.6919069046460393</v>
      </c>
      <c r="G29" s="45">
        <f>10^F29</f>
        <v>2.0327927136297064E-4</v>
      </c>
      <c r="J29" s="19"/>
      <c r="K29" s="19"/>
      <c r="L29" s="19"/>
      <c r="M29" s="19"/>
      <c r="N29" s="19"/>
      <c r="O29" s="19"/>
      <c r="P29" s="19"/>
      <c r="Q29" s="19"/>
    </row>
    <row r="30" spans="1:18">
      <c r="A30" s="28" t="s">
        <v>914</v>
      </c>
      <c r="B30" s="28">
        <f>COUNTA(E2:E22)</f>
        <v>10</v>
      </c>
      <c r="C30" s="37">
        <f xml:space="preserve"> MIN(E2:E22)</f>
        <v>2.5000000000000001E-3</v>
      </c>
      <c r="D30" s="37">
        <f xml:space="preserve"> MAX(E2:E22)</f>
        <v>0.02</v>
      </c>
      <c r="E30" s="37">
        <f>AVERAGEIF(E2:E22,"&lt;&gt;0")</f>
        <v>1.1646E-2</v>
      </c>
      <c r="F30" s="45">
        <f>AVERAGE(F2:F22)</f>
        <v>-2.0130328795462256</v>
      </c>
      <c r="G30" s="45">
        <f t="shared" ref="G30:G31" si="4">10^F30</f>
        <v>9.704364947037622E-3</v>
      </c>
      <c r="J30" s="19"/>
      <c r="K30" s="19"/>
      <c r="L30" s="19"/>
      <c r="M30" s="19"/>
      <c r="N30" s="19"/>
      <c r="O30" s="19"/>
      <c r="P30" s="19"/>
      <c r="Q30" s="19"/>
    </row>
    <row r="31" spans="1:18">
      <c r="A31" s="28" t="s">
        <v>915</v>
      </c>
      <c r="B31" s="28">
        <f>COUNTA(H2:H22)</f>
        <v>10</v>
      </c>
      <c r="C31" s="37">
        <f xml:space="preserve"> MIN(H2:H22)</f>
        <v>2.9259259259259259E-5</v>
      </c>
      <c r="D31" s="37">
        <f xml:space="preserve"> MAX(H2:H22)</f>
        <v>2.0833333333333335E-4</v>
      </c>
      <c r="E31" s="37">
        <f>AVERAGEIF(H2:H22,"&lt;&gt;0")</f>
        <v>1.185200282005641E-4</v>
      </c>
      <c r="F31" s="45">
        <f>AVERAGE(I2:I22)</f>
        <v>-3.9935197911247031</v>
      </c>
      <c r="G31" s="45">
        <f t="shared" si="4"/>
        <v>1.0150331096999388E-4</v>
      </c>
      <c r="J31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9"/>
  <sheetViews>
    <sheetView zoomScale="84" zoomScaleNormal="84" workbookViewId="0">
      <selection activeCell="G33" sqref="G33"/>
    </sheetView>
  </sheetViews>
  <sheetFormatPr baseColWidth="10" defaultRowHeight="15"/>
  <cols>
    <col min="1" max="1" width="18.1640625" customWidth="1"/>
    <col min="2" max="4" width="21.83203125" customWidth="1"/>
    <col min="5" max="6" width="15.5" customWidth="1"/>
    <col min="7" max="8" width="22.6640625" customWidth="1"/>
    <col min="9" max="9" width="24.1640625" customWidth="1"/>
    <col min="11" max="11" width="14.5" customWidth="1"/>
    <col min="17" max="17" width="18.6640625" bestFit="1" customWidth="1"/>
  </cols>
  <sheetData>
    <row r="1" spans="1:15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2" t="s">
        <v>2</v>
      </c>
      <c r="H1" s="2" t="s">
        <v>933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10</v>
      </c>
    </row>
    <row r="2" spans="1:15">
      <c r="A2" s="5" t="s">
        <v>700</v>
      </c>
      <c r="B2" s="6"/>
      <c r="C2" s="6"/>
      <c r="D2" s="6" t="str">
        <f>IFERROR(LOG10(C2),"")</f>
        <v/>
      </c>
      <c r="E2" s="7"/>
      <c r="F2" s="7" t="str">
        <f>IFERROR(LOG10(E2),"")</f>
        <v/>
      </c>
      <c r="G2" s="6"/>
      <c r="H2" s="6" t="str">
        <f>IFERROR(LOG10(G2),"")</f>
        <v/>
      </c>
      <c r="I2" s="8" t="s">
        <v>11</v>
      </c>
      <c r="J2" s="8">
        <v>40</v>
      </c>
      <c r="K2" s="8" t="s">
        <v>701</v>
      </c>
      <c r="L2" s="8" t="s">
        <v>702</v>
      </c>
      <c r="M2" s="8">
        <v>403201</v>
      </c>
      <c r="N2" s="8">
        <v>6295445</v>
      </c>
      <c r="O2" s="8" t="s">
        <v>703</v>
      </c>
    </row>
    <row r="3" spans="1:15">
      <c r="A3" s="5" t="s">
        <v>704</v>
      </c>
      <c r="B3" s="6"/>
      <c r="C3" s="6"/>
      <c r="D3" s="6" t="str">
        <f t="shared" ref="D3:D29" si="0">IFERROR(LOG10(C3),"")</f>
        <v/>
      </c>
      <c r="E3" s="7"/>
      <c r="F3" s="7" t="str">
        <f t="shared" ref="F3:F29" si="1">IFERROR(LOG10(E3),"")</f>
        <v/>
      </c>
      <c r="G3" s="6"/>
      <c r="H3" s="6" t="str">
        <f t="shared" ref="H3:H29" si="2">IFERROR(LOG10(G3),"")</f>
        <v/>
      </c>
      <c r="I3" s="8" t="s">
        <v>11</v>
      </c>
      <c r="J3" s="8">
        <v>40</v>
      </c>
      <c r="K3" s="8" t="s">
        <v>705</v>
      </c>
      <c r="L3" s="8" t="s">
        <v>706</v>
      </c>
      <c r="M3" s="8">
        <v>401783</v>
      </c>
      <c r="N3" s="8">
        <v>6298290</v>
      </c>
      <c r="O3" s="8" t="s">
        <v>703</v>
      </c>
    </row>
    <row r="4" spans="1:15">
      <c r="A4" s="5" t="s">
        <v>707</v>
      </c>
      <c r="B4" s="6"/>
      <c r="C4" s="6"/>
      <c r="D4" s="6" t="str">
        <f t="shared" si="0"/>
        <v/>
      </c>
      <c r="E4" s="7"/>
      <c r="F4" s="7" t="str">
        <f t="shared" si="1"/>
        <v/>
      </c>
      <c r="G4" s="6"/>
      <c r="H4" s="6" t="str">
        <f t="shared" si="2"/>
        <v/>
      </c>
      <c r="I4" s="8" t="s">
        <v>11</v>
      </c>
      <c r="J4" s="8">
        <v>40</v>
      </c>
      <c r="K4" s="8" t="s">
        <v>705</v>
      </c>
      <c r="L4" s="8" t="s">
        <v>708</v>
      </c>
      <c r="M4" s="8">
        <v>400944</v>
      </c>
      <c r="N4" s="8">
        <v>6297998</v>
      </c>
      <c r="O4" s="8" t="s">
        <v>703</v>
      </c>
    </row>
    <row r="5" spans="1:15">
      <c r="A5" s="5" t="s">
        <v>709</v>
      </c>
      <c r="B5" s="6"/>
      <c r="C5" s="6"/>
      <c r="D5" s="6" t="str">
        <f t="shared" si="0"/>
        <v/>
      </c>
      <c r="E5" s="9">
        <v>3.7000000000000002E-3</v>
      </c>
      <c r="F5" s="7">
        <f t="shared" si="1"/>
        <v>-2.431798275933005</v>
      </c>
      <c r="G5" s="6"/>
      <c r="H5" s="6" t="str">
        <f t="shared" si="2"/>
        <v/>
      </c>
      <c r="I5" s="8" t="s">
        <v>11</v>
      </c>
      <c r="J5" s="8">
        <v>40</v>
      </c>
      <c r="K5" s="8" t="s">
        <v>710</v>
      </c>
      <c r="L5" s="8" t="s">
        <v>472</v>
      </c>
      <c r="M5" s="8">
        <v>410275</v>
      </c>
      <c r="N5" s="8">
        <v>6290115</v>
      </c>
      <c r="O5" s="8" t="s">
        <v>703</v>
      </c>
    </row>
    <row r="6" spans="1:15">
      <c r="A6" s="5" t="s">
        <v>709</v>
      </c>
      <c r="B6" s="6"/>
      <c r="C6" s="6"/>
      <c r="D6" s="6" t="str">
        <f t="shared" si="0"/>
        <v/>
      </c>
      <c r="E6" s="9">
        <v>2.7000000000000001E-3</v>
      </c>
      <c r="F6" s="7">
        <f t="shared" si="1"/>
        <v>-2.5686362358410126</v>
      </c>
      <c r="G6" s="6"/>
      <c r="H6" s="6" t="str">
        <f t="shared" si="2"/>
        <v/>
      </c>
      <c r="I6" s="8" t="s">
        <v>11</v>
      </c>
      <c r="J6" s="8">
        <v>40</v>
      </c>
      <c r="K6" s="8" t="s">
        <v>710</v>
      </c>
      <c r="L6" s="8" t="s">
        <v>472</v>
      </c>
      <c r="M6" s="8">
        <v>410275</v>
      </c>
      <c r="N6" s="8">
        <v>6290115</v>
      </c>
      <c r="O6" s="8" t="s">
        <v>703</v>
      </c>
    </row>
    <row r="7" spans="1:15">
      <c r="A7" s="5" t="s">
        <v>709</v>
      </c>
      <c r="B7" s="6"/>
      <c r="C7" s="6"/>
      <c r="D7" s="6" t="str">
        <f t="shared" si="0"/>
        <v/>
      </c>
      <c r="E7" s="9">
        <v>1.7999999999999999E-2</v>
      </c>
      <c r="F7" s="7">
        <f t="shared" si="1"/>
        <v>-1.744727494896694</v>
      </c>
      <c r="G7" s="6"/>
      <c r="H7" s="6" t="str">
        <f t="shared" si="2"/>
        <v/>
      </c>
      <c r="I7" s="8" t="s">
        <v>11</v>
      </c>
      <c r="J7" s="8">
        <v>40</v>
      </c>
      <c r="K7" s="8" t="s">
        <v>710</v>
      </c>
      <c r="L7" s="8" t="s">
        <v>472</v>
      </c>
      <c r="M7" s="8">
        <v>410275</v>
      </c>
      <c r="N7" s="8">
        <v>6290115</v>
      </c>
      <c r="O7" s="8" t="s">
        <v>703</v>
      </c>
    </row>
    <row r="8" spans="1:15">
      <c r="A8" s="5" t="s">
        <v>711</v>
      </c>
      <c r="B8" s="9">
        <v>0.08</v>
      </c>
      <c r="C8" s="9"/>
      <c r="D8" s="6" t="str">
        <f t="shared" si="0"/>
        <v/>
      </c>
      <c r="E8" s="9">
        <v>4.7999999999999996E-3</v>
      </c>
      <c r="F8" s="7">
        <f t="shared" si="1"/>
        <v>-2.3187587626244128</v>
      </c>
      <c r="G8" s="6"/>
      <c r="H8" s="6" t="str">
        <f t="shared" si="2"/>
        <v/>
      </c>
      <c r="I8" s="8" t="s">
        <v>11</v>
      </c>
      <c r="J8" s="8">
        <v>40</v>
      </c>
      <c r="K8" s="8" t="s">
        <v>710</v>
      </c>
      <c r="L8" s="8" t="s">
        <v>472</v>
      </c>
      <c r="M8" s="8">
        <v>410266</v>
      </c>
      <c r="N8" s="8">
        <v>6290150</v>
      </c>
      <c r="O8" s="8" t="s">
        <v>703</v>
      </c>
    </row>
    <row r="9" spans="1:15">
      <c r="A9" s="5" t="s">
        <v>711</v>
      </c>
      <c r="B9" s="9">
        <v>0.08</v>
      </c>
      <c r="C9" s="9"/>
      <c r="D9" s="6" t="str">
        <f t="shared" si="0"/>
        <v/>
      </c>
      <c r="E9" s="9">
        <v>4.4999999999999997E-3</v>
      </c>
      <c r="F9" s="7">
        <f t="shared" si="1"/>
        <v>-2.3467874862246565</v>
      </c>
      <c r="G9" s="6"/>
      <c r="H9" s="6" t="str">
        <f t="shared" si="2"/>
        <v/>
      </c>
      <c r="I9" s="8" t="s">
        <v>11</v>
      </c>
      <c r="J9" s="8">
        <v>40</v>
      </c>
      <c r="K9" s="8" t="s">
        <v>710</v>
      </c>
      <c r="L9" s="8" t="s">
        <v>472</v>
      </c>
      <c r="M9" s="8">
        <v>410266</v>
      </c>
      <c r="N9" s="8">
        <v>6290150</v>
      </c>
      <c r="O9" s="8" t="s">
        <v>703</v>
      </c>
    </row>
    <row r="10" spans="1:15">
      <c r="A10" s="5" t="s">
        <v>711</v>
      </c>
      <c r="B10" s="9">
        <v>0.08</v>
      </c>
      <c r="C10" s="9"/>
      <c r="D10" s="6" t="str">
        <f t="shared" si="0"/>
        <v/>
      </c>
      <c r="E10" s="9">
        <v>4.1000000000000003E-3</v>
      </c>
      <c r="F10" s="7">
        <f t="shared" si="1"/>
        <v>-2.3872161432802645</v>
      </c>
      <c r="G10" s="6"/>
      <c r="H10" s="6" t="str">
        <f t="shared" si="2"/>
        <v/>
      </c>
      <c r="I10" s="8" t="s">
        <v>11</v>
      </c>
      <c r="J10" s="8">
        <v>40</v>
      </c>
      <c r="K10" s="8" t="s">
        <v>710</v>
      </c>
      <c r="L10" s="8" t="s">
        <v>472</v>
      </c>
      <c r="M10" s="8">
        <v>410266</v>
      </c>
      <c r="N10" s="8">
        <v>6290150</v>
      </c>
      <c r="O10" s="8" t="s">
        <v>703</v>
      </c>
    </row>
    <row r="11" spans="1:15">
      <c r="A11" s="5" t="s">
        <v>711</v>
      </c>
      <c r="B11" s="9"/>
      <c r="C11" s="9"/>
      <c r="D11" s="6" t="str">
        <f t="shared" si="0"/>
        <v/>
      </c>
      <c r="E11" s="9"/>
      <c r="F11" s="7" t="str">
        <f t="shared" si="1"/>
        <v/>
      </c>
      <c r="G11" s="6"/>
      <c r="H11" s="6" t="str">
        <f t="shared" si="2"/>
        <v/>
      </c>
      <c r="I11" s="8" t="s">
        <v>11</v>
      </c>
      <c r="J11" s="8">
        <v>40</v>
      </c>
      <c r="K11" s="8" t="s">
        <v>710</v>
      </c>
      <c r="L11" s="8" t="s">
        <v>472</v>
      </c>
      <c r="M11" s="8">
        <v>410266</v>
      </c>
      <c r="N11" s="8">
        <v>6290150</v>
      </c>
      <c r="O11" s="8" t="s">
        <v>703</v>
      </c>
    </row>
    <row r="12" spans="1:15">
      <c r="A12" s="5" t="s">
        <v>711</v>
      </c>
      <c r="B12" s="9"/>
      <c r="C12" s="9"/>
      <c r="D12" s="6" t="str">
        <f t="shared" si="0"/>
        <v/>
      </c>
      <c r="E12" s="9"/>
      <c r="F12" s="7" t="str">
        <f t="shared" si="1"/>
        <v/>
      </c>
      <c r="G12" s="6"/>
      <c r="H12" s="6" t="str">
        <f t="shared" si="2"/>
        <v/>
      </c>
      <c r="I12" s="8" t="s">
        <v>11</v>
      </c>
      <c r="J12" s="8">
        <v>40</v>
      </c>
      <c r="K12" s="8" t="s">
        <v>710</v>
      </c>
      <c r="L12" s="8" t="s">
        <v>472</v>
      </c>
      <c r="M12" s="8">
        <v>410266</v>
      </c>
      <c r="N12" s="8">
        <v>6290150</v>
      </c>
      <c r="O12" s="8" t="s">
        <v>703</v>
      </c>
    </row>
    <row r="13" spans="1:15">
      <c r="A13" s="5" t="s">
        <v>711</v>
      </c>
      <c r="B13" s="9"/>
      <c r="C13" s="9"/>
      <c r="D13" s="6" t="str">
        <f t="shared" si="0"/>
        <v/>
      </c>
      <c r="E13" s="9"/>
      <c r="F13" s="7" t="str">
        <f t="shared" si="1"/>
        <v/>
      </c>
      <c r="G13" s="6"/>
      <c r="H13" s="6" t="str">
        <f t="shared" si="2"/>
        <v/>
      </c>
      <c r="I13" s="8" t="s">
        <v>11</v>
      </c>
      <c r="J13" s="8">
        <v>40</v>
      </c>
      <c r="K13" s="8" t="s">
        <v>710</v>
      </c>
      <c r="L13" s="8" t="s">
        <v>472</v>
      </c>
      <c r="M13" s="8">
        <v>410266</v>
      </c>
      <c r="N13" s="8">
        <v>6290150</v>
      </c>
      <c r="O13" s="8" t="s">
        <v>703</v>
      </c>
    </row>
    <row r="14" spans="1:15">
      <c r="A14" s="5" t="s">
        <v>711</v>
      </c>
      <c r="B14" s="9"/>
      <c r="C14" s="9"/>
      <c r="D14" s="6" t="str">
        <f t="shared" si="0"/>
        <v/>
      </c>
      <c r="E14" s="9"/>
      <c r="F14" s="7" t="str">
        <f t="shared" si="1"/>
        <v/>
      </c>
      <c r="G14" s="6"/>
      <c r="H14" s="6" t="str">
        <f t="shared" si="2"/>
        <v/>
      </c>
      <c r="I14" s="8" t="s">
        <v>11</v>
      </c>
      <c r="J14" s="8">
        <v>40</v>
      </c>
      <c r="K14" s="8" t="s">
        <v>710</v>
      </c>
      <c r="L14" s="8" t="s">
        <v>472</v>
      </c>
      <c r="M14" s="8">
        <v>410266</v>
      </c>
      <c r="N14" s="8">
        <v>6290150</v>
      </c>
      <c r="O14" s="8" t="s">
        <v>703</v>
      </c>
    </row>
    <row r="15" spans="1:15">
      <c r="A15" s="5" t="s">
        <v>711</v>
      </c>
      <c r="B15" s="9"/>
      <c r="C15" s="9"/>
      <c r="D15" s="6" t="str">
        <f t="shared" si="0"/>
        <v/>
      </c>
      <c r="E15" s="9"/>
      <c r="F15" s="7" t="str">
        <f t="shared" si="1"/>
        <v/>
      </c>
      <c r="G15" s="6"/>
      <c r="H15" s="6" t="str">
        <f t="shared" si="2"/>
        <v/>
      </c>
      <c r="I15" s="8" t="s">
        <v>11</v>
      </c>
      <c r="J15" s="8">
        <v>40</v>
      </c>
      <c r="K15" s="8" t="s">
        <v>710</v>
      </c>
      <c r="L15" s="8" t="s">
        <v>472</v>
      </c>
      <c r="M15" s="8">
        <v>410266</v>
      </c>
      <c r="N15" s="8">
        <v>6290150</v>
      </c>
      <c r="O15" s="8" t="s">
        <v>703</v>
      </c>
    </row>
    <row r="16" spans="1:15">
      <c r="A16" s="5" t="s">
        <v>712</v>
      </c>
      <c r="B16" s="6"/>
      <c r="C16" s="6"/>
      <c r="D16" s="6" t="str">
        <f t="shared" si="0"/>
        <v/>
      </c>
      <c r="E16" s="7"/>
      <c r="F16" s="7" t="str">
        <f t="shared" si="1"/>
        <v/>
      </c>
      <c r="G16" s="6"/>
      <c r="H16" s="6" t="str">
        <f t="shared" si="2"/>
        <v/>
      </c>
      <c r="I16" s="8" t="s">
        <v>11</v>
      </c>
      <c r="J16" s="8">
        <v>40</v>
      </c>
      <c r="K16" s="8" t="s">
        <v>713</v>
      </c>
      <c r="L16" s="8" t="s">
        <v>714</v>
      </c>
      <c r="M16" s="8">
        <v>421206</v>
      </c>
      <c r="N16" s="8">
        <v>6296980</v>
      </c>
      <c r="O16" s="8" t="s">
        <v>703</v>
      </c>
    </row>
    <row r="17" spans="1:15">
      <c r="A17" s="5" t="s">
        <v>715</v>
      </c>
      <c r="B17" s="6"/>
      <c r="C17" s="6"/>
      <c r="D17" s="6" t="str">
        <f t="shared" si="0"/>
        <v/>
      </c>
      <c r="E17" s="7"/>
      <c r="F17" s="7" t="str">
        <f t="shared" si="1"/>
        <v/>
      </c>
      <c r="G17" s="6"/>
      <c r="H17" s="6" t="str">
        <f t="shared" si="2"/>
        <v/>
      </c>
      <c r="I17" s="8" t="s">
        <v>11</v>
      </c>
      <c r="J17" s="8">
        <v>40</v>
      </c>
      <c r="K17" s="8" t="s">
        <v>713</v>
      </c>
      <c r="L17" s="8" t="s">
        <v>716</v>
      </c>
      <c r="M17" s="8">
        <v>422404</v>
      </c>
      <c r="N17" s="8">
        <v>6295791</v>
      </c>
      <c r="O17" s="8" t="s">
        <v>703</v>
      </c>
    </row>
    <row r="18" spans="1:15">
      <c r="A18" s="5" t="s">
        <v>715</v>
      </c>
      <c r="B18" s="6"/>
      <c r="C18" s="6"/>
      <c r="D18" s="6" t="str">
        <f t="shared" si="0"/>
        <v/>
      </c>
      <c r="E18" s="7"/>
      <c r="F18" s="7" t="str">
        <f t="shared" si="1"/>
        <v/>
      </c>
      <c r="G18" s="6"/>
      <c r="H18" s="6" t="str">
        <f t="shared" si="2"/>
        <v/>
      </c>
      <c r="I18" s="8" t="s">
        <v>11</v>
      </c>
      <c r="J18" s="8">
        <v>40</v>
      </c>
      <c r="K18" s="8" t="s">
        <v>713</v>
      </c>
      <c r="L18" s="8" t="s">
        <v>716</v>
      </c>
      <c r="M18" s="8">
        <v>422404</v>
      </c>
      <c r="N18" s="8">
        <v>6295791</v>
      </c>
      <c r="O18" s="8" t="s">
        <v>703</v>
      </c>
    </row>
    <row r="19" spans="1:15">
      <c r="A19" s="5" t="s">
        <v>715</v>
      </c>
      <c r="B19" s="6"/>
      <c r="C19" s="6"/>
      <c r="D19" s="6" t="str">
        <f t="shared" si="0"/>
        <v/>
      </c>
      <c r="E19" s="7"/>
      <c r="F19" s="7" t="str">
        <f t="shared" si="1"/>
        <v/>
      </c>
      <c r="G19" s="6"/>
      <c r="H19" s="6" t="str">
        <f t="shared" si="2"/>
        <v/>
      </c>
      <c r="I19" s="8" t="s">
        <v>11</v>
      </c>
      <c r="J19" s="8">
        <v>40</v>
      </c>
      <c r="K19" s="8" t="s">
        <v>713</v>
      </c>
      <c r="L19" s="8" t="s">
        <v>716</v>
      </c>
      <c r="M19" s="8">
        <v>422404</v>
      </c>
      <c r="N19" s="8">
        <v>6295791</v>
      </c>
      <c r="O19" s="8" t="s">
        <v>703</v>
      </c>
    </row>
    <row r="20" spans="1:15">
      <c r="A20" s="5" t="s">
        <v>717</v>
      </c>
      <c r="B20" s="6"/>
      <c r="C20" s="6"/>
      <c r="D20" s="6" t="str">
        <f t="shared" si="0"/>
        <v/>
      </c>
      <c r="E20" s="7"/>
      <c r="F20" s="7" t="str">
        <f t="shared" si="1"/>
        <v/>
      </c>
      <c r="G20" s="6"/>
      <c r="H20" s="6" t="str">
        <f t="shared" si="2"/>
        <v/>
      </c>
      <c r="I20" s="8" t="s">
        <v>11</v>
      </c>
      <c r="J20" s="8">
        <v>40</v>
      </c>
      <c r="K20" s="8" t="s">
        <v>713</v>
      </c>
      <c r="L20" s="8" t="s">
        <v>718</v>
      </c>
      <c r="M20" s="8">
        <v>422905</v>
      </c>
      <c r="N20" s="8">
        <v>6297088</v>
      </c>
      <c r="O20" s="8" t="s">
        <v>703</v>
      </c>
    </row>
    <row r="21" spans="1:15">
      <c r="A21" s="5" t="s">
        <v>717</v>
      </c>
      <c r="B21" s="6"/>
      <c r="C21" s="6"/>
      <c r="D21" s="6" t="str">
        <f t="shared" si="0"/>
        <v/>
      </c>
      <c r="E21" s="7"/>
      <c r="F21" s="7" t="str">
        <f t="shared" si="1"/>
        <v/>
      </c>
      <c r="G21" s="6"/>
      <c r="H21" s="6" t="str">
        <f t="shared" si="2"/>
        <v/>
      </c>
      <c r="I21" s="8" t="s">
        <v>11</v>
      </c>
      <c r="J21" s="8">
        <v>40</v>
      </c>
      <c r="K21" s="8" t="s">
        <v>713</v>
      </c>
      <c r="L21" s="8" t="s">
        <v>718</v>
      </c>
      <c r="M21" s="8">
        <v>422905</v>
      </c>
      <c r="N21" s="8">
        <v>6297088</v>
      </c>
      <c r="O21" s="8" t="s">
        <v>703</v>
      </c>
    </row>
    <row r="22" spans="1:15">
      <c r="A22" s="5" t="s">
        <v>717</v>
      </c>
      <c r="B22" s="6"/>
      <c r="C22" s="6"/>
      <c r="D22" s="6" t="str">
        <f t="shared" si="0"/>
        <v/>
      </c>
      <c r="E22" s="7"/>
      <c r="F22" s="7" t="str">
        <f t="shared" si="1"/>
        <v/>
      </c>
      <c r="G22" s="6"/>
      <c r="H22" s="6" t="str">
        <f t="shared" si="2"/>
        <v/>
      </c>
      <c r="I22" s="8" t="s">
        <v>11</v>
      </c>
      <c r="J22" s="8">
        <v>40</v>
      </c>
      <c r="K22" s="8" t="s">
        <v>713</v>
      </c>
      <c r="L22" s="8" t="s">
        <v>718</v>
      </c>
      <c r="M22" s="8">
        <v>422905</v>
      </c>
      <c r="N22" s="8">
        <v>6297088</v>
      </c>
      <c r="O22" s="8" t="s">
        <v>703</v>
      </c>
    </row>
    <row r="23" spans="1:15">
      <c r="A23" s="5" t="s">
        <v>719</v>
      </c>
      <c r="B23" s="12">
        <v>6.0229999999999997E-3</v>
      </c>
      <c r="C23" s="12"/>
      <c r="D23" s="6" t="str">
        <f t="shared" si="0"/>
        <v/>
      </c>
      <c r="E23" s="12">
        <v>7.7899999999999996E-4</v>
      </c>
      <c r="F23" s="7">
        <f t="shared" si="1"/>
        <v>-3.1084625423274357</v>
      </c>
      <c r="G23" s="6"/>
      <c r="H23" s="6" t="str">
        <f t="shared" si="2"/>
        <v/>
      </c>
      <c r="I23" s="8" t="s">
        <v>11</v>
      </c>
      <c r="J23" s="8">
        <v>64</v>
      </c>
      <c r="K23" s="8" t="s">
        <v>720</v>
      </c>
      <c r="L23" s="8" t="s">
        <v>720</v>
      </c>
      <c r="M23" s="8">
        <v>440617</v>
      </c>
      <c r="N23" s="8">
        <v>6270413</v>
      </c>
      <c r="O23" s="8" t="s">
        <v>703</v>
      </c>
    </row>
    <row r="24" spans="1:15">
      <c r="A24" s="5" t="s">
        <v>719</v>
      </c>
      <c r="B24" s="6"/>
      <c r="C24" s="6"/>
      <c r="D24" s="6" t="str">
        <f t="shared" si="0"/>
        <v/>
      </c>
      <c r="E24" s="7"/>
      <c r="F24" s="7" t="str">
        <f t="shared" si="1"/>
        <v/>
      </c>
      <c r="G24" s="6"/>
      <c r="H24" s="6" t="str">
        <f t="shared" si="2"/>
        <v/>
      </c>
      <c r="I24" s="8" t="s">
        <v>11</v>
      </c>
      <c r="J24" s="8">
        <v>64</v>
      </c>
      <c r="K24" s="8" t="s">
        <v>720</v>
      </c>
      <c r="L24" s="8" t="s">
        <v>720</v>
      </c>
      <c r="M24" s="8">
        <v>440617</v>
      </c>
      <c r="N24" s="8">
        <v>6270413</v>
      </c>
      <c r="O24" s="8" t="s">
        <v>703</v>
      </c>
    </row>
    <row r="25" spans="1:15">
      <c r="A25" s="5" t="s">
        <v>719</v>
      </c>
      <c r="B25" s="6"/>
      <c r="C25" s="6"/>
      <c r="D25" s="6" t="str">
        <f t="shared" si="0"/>
        <v/>
      </c>
      <c r="E25" s="7"/>
      <c r="F25" s="7" t="str">
        <f t="shared" si="1"/>
        <v/>
      </c>
      <c r="G25" s="6"/>
      <c r="H25" s="6" t="str">
        <f t="shared" si="2"/>
        <v/>
      </c>
      <c r="I25" s="8" t="s">
        <v>11</v>
      </c>
      <c r="J25" s="8">
        <v>64</v>
      </c>
      <c r="K25" s="8" t="s">
        <v>720</v>
      </c>
      <c r="L25" s="8" t="s">
        <v>720</v>
      </c>
      <c r="M25" s="8">
        <v>440617</v>
      </c>
      <c r="N25" s="8">
        <v>6270413</v>
      </c>
      <c r="O25" s="8" t="s">
        <v>703</v>
      </c>
    </row>
    <row r="26" spans="1:15">
      <c r="A26" s="5" t="s">
        <v>719</v>
      </c>
      <c r="B26" s="6"/>
      <c r="C26" s="6"/>
      <c r="D26" s="6" t="str">
        <f t="shared" si="0"/>
        <v/>
      </c>
      <c r="E26" s="7"/>
      <c r="F26" s="7" t="str">
        <f t="shared" si="1"/>
        <v/>
      </c>
      <c r="G26" s="6"/>
      <c r="H26" s="6" t="str">
        <f t="shared" si="2"/>
        <v/>
      </c>
      <c r="I26" s="8" t="s">
        <v>11</v>
      </c>
      <c r="J26" s="8">
        <v>64</v>
      </c>
      <c r="K26" s="8" t="s">
        <v>720</v>
      </c>
      <c r="L26" s="8" t="s">
        <v>720</v>
      </c>
      <c r="M26" s="8">
        <v>440617</v>
      </c>
      <c r="N26" s="8">
        <v>6270413</v>
      </c>
      <c r="O26" s="8" t="s">
        <v>703</v>
      </c>
    </row>
    <row r="27" spans="1:15">
      <c r="A27" s="5" t="s">
        <v>719</v>
      </c>
      <c r="B27" s="6"/>
      <c r="C27" s="6"/>
      <c r="D27" s="6" t="str">
        <f t="shared" si="0"/>
        <v/>
      </c>
      <c r="E27" s="7"/>
      <c r="F27" s="7" t="str">
        <f t="shared" si="1"/>
        <v/>
      </c>
      <c r="G27" s="6"/>
      <c r="H27" s="6" t="str">
        <f t="shared" si="2"/>
        <v/>
      </c>
      <c r="I27" s="8" t="s">
        <v>11</v>
      </c>
      <c r="J27" s="8">
        <v>64</v>
      </c>
      <c r="K27" s="8" t="s">
        <v>720</v>
      </c>
      <c r="L27" s="8" t="s">
        <v>720</v>
      </c>
      <c r="M27" s="8">
        <v>440617</v>
      </c>
      <c r="N27" s="8">
        <v>6270413</v>
      </c>
      <c r="O27" s="8" t="s">
        <v>703</v>
      </c>
    </row>
    <row r="28" spans="1:15">
      <c r="A28" s="5" t="s">
        <v>719</v>
      </c>
      <c r="B28" s="12"/>
      <c r="C28" s="12"/>
      <c r="D28" s="6" t="str">
        <f t="shared" si="0"/>
        <v/>
      </c>
      <c r="E28" s="12">
        <v>7.9500000000000003E-4</v>
      </c>
      <c r="F28" s="7">
        <f t="shared" si="1"/>
        <v>-3.0996328713435295</v>
      </c>
      <c r="G28" s="6"/>
      <c r="H28" s="6" t="str">
        <f t="shared" si="2"/>
        <v/>
      </c>
      <c r="I28" s="8" t="s">
        <v>11</v>
      </c>
      <c r="J28" s="8">
        <v>64</v>
      </c>
      <c r="K28" s="8" t="s">
        <v>720</v>
      </c>
      <c r="L28" s="8" t="s">
        <v>720</v>
      </c>
      <c r="M28" s="8">
        <v>440617</v>
      </c>
      <c r="N28" s="8">
        <v>6270413</v>
      </c>
      <c r="O28" s="8" t="s">
        <v>703</v>
      </c>
    </row>
    <row r="29" spans="1:15">
      <c r="A29" s="5" t="s">
        <v>719</v>
      </c>
      <c r="C29" s="12">
        <v>1E-4</v>
      </c>
      <c r="D29" s="6">
        <f t="shared" si="0"/>
        <v>-4</v>
      </c>
      <c r="E29" s="12">
        <v>1.5E-3</v>
      </c>
      <c r="F29" s="7">
        <f t="shared" si="1"/>
        <v>-2.8239087409443187</v>
      </c>
      <c r="G29" s="10"/>
      <c r="H29" s="6" t="str">
        <f t="shared" si="2"/>
        <v/>
      </c>
      <c r="I29" s="8" t="s">
        <v>684</v>
      </c>
      <c r="J29" s="8">
        <v>64</v>
      </c>
      <c r="K29" s="8" t="s">
        <v>720</v>
      </c>
      <c r="L29" s="8" t="s">
        <v>720</v>
      </c>
      <c r="M29" s="8">
        <v>440617</v>
      </c>
      <c r="N29" s="8">
        <v>6270413</v>
      </c>
      <c r="O29" s="8" t="s">
        <v>703</v>
      </c>
    </row>
    <row r="33" spans="1:9">
      <c r="A33" s="28" t="s">
        <v>849</v>
      </c>
      <c r="B33" s="28" t="s">
        <v>850</v>
      </c>
      <c r="C33" s="28" t="s">
        <v>851</v>
      </c>
      <c r="D33" s="28" t="s">
        <v>852</v>
      </c>
      <c r="E33" s="28" t="s">
        <v>853</v>
      </c>
      <c r="F33" s="28" t="s">
        <v>934</v>
      </c>
      <c r="G33" t="s">
        <v>967</v>
      </c>
      <c r="H33" s="28"/>
    </row>
    <row r="34" spans="1:9">
      <c r="A34" s="28" t="s">
        <v>855</v>
      </c>
      <c r="B34" s="28">
        <f>COUNTA(B2:B29)</f>
        <v>4</v>
      </c>
      <c r="C34" s="37">
        <f>MIN(B2:B29)</f>
        <v>6.0229999999999997E-3</v>
      </c>
      <c r="D34" s="37">
        <f xml:space="preserve"> MAX(B2:B29)</f>
        <v>0.08</v>
      </c>
      <c r="E34" s="37">
        <f xml:space="preserve"> AVERAGEIF(B2:B29,"&lt;&gt;0")</f>
        <v>6.1505749999999998E-2</v>
      </c>
      <c r="F34" s="37"/>
      <c r="H34" s="37"/>
      <c r="I34" s="28"/>
    </row>
    <row r="35" spans="1:9">
      <c r="A35" s="28" t="s">
        <v>857</v>
      </c>
      <c r="B35" s="28">
        <f>COUNTA(C2:C29)</f>
        <v>1</v>
      </c>
      <c r="C35" s="37">
        <f xml:space="preserve"> MIN(C2:C29)</f>
        <v>1E-4</v>
      </c>
      <c r="D35" s="37">
        <f xml:space="preserve"> MAX(C2:C29)</f>
        <v>1E-4</v>
      </c>
      <c r="E35" s="37">
        <f xml:space="preserve"> AVERAGEIF(C2:C29,"&lt;&gt;0")</f>
        <v>1E-4</v>
      </c>
      <c r="F35" s="37">
        <f>AVERAGE(D2:D29)</f>
        <v>-4</v>
      </c>
      <c r="G35" s="45">
        <f>10^F35</f>
        <v>1E-4</v>
      </c>
      <c r="H35" s="37"/>
      <c r="I35" s="19"/>
    </row>
    <row r="36" spans="1:9">
      <c r="A36" s="28" t="s">
        <v>914</v>
      </c>
      <c r="B36" s="28">
        <f>COUNTA(E2:E29)</f>
        <v>9</v>
      </c>
      <c r="C36" s="37">
        <f xml:space="preserve"> MIN(E2:E29)</f>
        <v>7.7899999999999996E-4</v>
      </c>
      <c r="D36" s="37">
        <f xml:space="preserve"> MAX(E2:E29)</f>
        <v>1.7999999999999999E-2</v>
      </c>
      <c r="E36" s="37">
        <f>AVERAGEIF(E2:E29,"&lt;&gt;0")</f>
        <v>4.5415555555555548E-3</v>
      </c>
      <c r="F36" s="37">
        <f>AVERAGE(F2:F29)</f>
        <v>-2.5366587281572586</v>
      </c>
      <c r="G36" s="45">
        <f t="shared" ref="G36:G37" si="3">10^F36</f>
        <v>2.9063055539660697E-3</v>
      </c>
      <c r="H36" s="37"/>
      <c r="I36" s="19"/>
    </row>
    <row r="37" spans="1:9">
      <c r="A37" s="28" t="s">
        <v>854</v>
      </c>
      <c r="B37" s="28">
        <f>COUNTA(G2:G29)</f>
        <v>0</v>
      </c>
      <c r="C37" s="37">
        <f xml:space="preserve"> MIN((G2:G29))</f>
        <v>0</v>
      </c>
      <c r="D37" s="37">
        <f xml:space="preserve"> MAX((G2:G29))</f>
        <v>0</v>
      </c>
      <c r="E37" s="37" t="e">
        <f>AVERAGEIF(G2:G29,"&lt;&gt;0")</f>
        <v>#DIV/0!</v>
      </c>
      <c r="F37" s="37" t="e">
        <f>AVERAGE(H2:H29)</f>
        <v>#DIV/0!</v>
      </c>
      <c r="G37" s="45" t="e">
        <f t="shared" si="3"/>
        <v>#DIV/0!</v>
      </c>
      <c r="H37" s="37"/>
      <c r="I37" s="19"/>
    </row>
    <row r="38" spans="1:9">
      <c r="A38" s="28"/>
      <c r="B38" s="28"/>
      <c r="C38" s="28"/>
      <c r="D38" s="28"/>
      <c r="E38" s="28"/>
      <c r="F38" s="28"/>
      <c r="G38" s="28"/>
      <c r="H38" s="28"/>
      <c r="I38" s="19"/>
    </row>
    <row r="39" spans="1:9">
      <c r="A39" s="28"/>
      <c r="B39" s="28"/>
      <c r="C39" s="28"/>
      <c r="D39" s="28"/>
      <c r="E39" s="28"/>
      <c r="F39" s="28"/>
      <c r="G39" s="28"/>
      <c r="H39" s="28"/>
      <c r="I39" s="2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1"/>
  <sheetViews>
    <sheetView topLeftCell="A7" zoomScale="90" zoomScaleNormal="90" workbookViewId="0">
      <selection activeCell="G25" sqref="G25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9" width="11.83203125" customWidth="1"/>
    <col min="10" max="10" width="13.6640625" customWidth="1"/>
    <col min="11" max="11" width="14.5" customWidth="1"/>
    <col min="17" max="17" width="18.6640625" bestFit="1" customWidth="1"/>
  </cols>
  <sheetData>
    <row r="1" spans="1:16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918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160</v>
      </c>
      <c r="B2" s="6"/>
      <c r="C2" s="6"/>
      <c r="D2" s="6" t="str">
        <f>IFERROR(LOG10(C2),"")</f>
        <v/>
      </c>
      <c r="E2" s="9">
        <v>3.6000000000000002E-4</v>
      </c>
      <c r="F2" s="9">
        <f>IFERROR(LOG10(E2),"")</f>
        <v>-3.4436974992327127</v>
      </c>
      <c r="G2" s="9">
        <f>47</f>
        <v>47</v>
      </c>
      <c r="H2" s="12">
        <f>E2/G2</f>
        <v>7.6595744680851069E-6</v>
      </c>
      <c r="I2" s="12">
        <f>IFERROR(LOG10(H2),"")</f>
        <v>-5.1157953571684303</v>
      </c>
      <c r="J2" s="8" t="s">
        <v>161</v>
      </c>
      <c r="K2" s="21">
        <v>33</v>
      </c>
      <c r="L2" s="8" t="s">
        <v>47</v>
      </c>
      <c r="M2" s="8" t="s">
        <v>162</v>
      </c>
      <c r="N2" s="8">
        <v>410604</v>
      </c>
      <c r="O2" s="8">
        <v>6469047</v>
      </c>
      <c r="P2" s="8" t="s">
        <v>163</v>
      </c>
    </row>
    <row r="3" spans="1:16">
      <c r="A3" s="5" t="s">
        <v>164</v>
      </c>
      <c r="B3" s="6"/>
      <c r="C3" s="6"/>
      <c r="D3" s="6" t="str">
        <f t="shared" ref="D3:D21" si="0">IFERROR(LOG10(C3),"")</f>
        <v/>
      </c>
      <c r="E3" s="9">
        <v>1E-4</v>
      </c>
      <c r="F3" s="9">
        <f t="shared" ref="F3:F21" si="1">IFERROR(LOG10(E3),"")</f>
        <v>-4</v>
      </c>
      <c r="G3" s="9">
        <f>47</f>
        <v>47</v>
      </c>
      <c r="H3" s="12">
        <f t="shared" ref="H3:H7" si="2">E3/G3</f>
        <v>2.1276595744680853E-6</v>
      </c>
      <c r="I3" s="12">
        <f t="shared" ref="I3:I21" si="3">IFERROR(LOG10(H3),"")</f>
        <v>-5.6720978579357171</v>
      </c>
      <c r="J3" s="8"/>
      <c r="K3" s="21">
        <v>33</v>
      </c>
      <c r="L3" s="8" t="s">
        <v>47</v>
      </c>
      <c r="M3" s="8" t="s">
        <v>162</v>
      </c>
      <c r="N3" s="8">
        <v>411579</v>
      </c>
      <c r="O3" s="8">
        <v>6468618</v>
      </c>
      <c r="P3" s="8" t="s">
        <v>163</v>
      </c>
    </row>
    <row r="4" spans="1:16">
      <c r="A4" s="5" t="s">
        <v>164</v>
      </c>
      <c r="B4" s="6"/>
      <c r="C4" s="6"/>
      <c r="D4" s="6" t="str">
        <f t="shared" si="0"/>
        <v/>
      </c>
      <c r="E4" s="9">
        <v>3.8999999999999999E-4</v>
      </c>
      <c r="F4" s="9">
        <f t="shared" si="1"/>
        <v>-3.4089353929735009</v>
      </c>
      <c r="G4" s="9">
        <f>47</f>
        <v>47</v>
      </c>
      <c r="H4" s="12">
        <f t="shared" si="2"/>
        <v>8.2978723404255322E-6</v>
      </c>
      <c r="I4" s="12">
        <f t="shared" si="3"/>
        <v>-5.0810332509092184</v>
      </c>
      <c r="J4" s="8"/>
      <c r="K4" s="21">
        <v>33</v>
      </c>
      <c r="L4" s="8" t="s">
        <v>47</v>
      </c>
      <c r="M4" s="8" t="s">
        <v>162</v>
      </c>
      <c r="N4" s="8">
        <v>411579</v>
      </c>
      <c r="O4" s="8">
        <v>6468618</v>
      </c>
      <c r="P4" s="8" t="s">
        <v>163</v>
      </c>
    </row>
    <row r="5" spans="1:16">
      <c r="A5" s="5" t="s">
        <v>165</v>
      </c>
      <c r="B5" s="6"/>
      <c r="C5" s="6"/>
      <c r="D5" s="6" t="str">
        <f t="shared" si="0"/>
        <v/>
      </c>
      <c r="E5" s="9">
        <v>9.3000000000000005E-4</v>
      </c>
      <c r="F5" s="9">
        <f t="shared" si="1"/>
        <v>-3.0315170514460648</v>
      </c>
      <c r="G5" s="9">
        <f>47</f>
        <v>47</v>
      </c>
      <c r="H5" s="12">
        <f t="shared" si="2"/>
        <v>1.9787234042553193E-5</v>
      </c>
      <c r="I5" s="12">
        <f t="shared" si="3"/>
        <v>-4.7036149093817823</v>
      </c>
      <c r="J5" s="8"/>
      <c r="K5" s="21">
        <v>33</v>
      </c>
      <c r="L5" s="8" t="s">
        <v>47</v>
      </c>
      <c r="M5" s="8" t="s">
        <v>162</v>
      </c>
      <c r="N5" s="8">
        <v>410329</v>
      </c>
      <c r="O5" s="8">
        <v>6469560</v>
      </c>
      <c r="P5" s="8" t="s">
        <v>163</v>
      </c>
    </row>
    <row r="6" spans="1:16">
      <c r="A6" s="5" t="s">
        <v>165</v>
      </c>
      <c r="B6" s="6"/>
      <c r="C6" s="6"/>
      <c r="D6" s="6" t="str">
        <f t="shared" si="0"/>
        <v/>
      </c>
      <c r="E6" s="9">
        <v>8.7000000000000001E-4</v>
      </c>
      <c r="F6" s="9">
        <f t="shared" si="1"/>
        <v>-3.0604807473813813</v>
      </c>
      <c r="G6" s="9">
        <f>47</f>
        <v>47</v>
      </c>
      <c r="H6" s="12">
        <f t="shared" si="2"/>
        <v>1.8510638297872342E-5</v>
      </c>
      <c r="I6" s="12">
        <f t="shared" si="3"/>
        <v>-4.7325786053170988</v>
      </c>
      <c r="J6" s="8"/>
      <c r="K6" s="21">
        <v>33</v>
      </c>
      <c r="L6" s="8" t="s">
        <v>47</v>
      </c>
      <c r="M6" s="8" t="s">
        <v>162</v>
      </c>
      <c r="N6" s="8">
        <v>410329</v>
      </c>
      <c r="O6" s="8">
        <v>6469560</v>
      </c>
      <c r="P6" s="8" t="s">
        <v>163</v>
      </c>
    </row>
    <row r="7" spans="1:16">
      <c r="A7" s="5" t="s">
        <v>165</v>
      </c>
      <c r="B7" s="6"/>
      <c r="C7" s="6"/>
      <c r="D7" s="6" t="str">
        <f t="shared" si="0"/>
        <v/>
      </c>
      <c r="E7" s="9">
        <v>2.8E-3</v>
      </c>
      <c r="F7" s="9">
        <f t="shared" si="1"/>
        <v>-2.5528419686577806</v>
      </c>
      <c r="G7" s="9">
        <f>47</f>
        <v>47</v>
      </c>
      <c r="H7" s="12">
        <f t="shared" si="2"/>
        <v>5.9574468085106384E-5</v>
      </c>
      <c r="I7" s="12">
        <f t="shared" si="3"/>
        <v>-4.2249398265934985</v>
      </c>
      <c r="J7" s="8"/>
      <c r="K7" s="21">
        <v>33</v>
      </c>
      <c r="L7" s="8" t="s">
        <v>47</v>
      </c>
      <c r="M7" s="8" t="s">
        <v>162</v>
      </c>
      <c r="N7" s="8">
        <v>410329</v>
      </c>
      <c r="O7" s="8">
        <v>6469560</v>
      </c>
      <c r="P7" s="8" t="s">
        <v>163</v>
      </c>
    </row>
    <row r="8" spans="1:16">
      <c r="A8" s="5" t="s">
        <v>166</v>
      </c>
      <c r="B8" s="6"/>
      <c r="C8" s="6"/>
      <c r="D8" s="6" t="str">
        <f t="shared" si="0"/>
        <v/>
      </c>
      <c r="E8" s="7"/>
      <c r="F8" s="9" t="str">
        <f t="shared" si="1"/>
        <v/>
      </c>
      <c r="G8" s="7"/>
      <c r="H8" s="6"/>
      <c r="I8" s="12" t="str">
        <f t="shared" si="3"/>
        <v/>
      </c>
      <c r="J8" s="8" t="s">
        <v>11</v>
      </c>
      <c r="K8" s="21">
        <v>40</v>
      </c>
      <c r="L8" s="8" t="s">
        <v>167</v>
      </c>
      <c r="M8" s="8" t="s">
        <v>168</v>
      </c>
      <c r="N8" s="8">
        <v>433228</v>
      </c>
      <c r="O8" s="8">
        <v>6331275</v>
      </c>
      <c r="P8" s="8" t="s">
        <v>163</v>
      </c>
    </row>
    <row r="9" spans="1:16">
      <c r="A9" s="5" t="s">
        <v>169</v>
      </c>
      <c r="B9" s="6"/>
      <c r="C9" s="6"/>
      <c r="D9" s="6" t="str">
        <f t="shared" si="0"/>
        <v/>
      </c>
      <c r="E9" s="7"/>
      <c r="F9" s="9" t="str">
        <f t="shared" si="1"/>
        <v/>
      </c>
      <c r="G9" s="7"/>
      <c r="H9" s="6"/>
      <c r="I9" s="12" t="str">
        <f t="shared" si="3"/>
        <v/>
      </c>
      <c r="J9" s="8" t="s">
        <v>11</v>
      </c>
      <c r="K9" s="21">
        <v>40</v>
      </c>
      <c r="L9" s="8" t="s">
        <v>170</v>
      </c>
      <c r="M9" s="8" t="s">
        <v>171</v>
      </c>
      <c r="N9" s="8">
        <v>446892</v>
      </c>
      <c r="O9" s="8">
        <v>6325431</v>
      </c>
      <c r="P9" s="8" t="s">
        <v>163</v>
      </c>
    </row>
    <row r="10" spans="1:16">
      <c r="A10" s="5" t="s">
        <v>172</v>
      </c>
      <c r="B10" s="6"/>
      <c r="C10" s="6"/>
      <c r="D10" s="6" t="str">
        <f t="shared" si="0"/>
        <v/>
      </c>
      <c r="E10" s="7"/>
      <c r="F10" s="9" t="str">
        <f t="shared" si="1"/>
        <v/>
      </c>
      <c r="G10" s="7"/>
      <c r="H10" s="6"/>
      <c r="I10" s="12" t="str">
        <f t="shared" si="3"/>
        <v/>
      </c>
      <c r="J10" s="8" t="s">
        <v>11</v>
      </c>
      <c r="K10" s="21">
        <v>24</v>
      </c>
      <c r="L10" s="8" t="s">
        <v>173</v>
      </c>
      <c r="M10" s="8" t="s">
        <v>174</v>
      </c>
      <c r="N10" s="8">
        <v>471768</v>
      </c>
      <c r="O10" s="8">
        <v>6432712</v>
      </c>
      <c r="P10" s="8" t="s">
        <v>163</v>
      </c>
    </row>
    <row r="11" spans="1:16">
      <c r="A11" s="5" t="s">
        <v>175</v>
      </c>
      <c r="B11" s="6"/>
      <c r="C11" s="6"/>
      <c r="D11" s="6" t="str">
        <f t="shared" si="0"/>
        <v/>
      </c>
      <c r="E11" s="7"/>
      <c r="F11" s="9" t="str">
        <f t="shared" si="1"/>
        <v/>
      </c>
      <c r="G11" s="7"/>
      <c r="H11" s="6"/>
      <c r="I11" s="12" t="str">
        <f t="shared" si="3"/>
        <v/>
      </c>
      <c r="J11" s="8" t="s">
        <v>11</v>
      </c>
      <c r="K11" s="21">
        <v>24</v>
      </c>
      <c r="L11" s="8" t="s">
        <v>176</v>
      </c>
      <c r="M11" s="8" t="s">
        <v>177</v>
      </c>
      <c r="N11" s="8">
        <v>512406</v>
      </c>
      <c r="O11" s="8">
        <v>6407075</v>
      </c>
      <c r="P11" s="8" t="s">
        <v>163</v>
      </c>
    </row>
    <row r="12" spans="1:16">
      <c r="A12" s="14" t="s">
        <v>178</v>
      </c>
      <c r="C12" s="6">
        <v>5.0000000000000001E-4</v>
      </c>
      <c r="D12" s="6">
        <f t="shared" si="0"/>
        <v>-3.3010299956639813</v>
      </c>
      <c r="E12" s="7">
        <v>7.4999999999999997E-2</v>
      </c>
      <c r="F12" s="9">
        <f t="shared" si="1"/>
        <v>-1.1249387366082999</v>
      </c>
      <c r="G12" s="7"/>
      <c r="H12" s="10"/>
      <c r="I12" s="12" t="str">
        <f t="shared" si="3"/>
        <v/>
      </c>
      <c r="J12" s="8" t="s">
        <v>179</v>
      </c>
      <c r="K12" s="21">
        <v>17</v>
      </c>
      <c r="L12" s="8" t="s">
        <v>180</v>
      </c>
      <c r="M12" s="8" t="s">
        <v>181</v>
      </c>
      <c r="N12" s="8">
        <v>410220</v>
      </c>
      <c r="O12" s="8">
        <v>6488725</v>
      </c>
      <c r="P12" s="8" t="s">
        <v>163</v>
      </c>
    </row>
    <row r="13" spans="1:16">
      <c r="A13" s="14" t="s">
        <v>182</v>
      </c>
      <c r="B13" s="6"/>
      <c r="C13" s="6"/>
      <c r="D13" s="6" t="str">
        <f t="shared" si="0"/>
        <v/>
      </c>
      <c r="E13" s="7">
        <v>1.15E-2</v>
      </c>
      <c r="F13" s="9">
        <f t="shared" si="1"/>
        <v>-1.9393021596463884</v>
      </c>
      <c r="G13" s="7"/>
      <c r="H13" s="10"/>
      <c r="I13" s="12" t="str">
        <f t="shared" si="3"/>
        <v/>
      </c>
      <c r="J13" s="8" t="s">
        <v>183</v>
      </c>
      <c r="K13" s="21">
        <v>17</v>
      </c>
      <c r="L13" s="8" t="s">
        <v>184</v>
      </c>
      <c r="M13" s="8" t="s">
        <v>185</v>
      </c>
      <c r="N13" s="8">
        <v>439098</v>
      </c>
      <c r="O13" s="8">
        <v>6496183</v>
      </c>
      <c r="P13" s="8" t="s">
        <v>163</v>
      </c>
    </row>
    <row r="14" spans="1:16">
      <c r="A14" s="14" t="s">
        <v>186</v>
      </c>
      <c r="B14" s="6"/>
      <c r="C14" s="6"/>
      <c r="D14" s="6" t="str">
        <f t="shared" si="0"/>
        <v/>
      </c>
      <c r="E14" s="7">
        <v>2.2000000000000001E-3</v>
      </c>
      <c r="F14" s="9">
        <f t="shared" si="1"/>
        <v>-2.6575773191777938</v>
      </c>
      <c r="G14" s="7">
        <f>36</f>
        <v>36</v>
      </c>
      <c r="H14" s="10">
        <f>E14/G14</f>
        <v>6.1111111111111121E-5</v>
      </c>
      <c r="I14" s="12">
        <f t="shared" si="3"/>
        <v>-4.2138798199450811</v>
      </c>
      <c r="J14" s="8" t="s">
        <v>187</v>
      </c>
      <c r="K14" s="21">
        <v>17</v>
      </c>
      <c r="L14" s="8" t="s">
        <v>188</v>
      </c>
      <c r="M14" s="8" t="s">
        <v>189</v>
      </c>
      <c r="N14" s="8">
        <v>437729</v>
      </c>
      <c r="O14" s="8">
        <v>6461385</v>
      </c>
      <c r="P14" s="8" t="s">
        <v>163</v>
      </c>
    </row>
    <row r="15" spans="1:16">
      <c r="A15" s="14" t="s">
        <v>190</v>
      </c>
      <c r="B15" s="6">
        <v>0.01</v>
      </c>
      <c r="C15" s="6"/>
      <c r="D15" s="6" t="str">
        <f t="shared" si="0"/>
        <v/>
      </c>
      <c r="E15" s="7">
        <f>2.3*10^-3</f>
        <v>2.3E-3</v>
      </c>
      <c r="F15" s="9">
        <f t="shared" si="1"/>
        <v>-2.6382721639824069</v>
      </c>
      <c r="G15" s="7"/>
      <c r="H15" s="10"/>
      <c r="I15" s="12" t="str">
        <f t="shared" si="3"/>
        <v/>
      </c>
      <c r="J15" s="8" t="s">
        <v>191</v>
      </c>
      <c r="K15" s="21">
        <v>16</v>
      </c>
      <c r="L15" s="8" t="s">
        <v>192</v>
      </c>
      <c r="M15" s="8" t="s">
        <v>193</v>
      </c>
      <c r="N15" s="8">
        <v>467205</v>
      </c>
      <c r="O15" s="8">
        <v>6463158</v>
      </c>
      <c r="P15" s="8" t="s">
        <v>163</v>
      </c>
    </row>
    <row r="16" spans="1:16">
      <c r="A16" s="14" t="s">
        <v>190</v>
      </c>
      <c r="B16" s="6">
        <f>10^-2</f>
        <v>0.01</v>
      </c>
      <c r="C16" s="6"/>
      <c r="D16" s="6" t="str">
        <f t="shared" si="0"/>
        <v/>
      </c>
      <c r="E16" s="7">
        <f>3.2*10^-3</f>
        <v>3.2000000000000002E-3</v>
      </c>
      <c r="F16" s="9">
        <f t="shared" si="1"/>
        <v>-2.4948500216800942</v>
      </c>
      <c r="G16" s="7"/>
      <c r="H16" s="10"/>
      <c r="I16" s="12" t="str">
        <f t="shared" si="3"/>
        <v/>
      </c>
      <c r="J16" s="8" t="s">
        <v>191</v>
      </c>
      <c r="K16" s="21">
        <v>16</v>
      </c>
      <c r="L16" s="8" t="s">
        <v>192</v>
      </c>
      <c r="M16" s="8" t="s">
        <v>193</v>
      </c>
      <c r="N16" s="8">
        <v>467205</v>
      </c>
      <c r="O16" s="8">
        <v>6463158</v>
      </c>
      <c r="P16" s="8" t="s">
        <v>163</v>
      </c>
    </row>
    <row r="17" spans="1:16">
      <c r="A17" s="14" t="s">
        <v>190</v>
      </c>
      <c r="B17" s="6"/>
      <c r="C17" s="6"/>
      <c r="D17" s="6" t="str">
        <f t="shared" si="0"/>
        <v/>
      </c>
      <c r="E17" s="7">
        <f>2*10^-3</f>
        <v>2E-3</v>
      </c>
      <c r="F17" s="9">
        <f t="shared" si="1"/>
        <v>-2.6989700043360187</v>
      </c>
      <c r="G17" s="7"/>
      <c r="H17" s="10"/>
      <c r="I17" s="12" t="str">
        <f t="shared" si="3"/>
        <v/>
      </c>
      <c r="J17" s="8" t="s">
        <v>194</v>
      </c>
      <c r="K17" s="21">
        <v>16</v>
      </c>
      <c r="L17" s="8" t="s">
        <v>192</v>
      </c>
      <c r="M17" s="8" t="s">
        <v>193</v>
      </c>
      <c r="N17" s="8">
        <v>467205</v>
      </c>
      <c r="O17" s="8">
        <v>6463158</v>
      </c>
      <c r="P17" s="8" t="s">
        <v>163</v>
      </c>
    </row>
    <row r="18" spans="1:16">
      <c r="A18" s="5" t="s">
        <v>661</v>
      </c>
      <c r="B18" s="6"/>
      <c r="C18" s="6"/>
      <c r="D18" s="6" t="str">
        <f t="shared" si="0"/>
        <v/>
      </c>
      <c r="E18" s="7"/>
      <c r="F18" s="9" t="str">
        <f t="shared" si="1"/>
        <v/>
      </c>
      <c r="G18" s="7"/>
      <c r="H18" s="6"/>
      <c r="I18" s="12" t="str">
        <f t="shared" si="3"/>
        <v/>
      </c>
      <c r="J18" s="8" t="s">
        <v>11</v>
      </c>
      <c r="K18" s="21">
        <v>40</v>
      </c>
      <c r="L18" s="8" t="s">
        <v>662</v>
      </c>
      <c r="M18" s="8" t="s">
        <v>663</v>
      </c>
      <c r="N18" s="8">
        <v>362547</v>
      </c>
      <c r="O18" s="8">
        <v>6296252</v>
      </c>
      <c r="P18" s="8" t="s">
        <v>664</v>
      </c>
    </row>
    <row r="19" spans="1:16">
      <c r="A19" s="5" t="s">
        <v>661</v>
      </c>
      <c r="B19" s="6"/>
      <c r="C19" s="6"/>
      <c r="D19" s="6" t="str">
        <f t="shared" si="0"/>
        <v/>
      </c>
      <c r="E19" s="7"/>
      <c r="F19" s="9" t="str">
        <f t="shared" si="1"/>
        <v/>
      </c>
      <c r="G19" s="7"/>
      <c r="H19" s="6"/>
      <c r="I19" s="12" t="str">
        <f t="shared" si="3"/>
        <v/>
      </c>
      <c r="J19" s="8" t="s">
        <v>11</v>
      </c>
      <c r="K19" s="21">
        <v>40</v>
      </c>
      <c r="L19" s="8" t="s">
        <v>662</v>
      </c>
      <c r="M19" s="8" t="s">
        <v>663</v>
      </c>
      <c r="N19" s="8">
        <v>362547</v>
      </c>
      <c r="O19" s="8">
        <v>6296252</v>
      </c>
      <c r="P19" s="8" t="s">
        <v>664</v>
      </c>
    </row>
    <row r="20" spans="1:16">
      <c r="A20" s="5" t="s">
        <v>661</v>
      </c>
      <c r="B20" s="6"/>
      <c r="C20" s="6"/>
      <c r="D20" s="6" t="str">
        <f t="shared" si="0"/>
        <v/>
      </c>
      <c r="E20" s="7"/>
      <c r="F20" s="9" t="str">
        <f t="shared" si="1"/>
        <v/>
      </c>
      <c r="G20" s="7"/>
      <c r="H20" s="6"/>
      <c r="I20" s="12" t="str">
        <f t="shared" si="3"/>
        <v/>
      </c>
      <c r="J20" s="8" t="s">
        <v>11</v>
      </c>
      <c r="K20" s="21">
        <v>40</v>
      </c>
      <c r="L20" s="8" t="s">
        <v>662</v>
      </c>
      <c r="M20" s="8" t="s">
        <v>663</v>
      </c>
      <c r="N20" s="8">
        <v>362547</v>
      </c>
      <c r="O20" s="8">
        <v>6296252</v>
      </c>
      <c r="P20" s="8" t="s">
        <v>664</v>
      </c>
    </row>
    <row r="21" spans="1:16">
      <c r="A21" s="5" t="s">
        <v>661</v>
      </c>
      <c r="B21" s="6"/>
      <c r="C21" s="6"/>
      <c r="D21" s="6" t="str">
        <f t="shared" si="0"/>
        <v/>
      </c>
      <c r="E21" s="7"/>
      <c r="F21" s="9" t="str">
        <f t="shared" si="1"/>
        <v/>
      </c>
      <c r="G21" s="7"/>
      <c r="H21" s="6"/>
      <c r="I21" s="12" t="str">
        <f t="shared" si="3"/>
        <v/>
      </c>
      <c r="J21" s="8" t="s">
        <v>11</v>
      </c>
      <c r="K21" s="21">
        <v>40</v>
      </c>
      <c r="L21" s="8" t="s">
        <v>662</v>
      </c>
      <c r="M21" s="8" t="s">
        <v>663</v>
      </c>
      <c r="N21" s="8">
        <v>362547</v>
      </c>
      <c r="O21" s="8">
        <v>6296252</v>
      </c>
      <c r="P21" s="8" t="s">
        <v>664</v>
      </c>
    </row>
    <row r="25" spans="1:16">
      <c r="A25" s="28" t="s">
        <v>849</v>
      </c>
      <c r="B25" s="28" t="s">
        <v>850</v>
      </c>
      <c r="C25" s="28" t="s">
        <v>851</v>
      </c>
      <c r="D25" s="28" t="s">
        <v>852</v>
      </c>
      <c r="E25" s="28" t="s">
        <v>853</v>
      </c>
      <c r="F25" s="28" t="s">
        <v>934</v>
      </c>
      <c r="G25" s="28" t="s">
        <v>967</v>
      </c>
      <c r="I25" s="28"/>
    </row>
    <row r="26" spans="1:16">
      <c r="A26" s="28" t="s">
        <v>855</v>
      </c>
      <c r="B26" s="28">
        <f xml:space="preserve"> COUNTA(B2:B21)</f>
        <v>2</v>
      </c>
      <c r="C26" s="28">
        <f xml:space="preserve"> MIN(B2:B21)</f>
        <v>0.01</v>
      </c>
      <c r="D26" s="28">
        <f>MAX(B2:B21)</f>
        <v>0.01</v>
      </c>
      <c r="E26" s="28">
        <f>AVERAGEIF(B2:B21,"&lt;&gt;0")</f>
        <v>0.01</v>
      </c>
      <c r="F26" s="28"/>
      <c r="G26" s="28"/>
      <c r="I26" s="28"/>
    </row>
    <row r="27" spans="1:16">
      <c r="A27" s="28" t="s">
        <v>857</v>
      </c>
      <c r="B27" s="28">
        <f xml:space="preserve"> COUNTA(C2:C21)</f>
        <v>1</v>
      </c>
      <c r="C27" s="28">
        <f xml:space="preserve"> MIN(C2:C21)</f>
        <v>5.0000000000000001E-4</v>
      </c>
      <c r="D27" s="28">
        <f xml:space="preserve"> MAX(C2:C21)</f>
        <v>5.0000000000000001E-4</v>
      </c>
      <c r="E27" s="28">
        <f xml:space="preserve"> AVERAGEIF(C2:C21,"&lt;&gt;0")</f>
        <v>5.0000000000000001E-4</v>
      </c>
      <c r="F27" s="28">
        <f>AVERAGE(D2:D21)</f>
        <v>-3.3010299956639813</v>
      </c>
      <c r="G27" s="28">
        <f>10^F27</f>
        <v>4.9999999999999958E-4</v>
      </c>
      <c r="I27" s="28"/>
    </row>
    <row r="28" spans="1:16">
      <c r="A28" s="28" t="s">
        <v>914</v>
      </c>
      <c r="B28" s="28">
        <f xml:space="preserve"> COUNTA(E2:E21)</f>
        <v>12</v>
      </c>
      <c r="C28" s="37">
        <f xml:space="preserve"> MIN(E2:E21)</f>
        <v>1E-4</v>
      </c>
      <c r="D28" s="37">
        <f xml:space="preserve"> MAX(E2:E21)</f>
        <v>7.4999999999999997E-2</v>
      </c>
      <c r="E28" s="28">
        <f>AVERAGEIF(E2:E21,"&lt;&gt;0")</f>
        <v>8.470833333333332E-3</v>
      </c>
      <c r="F28" s="37">
        <f>AVERAGE(F2:F21)</f>
        <v>-2.7542819220935364</v>
      </c>
      <c r="G28" s="28">
        <f t="shared" ref="G28:G29" si="4">10^F28</f>
        <v>1.760832631512157E-3</v>
      </c>
      <c r="I28" s="28"/>
    </row>
    <row r="29" spans="1:16">
      <c r="A29" s="28" t="s">
        <v>915</v>
      </c>
      <c r="B29" s="28">
        <f xml:space="preserve"> COUNTA(H2:H21)</f>
        <v>7</v>
      </c>
      <c r="C29" s="28">
        <f xml:space="preserve"> MIN(H2:H21)</f>
        <v>2.1276595744680853E-6</v>
      </c>
      <c r="D29" s="28">
        <f xml:space="preserve"> MAX(H2:H21)</f>
        <v>6.1111111111111121E-5</v>
      </c>
      <c r="E29" s="28">
        <f>AVERAGEIF(H2:H21,"&lt;&gt;0")</f>
        <v>2.5295508274231678E-5</v>
      </c>
      <c r="F29" s="37">
        <f>AVERAGE(I2:I21)</f>
        <v>-4.8205628038929751</v>
      </c>
      <c r="G29" s="28">
        <f t="shared" si="4"/>
        <v>1.5116010889441649E-5</v>
      </c>
      <c r="I29" s="28"/>
    </row>
    <row r="30" spans="1:16">
      <c r="A30" s="29"/>
      <c r="B30" s="19"/>
      <c r="C30" s="19"/>
      <c r="D30" s="19"/>
      <c r="E30" s="19"/>
      <c r="F30" s="19"/>
      <c r="G30" s="19"/>
      <c r="H30" s="27"/>
      <c r="I30" s="27"/>
    </row>
    <row r="31" spans="1:16">
      <c r="A31" s="28"/>
      <c r="B31" s="19"/>
      <c r="C31" s="19"/>
      <c r="D31" s="19"/>
      <c r="E31" s="19"/>
      <c r="F31" s="19"/>
      <c r="G31" s="19"/>
      <c r="H31" s="27"/>
      <c r="I31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0"/>
  <sheetViews>
    <sheetView topLeftCell="A16" workbookViewId="0">
      <selection activeCell="G26" sqref="G26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8" width="11.83203125" customWidth="1"/>
    <col min="9" max="9" width="17.6640625" customWidth="1"/>
    <col min="10" max="10" width="24.1640625" customWidth="1"/>
    <col min="12" max="12" width="14.5" customWidth="1"/>
    <col min="18" max="18" width="18.6640625" bestFit="1" customWidth="1"/>
  </cols>
  <sheetData>
    <row r="1" spans="1:16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919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557</v>
      </c>
      <c r="B2" s="6"/>
      <c r="D2" s="6">
        <f>IFERROR(LOG10(C10),"")</f>
        <v>-5.0268721464003017</v>
      </c>
      <c r="E2" s="7"/>
      <c r="F2" s="7" t="str">
        <f>IFERROR(LOG10(E2),"")</f>
        <v/>
      </c>
      <c r="G2" s="7">
        <f>263</f>
        <v>263</v>
      </c>
      <c r="H2" s="6"/>
      <c r="I2" s="6" t="str">
        <f>IFERROR(LOG10(H2),"")</f>
        <v/>
      </c>
      <c r="J2" s="8" t="s">
        <v>558</v>
      </c>
      <c r="K2" s="8">
        <v>47</v>
      </c>
      <c r="L2" s="8" t="s">
        <v>559</v>
      </c>
      <c r="M2" s="8" t="s">
        <v>560</v>
      </c>
      <c r="N2" s="8">
        <v>487013</v>
      </c>
      <c r="O2" s="8">
        <v>6389443</v>
      </c>
      <c r="P2" s="8" t="s">
        <v>561</v>
      </c>
    </row>
    <row r="3" spans="1:16">
      <c r="A3" s="5" t="s">
        <v>557</v>
      </c>
      <c r="B3" s="6"/>
      <c r="C3" s="6"/>
      <c r="D3" s="6" t="str">
        <f t="shared" ref="D3:D22" si="0">IFERROR(LOG10(C3),"")</f>
        <v/>
      </c>
      <c r="E3" s="7"/>
      <c r="F3" s="7" t="str">
        <f t="shared" ref="F3:F22" si="1">IFERROR(LOG10(E3),"")</f>
        <v/>
      </c>
      <c r="G3" s="7">
        <f>263</f>
        <v>263</v>
      </c>
      <c r="H3" s="6"/>
      <c r="I3" s="6" t="str">
        <f t="shared" ref="I3:I22" si="2">IFERROR(LOG10(H3),"")</f>
        <v/>
      </c>
      <c r="J3" s="8" t="s">
        <v>558</v>
      </c>
      <c r="K3" s="8">
        <v>47</v>
      </c>
      <c r="L3" s="8" t="s">
        <v>559</v>
      </c>
      <c r="M3" s="8" t="s">
        <v>560</v>
      </c>
      <c r="N3" s="8">
        <v>487013</v>
      </c>
      <c r="O3" s="8">
        <v>6389443</v>
      </c>
      <c r="P3" s="8" t="s">
        <v>561</v>
      </c>
    </row>
    <row r="4" spans="1:16">
      <c r="A4" s="5" t="s">
        <v>557</v>
      </c>
      <c r="B4" s="6"/>
      <c r="C4" s="6"/>
      <c r="D4" s="6" t="str">
        <f t="shared" si="0"/>
        <v/>
      </c>
      <c r="E4" s="7"/>
      <c r="F4" s="7" t="str">
        <f t="shared" si="1"/>
        <v/>
      </c>
      <c r="G4" s="7">
        <f>263</f>
        <v>263</v>
      </c>
      <c r="H4" s="6"/>
      <c r="I4" s="6" t="str">
        <f t="shared" si="2"/>
        <v/>
      </c>
      <c r="J4" s="8" t="s">
        <v>558</v>
      </c>
      <c r="K4" s="8">
        <v>47</v>
      </c>
      <c r="L4" s="8" t="s">
        <v>559</v>
      </c>
      <c r="M4" s="8" t="s">
        <v>560</v>
      </c>
      <c r="N4" s="8">
        <v>487013</v>
      </c>
      <c r="O4" s="8">
        <v>6389443</v>
      </c>
      <c r="P4" s="8" t="s">
        <v>561</v>
      </c>
    </row>
    <row r="5" spans="1:16">
      <c r="A5" s="5" t="s">
        <v>557</v>
      </c>
      <c r="B5" s="6"/>
      <c r="C5" s="6"/>
      <c r="D5" s="6" t="str">
        <f t="shared" si="0"/>
        <v/>
      </c>
      <c r="E5" s="7"/>
      <c r="F5" s="7" t="str">
        <f t="shared" si="1"/>
        <v/>
      </c>
      <c r="G5" s="7">
        <f>263</f>
        <v>263</v>
      </c>
      <c r="H5" s="6"/>
      <c r="I5" s="6" t="str">
        <f t="shared" si="2"/>
        <v/>
      </c>
      <c r="J5" s="8" t="s">
        <v>558</v>
      </c>
      <c r="K5" s="8">
        <v>47</v>
      </c>
      <c r="L5" s="8" t="s">
        <v>559</v>
      </c>
      <c r="M5" s="8" t="s">
        <v>560</v>
      </c>
      <c r="N5" s="8">
        <v>487013</v>
      </c>
      <c r="O5" s="8">
        <v>6389443</v>
      </c>
      <c r="P5" s="8" t="s">
        <v>561</v>
      </c>
    </row>
    <row r="6" spans="1:16">
      <c r="A6" s="5" t="s">
        <v>557</v>
      </c>
      <c r="B6" s="6"/>
      <c r="C6" s="6"/>
      <c r="D6" s="6" t="str">
        <f t="shared" si="0"/>
        <v/>
      </c>
      <c r="E6" s="9">
        <v>2.9E-4</v>
      </c>
      <c r="F6" s="7">
        <f t="shared" si="1"/>
        <v>-3.5376020021010439</v>
      </c>
      <c r="G6" s="7">
        <f>263</f>
        <v>263</v>
      </c>
      <c r="H6" s="12">
        <f>E6/G6</f>
        <v>1.102661596958175E-6</v>
      </c>
      <c r="I6" s="6">
        <f t="shared" si="2"/>
        <v>-5.9575577505908015</v>
      </c>
      <c r="J6" s="8" t="s">
        <v>558</v>
      </c>
      <c r="K6" s="8">
        <v>47</v>
      </c>
      <c r="L6" s="8" t="s">
        <v>559</v>
      </c>
      <c r="M6" s="8" t="s">
        <v>560</v>
      </c>
      <c r="N6" s="8">
        <v>487013</v>
      </c>
      <c r="O6" s="8">
        <v>6389443</v>
      </c>
      <c r="P6" s="8" t="s">
        <v>561</v>
      </c>
    </row>
    <row r="7" spans="1:16">
      <c r="A7" s="5" t="s">
        <v>557</v>
      </c>
      <c r="B7" s="6"/>
      <c r="C7" s="6"/>
      <c r="D7" s="6" t="str">
        <f t="shared" si="0"/>
        <v/>
      </c>
      <c r="E7" s="9">
        <v>2.9E-4</v>
      </c>
      <c r="F7" s="7">
        <f t="shared" si="1"/>
        <v>-3.5376020021010439</v>
      </c>
      <c r="G7" s="7">
        <f>263</f>
        <v>263</v>
      </c>
      <c r="H7" s="12">
        <f>E7/G7</f>
        <v>1.102661596958175E-6</v>
      </c>
      <c r="I7" s="6">
        <f t="shared" si="2"/>
        <v>-5.9575577505908015</v>
      </c>
      <c r="J7" s="8" t="s">
        <v>558</v>
      </c>
      <c r="K7" s="8">
        <v>47</v>
      </c>
      <c r="L7" s="8" t="s">
        <v>559</v>
      </c>
      <c r="M7" s="8" t="s">
        <v>560</v>
      </c>
      <c r="N7" s="8">
        <v>487013</v>
      </c>
      <c r="O7" s="8">
        <v>6389443</v>
      </c>
      <c r="P7" s="8" t="s">
        <v>561</v>
      </c>
    </row>
    <row r="8" spans="1:16">
      <c r="A8" s="5" t="s">
        <v>562</v>
      </c>
      <c r="B8" s="6"/>
      <c r="C8" s="6"/>
      <c r="D8" s="6" t="str">
        <f t="shared" si="0"/>
        <v/>
      </c>
      <c r="E8" s="7"/>
      <c r="F8" s="7" t="str">
        <f t="shared" si="1"/>
        <v/>
      </c>
      <c r="G8" s="7"/>
      <c r="H8" s="6"/>
      <c r="I8" s="6" t="str">
        <f t="shared" si="2"/>
        <v/>
      </c>
      <c r="J8" s="8" t="s">
        <v>11</v>
      </c>
      <c r="K8" s="8">
        <v>47</v>
      </c>
      <c r="L8" s="8" t="s">
        <v>563</v>
      </c>
      <c r="M8" s="8" t="s">
        <v>564</v>
      </c>
      <c r="N8" s="8">
        <v>478721</v>
      </c>
      <c r="O8" s="8">
        <v>6381606</v>
      </c>
      <c r="P8" s="8" t="s">
        <v>561</v>
      </c>
    </row>
    <row r="9" spans="1:16">
      <c r="A9" s="5" t="s">
        <v>565</v>
      </c>
      <c r="B9" s="6"/>
      <c r="C9" s="6"/>
      <c r="D9" s="6" t="str">
        <f t="shared" si="0"/>
        <v/>
      </c>
      <c r="E9" s="9">
        <v>7.7000000000000002E-3</v>
      </c>
      <c r="F9" s="7">
        <f t="shared" si="1"/>
        <v>-2.1135092748275182</v>
      </c>
      <c r="G9" s="9">
        <v>289</v>
      </c>
      <c r="H9" s="12">
        <f>E9/G9</f>
        <v>2.6643598615916956E-5</v>
      </c>
      <c r="I9" s="6">
        <f t="shared" si="2"/>
        <v>-4.5744071175840659</v>
      </c>
      <c r="J9" s="8" t="s">
        <v>11</v>
      </c>
      <c r="K9" s="8">
        <v>47</v>
      </c>
      <c r="L9" s="8" t="s">
        <v>566</v>
      </c>
      <c r="M9" s="8" t="s">
        <v>567</v>
      </c>
      <c r="N9" s="8">
        <v>500466</v>
      </c>
      <c r="O9" s="8">
        <v>6392208</v>
      </c>
      <c r="P9" s="8" t="s">
        <v>561</v>
      </c>
    </row>
    <row r="10" spans="1:16">
      <c r="A10" s="5" t="s">
        <v>568</v>
      </c>
      <c r="B10" s="6"/>
      <c r="C10" s="6">
        <f>9.4*10^-6</f>
        <v>9.3999999999999998E-6</v>
      </c>
      <c r="D10" s="6" t="str">
        <f>IFERROR(LOG10(#REF!),"")</f>
        <v/>
      </c>
      <c r="E10" s="7"/>
      <c r="F10" s="7" t="str">
        <f t="shared" si="1"/>
        <v/>
      </c>
      <c r="G10" s="7">
        <f>220</f>
        <v>220</v>
      </c>
      <c r="H10" s="6"/>
      <c r="I10" s="6" t="s">
        <v>963</v>
      </c>
      <c r="J10" s="8" t="s">
        <v>11</v>
      </c>
      <c r="K10" s="8">
        <v>47</v>
      </c>
      <c r="L10" s="8" t="s">
        <v>569</v>
      </c>
      <c r="M10" s="8" t="s">
        <v>570</v>
      </c>
      <c r="N10" s="8">
        <v>505303</v>
      </c>
      <c r="O10" s="8">
        <v>6385235</v>
      </c>
      <c r="P10" s="8" t="s">
        <v>561</v>
      </c>
    </row>
    <row r="11" spans="1:16">
      <c r="A11" s="5" t="s">
        <v>568</v>
      </c>
      <c r="B11" s="6"/>
      <c r="C11" s="6"/>
      <c r="D11" s="6" t="str">
        <f t="shared" si="0"/>
        <v/>
      </c>
      <c r="E11" s="7"/>
      <c r="F11" s="7" t="str">
        <f t="shared" si="1"/>
        <v/>
      </c>
      <c r="G11" s="7">
        <f>220</f>
        <v>220</v>
      </c>
      <c r="H11" s="6"/>
      <c r="I11" s="6" t="str">
        <f t="shared" si="2"/>
        <v/>
      </c>
      <c r="J11" s="8" t="s">
        <v>11</v>
      </c>
      <c r="K11" s="8">
        <v>47</v>
      </c>
      <c r="L11" s="8" t="s">
        <v>569</v>
      </c>
      <c r="M11" s="8" t="s">
        <v>570</v>
      </c>
      <c r="N11" s="8">
        <v>505303</v>
      </c>
      <c r="O11" s="8">
        <v>6385235</v>
      </c>
      <c r="P11" s="8" t="s">
        <v>561</v>
      </c>
    </row>
    <row r="12" spans="1:16">
      <c r="A12" s="5" t="s">
        <v>568</v>
      </c>
      <c r="B12" s="6">
        <f xml:space="preserve"> 0.21</f>
        <v>0.21</v>
      </c>
      <c r="C12" s="6"/>
      <c r="D12" s="6" t="str">
        <f t="shared" si="0"/>
        <v/>
      </c>
      <c r="E12" s="7"/>
      <c r="F12" s="7" t="str">
        <f t="shared" si="1"/>
        <v/>
      </c>
      <c r="G12" s="7">
        <f>220</f>
        <v>220</v>
      </c>
      <c r="H12" s="6"/>
      <c r="I12" s="6" t="str">
        <f t="shared" si="2"/>
        <v/>
      </c>
      <c r="J12" s="8" t="s">
        <v>962</v>
      </c>
      <c r="K12" s="8">
        <v>47</v>
      </c>
      <c r="L12" s="8" t="s">
        <v>569</v>
      </c>
      <c r="M12" s="8" t="s">
        <v>570</v>
      </c>
      <c r="N12" s="8">
        <v>505303</v>
      </c>
      <c r="O12" s="8">
        <v>6385235</v>
      </c>
      <c r="P12" s="8" t="s">
        <v>561</v>
      </c>
    </row>
    <row r="13" spans="1:16">
      <c r="A13" s="5" t="s">
        <v>568</v>
      </c>
      <c r="B13" s="6"/>
      <c r="C13" s="6"/>
      <c r="D13" s="6" t="str">
        <f t="shared" si="0"/>
        <v/>
      </c>
      <c r="E13" s="7"/>
      <c r="F13" s="7" t="str">
        <f t="shared" si="1"/>
        <v/>
      </c>
      <c r="G13" s="7">
        <f>220</f>
        <v>220</v>
      </c>
      <c r="H13" s="6"/>
      <c r="I13" s="6" t="str">
        <f t="shared" si="2"/>
        <v/>
      </c>
      <c r="J13" s="8" t="s">
        <v>11</v>
      </c>
      <c r="K13" s="8">
        <v>47</v>
      </c>
      <c r="L13" s="8" t="s">
        <v>569</v>
      </c>
      <c r="M13" s="8" t="s">
        <v>570</v>
      </c>
      <c r="N13" s="8">
        <v>505303</v>
      </c>
      <c r="O13" s="8">
        <v>6385235</v>
      </c>
      <c r="P13" s="8" t="s">
        <v>561</v>
      </c>
    </row>
    <row r="14" spans="1:16">
      <c r="A14" s="5" t="s">
        <v>568</v>
      </c>
      <c r="B14" s="6"/>
      <c r="C14" s="6"/>
      <c r="D14" s="6" t="str">
        <f t="shared" si="0"/>
        <v/>
      </c>
      <c r="E14" s="9">
        <v>1.5E-3</v>
      </c>
      <c r="F14" s="7">
        <f t="shared" si="1"/>
        <v>-2.8239087409443187</v>
      </c>
      <c r="G14" s="7">
        <f>220</f>
        <v>220</v>
      </c>
      <c r="H14" s="9">
        <f>E14/G14</f>
        <v>6.8181818181818183E-6</v>
      </c>
      <c r="I14" s="6">
        <f t="shared" si="2"/>
        <v>-5.1663314217665253</v>
      </c>
      <c r="J14" s="8" t="s">
        <v>11</v>
      </c>
      <c r="K14" s="8">
        <v>47</v>
      </c>
      <c r="L14" s="8" t="s">
        <v>569</v>
      </c>
      <c r="M14" s="8" t="s">
        <v>570</v>
      </c>
      <c r="N14" s="8">
        <v>505303</v>
      </c>
      <c r="O14" s="8">
        <v>6385235</v>
      </c>
      <c r="P14" s="8" t="s">
        <v>561</v>
      </c>
    </row>
    <row r="15" spans="1:16">
      <c r="A15" s="5" t="s">
        <v>568</v>
      </c>
      <c r="B15" s="6"/>
      <c r="C15" s="6"/>
      <c r="D15" s="6" t="str">
        <f t="shared" si="0"/>
        <v/>
      </c>
      <c r="E15" s="9">
        <v>3.1E-4</v>
      </c>
      <c r="F15" s="7">
        <f t="shared" si="1"/>
        <v>-3.5086383061657274</v>
      </c>
      <c r="G15" s="7">
        <f>220</f>
        <v>220</v>
      </c>
      <c r="H15" s="9">
        <f t="shared" ref="H15:H20" si="3">E15/G15</f>
        <v>1.409090909090909E-6</v>
      </c>
      <c r="I15" s="6">
        <f t="shared" si="2"/>
        <v>-5.8510609869879335</v>
      </c>
      <c r="J15" s="8" t="s">
        <v>11</v>
      </c>
      <c r="K15" s="8">
        <v>47</v>
      </c>
      <c r="L15" s="8" t="s">
        <v>569</v>
      </c>
      <c r="M15" s="8" t="s">
        <v>570</v>
      </c>
      <c r="N15" s="8">
        <v>505303</v>
      </c>
      <c r="O15" s="8">
        <v>6385235</v>
      </c>
      <c r="P15" s="8" t="s">
        <v>561</v>
      </c>
    </row>
    <row r="16" spans="1:16">
      <c r="A16" s="5" t="s">
        <v>568</v>
      </c>
      <c r="B16" s="6"/>
      <c r="C16" s="6"/>
      <c r="D16" s="6" t="str">
        <f t="shared" si="0"/>
        <v/>
      </c>
      <c r="E16" s="9">
        <v>3.7499999999999997E-5</v>
      </c>
      <c r="F16" s="7">
        <f t="shared" si="1"/>
        <v>-4.4259687322722812</v>
      </c>
      <c r="G16" s="7">
        <f>220</f>
        <v>220</v>
      </c>
      <c r="H16" s="9">
        <f t="shared" si="3"/>
        <v>1.7045454545454545E-7</v>
      </c>
      <c r="I16" s="6">
        <f t="shared" si="2"/>
        <v>-6.7683914130944878</v>
      </c>
      <c r="J16" s="8" t="s">
        <v>11</v>
      </c>
      <c r="K16" s="8">
        <v>47</v>
      </c>
      <c r="L16" s="8" t="s">
        <v>569</v>
      </c>
      <c r="M16" s="8" t="s">
        <v>570</v>
      </c>
      <c r="N16" s="8">
        <v>505303</v>
      </c>
      <c r="O16" s="8">
        <v>6385235</v>
      </c>
      <c r="P16" s="8" t="s">
        <v>561</v>
      </c>
    </row>
    <row r="17" spans="1:16">
      <c r="A17" s="5" t="s">
        <v>568</v>
      </c>
      <c r="B17" s="6"/>
      <c r="C17" s="6"/>
      <c r="D17" s="6" t="str">
        <f t="shared" si="0"/>
        <v/>
      </c>
      <c r="E17" s="9">
        <v>1.5E-5</v>
      </c>
      <c r="F17" s="7">
        <f t="shared" si="1"/>
        <v>-4.8239087409443187</v>
      </c>
      <c r="G17" s="7">
        <f>220</f>
        <v>220</v>
      </c>
      <c r="H17" s="9">
        <f t="shared" si="3"/>
        <v>6.8181818181818186E-8</v>
      </c>
      <c r="I17" s="6">
        <f t="shared" si="2"/>
        <v>-7.1663314217665253</v>
      </c>
      <c r="J17" s="8" t="s">
        <v>11</v>
      </c>
      <c r="K17" s="8">
        <v>47</v>
      </c>
      <c r="L17" s="8" t="s">
        <v>569</v>
      </c>
      <c r="M17" s="8" t="s">
        <v>570</v>
      </c>
      <c r="N17" s="8">
        <v>505303</v>
      </c>
      <c r="O17" s="8">
        <v>6385235</v>
      </c>
      <c r="P17" s="8" t="s">
        <v>561</v>
      </c>
    </row>
    <row r="18" spans="1:16">
      <c r="A18" s="5" t="s">
        <v>571</v>
      </c>
      <c r="B18" s="6"/>
      <c r="C18" s="6"/>
      <c r="D18" s="6" t="str">
        <f t="shared" si="0"/>
        <v/>
      </c>
      <c r="E18" s="9">
        <v>2.5000000000000001E-3</v>
      </c>
      <c r="F18" s="7">
        <f t="shared" si="1"/>
        <v>-2.6020599913279625</v>
      </c>
      <c r="G18" s="9">
        <f>226</f>
        <v>226</v>
      </c>
      <c r="H18" s="9">
        <f t="shared" si="3"/>
        <v>1.1061946902654867E-5</v>
      </c>
      <c r="I18" s="6">
        <f t="shared" si="2"/>
        <v>-4.9561684304753637</v>
      </c>
      <c r="J18" s="8" t="s">
        <v>11</v>
      </c>
      <c r="K18" s="8">
        <v>47</v>
      </c>
      <c r="L18" s="8" t="s">
        <v>572</v>
      </c>
      <c r="M18" s="8" t="s">
        <v>573</v>
      </c>
      <c r="N18" s="8">
        <v>514306</v>
      </c>
      <c r="O18" s="8">
        <v>6386131</v>
      </c>
      <c r="P18" s="8" t="s">
        <v>561</v>
      </c>
    </row>
    <row r="19" spans="1:16">
      <c r="A19" s="5" t="s">
        <v>571</v>
      </c>
      <c r="B19" s="6"/>
      <c r="C19" s="6"/>
      <c r="D19" s="6" t="str">
        <f t="shared" si="0"/>
        <v/>
      </c>
      <c r="E19" s="9">
        <v>2.5000000000000001E-3</v>
      </c>
      <c r="F19" s="7">
        <f t="shared" si="1"/>
        <v>-2.6020599913279625</v>
      </c>
      <c r="G19" s="9">
        <f>226</f>
        <v>226</v>
      </c>
      <c r="H19" s="9">
        <f t="shared" si="3"/>
        <v>1.1061946902654867E-5</v>
      </c>
      <c r="I19" s="6">
        <f t="shared" si="2"/>
        <v>-4.9561684304753637</v>
      </c>
      <c r="J19" s="8" t="s">
        <v>11</v>
      </c>
      <c r="K19" s="8">
        <v>47</v>
      </c>
      <c r="L19" s="8" t="s">
        <v>572</v>
      </c>
      <c r="M19" s="8" t="s">
        <v>573</v>
      </c>
      <c r="N19" s="8">
        <v>514306</v>
      </c>
      <c r="O19" s="8">
        <v>6386131</v>
      </c>
      <c r="P19" s="8" t="s">
        <v>561</v>
      </c>
    </row>
    <row r="20" spans="1:16">
      <c r="A20" s="5" t="s">
        <v>571</v>
      </c>
      <c r="B20" s="6"/>
      <c r="C20" s="6"/>
      <c r="D20" s="6" t="str">
        <f t="shared" si="0"/>
        <v/>
      </c>
      <c r="E20" s="9">
        <v>4.5999999999999999E-3</v>
      </c>
      <c r="F20" s="7">
        <f t="shared" si="1"/>
        <v>-2.3372421683184261</v>
      </c>
      <c r="G20" s="9">
        <f>226</f>
        <v>226</v>
      </c>
      <c r="H20" s="9">
        <f t="shared" si="3"/>
        <v>2.0353982300884954E-5</v>
      </c>
      <c r="I20" s="6">
        <f t="shared" si="2"/>
        <v>-4.6913506074658269</v>
      </c>
      <c r="J20" s="8" t="s">
        <v>11</v>
      </c>
      <c r="K20" s="8">
        <v>47</v>
      </c>
      <c r="L20" s="8" t="s">
        <v>572</v>
      </c>
      <c r="M20" s="8" t="s">
        <v>573</v>
      </c>
      <c r="N20" s="8">
        <v>514306</v>
      </c>
      <c r="O20" s="8">
        <v>6386131</v>
      </c>
      <c r="P20" s="8" t="s">
        <v>561</v>
      </c>
    </row>
    <row r="21" spans="1:16">
      <c r="A21" s="14" t="s">
        <v>574</v>
      </c>
      <c r="B21" s="6"/>
      <c r="C21" s="6"/>
      <c r="D21" s="6" t="str">
        <f t="shared" si="0"/>
        <v/>
      </c>
      <c r="E21" s="7">
        <f>2.25*10^-4</f>
        <v>2.2500000000000002E-4</v>
      </c>
      <c r="F21" s="7">
        <f t="shared" si="1"/>
        <v>-3.6478174818886373</v>
      </c>
      <c r="G21" s="7"/>
      <c r="H21" s="10"/>
      <c r="I21" s="6" t="str">
        <f t="shared" si="2"/>
        <v/>
      </c>
      <c r="J21" s="8" t="s">
        <v>575</v>
      </c>
      <c r="K21" s="8">
        <v>17</v>
      </c>
      <c r="L21" s="8" t="s">
        <v>576</v>
      </c>
      <c r="M21" s="8" t="s">
        <v>577</v>
      </c>
      <c r="N21" s="8">
        <v>426981</v>
      </c>
      <c r="O21" s="8">
        <v>6500810</v>
      </c>
      <c r="P21" s="8" t="s">
        <v>561</v>
      </c>
    </row>
    <row r="22" spans="1:16">
      <c r="A22" s="5" t="s">
        <v>547</v>
      </c>
      <c r="B22" s="6"/>
      <c r="C22" s="6"/>
      <c r="D22" s="6" t="str">
        <f t="shared" si="0"/>
        <v/>
      </c>
      <c r="E22" s="9">
        <v>2.5000000000000001E-4</v>
      </c>
      <c r="F22" s="7">
        <f t="shared" si="1"/>
        <v>-3.6020599913279625</v>
      </c>
      <c r="G22" s="9"/>
      <c r="H22" s="6"/>
      <c r="I22" s="6" t="str">
        <f t="shared" si="2"/>
        <v/>
      </c>
      <c r="J22" s="8" t="s">
        <v>11</v>
      </c>
      <c r="K22" s="8">
        <v>24</v>
      </c>
      <c r="L22" s="8" t="s">
        <v>548</v>
      </c>
      <c r="M22" s="8" t="s">
        <v>549</v>
      </c>
      <c r="N22" s="8">
        <v>549512</v>
      </c>
      <c r="O22" s="8">
        <v>6429292</v>
      </c>
      <c r="P22" s="8" t="s">
        <v>792</v>
      </c>
    </row>
    <row r="26" spans="1:16">
      <c r="A26" s="29" t="s">
        <v>849</v>
      </c>
      <c r="B26" s="28" t="s">
        <v>850</v>
      </c>
      <c r="C26" s="28" t="s">
        <v>851</v>
      </c>
      <c r="D26" s="28" t="s">
        <v>852</v>
      </c>
      <c r="E26" s="28" t="s">
        <v>853</v>
      </c>
      <c r="F26" s="28" t="s">
        <v>934</v>
      </c>
      <c r="G26" t="s">
        <v>967</v>
      </c>
    </row>
    <row r="27" spans="1:16">
      <c r="A27" s="29" t="s">
        <v>855</v>
      </c>
      <c r="B27" s="28">
        <f xml:space="preserve"> COUNTA(B2:B22)</f>
        <v>1</v>
      </c>
      <c r="C27" s="28">
        <f>MIN(B2:B22)</f>
        <v>0.21</v>
      </c>
      <c r="D27" s="28">
        <f>MAX(B2:B22)</f>
        <v>0.21</v>
      </c>
      <c r="E27" s="19">
        <f>AVERAGEIF(B2:B22,"&lt;&gt;0")</f>
        <v>0.21</v>
      </c>
      <c r="F27" s="28"/>
    </row>
    <row r="28" spans="1:16">
      <c r="A28" s="29" t="s">
        <v>857</v>
      </c>
      <c r="B28" s="28">
        <f xml:space="preserve"> COUNTA(C3:C22)</f>
        <v>1</v>
      </c>
      <c r="C28" s="28">
        <f>MIN(C3:C22)</f>
        <v>9.3999999999999998E-6</v>
      </c>
      <c r="D28" s="28">
        <f>MAX(C3:C22)</f>
        <v>9.3999999999999998E-6</v>
      </c>
      <c r="E28" s="19">
        <f xml:space="preserve"> AVERAGEIF(C3:C22,"&lt;&gt;0")</f>
        <v>9.3999999999999998E-6</v>
      </c>
      <c r="F28" s="28">
        <f>AVERAGE(D2:D22)</f>
        <v>-5.0268721464003017</v>
      </c>
      <c r="G28">
        <f>10^F28</f>
        <v>9.3999999999999862E-6</v>
      </c>
    </row>
    <row r="29" spans="1:16">
      <c r="A29" s="29" t="s">
        <v>914</v>
      </c>
      <c r="B29" s="28">
        <f xml:space="preserve"> COUNTA(E2:E22)</f>
        <v>12</v>
      </c>
      <c r="C29" s="28">
        <f>MIN(E2:E22)</f>
        <v>1.5E-5</v>
      </c>
      <c r="D29" s="28">
        <f>MAX(E2:E22)</f>
        <v>7.7000000000000002E-3</v>
      </c>
      <c r="E29" s="19">
        <f>AVERAGEIF(E2:E22,"&lt;&gt;0")</f>
        <v>1.6847916666666667E-3</v>
      </c>
      <c r="F29" s="28">
        <f>AVERAGE(F2:F22)</f>
        <v>-3.2968647852956003</v>
      </c>
      <c r="G29">
        <f t="shared" ref="G29:G30" si="4">10^F29</f>
        <v>5.0481844497106973E-4</v>
      </c>
    </row>
    <row r="30" spans="1:16">
      <c r="A30" s="29" t="s">
        <v>915</v>
      </c>
      <c r="B30" s="28">
        <f xml:space="preserve"> COUNTA(H2:H22)</f>
        <v>10</v>
      </c>
      <c r="C30" s="28">
        <f>MIN(H2:H22)</f>
        <v>6.8181818181818186E-8</v>
      </c>
      <c r="D30" s="28">
        <f>MAX(H2:H22)</f>
        <v>2.6643598615916956E-5</v>
      </c>
      <c r="E30" s="19">
        <f>AVERAGEIF(H2:H22,"&lt;&gt;0")</f>
        <v>7.979270700693709E-6</v>
      </c>
      <c r="F30" s="28">
        <f xml:space="preserve"> AVERAGE(I2:I22)</f>
        <v>-5.6045325330797704</v>
      </c>
      <c r="G30">
        <f t="shared" si="4"/>
        <v>2.4858073449665861E-6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selection activeCell="B5" sqref="B5"/>
    </sheetView>
  </sheetViews>
  <sheetFormatPr baseColWidth="10" defaultRowHeight="15"/>
  <cols>
    <col min="7" max="9" width="11.83203125" bestFit="1" customWidth="1"/>
    <col min="11" max="11" width="13" customWidth="1"/>
  </cols>
  <sheetData>
    <row r="1" spans="1:11">
      <c r="A1" t="str">
        <f>Tableau1[[#Headers],[id]]</f>
        <v>id</v>
      </c>
      <c r="B1" t="str">
        <f>Tableau1[[#Headers],[Tmin]]</f>
        <v>Tmin</v>
      </c>
      <c r="C1" t="str">
        <f>Tableau1[[#Headers],[Tmax]]</f>
        <v>Tmax</v>
      </c>
      <c r="D1" t="str">
        <f>Tableau1[[#Headers],[Tmoy]]</f>
        <v>Tmoy</v>
      </c>
      <c r="E1" t="str">
        <f>Tableau1[[#Headers],[Moy(logT)]]</f>
        <v>Moy(logT)</v>
      </c>
      <c r="F1" t="s">
        <v>957</v>
      </c>
      <c r="G1" t="s">
        <v>958</v>
      </c>
      <c r="H1" t="s">
        <v>959</v>
      </c>
      <c r="I1" t="s">
        <v>960</v>
      </c>
      <c r="J1" t="s">
        <v>970</v>
      </c>
      <c r="K1" t="s">
        <v>972</v>
      </c>
    </row>
    <row r="2" spans="1:11">
      <c r="A2">
        <f>Tableau1[[#This Row],[id]]</f>
        <v>1</v>
      </c>
      <c r="B2" s="45">
        <f>Tableau1[[#This Row],[Tmin]]</f>
        <v>4.6999999999999999E-4</v>
      </c>
      <c r="C2" s="45">
        <f>Tableau1[[#This Row],[Tmax]]</f>
        <v>2E-3</v>
      </c>
      <c r="D2" s="45">
        <f>Tableau1[[#This Row],[Tmoy]]</f>
        <v>1.1574999999999999E-3</v>
      </c>
      <c r="E2" s="45">
        <f>Tableau1[[#This Row],[Moy(logT)]]</f>
        <v>-3.0138990744155487</v>
      </c>
      <c r="F2" s="45">
        <f xml:space="preserve"> 60.32</f>
        <v>60.32</v>
      </c>
      <c r="G2" s="45">
        <f>B2/F2</f>
        <v>7.7917771883289117E-6</v>
      </c>
      <c r="H2" s="45">
        <f>C2/F2</f>
        <v>3.3156498673740057E-5</v>
      </c>
      <c r="I2" s="45">
        <f>D2/F2</f>
        <v>1.9189323607427055E-5</v>
      </c>
      <c r="J2" s="45">
        <f>10^E2/F2</f>
        <v>1.6056082563901168E-5</v>
      </c>
      <c r="K2" s="78">
        <f>QUAT!B20</f>
        <v>4</v>
      </c>
    </row>
    <row r="3" spans="1:11">
      <c r="A3">
        <f>Tableau1[[#This Row],[id]]</f>
        <v>2</v>
      </c>
      <c r="B3" s="45">
        <f ca="1">Tableau1[[#This Row],[Tmin]]</f>
        <v>1.55E-4</v>
      </c>
      <c r="C3" s="45">
        <f ca="1">Tableau1[[#This Row],[Tmax]]</f>
        <v>9.7000000000000005E-4</v>
      </c>
      <c r="D3" s="45">
        <f ca="1">Tableau1[[#This Row],[Tmoy]]</f>
        <v>6.9375000000000003E-4</v>
      </c>
      <c r="E3" s="45">
        <f ca="1">Tableau1[[#This Row],[Moy(logT)]]</f>
        <v>-3.2475969137143066</v>
      </c>
      <c r="F3" s="45">
        <f xml:space="preserve"> 16.43</f>
        <v>16.43</v>
      </c>
      <c r="G3" s="45">
        <f ca="1">B3/F3</f>
        <v>9.4339622641509439E-6</v>
      </c>
      <c r="H3" s="45">
        <f t="shared" ref="H3:H13" ca="1" si="0">C3/F3</f>
        <v>5.9038344491783325E-5</v>
      </c>
      <c r="I3" s="45">
        <f ca="1">D3/F3</f>
        <v>4.2224589166159464E-5</v>
      </c>
      <c r="J3" s="45">
        <f t="shared" ref="J3:J17" ca="1" si="1">10^E3/F3</f>
        <v>3.4416406517918459E-5</v>
      </c>
      <c r="K3" s="78">
        <f>HELV!B45</f>
        <v>4</v>
      </c>
    </row>
    <row r="4" spans="1:11">
      <c r="A4">
        <f>Tableau1[[#This Row],[id]]</f>
        <v>3</v>
      </c>
      <c r="B4" s="45">
        <f ca="1">Tableau1[[#This Row],[Tmin]]</f>
        <v>1.4999999999999999E-4</v>
      </c>
      <c r="C4" s="45">
        <f ca="1">Tableau1[[#This Row],[Tmax]]</f>
        <v>4.3E-3</v>
      </c>
      <c r="D4" s="45">
        <f ca="1">Tableau1[[#This Row],[Tmoy]]</f>
        <v>1.7050000000000001E-3</v>
      </c>
      <c r="E4" s="45">
        <f ca="1">Tableau1[[#This Row],[Moy(logT)]]</f>
        <v>-3.0738636445262761</v>
      </c>
      <c r="F4" s="45">
        <f xml:space="preserve"> 59.6</f>
        <v>59.6</v>
      </c>
      <c r="G4" s="45">
        <f t="shared" ref="G4:G16" ca="1" si="2">B4/F4</f>
        <v>2.5167785234899326E-6</v>
      </c>
      <c r="H4" s="45">
        <f t="shared" ca="1" si="0"/>
        <v>7.2147651006711414E-5</v>
      </c>
      <c r="I4" s="45">
        <f t="shared" ref="I4:I17" ca="1" si="3">D4/F4</f>
        <v>2.8607382550335572E-5</v>
      </c>
      <c r="J4" s="45">
        <f t="shared" ca="1" si="1"/>
        <v>1.4154355389559524E-5</v>
      </c>
      <c r="K4" s="78">
        <f>AQUI!B58</f>
        <v>8</v>
      </c>
    </row>
    <row r="5" spans="1:11">
      <c r="A5">
        <f>Tableau1[[#This Row],[id]]</f>
        <v>4</v>
      </c>
      <c r="B5" s="45">
        <f ca="1">Tableau1[[#This Row],[Tmin]]</f>
        <v>3.0000000000000001E-6</v>
      </c>
      <c r="C5" s="45">
        <f ca="1">Tableau1[[#This Row],[Tmax]]</f>
        <v>0.12</v>
      </c>
      <c r="D5" s="45">
        <f ca="1">Tableau1[[#This Row],[Tmoy]]</f>
        <v>8.8523371428571342E-3</v>
      </c>
      <c r="E5" s="45">
        <f ca="1">Tableau1[[#This Row],[Moy(logT)]]</f>
        <v>-2.5788825074719366</v>
      </c>
      <c r="F5" s="45">
        <f>83.33</f>
        <v>83.33</v>
      </c>
      <c r="G5" s="45">
        <f t="shared" ca="1" si="2"/>
        <v>3.6001440057602304E-8</v>
      </c>
      <c r="H5" s="45">
        <f t="shared" ca="1" si="0"/>
        <v>1.4400576023040922E-3</v>
      </c>
      <c r="I5" s="45">
        <f t="shared" ca="1" si="3"/>
        <v>1.0623229500608585E-4</v>
      </c>
      <c r="J5" s="45">
        <f t="shared" ca="1" si="1"/>
        <v>3.1645802307592832E-5</v>
      </c>
      <c r="K5" s="78">
        <f>OLNP!B234</f>
        <v>175</v>
      </c>
    </row>
    <row r="6" spans="1:11">
      <c r="A6">
        <f>Tableau1[[#This Row],[id]]</f>
        <v>5</v>
      </c>
      <c r="B6" s="45">
        <f ca="1">Tableau1[[#This Row],[Tmin]]</f>
        <v>5.0000000000000002E-11</v>
      </c>
      <c r="C6" s="45">
        <f ca="1">Tableau1[[#This Row],[Tmax]]</f>
        <v>4.9999999999999996E-6</v>
      </c>
      <c r="D6" s="45">
        <f ca="1">Tableau1[[#This Row],[Tmoy]]</f>
        <v>1.1105100000000001E-6</v>
      </c>
      <c r="E6" s="45">
        <f ca="1">Tableau1[[#This Row],[Moy(logT)]]</f>
        <v>-7.6976233278042256</v>
      </c>
      <c r="F6" s="45"/>
      <c r="G6" s="45" t="e">
        <f t="shared" ca="1" si="2"/>
        <v>#DIV/0!</v>
      </c>
      <c r="H6" s="45" t="e">
        <f t="shared" ca="1" si="0"/>
        <v>#DIV/0!</v>
      </c>
      <c r="I6" s="45" t="e">
        <f t="shared" ca="1" si="3"/>
        <v>#DIV/0!</v>
      </c>
      <c r="J6" s="45" t="e">
        <f t="shared" ca="1" si="1"/>
        <v>#DIV/0!</v>
      </c>
      <c r="K6" s="78">
        <f>EPOL!B20</f>
        <v>5</v>
      </c>
    </row>
    <row r="7" spans="1:11">
      <c r="A7">
        <f>Tableau1[[#This Row],[id]]</f>
        <v>6</v>
      </c>
      <c r="B7" s="45">
        <f ca="1">Tableau1[[#This Row],[Tmin]]</f>
        <v>1.5E-5</v>
      </c>
      <c r="C7" s="45">
        <f ca="1">Tableau1[[#This Row],[Tmax]]</f>
        <v>5.5999999999999999E-3</v>
      </c>
      <c r="D7" s="45">
        <f ca="1">Tableau1[[#This Row],[Tmoy]]</f>
        <v>1.9929166666666663E-3</v>
      </c>
      <c r="E7" s="45">
        <f ca="1">Tableau1[[#This Row],[Moy(logT)]]</f>
        <v>-2.8866525915083052</v>
      </c>
      <c r="F7" s="45">
        <f xml:space="preserve"> 39.5</f>
        <v>39.5</v>
      </c>
      <c r="G7" s="45">
        <f t="shared" ca="1" si="2"/>
        <v>3.7974683544303799E-7</v>
      </c>
      <c r="H7" s="45">
        <f t="shared" ca="1" si="0"/>
        <v>1.4177215189873418E-4</v>
      </c>
      <c r="I7" s="45">
        <f t="shared" ca="1" si="3"/>
        <v>5.0453586497890286E-5</v>
      </c>
      <c r="J7" s="45">
        <f t="shared" ca="1" si="1"/>
        <v>3.2866261990340162E-5</v>
      </c>
      <c r="K7" s="78">
        <f>EOCS!B29</f>
        <v>12</v>
      </c>
    </row>
    <row r="8" spans="1:11">
      <c r="A8">
        <f>Tableau1[[#This Row],[id]]</f>
        <v>7</v>
      </c>
      <c r="B8" s="45">
        <f ca="1">Tableau1[[#This Row],[Tmin]]</f>
        <v>2.3E-6</v>
      </c>
      <c r="C8" s="45">
        <f ca="1">Tableau1[[#This Row],[Tmax]]</f>
        <v>0.06</v>
      </c>
      <c r="D8" s="45">
        <f ca="1">Tableau1[[#This Row],[Tmoy]]</f>
        <v>8.6307537500000028E-3</v>
      </c>
      <c r="E8" s="45">
        <f ca="1">Tableau1[[#This Row],[Moy(logT)]]</f>
        <v>-2.4035320484978948</v>
      </c>
      <c r="F8" s="45">
        <f xml:space="preserve"> 144.91</f>
        <v>144.91</v>
      </c>
      <c r="G8" s="45">
        <f t="shared" ca="1" si="2"/>
        <v>1.5871920502380789E-8</v>
      </c>
      <c r="H8" s="45">
        <f t="shared" ca="1" si="0"/>
        <v>4.1405010006210753E-4</v>
      </c>
      <c r="I8" s="45">
        <f t="shared" ca="1" si="3"/>
        <v>5.9559407563315179E-5</v>
      </c>
      <c r="J8" s="45">
        <f t="shared" ca="1" si="1"/>
        <v>2.725019378613449E-5</v>
      </c>
      <c r="K8" s="78">
        <f>EOCM!B138</f>
        <v>80</v>
      </c>
    </row>
    <row r="9" spans="1:11">
      <c r="A9">
        <f>Tableau1[[#This Row],[id]]</f>
        <v>8</v>
      </c>
      <c r="B9" s="45">
        <f ca="1">Tableau1[[#This Row],[Tmin]]</f>
        <v>2.5000000000000001E-3</v>
      </c>
      <c r="C9" s="45">
        <f ca="1">Tableau1[[#This Row],[Tmax]]</f>
        <v>0.02</v>
      </c>
      <c r="D9" s="45">
        <f ca="1">Tableau1[[#This Row],[Tmoy]]</f>
        <v>1.1646E-2</v>
      </c>
      <c r="E9" s="45">
        <f ca="1">Tableau1[[#This Row],[Moy(logT)]]</f>
        <v>-2.0130328795462256</v>
      </c>
      <c r="F9" s="45">
        <f xml:space="preserve"> 88.14</f>
        <v>88.14</v>
      </c>
      <c r="G9" s="45">
        <f ca="1">B9/F9</f>
        <v>2.8363966417063762E-5</v>
      </c>
      <c r="H9" s="45">
        <f ca="1">C9/F9</f>
        <v>2.2691173133651009E-4</v>
      </c>
      <c r="I9" s="45">
        <f t="shared" ca="1" si="3"/>
        <v>1.3213070115724982E-4</v>
      </c>
      <c r="J9" s="45">
        <f ca="1">10^E9/F9</f>
        <v>1.1010171258268235E-4</v>
      </c>
      <c r="K9" s="78">
        <f>EOCI!B30</f>
        <v>10</v>
      </c>
    </row>
    <row r="10" spans="1:11">
      <c r="A10">
        <f>Tableau1[[#This Row],[id]]</f>
        <v>9</v>
      </c>
      <c r="B10" s="45">
        <f ca="1">Tableau1[[#This Row],[Tmin]]</f>
        <v>1E-4</v>
      </c>
      <c r="C10" s="45">
        <f ca="1">Tableau1[[#This Row],[Tmax]]</f>
        <v>7.4999999999999997E-2</v>
      </c>
      <c r="D10" s="45">
        <f ca="1">Tableau1[[#This Row],[Tmoy]]</f>
        <v>8.470833333333332E-3</v>
      </c>
      <c r="E10" s="45">
        <f ca="1">Tableau1[[#This Row],[Moy(logT)]]</f>
        <v>-2.7542819220935364</v>
      </c>
      <c r="F10" s="45">
        <f>57</f>
        <v>57</v>
      </c>
      <c r="G10" s="45">
        <f t="shared" ca="1" si="2"/>
        <v>1.7543859649122807E-6</v>
      </c>
      <c r="H10" s="45">
        <f t="shared" ca="1" si="0"/>
        <v>1.3157894736842105E-3</v>
      </c>
      <c r="I10" s="45">
        <f t="shared" ca="1" si="3"/>
        <v>1.4861111111111108E-4</v>
      </c>
      <c r="J10" s="45">
        <f t="shared" ca="1" si="1"/>
        <v>3.089180055284486E-5</v>
      </c>
      <c r="K10" s="78">
        <f>CAMP!B28</f>
        <v>12</v>
      </c>
    </row>
    <row r="11" spans="1:11">
      <c r="A11">
        <f>Tableau1[[#This Row],[id]]</f>
        <v>10</v>
      </c>
      <c r="B11" s="45">
        <f ca="1">Tableau1[[#This Row],[Tmin]]</f>
        <v>1.5E-5</v>
      </c>
      <c r="C11" s="45">
        <f ca="1">Tableau1[[#This Row],[Tmax]]</f>
        <v>7.7000000000000002E-3</v>
      </c>
      <c r="D11" s="45">
        <f ca="1">Tableau1[[#This Row],[Tmoy]]</f>
        <v>1.6847916666666667E-3</v>
      </c>
      <c r="E11" s="45">
        <f ca="1">Tableau1[[#This Row],[Moy(logT)]]</f>
        <v>-3.2968647852956003</v>
      </c>
      <c r="F11" s="45">
        <f>236.79</f>
        <v>236.79</v>
      </c>
      <c r="G11" s="45">
        <f t="shared" ca="1" si="2"/>
        <v>6.3347269732674527E-8</v>
      </c>
      <c r="H11" s="45">
        <f t="shared" ca="1" si="0"/>
        <v>3.2518265129439592E-5</v>
      </c>
      <c r="I11" s="45">
        <f t="shared" ca="1" si="3"/>
        <v>7.1151301434463733E-6</v>
      </c>
      <c r="J11" s="45">
        <f t="shared" ca="1" si="1"/>
        <v>2.1319246799741109E-6</v>
      </c>
      <c r="K11" s="78">
        <f>COST!B29</f>
        <v>12</v>
      </c>
    </row>
    <row r="12" spans="1:11">
      <c r="A12">
        <f>Tableau1[[#This Row],[id]]</f>
        <v>11</v>
      </c>
      <c r="B12" s="45">
        <f ca="1">Tableau1[[#This Row],[Tmin]]</f>
        <v>2.2999999999999998E-4</v>
      </c>
      <c r="C12" s="45">
        <f ca="1">Tableau1[[#This Row],[Tmax]]</f>
        <v>0.3</v>
      </c>
      <c r="D12" s="45">
        <f ca="1">Tableau1[[#This Row],[Tmoy]]</f>
        <v>3.3689499999999997E-2</v>
      </c>
      <c r="E12" s="45">
        <f ca="1">Tableau1[[#This Row],[Moy(logT)]]</f>
        <v>-2.1288810321854017</v>
      </c>
      <c r="F12" s="45">
        <f>54.06</f>
        <v>54.06</v>
      </c>
      <c r="G12" s="45">
        <f t="shared" ca="1" si="2"/>
        <v>4.2545320014798366E-6</v>
      </c>
      <c r="H12" s="45">
        <f t="shared" ca="1" si="0"/>
        <v>5.5493895671476137E-3</v>
      </c>
      <c r="I12" s="45">
        <f t="shared" ca="1" si="3"/>
        <v>6.2318719940806502E-4</v>
      </c>
      <c r="J12" s="45">
        <f t="shared" ca="1" si="1"/>
        <v>1.3748107725164487E-4</v>
      </c>
      <c r="K12" s="78">
        <f>TURO!B28</f>
        <v>20</v>
      </c>
    </row>
    <row r="13" spans="1:11">
      <c r="A13">
        <f>Tableau1[[#This Row],[id]]</f>
        <v>12</v>
      </c>
      <c r="B13" s="45">
        <f ca="1">Tableau1[[#This Row],[Tmin]]</f>
        <v>2.9999999999999997E-4</v>
      </c>
      <c r="C13" s="45">
        <f ca="1">Tableau1[[#This Row],[Tmax]]</f>
        <v>7.4999999999999997E-2</v>
      </c>
      <c r="D13" s="45">
        <f ca="1">Tableau1[[#This Row],[Tmoy]]</f>
        <v>1.6782222222222219E-2</v>
      </c>
      <c r="E13" s="45">
        <f ca="1">Tableau1[[#This Row],[Moy(logT)]]</f>
        <v>-2.2745889726690129</v>
      </c>
      <c r="F13" s="45">
        <f>69.1</f>
        <v>69.099999999999994</v>
      </c>
      <c r="G13" s="45">
        <f ca="1">B13/F13</f>
        <v>4.3415340086830681E-6</v>
      </c>
      <c r="H13" s="45">
        <f t="shared" ca="1" si="0"/>
        <v>1.0853835021707671E-3</v>
      </c>
      <c r="I13" s="45">
        <f t="shared" ca="1" si="3"/>
        <v>2.4286862839684834E-4</v>
      </c>
      <c r="J13" s="45">
        <f t="shared" ca="1" si="1"/>
        <v>7.690117577328727E-5</v>
      </c>
      <c r="K13" s="78">
        <f>CENO!B28</f>
        <v>18</v>
      </c>
    </row>
    <row r="14" spans="1:11">
      <c r="A14">
        <f>Tableau1[[#This Row],[id]]</f>
        <v>13</v>
      </c>
      <c r="B14" s="45">
        <f ca="1">Tableau1[[#This Row],[Tmin]]</f>
        <v>0.03</v>
      </c>
      <c r="C14" s="45">
        <f ca="1">Tableau1[[#This Row],[Tmax]]</f>
        <v>3.041E-2</v>
      </c>
      <c r="D14" s="45">
        <f ca="1">Tableau1[[#This Row],[Tmoy]]</f>
        <v>3.0204999999999999E-2</v>
      </c>
      <c r="E14" s="45">
        <f ca="1">Tableau1[[#This Row],[Moy(logT)]]</f>
        <v>-1.5199311625681027</v>
      </c>
      <c r="F14" s="45">
        <f>563.8571</f>
        <v>563.85709999999995</v>
      </c>
      <c r="G14" s="45">
        <f ca="1">B14/F14</f>
        <v>5.3204969840762848E-5</v>
      </c>
      <c r="H14" s="45">
        <f ca="1">C14/F14</f>
        <v>5.3932104428586612E-5</v>
      </c>
      <c r="I14" s="45">
        <f t="shared" ca="1" si="3"/>
        <v>5.356853713467473E-5</v>
      </c>
      <c r="J14" s="45">
        <f t="shared" ca="1" si="1"/>
        <v>5.3567303362889385E-5</v>
      </c>
      <c r="K14" s="78">
        <f>TITH!B10</f>
        <v>2</v>
      </c>
    </row>
    <row r="15" spans="1:11">
      <c r="A15">
        <f>Tableau1[[#This Row],[id]]</f>
        <v>14</v>
      </c>
      <c r="B15" s="45">
        <f ca="1">Tableau1[[#This Row],[Tmin]]</f>
        <v>1.06E-2</v>
      </c>
      <c r="C15" s="45">
        <f ca="1">Tableau1[[#This Row],[Tmax]]</f>
        <v>1.06E-2</v>
      </c>
      <c r="D15" s="45">
        <f ca="1">Tableau1[[#This Row],[Tmoy]]</f>
        <v>1.06E-2</v>
      </c>
      <c r="E15" s="45">
        <f ca="1">Tableau1[[#This Row],[Moy(logT)]]</f>
        <v>-1.9746941347352298</v>
      </c>
      <c r="F15" s="45">
        <f>106</f>
        <v>106</v>
      </c>
      <c r="G15" s="45">
        <f ca="1">B15/F15</f>
        <v>1E-4</v>
      </c>
      <c r="H15" s="45">
        <f ca="1">C15/F15</f>
        <v>1E-4</v>
      </c>
      <c r="I15" s="45">
        <f t="shared" ca="1" si="3"/>
        <v>1E-4</v>
      </c>
      <c r="J15" s="45">
        <f t="shared" ca="1" si="1"/>
        <v>9.9999999999999978E-5</v>
      </c>
      <c r="K15" s="78">
        <f>KIMM!B9</f>
        <v>1</v>
      </c>
    </row>
    <row r="16" spans="1:11">
      <c r="A16">
        <f>Tableau1[[#This Row],[id]]</f>
        <v>15</v>
      </c>
      <c r="B16" s="45">
        <f ca="1">Tableau1[[#This Row],[Tmin]]</f>
        <v>2.6999999999999999E-5</v>
      </c>
      <c r="C16" s="45">
        <f ca="1">Tableau1[[#This Row],[Tmax]]</f>
        <v>3.6999999999999998E-5</v>
      </c>
      <c r="D16" s="45">
        <f ca="1">Tableau1[[#This Row],[Tmoy]]</f>
        <v>3.1999999999999999E-5</v>
      </c>
      <c r="E16" s="45">
        <f ca="1">Tableau1[[#This Row],[Moy(logT)]]</f>
        <v>-4.5002172558870086</v>
      </c>
      <c r="F16" s="45">
        <f>263.41</f>
        <v>263.41000000000003</v>
      </c>
      <c r="G16" s="45">
        <f t="shared" ca="1" si="2"/>
        <v>1.0250180327246497E-7</v>
      </c>
      <c r="H16" s="45">
        <f ca="1">C16/F16</f>
        <v>1.4046543411411865E-7</v>
      </c>
      <c r="I16" s="45">
        <f t="shared" ca="1" si="3"/>
        <v>1.214836186932918E-7</v>
      </c>
      <c r="J16" s="45">
        <f t="shared" ca="1" si="1"/>
        <v>1.1999150092463532E-7</v>
      </c>
      <c r="K16" s="78">
        <f>BACX!B36</f>
        <v>2</v>
      </c>
    </row>
    <row r="17" spans="1:11">
      <c r="A17">
        <f>Tableau1[[#This Row],[id]]</f>
        <v>16</v>
      </c>
      <c r="B17" s="45">
        <f ca="1">Tableau1[[#This Row],[Tmin]]</f>
        <v>2.3099999999999999E-2</v>
      </c>
      <c r="C17" s="45">
        <f ca="1">Tableau1[[#This Row],[Tmax]]</f>
        <v>2.4E-2</v>
      </c>
      <c r="D17" s="45">
        <f ca="1">Tableau1[[#This Row],[Tmoy]]</f>
        <v>2.3550000000000001E-2</v>
      </c>
      <c r="E17" s="45">
        <f ca="1">Tableau1[[#This Row],[Moy(logT)]]</f>
        <v>-1.6280883891981248</v>
      </c>
      <c r="F17" s="45">
        <f>145.33</f>
        <v>145.33000000000001</v>
      </c>
      <c r="G17" s="45">
        <f ca="1">B17/F17</f>
        <v>1.589485997385261E-4</v>
      </c>
      <c r="H17" s="45">
        <f ca="1">C17/F17</f>
        <v>1.651414023257414E-4</v>
      </c>
      <c r="I17" s="45">
        <f t="shared" ca="1" si="3"/>
        <v>1.6204500103213375E-4</v>
      </c>
      <c r="J17" s="45">
        <f t="shared" ca="1" si="1"/>
        <v>1.6201541487936621E-4</v>
      </c>
      <c r="K17" s="78">
        <f>BAJO!B37</f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9"/>
  <sheetViews>
    <sheetView topLeftCell="A16" workbookViewId="0">
      <selection activeCell="G25" sqref="G25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9" width="11.83203125" customWidth="1"/>
    <col min="10" max="10" width="24.1640625" customWidth="1"/>
    <col min="12" max="12" width="14.5" customWidth="1"/>
    <col min="18" max="18" width="18.6640625" bestFit="1" customWidth="1"/>
  </cols>
  <sheetData>
    <row r="1" spans="1:16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918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724</v>
      </c>
      <c r="B2" s="6"/>
      <c r="C2" s="6"/>
      <c r="D2" s="6" t="str">
        <f>IFERROR(LOG10(C2),"")</f>
        <v/>
      </c>
      <c r="E2" s="7"/>
      <c r="F2" s="7" t="str">
        <f>IFERROR(LOG10(E2),"")</f>
        <v/>
      </c>
      <c r="G2" s="7">
        <f>63</f>
        <v>63</v>
      </c>
      <c r="H2" s="6"/>
      <c r="I2" s="6" t="str">
        <f>IFERROR(LOG10(H2),"")</f>
        <v/>
      </c>
      <c r="J2" s="8" t="s">
        <v>11</v>
      </c>
      <c r="K2" s="8">
        <v>24</v>
      </c>
      <c r="L2" s="8" t="s">
        <v>725</v>
      </c>
      <c r="M2" s="8" t="s">
        <v>726</v>
      </c>
      <c r="N2" s="8">
        <v>499445</v>
      </c>
      <c r="O2" s="8">
        <v>6450582</v>
      </c>
      <c r="P2" s="8" t="s">
        <v>727</v>
      </c>
    </row>
    <row r="3" spans="1:16">
      <c r="A3" s="14" t="s">
        <v>728</v>
      </c>
      <c r="B3" s="6"/>
      <c r="C3" s="6"/>
      <c r="D3" s="6" t="str">
        <f t="shared" ref="D3:D22" si="0">IFERROR(LOG10(C3),"")</f>
        <v/>
      </c>
      <c r="E3" s="7">
        <f>10^-3</f>
        <v>1E-3</v>
      </c>
      <c r="F3" s="7">
        <f t="shared" ref="F3:F22" si="1">IFERROR(LOG10(E3),"")</f>
        <v>-3</v>
      </c>
      <c r="G3" s="7"/>
      <c r="H3" s="10"/>
      <c r="I3" s="6" t="str">
        <f t="shared" ref="I3:I22" si="2">IFERROR(LOG10(H3),"")</f>
        <v/>
      </c>
      <c r="J3" s="8" t="s">
        <v>729</v>
      </c>
      <c r="K3" s="8">
        <v>17</v>
      </c>
      <c r="L3" s="8" t="s">
        <v>730</v>
      </c>
      <c r="M3" s="8" t="s">
        <v>731</v>
      </c>
      <c r="N3" s="8">
        <v>407273</v>
      </c>
      <c r="O3" s="8">
        <v>6530451</v>
      </c>
      <c r="P3" s="8" t="s">
        <v>727</v>
      </c>
    </row>
    <row r="4" spans="1:16">
      <c r="A4" s="14" t="s">
        <v>732</v>
      </c>
      <c r="B4" s="6">
        <v>0.2</v>
      </c>
      <c r="C4" s="6"/>
      <c r="D4" s="6" t="str">
        <f t="shared" si="0"/>
        <v/>
      </c>
      <c r="E4" s="7">
        <v>0.3</v>
      </c>
      <c r="F4" s="7">
        <f t="shared" si="1"/>
        <v>-0.52287874528033762</v>
      </c>
      <c r="G4" s="7"/>
      <c r="H4" s="10"/>
      <c r="I4" s="6" t="str">
        <f t="shared" si="2"/>
        <v/>
      </c>
      <c r="J4" s="8" t="s">
        <v>733</v>
      </c>
      <c r="K4" s="8">
        <v>17</v>
      </c>
      <c r="L4" s="8" t="s">
        <v>734</v>
      </c>
      <c r="M4" s="8" t="s">
        <v>735</v>
      </c>
      <c r="N4" s="8">
        <v>420708</v>
      </c>
      <c r="O4" s="8">
        <v>6530111</v>
      </c>
      <c r="P4" s="8" t="s">
        <v>727</v>
      </c>
    </row>
    <row r="5" spans="1:16">
      <c r="A5" s="14" t="s">
        <v>736</v>
      </c>
      <c r="B5" s="6"/>
      <c r="C5" s="6"/>
      <c r="D5" s="6" t="str">
        <f t="shared" si="0"/>
        <v/>
      </c>
      <c r="E5" s="7">
        <v>4.3999999999999997E-2</v>
      </c>
      <c r="F5" s="7">
        <f t="shared" si="1"/>
        <v>-1.3565473235138126</v>
      </c>
      <c r="G5" s="10">
        <f>40</f>
        <v>40</v>
      </c>
      <c r="H5">
        <f>E5/G5</f>
        <v>1.0999999999999998E-3</v>
      </c>
      <c r="I5" s="6">
        <f t="shared" si="2"/>
        <v>-2.9586073148417751</v>
      </c>
      <c r="J5" s="8" t="s">
        <v>737</v>
      </c>
      <c r="K5" s="8">
        <v>16</v>
      </c>
      <c r="L5" s="8" t="s">
        <v>124</v>
      </c>
      <c r="M5" s="8" t="s">
        <v>738</v>
      </c>
      <c r="N5" s="8">
        <v>441589</v>
      </c>
      <c r="O5" s="8">
        <v>6517379</v>
      </c>
      <c r="P5" s="8" t="s">
        <v>727</v>
      </c>
    </row>
    <row r="6" spans="1:16">
      <c r="A6" s="14" t="s">
        <v>736</v>
      </c>
      <c r="B6" s="6"/>
      <c r="C6" s="6"/>
      <c r="D6" s="6" t="str">
        <f t="shared" si="0"/>
        <v/>
      </c>
      <c r="E6" s="7">
        <f>6*10^-2</f>
        <v>0.06</v>
      </c>
      <c r="F6" s="7">
        <f t="shared" si="1"/>
        <v>-1.2218487496163564</v>
      </c>
      <c r="G6" s="10">
        <f>40</f>
        <v>40</v>
      </c>
      <c r="H6">
        <f t="shared" ref="H6:H9" si="3">E6/G6</f>
        <v>1.5E-3</v>
      </c>
      <c r="I6" s="6">
        <f t="shared" si="2"/>
        <v>-2.8239087409443187</v>
      </c>
      <c r="J6" s="8" t="s">
        <v>739</v>
      </c>
      <c r="K6" s="8">
        <v>16</v>
      </c>
      <c r="L6" s="8" t="s">
        <v>124</v>
      </c>
      <c r="M6" s="8" t="s">
        <v>738</v>
      </c>
      <c r="N6" s="8">
        <v>441589</v>
      </c>
      <c r="O6" s="8">
        <v>6517379</v>
      </c>
      <c r="P6" s="8" t="s">
        <v>727</v>
      </c>
    </row>
    <row r="7" spans="1:16">
      <c r="A7" s="14" t="s">
        <v>736</v>
      </c>
      <c r="B7" s="6"/>
      <c r="C7" s="6"/>
      <c r="D7" s="6" t="str">
        <f t="shared" si="0"/>
        <v/>
      </c>
      <c r="E7" s="7">
        <f>5.3*10^-2</f>
        <v>5.2999999999999999E-2</v>
      </c>
      <c r="F7" s="7">
        <f t="shared" si="1"/>
        <v>-1.2757241303992111</v>
      </c>
      <c r="G7" s="10">
        <f>40</f>
        <v>40</v>
      </c>
      <c r="H7">
        <f t="shared" si="3"/>
        <v>1.325E-3</v>
      </c>
      <c r="I7" s="6">
        <f t="shared" si="2"/>
        <v>-2.8777841217271733</v>
      </c>
      <c r="J7" s="8" t="s">
        <v>740</v>
      </c>
      <c r="K7" s="8">
        <v>16</v>
      </c>
      <c r="L7" s="8" t="s">
        <v>124</v>
      </c>
      <c r="M7" s="8" t="s">
        <v>738</v>
      </c>
      <c r="N7" s="8">
        <v>441589</v>
      </c>
      <c r="O7" s="8">
        <v>6517379</v>
      </c>
      <c r="P7" s="8" t="s">
        <v>727</v>
      </c>
    </row>
    <row r="8" spans="1:16">
      <c r="A8" s="14" t="s">
        <v>741</v>
      </c>
      <c r="B8" s="6"/>
      <c r="C8" s="6"/>
      <c r="D8" s="6" t="str">
        <f t="shared" si="0"/>
        <v/>
      </c>
      <c r="E8" s="7">
        <v>6.4999999999999997E-3</v>
      </c>
      <c r="F8" s="7">
        <f t="shared" si="1"/>
        <v>-2.1870866433571443</v>
      </c>
      <c r="G8" s="10">
        <f>40</f>
        <v>40</v>
      </c>
      <c r="H8">
        <f t="shared" si="3"/>
        <v>1.6249999999999999E-4</v>
      </c>
      <c r="I8" s="6">
        <f t="shared" si="2"/>
        <v>-3.7891466346851068</v>
      </c>
      <c r="J8" s="8" t="s">
        <v>134</v>
      </c>
      <c r="K8" s="8">
        <v>16</v>
      </c>
      <c r="L8" s="8" t="s">
        <v>124</v>
      </c>
      <c r="M8" s="8" t="s">
        <v>742</v>
      </c>
      <c r="N8" s="8">
        <v>441510</v>
      </c>
      <c r="O8" s="8">
        <v>6517294</v>
      </c>
      <c r="P8" s="8" t="s">
        <v>727</v>
      </c>
    </row>
    <row r="9" spans="1:16">
      <c r="A9" s="14" t="s">
        <v>741</v>
      </c>
      <c r="B9" s="6"/>
      <c r="C9" s="6"/>
      <c r="D9" s="6" t="str">
        <f t="shared" si="0"/>
        <v/>
      </c>
      <c r="E9" s="7">
        <v>2.7E-2</v>
      </c>
      <c r="F9" s="7">
        <f t="shared" si="1"/>
        <v>-1.5686362358410126</v>
      </c>
      <c r="G9" s="10">
        <f>40</f>
        <v>40</v>
      </c>
      <c r="H9">
        <f t="shared" si="3"/>
        <v>6.7500000000000004E-4</v>
      </c>
      <c r="I9" s="6">
        <f t="shared" si="2"/>
        <v>-3.1706962271689751</v>
      </c>
      <c r="J9" s="8" t="s">
        <v>743</v>
      </c>
      <c r="K9" s="8">
        <v>16</v>
      </c>
      <c r="L9" s="8" t="s">
        <v>124</v>
      </c>
      <c r="M9" s="8" t="s">
        <v>742</v>
      </c>
      <c r="N9" s="8">
        <v>441510</v>
      </c>
      <c r="O9" s="8">
        <v>6517294</v>
      </c>
      <c r="P9" s="8" t="s">
        <v>727</v>
      </c>
    </row>
    <row r="10" spans="1:16">
      <c r="A10" s="14" t="s">
        <v>744</v>
      </c>
      <c r="B10" s="6"/>
      <c r="C10" s="6"/>
      <c r="D10" s="6" t="str">
        <f t="shared" si="0"/>
        <v/>
      </c>
      <c r="E10" s="7">
        <v>9.1999999999999998E-2</v>
      </c>
      <c r="F10" s="7">
        <f t="shared" si="1"/>
        <v>-1.0362121726544447</v>
      </c>
      <c r="G10" s="7"/>
      <c r="H10" s="10"/>
      <c r="I10" s="6" t="str">
        <f t="shared" si="2"/>
        <v/>
      </c>
      <c r="J10" s="17" t="s">
        <v>745</v>
      </c>
      <c r="K10" s="17">
        <v>16</v>
      </c>
      <c r="L10" s="17" t="s">
        <v>124</v>
      </c>
      <c r="M10" s="17" t="s">
        <v>746</v>
      </c>
      <c r="N10" s="17">
        <v>441565</v>
      </c>
      <c r="O10" s="17">
        <v>6517573</v>
      </c>
      <c r="P10" s="17" t="s">
        <v>727</v>
      </c>
    </row>
    <row r="11" spans="1:16">
      <c r="A11" s="14" t="s">
        <v>744</v>
      </c>
      <c r="B11" s="6"/>
      <c r="C11" s="6"/>
      <c r="D11" s="6" t="str">
        <f t="shared" si="0"/>
        <v/>
      </c>
      <c r="E11" s="7">
        <v>4.9000000000000002E-2</v>
      </c>
      <c r="F11" s="7">
        <f t="shared" si="1"/>
        <v>-1.3098039199714864</v>
      </c>
      <c r="G11" s="7"/>
      <c r="H11" s="10"/>
      <c r="I11" s="6" t="str">
        <f t="shared" si="2"/>
        <v/>
      </c>
      <c r="J11" s="17" t="s">
        <v>745</v>
      </c>
      <c r="K11" s="17">
        <v>16</v>
      </c>
      <c r="L11" s="17" t="s">
        <v>124</v>
      </c>
      <c r="M11" s="17" t="s">
        <v>746</v>
      </c>
      <c r="N11" s="17">
        <v>441565</v>
      </c>
      <c r="O11" s="17">
        <v>6517573</v>
      </c>
      <c r="P11" s="17" t="s">
        <v>727</v>
      </c>
    </row>
    <row r="12" spans="1:16">
      <c r="A12" s="14" t="s">
        <v>747</v>
      </c>
      <c r="C12" s="6">
        <f>10^-4</f>
        <v>1E-4</v>
      </c>
      <c r="D12" s="6">
        <f t="shared" si="0"/>
        <v>-4</v>
      </c>
      <c r="E12" s="7">
        <f>10^-2</f>
        <v>0.01</v>
      </c>
      <c r="F12" s="7">
        <f t="shared" si="1"/>
        <v>-2</v>
      </c>
      <c r="G12" s="7">
        <f>66</f>
        <v>66</v>
      </c>
      <c r="H12" s="10">
        <f>E12/G12</f>
        <v>1.5151515151515152E-4</v>
      </c>
      <c r="I12" s="6">
        <f t="shared" si="2"/>
        <v>-3.8195439355418688</v>
      </c>
      <c r="J12" s="8" t="s">
        <v>748</v>
      </c>
      <c r="K12" s="8">
        <v>16</v>
      </c>
      <c r="L12" s="8" t="s">
        <v>749</v>
      </c>
      <c r="M12" s="8" t="s">
        <v>750</v>
      </c>
      <c r="N12" s="8">
        <v>454580</v>
      </c>
      <c r="O12" s="8">
        <v>6488619</v>
      </c>
      <c r="P12" s="8" t="s">
        <v>727</v>
      </c>
    </row>
    <row r="13" spans="1:16">
      <c r="A13" s="14" t="s">
        <v>751</v>
      </c>
      <c r="B13" s="6"/>
      <c r="C13" s="6"/>
      <c r="D13" s="6" t="str">
        <f t="shared" si="0"/>
        <v/>
      </c>
      <c r="E13" s="7">
        <f>9.2*10^-3</f>
        <v>9.1999999999999998E-3</v>
      </c>
      <c r="F13" s="7">
        <f t="shared" si="1"/>
        <v>-2.0362121726544449</v>
      </c>
      <c r="G13" s="7">
        <f>37</f>
        <v>37</v>
      </c>
      <c r="H13" s="10">
        <f t="shared" ref="H13:H22" si="4">E13/G13</f>
        <v>2.4864864864864865E-4</v>
      </c>
      <c r="I13" s="6">
        <f t="shared" si="2"/>
        <v>-3.6044138967214399</v>
      </c>
      <c r="J13" s="8" t="s">
        <v>752</v>
      </c>
      <c r="K13" s="8">
        <v>16</v>
      </c>
      <c r="L13" s="8" t="s">
        <v>753</v>
      </c>
      <c r="M13" s="8" t="s">
        <v>754</v>
      </c>
      <c r="N13" s="8">
        <v>443670</v>
      </c>
      <c r="O13" s="8">
        <v>6480977</v>
      </c>
      <c r="P13" s="8" t="s">
        <v>727</v>
      </c>
    </row>
    <row r="14" spans="1:16">
      <c r="A14" s="14" t="s">
        <v>755</v>
      </c>
      <c r="C14" s="6">
        <f xml:space="preserve"> 10^-4</f>
        <v>1E-4</v>
      </c>
      <c r="D14" s="6">
        <f t="shared" si="0"/>
        <v>-4</v>
      </c>
      <c r="E14" s="7">
        <f>1.76*10^-3</f>
        <v>1.7600000000000001E-3</v>
      </c>
      <c r="F14" s="7">
        <f t="shared" si="1"/>
        <v>-2.7544873321858501</v>
      </c>
      <c r="G14" s="7">
        <f>64</f>
        <v>64</v>
      </c>
      <c r="H14" s="10">
        <f t="shared" si="4"/>
        <v>2.7500000000000001E-5</v>
      </c>
      <c r="I14" s="6">
        <f t="shared" si="2"/>
        <v>-4.5606673061697371</v>
      </c>
      <c r="J14" s="8" t="s">
        <v>756</v>
      </c>
      <c r="K14" s="8">
        <v>16</v>
      </c>
      <c r="L14" s="8" t="s">
        <v>757</v>
      </c>
      <c r="M14" s="8" t="s">
        <v>758</v>
      </c>
      <c r="N14" s="8">
        <v>462029</v>
      </c>
      <c r="O14" s="8">
        <v>6483261</v>
      </c>
      <c r="P14" s="8" t="s">
        <v>727</v>
      </c>
    </row>
    <row r="15" spans="1:16">
      <c r="A15" s="14" t="s">
        <v>759</v>
      </c>
      <c r="C15" s="6">
        <f xml:space="preserve"> 10^-4</f>
        <v>1E-4</v>
      </c>
      <c r="D15" s="6">
        <f t="shared" si="0"/>
        <v>-4</v>
      </c>
      <c r="E15" s="7">
        <f>3.2*10^-3</f>
        <v>3.2000000000000002E-3</v>
      </c>
      <c r="F15" s="7">
        <f t="shared" si="1"/>
        <v>-2.4948500216800942</v>
      </c>
      <c r="G15" s="7">
        <f>78</f>
        <v>78</v>
      </c>
      <c r="H15" s="10">
        <f t="shared" si="4"/>
        <v>4.102564102564103E-5</v>
      </c>
      <c r="I15" s="6">
        <f t="shared" si="2"/>
        <v>-4.3869446243705745</v>
      </c>
      <c r="J15" s="8" t="s">
        <v>760</v>
      </c>
      <c r="K15" s="8">
        <v>16</v>
      </c>
      <c r="L15" s="8" t="s">
        <v>761</v>
      </c>
      <c r="M15" s="8" t="s">
        <v>762</v>
      </c>
      <c r="N15" s="8">
        <v>470750</v>
      </c>
      <c r="O15" s="8">
        <v>6488465</v>
      </c>
      <c r="P15" s="8" t="s">
        <v>727</v>
      </c>
    </row>
    <row r="16" spans="1:16">
      <c r="A16" s="14" t="s">
        <v>763</v>
      </c>
      <c r="C16" s="6">
        <v>1E-4</v>
      </c>
      <c r="D16" s="6">
        <f t="shared" si="0"/>
        <v>-4</v>
      </c>
      <c r="E16" s="7">
        <v>4.0000000000000001E-3</v>
      </c>
      <c r="F16" s="7">
        <f t="shared" si="1"/>
        <v>-2.3979400086720375</v>
      </c>
      <c r="G16" s="7">
        <f>51</f>
        <v>51</v>
      </c>
      <c r="H16" s="10">
        <f t="shared" si="4"/>
        <v>7.843137254901961E-5</v>
      </c>
      <c r="I16" s="6">
        <f t="shared" si="2"/>
        <v>-4.1055101847699742</v>
      </c>
      <c r="J16" s="8" t="s">
        <v>764</v>
      </c>
      <c r="K16" s="8">
        <v>16</v>
      </c>
      <c r="L16" s="8" t="s">
        <v>765</v>
      </c>
      <c r="M16" s="8" t="s">
        <v>766</v>
      </c>
      <c r="N16" s="8">
        <v>474447</v>
      </c>
      <c r="O16" s="8">
        <v>6491282</v>
      </c>
      <c r="P16" s="8" t="s">
        <v>727</v>
      </c>
    </row>
    <row r="17" spans="1:16">
      <c r="A17" s="14" t="s">
        <v>767</v>
      </c>
      <c r="B17" s="6"/>
      <c r="C17" s="6"/>
      <c r="D17" s="6" t="str">
        <f t="shared" si="0"/>
        <v/>
      </c>
      <c r="E17" s="7">
        <f>2.3*10^-4</f>
        <v>2.2999999999999998E-4</v>
      </c>
      <c r="F17" s="7">
        <f t="shared" si="1"/>
        <v>-3.6382721639824074</v>
      </c>
      <c r="G17" s="7">
        <f>48</f>
        <v>48</v>
      </c>
      <c r="H17" s="10">
        <f t="shared" si="4"/>
        <v>4.791666666666666E-6</v>
      </c>
      <c r="I17" s="6">
        <f t="shared" si="2"/>
        <v>-5.3195134013579946</v>
      </c>
      <c r="J17" s="8"/>
      <c r="K17" s="8">
        <v>16</v>
      </c>
      <c r="L17" s="8" t="s">
        <v>768</v>
      </c>
      <c r="M17" s="8" t="s">
        <v>769</v>
      </c>
      <c r="N17" s="8">
        <v>490326</v>
      </c>
      <c r="O17" s="8">
        <v>6493768</v>
      </c>
      <c r="P17" s="8" t="s">
        <v>727</v>
      </c>
    </row>
    <row r="18" spans="1:16">
      <c r="A18" s="14" t="s">
        <v>770</v>
      </c>
      <c r="C18" s="6">
        <v>1.0000000000000001E-5</v>
      </c>
      <c r="D18" s="6">
        <f t="shared" si="0"/>
        <v>-5</v>
      </c>
      <c r="E18" s="7">
        <v>2E-3</v>
      </c>
      <c r="F18" s="7">
        <f t="shared" si="1"/>
        <v>-2.6989700043360187</v>
      </c>
      <c r="G18" s="7">
        <f>57</f>
        <v>57</v>
      </c>
      <c r="H18" s="10">
        <f t="shared" si="4"/>
        <v>3.5087719298245611E-5</v>
      </c>
      <c r="I18" s="6">
        <f t="shared" si="2"/>
        <v>-4.4548448600085102</v>
      </c>
      <c r="J18" s="8" t="s">
        <v>771</v>
      </c>
      <c r="K18" s="8">
        <v>16</v>
      </c>
      <c r="L18" s="8" t="s">
        <v>772</v>
      </c>
      <c r="M18" s="8" t="s">
        <v>773</v>
      </c>
      <c r="N18" s="8">
        <v>489822</v>
      </c>
      <c r="O18" s="8">
        <v>6489516</v>
      </c>
      <c r="P18" s="8" t="s">
        <v>727</v>
      </c>
    </row>
    <row r="19" spans="1:16">
      <c r="A19" s="14" t="s">
        <v>770</v>
      </c>
      <c r="C19" s="6">
        <v>1E-4</v>
      </c>
      <c r="D19" s="6">
        <f t="shared" si="0"/>
        <v>-4</v>
      </c>
      <c r="E19" s="7">
        <v>4.4999999999999997E-3</v>
      </c>
      <c r="F19" s="7">
        <f t="shared" si="1"/>
        <v>-2.3467874862246565</v>
      </c>
      <c r="G19" s="7">
        <f>57</f>
        <v>57</v>
      </c>
      <c r="H19" s="10">
        <f t="shared" si="4"/>
        <v>7.8947368421052619E-5</v>
      </c>
      <c r="I19" s="6">
        <f t="shared" si="2"/>
        <v>-4.1026623418971475</v>
      </c>
      <c r="J19" s="8" t="s">
        <v>774</v>
      </c>
      <c r="K19" s="8">
        <v>16</v>
      </c>
      <c r="L19" s="8" t="s">
        <v>772</v>
      </c>
      <c r="M19" s="8" t="s">
        <v>773</v>
      </c>
      <c r="N19" s="8">
        <v>489822</v>
      </c>
      <c r="O19" s="8">
        <v>6489516</v>
      </c>
      <c r="P19" s="8" t="s">
        <v>727</v>
      </c>
    </row>
    <row r="20" spans="1:16">
      <c r="A20" s="14" t="s">
        <v>770</v>
      </c>
      <c r="C20" s="6">
        <v>1.0000000000000001E-5</v>
      </c>
      <c r="D20" s="6">
        <f t="shared" si="0"/>
        <v>-5</v>
      </c>
      <c r="E20" s="7">
        <v>4.4999999999999997E-3</v>
      </c>
      <c r="F20" s="7">
        <f t="shared" si="1"/>
        <v>-2.3467874862246565</v>
      </c>
      <c r="G20" s="7">
        <f>57</f>
        <v>57</v>
      </c>
      <c r="H20" s="10">
        <f t="shared" si="4"/>
        <v>7.8947368421052619E-5</v>
      </c>
      <c r="I20" s="6">
        <f t="shared" si="2"/>
        <v>-4.1026623418971475</v>
      </c>
      <c r="J20" s="8" t="s">
        <v>774</v>
      </c>
      <c r="K20" s="8">
        <v>16</v>
      </c>
      <c r="L20" s="8" t="s">
        <v>772</v>
      </c>
      <c r="M20" s="8" t="s">
        <v>773</v>
      </c>
      <c r="N20" s="8">
        <v>489822</v>
      </c>
      <c r="O20" s="8">
        <v>6489516</v>
      </c>
      <c r="P20" s="8" t="s">
        <v>727</v>
      </c>
    </row>
    <row r="21" spans="1:16">
      <c r="A21" s="14" t="s">
        <v>775</v>
      </c>
      <c r="C21" s="6">
        <f>1.5*10^-5</f>
        <v>1.5000000000000002E-5</v>
      </c>
      <c r="D21" s="6">
        <f t="shared" si="0"/>
        <v>-4.8239087409443187</v>
      </c>
      <c r="E21" s="7">
        <v>1.65E-3</v>
      </c>
      <c r="F21" s="7">
        <f t="shared" si="1"/>
        <v>-2.7825160557860937</v>
      </c>
      <c r="G21" s="7">
        <f>97</f>
        <v>97</v>
      </c>
      <c r="H21" s="10">
        <f t="shared" si="4"/>
        <v>1.7010309278350517E-5</v>
      </c>
      <c r="I21" s="6">
        <f t="shared" si="2"/>
        <v>-4.7692877900523385</v>
      </c>
      <c r="J21" s="8" t="s">
        <v>776</v>
      </c>
      <c r="K21" s="8">
        <v>16</v>
      </c>
      <c r="L21" s="8" t="s">
        <v>777</v>
      </c>
      <c r="M21" s="8" t="s">
        <v>778</v>
      </c>
      <c r="N21" s="8">
        <v>477936</v>
      </c>
      <c r="O21" s="8">
        <v>6481248</v>
      </c>
      <c r="P21" s="8" t="s">
        <v>727</v>
      </c>
    </row>
    <row r="22" spans="1:16">
      <c r="A22" s="5" t="s">
        <v>547</v>
      </c>
      <c r="B22" s="6"/>
      <c r="C22" s="6"/>
      <c r="D22" s="6" t="str">
        <f t="shared" si="0"/>
        <v/>
      </c>
      <c r="E22" s="9">
        <v>2.5000000000000001E-4</v>
      </c>
      <c r="F22" s="7">
        <f t="shared" si="1"/>
        <v>-3.6020599913279625</v>
      </c>
      <c r="G22" s="9">
        <f>44</f>
        <v>44</v>
      </c>
      <c r="H22" s="10">
        <f t="shared" si="4"/>
        <v>5.6818181818181823E-6</v>
      </c>
      <c r="I22" s="6">
        <f t="shared" si="2"/>
        <v>-5.2455126678141495</v>
      </c>
      <c r="J22" s="8" t="s">
        <v>11</v>
      </c>
      <c r="K22" s="8">
        <v>24</v>
      </c>
      <c r="L22" s="8" t="s">
        <v>548</v>
      </c>
      <c r="M22" s="8" t="s">
        <v>549</v>
      </c>
      <c r="N22" s="8">
        <v>549512</v>
      </c>
      <c r="O22" s="8">
        <v>6429292</v>
      </c>
      <c r="P22" s="8" t="s">
        <v>727</v>
      </c>
    </row>
    <row r="25" spans="1:16">
      <c r="A25" s="29" t="s">
        <v>849</v>
      </c>
      <c r="B25" s="28" t="s">
        <v>850</v>
      </c>
      <c r="C25" s="28" t="s">
        <v>851</v>
      </c>
      <c r="D25" s="28" t="s">
        <v>852</v>
      </c>
      <c r="E25" s="28" t="s">
        <v>853</v>
      </c>
      <c r="F25" s="28" t="s">
        <v>934</v>
      </c>
      <c r="G25" s="28" t="s">
        <v>967</v>
      </c>
      <c r="I25" s="28"/>
    </row>
    <row r="26" spans="1:16">
      <c r="A26" s="29" t="s">
        <v>855</v>
      </c>
      <c r="B26" s="28">
        <f>COUNTA(B2:B22)</f>
        <v>1</v>
      </c>
      <c r="C26" s="28">
        <f>MIN(B2:B22)</f>
        <v>0.2</v>
      </c>
      <c r="D26" s="28">
        <f>MAX(B2:B22)</f>
        <v>0.2</v>
      </c>
      <c r="E26" s="28">
        <f xml:space="preserve"> AVERAGEIF(B2:B22,"&lt;&gt;0")</f>
        <v>0.2</v>
      </c>
      <c r="F26" s="28"/>
      <c r="G26" s="28"/>
      <c r="I26" s="28"/>
    </row>
    <row r="27" spans="1:16">
      <c r="A27" s="29" t="s">
        <v>857</v>
      </c>
      <c r="B27" s="28">
        <f>COUNTA(C2:C22)</f>
        <v>8</v>
      </c>
      <c r="C27" s="28">
        <f xml:space="preserve"> MIN(C2:C22)</f>
        <v>1.0000000000000001E-5</v>
      </c>
      <c r="D27" s="28">
        <f xml:space="preserve"> MAX(C2:C22)</f>
        <v>1E-4</v>
      </c>
      <c r="E27" s="28">
        <f xml:space="preserve"> AVERAGEIF(C2:C22,"&lt;&gt;0")</f>
        <v>6.6875000000000013E-5</v>
      </c>
      <c r="F27" s="28">
        <f>AVERAGE(D2:D22)</f>
        <v>-4.3529885926180398</v>
      </c>
      <c r="G27" s="28">
        <f>10^F27</f>
        <v>4.4362029611655785E-5</v>
      </c>
      <c r="I27" s="28"/>
    </row>
    <row r="28" spans="1:16">
      <c r="A28" s="29" t="s">
        <v>914</v>
      </c>
      <c r="B28" s="28">
        <f>COUNTA(E2:E22)</f>
        <v>20</v>
      </c>
      <c r="C28" s="37">
        <f xml:space="preserve"> MIN(E2:E22)</f>
        <v>2.2999999999999998E-4</v>
      </c>
      <c r="D28" s="37">
        <f xml:space="preserve"> MAX(E2:E22)</f>
        <v>0.3</v>
      </c>
      <c r="E28" s="28">
        <f>AVERAGEIF(E2:E22,"&lt;&gt;0")</f>
        <v>3.3689499999999997E-2</v>
      </c>
      <c r="F28" s="37">
        <f>AVERAGE(F2:F22)</f>
        <v>-2.1288810321854017</v>
      </c>
      <c r="G28" s="28">
        <f t="shared" ref="G28:G29" si="5">10^F28</f>
        <v>7.4322270362239219E-3</v>
      </c>
      <c r="I28" s="28"/>
    </row>
    <row r="29" spans="1:16">
      <c r="A29" s="29" t="s">
        <v>915</v>
      </c>
      <c r="B29" s="28">
        <f>COUNTA(H2:H22)</f>
        <v>16</v>
      </c>
      <c r="C29" s="28">
        <f xml:space="preserve"> MIN(H2:H22)</f>
        <v>4.791666666666666E-6</v>
      </c>
      <c r="D29" s="28">
        <f xml:space="preserve"> MAX(H2:H22)</f>
        <v>1.5E-3</v>
      </c>
      <c r="E29" s="28">
        <f>AVERAGEIF(H2:H22,"&lt;&gt;0")</f>
        <v>3.4563044150035291E-4</v>
      </c>
      <c r="F29" s="28">
        <f>AVERAGE(I2:I22)</f>
        <v>-4.005731649373014</v>
      </c>
      <c r="G29" s="28">
        <f t="shared" si="5"/>
        <v>9.8688909619650464E-5</v>
      </c>
      <c r="I29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29"/>
  <sheetViews>
    <sheetView topLeftCell="A16" zoomScale="80" zoomScaleNormal="80" workbookViewId="0">
      <selection activeCell="G25" sqref="G25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9" width="11.83203125" customWidth="1"/>
    <col min="10" max="10" width="24.1640625" customWidth="1"/>
    <col min="12" max="12" width="14.5" customWidth="1"/>
    <col min="18" max="18" width="18.6640625" bestFit="1" customWidth="1"/>
  </cols>
  <sheetData>
    <row r="1" spans="1:16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918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106</v>
      </c>
      <c r="B2" s="9"/>
      <c r="C2" s="9"/>
      <c r="D2" s="9" t="str">
        <f>IFERROR(LOG10(C2),"")</f>
        <v/>
      </c>
      <c r="E2" s="9">
        <v>4.4999999999999997E-3</v>
      </c>
      <c r="F2" s="9">
        <f>IFERROR(LOG10(E2),"")</f>
        <v>-2.3467874862246565</v>
      </c>
      <c r="G2" s="9">
        <f xml:space="preserve"> 144</f>
        <v>144</v>
      </c>
      <c r="H2" s="12">
        <f>E2/G2</f>
        <v>3.1250000000000001E-5</v>
      </c>
      <c r="I2" s="12">
        <f>IFERROR(LOG10(H2),"")</f>
        <v>-4.5051499783199063</v>
      </c>
      <c r="J2" s="8" t="s">
        <v>11</v>
      </c>
      <c r="K2" s="8">
        <v>33</v>
      </c>
      <c r="L2" s="8" t="s">
        <v>37</v>
      </c>
      <c r="M2" s="8" t="s">
        <v>107</v>
      </c>
      <c r="N2" s="8">
        <v>387439</v>
      </c>
      <c r="O2" s="8">
        <v>6486626</v>
      </c>
      <c r="P2" s="8" t="s">
        <v>108</v>
      </c>
    </row>
    <row r="3" spans="1:16">
      <c r="A3" s="5" t="s">
        <v>109</v>
      </c>
      <c r="B3" s="6"/>
      <c r="C3" s="6"/>
      <c r="D3" s="9" t="str">
        <f t="shared" ref="D3:D21" si="0">IFERROR(LOG10(C3),"")</f>
        <v/>
      </c>
      <c r="E3" s="7"/>
      <c r="F3" s="9" t="str">
        <f t="shared" ref="F3:F21" si="1">IFERROR(LOG10(E3),"")</f>
        <v/>
      </c>
      <c r="G3" s="7"/>
      <c r="H3" s="6"/>
      <c r="I3" s="12" t="str">
        <f t="shared" ref="I3:I21" si="2">IFERROR(LOG10(H3),"")</f>
        <v/>
      </c>
      <c r="J3" s="8" t="s">
        <v>11</v>
      </c>
      <c r="K3" s="8">
        <v>24</v>
      </c>
      <c r="L3" s="8" t="s">
        <v>110</v>
      </c>
      <c r="M3" s="8" t="s">
        <v>111</v>
      </c>
      <c r="N3" s="8">
        <v>526429</v>
      </c>
      <c r="O3" s="8">
        <v>6477100</v>
      </c>
      <c r="P3" s="8" t="s">
        <v>108</v>
      </c>
    </row>
    <row r="4" spans="1:16">
      <c r="A4" s="5" t="s">
        <v>112</v>
      </c>
      <c r="B4" s="6"/>
      <c r="C4" s="6"/>
      <c r="D4" s="9" t="str">
        <f t="shared" si="0"/>
        <v/>
      </c>
      <c r="E4" s="7"/>
      <c r="F4" s="9" t="str">
        <f t="shared" si="1"/>
        <v/>
      </c>
      <c r="G4" s="7"/>
      <c r="H4" s="6"/>
      <c r="I4" s="12" t="str">
        <f t="shared" si="2"/>
        <v/>
      </c>
      <c r="J4" s="8" t="s">
        <v>11</v>
      </c>
      <c r="K4" s="8">
        <v>24</v>
      </c>
      <c r="L4" s="8" t="s">
        <v>113</v>
      </c>
      <c r="M4" s="8" t="s">
        <v>114</v>
      </c>
      <c r="N4" s="8">
        <v>507955</v>
      </c>
      <c r="O4" s="8">
        <v>6475386</v>
      </c>
      <c r="P4" s="8" t="s">
        <v>108</v>
      </c>
    </row>
    <row r="5" spans="1:16">
      <c r="A5" s="14" t="s">
        <v>115</v>
      </c>
      <c r="B5" s="6"/>
      <c r="C5" s="6"/>
      <c r="D5" s="9" t="str">
        <f t="shared" si="0"/>
        <v/>
      </c>
      <c r="E5" s="7">
        <v>8.9999999999999993E-3</v>
      </c>
      <c r="F5" s="9">
        <f t="shared" si="1"/>
        <v>-2.0457574905606752</v>
      </c>
      <c r="G5" s="7"/>
      <c r="H5" s="10"/>
      <c r="I5" s="12" t="str">
        <f t="shared" si="2"/>
        <v/>
      </c>
      <c r="J5" s="8" t="s">
        <v>116</v>
      </c>
      <c r="K5" s="8">
        <v>17</v>
      </c>
      <c r="L5" s="8" t="s">
        <v>117</v>
      </c>
      <c r="M5" s="8" t="s">
        <v>118</v>
      </c>
      <c r="N5" s="8">
        <v>410698</v>
      </c>
      <c r="O5" s="8">
        <v>6516265</v>
      </c>
      <c r="P5" s="8" t="s">
        <v>108</v>
      </c>
    </row>
    <row r="6" spans="1:16">
      <c r="A6" s="14" t="s">
        <v>115</v>
      </c>
      <c r="B6" s="6"/>
      <c r="C6" s="6"/>
      <c r="D6" s="9" t="str">
        <f t="shared" si="0"/>
        <v/>
      </c>
      <c r="E6" s="7">
        <v>2.4E-2</v>
      </c>
      <c r="F6" s="9">
        <f t="shared" si="1"/>
        <v>-1.6197887582883939</v>
      </c>
      <c r="G6" s="7"/>
      <c r="H6" s="10"/>
      <c r="I6" s="12" t="str">
        <f t="shared" si="2"/>
        <v/>
      </c>
      <c r="J6" s="8" t="s">
        <v>119</v>
      </c>
      <c r="K6" s="8">
        <v>17</v>
      </c>
      <c r="L6" s="8" t="s">
        <v>117</v>
      </c>
      <c r="M6" s="8" t="s">
        <v>118</v>
      </c>
      <c r="N6" s="8">
        <v>410698</v>
      </c>
      <c r="O6" s="8">
        <v>6516265</v>
      </c>
      <c r="P6" s="8" t="s">
        <v>108</v>
      </c>
    </row>
    <row r="7" spans="1:16">
      <c r="A7" s="14" t="s">
        <v>115</v>
      </c>
      <c r="B7" s="6">
        <v>2.5000000000000001E-2</v>
      </c>
      <c r="C7" s="6"/>
      <c r="D7" s="9" t="str">
        <f t="shared" si="0"/>
        <v/>
      </c>
      <c r="E7" s="7">
        <f>2.2*10^-2</f>
        <v>2.2000000000000002E-2</v>
      </c>
      <c r="F7" s="9">
        <f t="shared" si="1"/>
        <v>-1.6575773191777938</v>
      </c>
      <c r="G7" s="7"/>
      <c r="H7" s="10"/>
      <c r="I7" s="12" t="str">
        <f t="shared" si="2"/>
        <v/>
      </c>
      <c r="J7" s="8" t="s">
        <v>120</v>
      </c>
      <c r="K7" s="8">
        <v>17</v>
      </c>
      <c r="L7" s="8" t="s">
        <v>117</v>
      </c>
      <c r="M7" s="8" t="s">
        <v>118</v>
      </c>
      <c r="N7" s="8">
        <v>410698</v>
      </c>
      <c r="O7" s="8">
        <v>6516265</v>
      </c>
      <c r="P7" s="8" t="s">
        <v>108</v>
      </c>
    </row>
    <row r="8" spans="1:16">
      <c r="A8" s="14" t="s">
        <v>115</v>
      </c>
      <c r="C8" s="6">
        <v>2.5399999999999999E-2</v>
      </c>
      <c r="D8" s="9">
        <f t="shared" si="0"/>
        <v>-1.5951662833800619</v>
      </c>
      <c r="E8" s="7">
        <f>2.19*10^-2</f>
        <v>2.1899999999999999E-2</v>
      </c>
      <c r="F8" s="9">
        <f t="shared" si="1"/>
        <v>-1.6595558851598817</v>
      </c>
      <c r="G8" s="7"/>
      <c r="H8" s="10"/>
      <c r="I8" s="12" t="str">
        <f t="shared" si="2"/>
        <v/>
      </c>
      <c r="J8" s="8" t="s">
        <v>121</v>
      </c>
      <c r="K8" s="8">
        <v>17</v>
      </c>
      <c r="L8" s="8" t="s">
        <v>117</v>
      </c>
      <c r="M8" s="8" t="s">
        <v>118</v>
      </c>
      <c r="N8" s="8">
        <v>410698</v>
      </c>
      <c r="O8" s="8">
        <v>6516265</v>
      </c>
      <c r="P8" s="8" t="s">
        <v>108</v>
      </c>
    </row>
    <row r="9" spans="1:16">
      <c r="A9" s="14" t="s">
        <v>122</v>
      </c>
      <c r="B9" s="6"/>
      <c r="C9" s="6"/>
      <c r="D9" s="9" t="str">
        <f t="shared" si="0"/>
        <v/>
      </c>
      <c r="E9" s="7">
        <f>5*10^-4</f>
        <v>5.0000000000000001E-4</v>
      </c>
      <c r="F9" s="9">
        <f t="shared" si="1"/>
        <v>-3.3010299956639813</v>
      </c>
      <c r="G9" s="7">
        <f>63</f>
        <v>63</v>
      </c>
      <c r="H9" s="10">
        <f>E9/G9</f>
        <v>7.9365079365079362E-6</v>
      </c>
      <c r="I9" s="12">
        <f t="shared" si="2"/>
        <v>-5.1003705451175625</v>
      </c>
      <c r="J9" s="8" t="s">
        <v>123</v>
      </c>
      <c r="K9" s="8">
        <v>16</v>
      </c>
      <c r="L9" s="8" t="s">
        <v>124</v>
      </c>
      <c r="M9" s="8" t="s">
        <v>125</v>
      </c>
      <c r="N9" s="8">
        <v>441605</v>
      </c>
      <c r="O9" s="8">
        <v>6517366</v>
      </c>
      <c r="P9" s="8" t="s">
        <v>108</v>
      </c>
    </row>
    <row r="10" spans="1:16">
      <c r="A10" s="14" t="s">
        <v>122</v>
      </c>
      <c r="B10" s="6"/>
      <c r="C10" s="6"/>
      <c r="D10" s="9" t="str">
        <f t="shared" si="0"/>
        <v/>
      </c>
      <c r="E10" s="7">
        <f>1*10^-3</f>
        <v>1E-3</v>
      </c>
      <c r="F10" s="9">
        <f t="shared" si="1"/>
        <v>-3</v>
      </c>
      <c r="G10" s="7">
        <f>63</f>
        <v>63</v>
      </c>
      <c r="H10" s="10">
        <f>E10/G10</f>
        <v>1.5873015873015872E-5</v>
      </c>
      <c r="I10" s="12">
        <f t="shared" si="2"/>
        <v>-4.7993405494535821</v>
      </c>
      <c r="J10" s="8" t="s">
        <v>126</v>
      </c>
      <c r="K10" s="8">
        <v>16</v>
      </c>
      <c r="L10" s="8" t="s">
        <v>124</v>
      </c>
      <c r="M10" s="8" t="s">
        <v>125</v>
      </c>
      <c r="N10" s="8">
        <v>441605</v>
      </c>
      <c r="O10" s="8">
        <v>6517366</v>
      </c>
      <c r="P10" s="8" t="s">
        <v>108</v>
      </c>
    </row>
    <row r="11" spans="1:16">
      <c r="A11" s="14" t="s">
        <v>127</v>
      </c>
      <c r="B11" s="6"/>
      <c r="C11" s="6"/>
      <c r="D11" s="9" t="str">
        <f t="shared" si="0"/>
        <v/>
      </c>
      <c r="E11" s="7">
        <v>2.7E-2</v>
      </c>
      <c r="F11" s="9">
        <f t="shared" si="1"/>
        <v>-1.5686362358410126</v>
      </c>
      <c r="G11" s="7"/>
      <c r="H11" s="10"/>
      <c r="I11" s="12" t="str">
        <f t="shared" si="2"/>
        <v/>
      </c>
      <c r="J11" s="8" t="s">
        <v>128</v>
      </c>
      <c r="K11" s="8">
        <v>16</v>
      </c>
      <c r="L11" s="8" t="s">
        <v>124</v>
      </c>
      <c r="M11" s="8" t="s">
        <v>129</v>
      </c>
      <c r="N11" s="8">
        <v>441801</v>
      </c>
      <c r="O11" s="8">
        <v>6517638</v>
      </c>
      <c r="P11" s="8" t="s">
        <v>108</v>
      </c>
    </row>
    <row r="12" spans="1:16">
      <c r="A12" s="14" t="s">
        <v>127</v>
      </c>
      <c r="B12" s="6"/>
      <c r="C12" s="6"/>
      <c r="D12" s="9" t="str">
        <f t="shared" si="0"/>
        <v/>
      </c>
      <c r="E12" s="7">
        <v>0.05</v>
      </c>
      <c r="F12" s="9">
        <f t="shared" si="1"/>
        <v>-1.3010299956639813</v>
      </c>
      <c r="G12" s="7"/>
      <c r="H12" s="10"/>
      <c r="I12" s="12" t="str">
        <f t="shared" si="2"/>
        <v/>
      </c>
      <c r="J12" s="8" t="s">
        <v>130</v>
      </c>
      <c r="K12" s="8">
        <v>16</v>
      </c>
      <c r="L12" s="8" t="s">
        <v>124</v>
      </c>
      <c r="M12" s="8" t="s">
        <v>129</v>
      </c>
      <c r="N12" s="8">
        <v>441801</v>
      </c>
      <c r="O12" s="8">
        <v>6517638</v>
      </c>
      <c r="P12" s="8" t="s">
        <v>108</v>
      </c>
    </row>
    <row r="13" spans="1:16">
      <c r="A13" s="14" t="s">
        <v>131</v>
      </c>
      <c r="B13" s="6"/>
      <c r="C13" s="6"/>
      <c r="D13" s="9" t="str">
        <f t="shared" si="0"/>
        <v/>
      </c>
      <c r="E13" s="7">
        <v>2.9999999999999997E-4</v>
      </c>
      <c r="F13" s="9">
        <f t="shared" si="1"/>
        <v>-3.5228787452803374</v>
      </c>
      <c r="G13" s="7">
        <f>63</f>
        <v>63</v>
      </c>
      <c r="H13" s="10">
        <f>E13/G13</f>
        <v>4.7619047619047615E-6</v>
      </c>
      <c r="I13" s="12">
        <f t="shared" si="2"/>
        <v>-5.3222192947339195</v>
      </c>
      <c r="J13" s="8" t="s">
        <v>132</v>
      </c>
      <c r="K13" s="8">
        <v>16</v>
      </c>
      <c r="L13" s="8" t="s">
        <v>124</v>
      </c>
      <c r="M13" s="8" t="s">
        <v>133</v>
      </c>
      <c r="N13" s="8">
        <v>442155</v>
      </c>
      <c r="O13" s="8">
        <v>6517389</v>
      </c>
      <c r="P13" s="8" t="s">
        <v>108</v>
      </c>
    </row>
    <row r="14" spans="1:16">
      <c r="A14" s="14" t="s">
        <v>131</v>
      </c>
      <c r="C14" s="6">
        <v>1.5E-3</v>
      </c>
      <c r="D14" s="9">
        <f t="shared" si="0"/>
        <v>-2.8239087409443187</v>
      </c>
      <c r="E14" s="7">
        <v>8.3000000000000001E-3</v>
      </c>
      <c r="F14" s="9">
        <f t="shared" si="1"/>
        <v>-2.0809219076239263</v>
      </c>
      <c r="G14" s="7">
        <f>63</f>
        <v>63</v>
      </c>
      <c r="H14" s="10">
        <f t="shared" ref="H14:H15" si="3">E14/G14</f>
        <v>1.3174603174603174E-4</v>
      </c>
      <c r="I14" s="12">
        <f t="shared" si="2"/>
        <v>-3.8802624570775079</v>
      </c>
      <c r="J14" s="8" t="s">
        <v>134</v>
      </c>
      <c r="K14" s="8">
        <v>16</v>
      </c>
      <c r="L14" s="8" t="s">
        <v>124</v>
      </c>
      <c r="M14" s="8" t="s">
        <v>133</v>
      </c>
      <c r="N14" s="8">
        <v>442155</v>
      </c>
      <c r="O14" s="8">
        <v>6517389</v>
      </c>
      <c r="P14" s="8" t="s">
        <v>108</v>
      </c>
    </row>
    <row r="15" spans="1:16">
      <c r="A15" s="14" t="s">
        <v>131</v>
      </c>
      <c r="C15" s="6">
        <v>4.0000000000000002E-4</v>
      </c>
      <c r="D15" s="9">
        <f t="shared" si="0"/>
        <v>-3.3979400086720375</v>
      </c>
      <c r="E15" s="7">
        <v>1.3500000000000001E-3</v>
      </c>
      <c r="F15" s="9">
        <f t="shared" si="1"/>
        <v>-2.8696662315049939</v>
      </c>
      <c r="G15" s="7">
        <f>63</f>
        <v>63</v>
      </c>
      <c r="H15" s="10">
        <f t="shared" si="3"/>
        <v>2.1428571428571428E-5</v>
      </c>
      <c r="I15" s="12">
        <f t="shared" si="2"/>
        <v>-4.6690067809585756</v>
      </c>
      <c r="J15" s="8" t="s">
        <v>134</v>
      </c>
      <c r="K15" s="8">
        <v>16</v>
      </c>
      <c r="L15" s="8" t="s">
        <v>124</v>
      </c>
      <c r="M15" s="8" t="s">
        <v>133</v>
      </c>
      <c r="N15" s="8">
        <v>442155</v>
      </c>
      <c r="O15" s="8">
        <v>6517389</v>
      </c>
      <c r="P15" s="8" t="s">
        <v>108</v>
      </c>
    </row>
    <row r="16" spans="1:16">
      <c r="A16" s="14" t="s">
        <v>135</v>
      </c>
      <c r="B16" s="6"/>
      <c r="C16" s="6"/>
      <c r="D16" s="9" t="str">
        <f t="shared" si="0"/>
        <v/>
      </c>
      <c r="E16" s="7">
        <v>4.8000000000000001E-4</v>
      </c>
      <c r="F16" s="9">
        <f t="shared" si="1"/>
        <v>-3.3187587626244128</v>
      </c>
      <c r="G16" s="7"/>
      <c r="H16" s="10"/>
      <c r="I16" s="12" t="str">
        <f t="shared" si="2"/>
        <v/>
      </c>
      <c r="J16" s="8" t="s">
        <v>136</v>
      </c>
      <c r="K16" s="8">
        <v>16</v>
      </c>
      <c r="L16" s="8" t="s">
        <v>124</v>
      </c>
      <c r="M16" s="8" t="s">
        <v>137</v>
      </c>
      <c r="N16" s="8">
        <v>442079</v>
      </c>
      <c r="O16" s="8">
        <v>6517601</v>
      </c>
      <c r="P16" s="8" t="s">
        <v>108</v>
      </c>
    </row>
    <row r="17" spans="1:16">
      <c r="A17" s="14" t="s">
        <v>135</v>
      </c>
      <c r="B17" s="6"/>
      <c r="C17" s="6"/>
      <c r="D17" s="9" t="str">
        <f t="shared" si="0"/>
        <v/>
      </c>
      <c r="E17" s="7">
        <v>3.3999999999999998E-3</v>
      </c>
      <c r="F17" s="9">
        <f t="shared" si="1"/>
        <v>-2.4685210829577451</v>
      </c>
      <c r="G17" s="7"/>
      <c r="H17" s="10"/>
      <c r="I17" s="12" t="str">
        <f t="shared" si="2"/>
        <v/>
      </c>
      <c r="J17" s="8" t="s">
        <v>138</v>
      </c>
      <c r="K17" s="8">
        <v>16</v>
      </c>
      <c r="L17" s="8" t="s">
        <v>124</v>
      </c>
      <c r="M17" s="8" t="s">
        <v>137</v>
      </c>
      <c r="N17" s="8">
        <v>442079</v>
      </c>
      <c r="O17" s="8">
        <v>6517601</v>
      </c>
      <c r="P17" s="8" t="s">
        <v>108</v>
      </c>
    </row>
    <row r="18" spans="1:16">
      <c r="A18" s="14" t="s">
        <v>135</v>
      </c>
      <c r="B18" s="6"/>
      <c r="C18" s="6"/>
      <c r="D18" s="9" t="str">
        <f t="shared" si="0"/>
        <v/>
      </c>
      <c r="E18" s="7">
        <v>6.4999999999999997E-4</v>
      </c>
      <c r="F18" s="9">
        <f t="shared" si="1"/>
        <v>-3.1870866433571443</v>
      </c>
      <c r="G18" s="7"/>
      <c r="H18" s="10"/>
      <c r="I18" s="12" t="str">
        <f t="shared" si="2"/>
        <v/>
      </c>
      <c r="J18" s="8" t="s">
        <v>139</v>
      </c>
      <c r="K18" s="8">
        <v>16</v>
      </c>
      <c r="L18" s="8" t="s">
        <v>124</v>
      </c>
      <c r="M18" s="8" t="s">
        <v>137</v>
      </c>
      <c r="N18" s="8">
        <v>442079</v>
      </c>
      <c r="O18" s="8">
        <v>6517601</v>
      </c>
      <c r="P18" s="8" t="s">
        <v>108</v>
      </c>
    </row>
    <row r="19" spans="1:16">
      <c r="A19" s="14" t="s">
        <v>140</v>
      </c>
      <c r="B19" s="6"/>
      <c r="C19" s="6"/>
      <c r="D19" s="9" t="str">
        <f t="shared" si="0"/>
        <v/>
      </c>
      <c r="E19" s="7">
        <v>0.05</v>
      </c>
      <c r="F19" s="9">
        <f t="shared" si="1"/>
        <v>-1.3010299956639813</v>
      </c>
      <c r="G19" s="7">
        <f>81</f>
        <v>81</v>
      </c>
      <c r="H19" s="10">
        <f>E19/G19</f>
        <v>6.1728395061728394E-4</v>
      </c>
      <c r="I19" s="12">
        <f t="shared" si="2"/>
        <v>-3.2095150145426308</v>
      </c>
      <c r="J19" s="8" t="s">
        <v>141</v>
      </c>
      <c r="K19" s="8">
        <v>17</v>
      </c>
      <c r="L19" s="8" t="s">
        <v>142</v>
      </c>
      <c r="M19" s="8" t="s">
        <v>143</v>
      </c>
      <c r="N19" s="8">
        <v>421388</v>
      </c>
      <c r="O19" s="8">
        <v>6498505</v>
      </c>
      <c r="P19" s="8" t="s">
        <v>108</v>
      </c>
    </row>
    <row r="20" spans="1:16">
      <c r="A20" s="14" t="s">
        <v>140</v>
      </c>
      <c r="B20" s="6"/>
      <c r="C20" s="6"/>
      <c r="D20" s="9" t="str">
        <f t="shared" si="0"/>
        <v/>
      </c>
      <c r="E20" s="7">
        <v>7.4999999999999997E-2</v>
      </c>
      <c r="F20" s="9">
        <f t="shared" si="1"/>
        <v>-1.1249387366082999</v>
      </c>
      <c r="G20" s="7">
        <f>81</f>
        <v>81</v>
      </c>
      <c r="H20" s="10">
        <f>E20/G20</f>
        <v>9.2592592592592585E-4</v>
      </c>
      <c r="I20" s="12">
        <f t="shared" si="2"/>
        <v>-3.0334237554869499</v>
      </c>
      <c r="J20" s="8" t="s">
        <v>144</v>
      </c>
      <c r="K20" s="8">
        <v>17</v>
      </c>
      <c r="L20" s="8" t="s">
        <v>142</v>
      </c>
      <c r="M20" s="8" t="s">
        <v>143</v>
      </c>
      <c r="N20" s="8">
        <v>421388</v>
      </c>
      <c r="O20" s="8">
        <v>6498505</v>
      </c>
      <c r="P20" s="8" t="s">
        <v>108</v>
      </c>
    </row>
    <row r="21" spans="1:16">
      <c r="A21" s="14" t="s">
        <v>145</v>
      </c>
      <c r="B21" s="6">
        <v>0.01</v>
      </c>
      <c r="C21" s="6"/>
      <c r="D21" s="9" t="str">
        <f t="shared" si="0"/>
        <v/>
      </c>
      <c r="E21" s="7">
        <f>2.7*10^-3</f>
        <v>2.7000000000000001E-3</v>
      </c>
      <c r="F21" s="9">
        <f t="shared" si="1"/>
        <v>-2.5686362358410126</v>
      </c>
      <c r="G21" s="7"/>
      <c r="H21" s="10"/>
      <c r="I21" s="12" t="str">
        <f t="shared" si="2"/>
        <v/>
      </c>
      <c r="J21" s="8" t="s">
        <v>146</v>
      </c>
      <c r="K21" s="8">
        <v>17</v>
      </c>
      <c r="L21" s="8" t="s">
        <v>147</v>
      </c>
      <c r="M21" s="8" t="s">
        <v>148</v>
      </c>
      <c r="N21" s="8">
        <v>419456</v>
      </c>
      <c r="O21" s="8">
        <v>6494453</v>
      </c>
      <c r="P21" s="8" t="s">
        <v>108</v>
      </c>
    </row>
    <row r="25" spans="1:16" ht="16">
      <c r="A25" s="42" t="s">
        <v>849</v>
      </c>
      <c r="B25" s="38" t="s">
        <v>850</v>
      </c>
      <c r="C25" s="38" t="s">
        <v>851</v>
      </c>
      <c r="D25" s="38" t="s">
        <v>852</v>
      </c>
      <c r="E25" s="38" t="s">
        <v>853</v>
      </c>
      <c r="F25" s="38" t="s">
        <v>934</v>
      </c>
      <c r="G25" s="38" t="s">
        <v>967</v>
      </c>
      <c r="I25" s="38"/>
    </row>
    <row r="26" spans="1:16" ht="16">
      <c r="A26" s="42" t="s">
        <v>855</v>
      </c>
      <c r="B26" s="38">
        <f>COUNTA(B2:B21)</f>
        <v>2</v>
      </c>
      <c r="C26" s="43">
        <f>MIN(B2:B21)</f>
        <v>0.01</v>
      </c>
      <c r="D26" s="43">
        <f xml:space="preserve"> MAX(B2:B21)</f>
        <v>2.5000000000000001E-2</v>
      </c>
      <c r="E26" s="38">
        <f xml:space="preserve"> AVERAGEIF(B2:B21,"&lt;&gt;0")</f>
        <v>1.7500000000000002E-2</v>
      </c>
      <c r="F26" s="43"/>
      <c r="G26" s="43"/>
      <c r="I26" s="38"/>
    </row>
    <row r="27" spans="1:16" ht="16">
      <c r="A27" s="42" t="s">
        <v>857</v>
      </c>
      <c r="B27" s="38">
        <f>COUNTA(C2:C21)</f>
        <v>3</v>
      </c>
      <c r="C27" s="43">
        <f>MIN(C2:C21)</f>
        <v>4.0000000000000002E-4</v>
      </c>
      <c r="D27" s="43">
        <f xml:space="preserve"> MAX(C2:C21)</f>
        <v>2.5399999999999999E-2</v>
      </c>
      <c r="E27" s="38">
        <f xml:space="preserve"> AVERAGEIF(C2:C21,"&lt;&gt;0")</f>
        <v>9.1000000000000004E-3</v>
      </c>
      <c r="F27" s="43">
        <f>AVERAGE(D2:D21)</f>
        <v>-2.6056716776654727</v>
      </c>
      <c r="G27" s="43">
        <f>10^F27</f>
        <v>2.4792956723428917E-3</v>
      </c>
      <c r="I27" s="38"/>
    </row>
    <row r="28" spans="1:16" ht="16">
      <c r="A28" s="42" t="s">
        <v>914</v>
      </c>
      <c r="B28" s="38">
        <f>COUNTA(E2:E21)</f>
        <v>18</v>
      </c>
      <c r="C28" s="43">
        <f xml:space="preserve"> MIN(E2:E21)</f>
        <v>2.9999999999999997E-4</v>
      </c>
      <c r="D28" s="43">
        <f xml:space="preserve"> MAX(E2:E21)</f>
        <v>7.4999999999999997E-2</v>
      </c>
      <c r="E28" s="38">
        <f>AVERAGEIF(E2:E21,"&lt;&gt;0")</f>
        <v>1.6782222222222219E-2</v>
      </c>
      <c r="F28" s="43">
        <f>AVERAGE(F2:F21)</f>
        <v>-2.2745889726690129</v>
      </c>
      <c r="G28" s="43">
        <f t="shared" ref="G28:G29" si="4">10^F28</f>
        <v>5.3138712459341502E-3</v>
      </c>
      <c r="I28" s="38"/>
    </row>
    <row r="29" spans="1:16" ht="16">
      <c r="A29" s="42" t="s">
        <v>915</v>
      </c>
      <c r="B29" s="38">
        <f>COUNTA(H2:H21)</f>
        <v>8</v>
      </c>
      <c r="C29" s="38">
        <f xml:space="preserve"> MIN(H2:H21)</f>
        <v>4.7619047619047615E-6</v>
      </c>
      <c r="D29" s="38">
        <f xml:space="preserve"> MAX(H2:H21)</f>
        <v>9.2592592592592585E-4</v>
      </c>
      <c r="E29" s="38">
        <f>AVERAGEIF(H2:H21,"&lt;&gt;0")</f>
        <v>2.1952573853615517E-4</v>
      </c>
      <c r="F29" s="43">
        <f>AVERAGE(I2:I21)</f>
        <v>-4.3149110469613294</v>
      </c>
      <c r="G29" s="43">
        <f t="shared" si="4"/>
        <v>4.8427154686481806E-5</v>
      </c>
      <c r="I29" s="3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3"/>
  <sheetViews>
    <sheetView workbookViewId="0">
      <selection activeCell="B11" sqref="B11"/>
    </sheetView>
  </sheetViews>
  <sheetFormatPr baseColWidth="10" defaultRowHeight="15"/>
  <cols>
    <col min="1" max="1" width="18.1640625" customWidth="1"/>
    <col min="2" max="4" width="21.83203125" customWidth="1"/>
    <col min="5" max="6" width="15.5" customWidth="1"/>
    <col min="7" max="8" width="11.83203125" customWidth="1"/>
    <col min="9" max="9" width="24.1640625" customWidth="1"/>
    <col min="11" max="11" width="14.5" customWidth="1"/>
    <col min="17" max="17" width="18.6640625" bestFit="1" customWidth="1"/>
  </cols>
  <sheetData>
    <row r="1" spans="1:15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2" t="s">
        <v>2</v>
      </c>
      <c r="H1" s="2" t="s">
        <v>933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10</v>
      </c>
    </row>
    <row r="2" spans="1:15">
      <c r="A2" s="14" t="s">
        <v>787</v>
      </c>
      <c r="B2" s="6">
        <f>0.02</f>
        <v>0.02</v>
      </c>
      <c r="C2" s="6"/>
      <c r="D2" s="6" t="str">
        <f>IFERROR(LOG10(C2),"")</f>
        <v/>
      </c>
      <c r="E2" s="7">
        <v>0.03</v>
      </c>
      <c r="F2" s="7">
        <f>IFERROR(LOG10(E2),"")</f>
        <v>-1.5228787452803376</v>
      </c>
      <c r="G2" s="10"/>
      <c r="H2" s="10" t="str">
        <f>IFERROR(LOG10(G2),"")</f>
        <v/>
      </c>
      <c r="I2" s="8" t="s">
        <v>788</v>
      </c>
      <c r="J2" s="8">
        <v>16</v>
      </c>
      <c r="K2" s="8" t="s">
        <v>789</v>
      </c>
      <c r="L2" s="8" t="s">
        <v>789</v>
      </c>
      <c r="M2" s="8">
        <v>452851</v>
      </c>
      <c r="N2" s="8">
        <v>6522952</v>
      </c>
      <c r="O2" s="8" t="s">
        <v>790</v>
      </c>
    </row>
    <row r="3" spans="1:15">
      <c r="A3" s="14" t="s">
        <v>787</v>
      </c>
      <c r="B3" s="6"/>
      <c r="C3" s="6">
        <f>0.04</f>
        <v>0.04</v>
      </c>
      <c r="D3" s="6">
        <f>IFERROR(LOG10(C3),"")</f>
        <v>-1.3979400086720375</v>
      </c>
      <c r="E3" s="7">
        <v>3.041E-2</v>
      </c>
      <c r="F3" s="7">
        <f>IFERROR(LOG10(E3),"")</f>
        <v>-1.5169835798558677</v>
      </c>
      <c r="G3" s="10"/>
      <c r="H3" s="10" t="str">
        <f>IFERROR(LOG10(G3),"")</f>
        <v/>
      </c>
      <c r="I3" s="8" t="s">
        <v>791</v>
      </c>
      <c r="J3" s="8">
        <v>16</v>
      </c>
      <c r="K3" s="8" t="s">
        <v>789</v>
      </c>
      <c r="L3" s="8" t="s">
        <v>789</v>
      </c>
      <c r="M3" s="8">
        <v>452851</v>
      </c>
      <c r="N3" s="8">
        <v>6522952</v>
      </c>
      <c r="O3" s="8" t="s">
        <v>790</v>
      </c>
    </row>
    <row r="7" spans="1:15">
      <c r="A7" s="28" t="s">
        <v>849</v>
      </c>
      <c r="B7" s="28" t="s">
        <v>850</v>
      </c>
      <c r="C7" s="28" t="s">
        <v>851</v>
      </c>
      <c r="D7" s="28" t="s">
        <v>852</v>
      </c>
      <c r="E7" s="28" t="s">
        <v>853</v>
      </c>
      <c r="F7" s="28" t="s">
        <v>934</v>
      </c>
      <c r="G7" t="s">
        <v>967</v>
      </c>
      <c r="H7" s="28"/>
    </row>
    <row r="8" spans="1:15">
      <c r="A8" s="28" t="s">
        <v>855</v>
      </c>
      <c r="B8" s="28">
        <f xml:space="preserve"> COUNTA(B2:B3)</f>
        <v>1</v>
      </c>
      <c r="C8" s="28">
        <f xml:space="preserve"> MIN(B2:B3)</f>
        <v>0.02</v>
      </c>
      <c r="D8" s="28">
        <f>MAX(B2:B3)</f>
        <v>0.02</v>
      </c>
      <c r="E8" s="28">
        <f>AVERAGEIF(B2:B3,"&lt;&gt;0")</f>
        <v>0.02</v>
      </c>
      <c r="F8" s="28"/>
      <c r="H8" s="28"/>
    </row>
    <row r="9" spans="1:15">
      <c r="A9" s="28" t="s">
        <v>857</v>
      </c>
      <c r="B9" s="28">
        <f>COUNTA(C2:C3)</f>
        <v>1</v>
      </c>
      <c r="C9" s="28">
        <f xml:space="preserve"> MIN(C2:C3)</f>
        <v>0.04</v>
      </c>
      <c r="D9" s="28">
        <f xml:space="preserve"> MAX(C2:C3)</f>
        <v>0.04</v>
      </c>
      <c r="E9" s="28">
        <f xml:space="preserve"> AVERAGEIF(C2:C3,"&lt;&gt;0")</f>
        <v>0.04</v>
      </c>
      <c r="F9" s="28">
        <f>AVERAGE(D2:D3)</f>
        <v>-1.3979400086720375</v>
      </c>
      <c r="G9">
        <f>10^F9</f>
        <v>4.0000000000000008E-2</v>
      </c>
      <c r="H9" s="28"/>
    </row>
    <row r="10" spans="1:15">
      <c r="A10" s="28" t="s">
        <v>914</v>
      </c>
      <c r="B10" s="28">
        <f>COUNTA(E2:E3)</f>
        <v>2</v>
      </c>
      <c r="C10" s="37">
        <f xml:space="preserve"> MIN(E2:E3)</f>
        <v>0.03</v>
      </c>
      <c r="D10" s="37">
        <f xml:space="preserve"> MAX(E2:E3)</f>
        <v>3.041E-2</v>
      </c>
      <c r="E10" s="28">
        <f>AVERAGEIF(E2:E3,"&lt;&gt;0")</f>
        <v>3.0204999999999999E-2</v>
      </c>
      <c r="F10" s="37">
        <f>AVERAGE(F2:F3)</f>
        <v>-1.5199311625681027</v>
      </c>
      <c r="G10">
        <f t="shared" ref="G10:G11" si="0">10^F10</f>
        <v>3.0204304329019053E-2</v>
      </c>
      <c r="H10" s="28"/>
    </row>
    <row r="11" spans="1:15">
      <c r="A11" s="28" t="s">
        <v>915</v>
      </c>
      <c r="B11" s="28">
        <f>COUNTA(G2:G3)</f>
        <v>0</v>
      </c>
      <c r="C11" s="28">
        <f xml:space="preserve"> MIN(G2:G3)</f>
        <v>0</v>
      </c>
      <c r="D11" s="28">
        <f xml:space="preserve"> MAX(G2:G3)</f>
        <v>0</v>
      </c>
      <c r="E11" s="28" t="e">
        <f>AVERAGEIF(G2:G3,"&lt;&gt;0")</f>
        <v>#DIV/0!</v>
      </c>
      <c r="F11" s="28" t="e">
        <f>AVERAGE(H2:H3)</f>
        <v>#DIV/0!</v>
      </c>
      <c r="G11" t="e">
        <f t="shared" si="0"/>
        <v>#DIV/0!</v>
      </c>
      <c r="H11" s="28"/>
    </row>
    <row r="12" spans="1:15">
      <c r="A12" s="28"/>
      <c r="B12" s="28"/>
      <c r="C12" s="28"/>
      <c r="D12" s="28"/>
      <c r="E12" s="28"/>
      <c r="F12" s="28"/>
      <c r="G12" s="28"/>
      <c r="H12" s="28"/>
    </row>
    <row r="13" spans="1:15">
      <c r="F13">
        <f>(10^-6 +2.1*10^-5)/2/0.3048</f>
        <v>3.6089238845144359E-5</v>
      </c>
      <c r="G13">
        <f>563.8571*F13</f>
        <v>2.0349173556430445E-2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0"/>
  <sheetViews>
    <sheetView workbookViewId="0">
      <selection activeCell="I2" sqref="I2"/>
    </sheetView>
  </sheetViews>
  <sheetFormatPr baseColWidth="10" defaultRowHeight="15"/>
  <cols>
    <col min="1" max="1" width="18.1640625" customWidth="1"/>
    <col min="2" max="4" width="21.83203125" customWidth="1"/>
    <col min="5" max="6" width="15.5" customWidth="1"/>
    <col min="7" max="8" width="11.83203125" customWidth="1"/>
    <col min="9" max="9" width="24.1640625" customWidth="1"/>
    <col min="11" max="11" width="14.5" customWidth="1"/>
    <col min="17" max="17" width="18.6640625" bestFit="1" customWidth="1"/>
  </cols>
  <sheetData>
    <row r="1" spans="1:15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2" t="s">
        <v>2</v>
      </c>
      <c r="H1" s="2" t="s">
        <v>933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10</v>
      </c>
    </row>
    <row r="2" spans="1:15">
      <c r="A2" s="5" t="s">
        <v>611</v>
      </c>
      <c r="B2" s="6">
        <f>0.02</f>
        <v>0.02</v>
      </c>
      <c r="C2" s="6"/>
      <c r="D2" s="6" t="str">
        <f>IFERROR(LOG10(C2),"")</f>
        <v/>
      </c>
      <c r="E2">
        <f>0.0106</f>
        <v>1.06E-2</v>
      </c>
      <c r="F2" s="7">
        <f>IFERROR(LOG10(E2),"")</f>
        <v>-1.9746941347352298</v>
      </c>
      <c r="G2" s="6"/>
      <c r="H2" s="6" t="str">
        <f>IFERROR(LOG10(G2),"")</f>
        <v/>
      </c>
      <c r="I2" s="8" t="s">
        <v>961</v>
      </c>
      <c r="J2" s="8">
        <v>47</v>
      </c>
      <c r="K2" s="8" t="s">
        <v>612</v>
      </c>
      <c r="L2" s="8" t="s">
        <v>613</v>
      </c>
      <c r="M2" s="8">
        <v>490127</v>
      </c>
      <c r="N2" s="8">
        <v>6364450</v>
      </c>
      <c r="O2" s="8" t="s">
        <v>614</v>
      </c>
    </row>
    <row r="3" spans="1:15">
      <c r="A3" s="5" t="s">
        <v>615</v>
      </c>
      <c r="B3" s="6"/>
      <c r="C3" s="6">
        <f>0.04</f>
        <v>0.04</v>
      </c>
      <c r="D3" s="6">
        <f>IFERROR(LOG10(C3),"")</f>
        <v>-1.3979400086720375</v>
      </c>
      <c r="E3" s="7"/>
      <c r="F3" s="7" t="str">
        <f>IFERROR(LOG10(E3),"")</f>
        <v/>
      </c>
      <c r="G3" s="6"/>
      <c r="H3" s="6" t="str">
        <f>IFERROR(LOG10(G3),"")</f>
        <v/>
      </c>
      <c r="I3" s="8" t="s">
        <v>11</v>
      </c>
      <c r="J3" s="8">
        <v>47</v>
      </c>
      <c r="K3" s="8" t="s">
        <v>616</v>
      </c>
      <c r="L3" s="8" t="s">
        <v>617</v>
      </c>
      <c r="M3" s="8">
        <v>526983</v>
      </c>
      <c r="N3" s="8">
        <v>6354588</v>
      </c>
      <c r="O3" s="8" t="s">
        <v>614</v>
      </c>
    </row>
    <row r="6" spans="1:15">
      <c r="A6" s="28" t="s">
        <v>849</v>
      </c>
      <c r="B6" s="28" t="s">
        <v>850</v>
      </c>
      <c r="C6" s="28" t="s">
        <v>851</v>
      </c>
      <c r="D6" s="28" t="s">
        <v>852</v>
      </c>
      <c r="E6" s="28" t="s">
        <v>853</v>
      </c>
      <c r="F6" s="28" t="s">
        <v>934</v>
      </c>
      <c r="G6" s="28" t="s">
        <v>967</v>
      </c>
      <c r="H6" s="28"/>
    </row>
    <row r="7" spans="1:15">
      <c r="A7" s="28" t="s">
        <v>855</v>
      </c>
      <c r="B7" s="28">
        <f>COUNTA(B2:B3)</f>
        <v>1</v>
      </c>
      <c r="C7" s="28">
        <f xml:space="preserve"> MIN(B2:B3)</f>
        <v>0.02</v>
      </c>
      <c r="D7" s="28">
        <f>MAX(B2:B3)</f>
        <v>0.02</v>
      </c>
      <c r="E7" s="28">
        <f xml:space="preserve"> AVERAGEIF(B2:B3,"&lt;&gt;0")</f>
        <v>0.02</v>
      </c>
      <c r="F7" s="28"/>
      <c r="H7" s="28"/>
    </row>
    <row r="8" spans="1:15">
      <c r="A8" s="28" t="s">
        <v>857</v>
      </c>
      <c r="B8" s="28">
        <f>COUNTA(C2:C3)</f>
        <v>1</v>
      </c>
      <c r="C8" s="28">
        <f xml:space="preserve"> MIN(C2:C3)</f>
        <v>0.04</v>
      </c>
      <c r="D8" s="28">
        <f xml:space="preserve"> MAX(C2:C3)</f>
        <v>0.04</v>
      </c>
      <c r="E8" s="28">
        <f xml:space="preserve"> AVERAGEIF(C2:C3,"&lt;&gt;0")</f>
        <v>0.04</v>
      </c>
      <c r="F8" s="28">
        <f>AVERAGE(D2:D3)</f>
        <v>-1.3979400086720375</v>
      </c>
      <c r="G8">
        <f>10^F8</f>
        <v>4.0000000000000008E-2</v>
      </c>
      <c r="H8" s="28"/>
    </row>
    <row r="9" spans="1:15">
      <c r="A9" s="28" t="s">
        <v>914</v>
      </c>
      <c r="B9" s="28">
        <f>COUNTA(E2:E3)</f>
        <v>1</v>
      </c>
      <c r="C9" s="37">
        <f xml:space="preserve"> MIN(E2:E3)</f>
        <v>1.06E-2</v>
      </c>
      <c r="D9" s="37">
        <f xml:space="preserve"> MAX(E2:E3)</f>
        <v>1.06E-2</v>
      </c>
      <c r="E9" s="28">
        <f>AVERAGEIF(E2:E3,"&lt;&gt;0")</f>
        <v>1.06E-2</v>
      </c>
      <c r="F9" s="28">
        <f>AVERAGE(F2:F3)</f>
        <v>-1.9746941347352298</v>
      </c>
      <c r="G9">
        <f t="shared" ref="G9:G10" si="0">10^F9</f>
        <v>1.0599999999999998E-2</v>
      </c>
      <c r="H9" s="28"/>
    </row>
    <row r="10" spans="1:15">
      <c r="A10" s="28" t="s">
        <v>915</v>
      </c>
      <c r="B10" s="28">
        <f>COUNTA(G2:G3)</f>
        <v>0</v>
      </c>
      <c r="C10" s="28">
        <f xml:space="preserve"> MIN(G2:G3)</f>
        <v>0</v>
      </c>
      <c r="D10" s="28">
        <f xml:space="preserve"> MAX(G2:G3)</f>
        <v>0</v>
      </c>
      <c r="E10" s="28" t="e">
        <f>AVERAGEIF(G3:G4,"&lt;&gt;0")</f>
        <v>#DIV/0!</v>
      </c>
      <c r="F10" s="28" t="e">
        <f>AVERAGE(H2:H3)</f>
        <v>#DIV/0!</v>
      </c>
      <c r="G10" t="e">
        <f t="shared" si="0"/>
        <v>#DIV/0!</v>
      </c>
      <c r="H10" s="2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7"/>
  <sheetViews>
    <sheetView topLeftCell="A31" workbookViewId="0">
      <selection activeCell="F34" sqref="F34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9" width="11.83203125" customWidth="1"/>
    <col min="10" max="10" width="24.1640625" customWidth="1"/>
    <col min="12" max="12" width="14.5" customWidth="1"/>
    <col min="18" max="18" width="18.6640625" bestFit="1" customWidth="1"/>
  </cols>
  <sheetData>
    <row r="1" spans="1:16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918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195</v>
      </c>
      <c r="B2" s="6">
        <f>0.02</f>
        <v>0.02</v>
      </c>
      <c r="C2" s="6"/>
      <c r="D2" s="6"/>
      <c r="E2" s="7"/>
      <c r="F2" s="7" t="str">
        <f>IFERROR(LOG10(E2),"")</f>
        <v/>
      </c>
      <c r="G2" s="7"/>
      <c r="H2" s="6"/>
      <c r="I2" s="6" t="str">
        <f>IFERROR(LOG10(H2),"")</f>
        <v/>
      </c>
      <c r="J2" s="8" t="s">
        <v>962</v>
      </c>
      <c r="K2" s="8">
        <v>24</v>
      </c>
      <c r="L2" s="8" t="s">
        <v>196</v>
      </c>
      <c r="M2" s="8" t="s">
        <v>197</v>
      </c>
      <c r="N2" s="8">
        <v>535304</v>
      </c>
      <c r="O2" s="8">
        <v>6457584</v>
      </c>
      <c r="P2" s="8" t="s">
        <v>198</v>
      </c>
    </row>
    <row r="3" spans="1:16">
      <c r="A3" s="5" t="s">
        <v>195</v>
      </c>
      <c r="B3" s="6"/>
      <c r="C3" s="6">
        <f>0.04</f>
        <v>0.04</v>
      </c>
      <c r="D3" s="6">
        <f t="shared" ref="D3:D30" si="0">IFERROR(LOG10(C3),"")</f>
        <v>-1.3979400086720375</v>
      </c>
      <c r="E3" s="7"/>
      <c r="F3" s="7" t="str">
        <f t="shared" ref="F3:F30" si="1">IFERROR(LOG10(E3),"")</f>
        <v/>
      </c>
      <c r="G3" s="7"/>
      <c r="H3" s="6"/>
      <c r="I3" s="6" t="str">
        <f t="shared" ref="I3:I30" si="2">IFERROR(LOG10(H3),"")</f>
        <v/>
      </c>
      <c r="J3" s="8" t="s">
        <v>963</v>
      </c>
      <c r="K3" s="8">
        <v>24</v>
      </c>
      <c r="L3" s="8" t="s">
        <v>196</v>
      </c>
      <c r="M3" s="8" t="s">
        <v>197</v>
      </c>
      <c r="N3" s="8">
        <v>535304</v>
      </c>
      <c r="O3" s="8">
        <v>6457584</v>
      </c>
      <c r="P3" s="8" t="s">
        <v>198</v>
      </c>
    </row>
    <row r="4" spans="1:16">
      <c r="A4" s="5" t="s">
        <v>195</v>
      </c>
      <c r="B4" s="6"/>
      <c r="C4" s="6"/>
      <c r="D4" s="6" t="str">
        <f t="shared" si="0"/>
        <v/>
      </c>
      <c r="E4" s="7"/>
      <c r="F4" s="7" t="str">
        <f t="shared" si="1"/>
        <v/>
      </c>
      <c r="G4" s="7"/>
      <c r="H4" s="6"/>
      <c r="I4" s="6" t="str">
        <f t="shared" si="2"/>
        <v/>
      </c>
      <c r="J4" s="8"/>
      <c r="K4" s="8">
        <v>24</v>
      </c>
      <c r="L4" s="8" t="s">
        <v>196</v>
      </c>
      <c r="M4" s="8" t="s">
        <v>197</v>
      </c>
      <c r="N4" s="8">
        <v>535304</v>
      </c>
      <c r="O4" s="8">
        <v>6457584</v>
      </c>
      <c r="P4" s="8" t="s">
        <v>198</v>
      </c>
    </row>
    <row r="5" spans="1:16">
      <c r="A5" s="5" t="s">
        <v>195</v>
      </c>
      <c r="B5" s="6"/>
      <c r="C5" s="6"/>
      <c r="D5" s="6" t="str">
        <f t="shared" si="0"/>
        <v/>
      </c>
      <c r="E5" s="7"/>
      <c r="F5" s="7" t="str">
        <f t="shared" si="1"/>
        <v/>
      </c>
      <c r="G5" s="7"/>
      <c r="H5" s="6"/>
      <c r="I5" s="6" t="str">
        <f t="shared" si="2"/>
        <v/>
      </c>
      <c r="J5" s="8"/>
      <c r="K5" s="8">
        <v>24</v>
      </c>
      <c r="L5" s="8" t="s">
        <v>196</v>
      </c>
      <c r="M5" s="8" t="s">
        <v>197</v>
      </c>
      <c r="N5" s="8">
        <v>535304</v>
      </c>
      <c r="O5" s="8">
        <v>6457584</v>
      </c>
      <c r="P5" s="8" t="s">
        <v>198</v>
      </c>
    </row>
    <row r="6" spans="1:16">
      <c r="A6" s="5" t="s">
        <v>195</v>
      </c>
      <c r="B6" s="6"/>
      <c r="C6" s="6"/>
      <c r="D6" s="6" t="str">
        <f t="shared" si="0"/>
        <v/>
      </c>
      <c r="E6" s="7"/>
      <c r="F6" s="7" t="str">
        <f t="shared" si="1"/>
        <v/>
      </c>
      <c r="G6" s="7"/>
      <c r="H6" s="6"/>
      <c r="I6" s="6" t="str">
        <f t="shared" si="2"/>
        <v/>
      </c>
      <c r="J6" s="8"/>
      <c r="K6" s="8">
        <v>24</v>
      </c>
      <c r="L6" s="8" t="s">
        <v>196</v>
      </c>
      <c r="M6" s="8" t="s">
        <v>197</v>
      </c>
      <c r="N6" s="8">
        <v>535304</v>
      </c>
      <c r="O6" s="8">
        <v>6457584</v>
      </c>
      <c r="P6" s="8" t="s">
        <v>198</v>
      </c>
    </row>
    <row r="7" spans="1:16">
      <c r="A7" s="5" t="s">
        <v>195</v>
      </c>
      <c r="B7" s="6"/>
      <c r="C7" s="6"/>
      <c r="D7" s="6" t="str">
        <f t="shared" si="0"/>
        <v/>
      </c>
      <c r="E7" s="7"/>
      <c r="F7" s="7" t="str">
        <f t="shared" si="1"/>
        <v/>
      </c>
      <c r="G7" s="7"/>
      <c r="H7" s="6"/>
      <c r="I7" s="6" t="str">
        <f t="shared" si="2"/>
        <v/>
      </c>
      <c r="J7" s="8"/>
      <c r="K7" s="8">
        <v>24</v>
      </c>
      <c r="L7" s="8" t="s">
        <v>196</v>
      </c>
      <c r="M7" s="8" t="s">
        <v>197</v>
      </c>
      <c r="N7" s="8">
        <v>535304</v>
      </c>
      <c r="O7" s="8">
        <v>6457584</v>
      </c>
      <c r="P7" s="8" t="s">
        <v>198</v>
      </c>
    </row>
    <row r="8" spans="1:16">
      <c r="A8" s="5" t="s">
        <v>199</v>
      </c>
      <c r="B8" s="6"/>
      <c r="C8" s="6"/>
      <c r="D8" s="6" t="str">
        <f t="shared" si="0"/>
        <v/>
      </c>
      <c r="E8" s="7"/>
      <c r="F8" s="7" t="str">
        <f t="shared" si="1"/>
        <v/>
      </c>
      <c r="G8" s="7"/>
      <c r="H8" s="6"/>
      <c r="I8" s="6" t="str">
        <f t="shared" si="2"/>
        <v/>
      </c>
      <c r="J8" s="8" t="s">
        <v>200</v>
      </c>
      <c r="K8" s="8">
        <v>24</v>
      </c>
      <c r="L8" s="8" t="s">
        <v>201</v>
      </c>
      <c r="M8" s="8" t="s">
        <v>202</v>
      </c>
      <c r="N8" s="8">
        <v>571986</v>
      </c>
      <c r="O8" s="8">
        <v>6430570</v>
      </c>
      <c r="P8" s="8" t="s">
        <v>198</v>
      </c>
    </row>
    <row r="9" spans="1:16">
      <c r="A9" s="5" t="s">
        <v>199</v>
      </c>
      <c r="B9" s="6"/>
      <c r="C9" s="6"/>
      <c r="D9" s="6" t="str">
        <f t="shared" si="0"/>
        <v/>
      </c>
      <c r="E9" s="7"/>
      <c r="F9" s="7" t="str">
        <f t="shared" si="1"/>
        <v/>
      </c>
      <c r="G9" s="7"/>
      <c r="H9" s="6"/>
      <c r="I9" s="6" t="str">
        <f t="shared" si="2"/>
        <v/>
      </c>
      <c r="J9" s="8" t="s">
        <v>200</v>
      </c>
      <c r="K9" s="8">
        <v>24</v>
      </c>
      <c r="L9" s="8" t="s">
        <v>201</v>
      </c>
      <c r="M9" s="8" t="s">
        <v>202</v>
      </c>
      <c r="N9" s="8">
        <v>571986</v>
      </c>
      <c r="O9" s="8">
        <v>6430570</v>
      </c>
      <c r="P9" s="8" t="s">
        <v>198</v>
      </c>
    </row>
    <row r="10" spans="1:16">
      <c r="A10" s="5" t="s">
        <v>199</v>
      </c>
      <c r="B10" s="6"/>
      <c r="C10" s="6"/>
      <c r="D10" s="6" t="str">
        <f t="shared" si="0"/>
        <v/>
      </c>
      <c r="E10" s="7"/>
      <c r="F10" s="7" t="str">
        <f t="shared" si="1"/>
        <v/>
      </c>
      <c r="G10" s="7"/>
      <c r="H10" s="6"/>
      <c r="I10" s="6" t="str">
        <f t="shared" si="2"/>
        <v/>
      </c>
      <c r="J10" s="8" t="s">
        <v>200</v>
      </c>
      <c r="K10" s="8">
        <v>24</v>
      </c>
      <c r="L10" s="8" t="s">
        <v>201</v>
      </c>
      <c r="M10" s="8" t="s">
        <v>202</v>
      </c>
      <c r="N10" s="8">
        <v>571986</v>
      </c>
      <c r="O10" s="8">
        <v>6430570</v>
      </c>
      <c r="P10" s="8" t="s">
        <v>198</v>
      </c>
    </row>
    <row r="11" spans="1:16">
      <c r="A11" s="5" t="s">
        <v>199</v>
      </c>
      <c r="B11" s="6"/>
      <c r="C11" s="6"/>
      <c r="D11" s="6" t="str">
        <f t="shared" si="0"/>
        <v/>
      </c>
      <c r="E11" s="7"/>
      <c r="F11" s="7" t="str">
        <f t="shared" si="1"/>
        <v/>
      </c>
      <c r="G11" s="7"/>
      <c r="H11" s="6"/>
      <c r="I11" s="6" t="str">
        <f t="shared" si="2"/>
        <v/>
      </c>
      <c r="J11" s="8" t="s">
        <v>200</v>
      </c>
      <c r="K11" s="8">
        <v>24</v>
      </c>
      <c r="L11" s="8" t="s">
        <v>201</v>
      </c>
      <c r="M11" s="8" t="s">
        <v>202</v>
      </c>
      <c r="N11" s="8">
        <v>571986</v>
      </c>
      <c r="O11" s="8">
        <v>6430570</v>
      </c>
      <c r="P11" s="8" t="s">
        <v>198</v>
      </c>
    </row>
    <row r="12" spans="1:16">
      <c r="A12" s="5" t="s">
        <v>199</v>
      </c>
      <c r="B12" s="6"/>
      <c r="C12" s="6"/>
      <c r="D12" s="6" t="str">
        <f t="shared" si="0"/>
        <v/>
      </c>
      <c r="E12" s="7"/>
      <c r="F12" s="7" t="str">
        <f t="shared" si="1"/>
        <v/>
      </c>
      <c r="G12" s="7"/>
      <c r="H12" s="6"/>
      <c r="I12" s="6" t="str">
        <f t="shared" si="2"/>
        <v/>
      </c>
      <c r="J12" s="8" t="s">
        <v>200</v>
      </c>
      <c r="K12" s="8">
        <v>24</v>
      </c>
      <c r="L12" s="8" t="s">
        <v>201</v>
      </c>
      <c r="M12" s="8" t="s">
        <v>202</v>
      </c>
      <c r="N12" s="8">
        <v>571986</v>
      </c>
      <c r="O12" s="8">
        <v>6430570</v>
      </c>
      <c r="P12" s="8" t="s">
        <v>198</v>
      </c>
    </row>
    <row r="13" spans="1:16">
      <c r="A13" s="5" t="s">
        <v>203</v>
      </c>
      <c r="B13" s="6"/>
      <c r="C13" s="6"/>
      <c r="D13" s="6" t="str">
        <f t="shared" si="0"/>
        <v/>
      </c>
      <c r="E13" s="7"/>
      <c r="F13" s="7" t="str">
        <f t="shared" si="1"/>
        <v/>
      </c>
      <c r="G13" s="7"/>
      <c r="H13" s="6"/>
      <c r="I13" s="6" t="str">
        <f t="shared" si="2"/>
        <v/>
      </c>
      <c r="J13" s="8" t="s">
        <v>204</v>
      </c>
      <c r="K13" s="8">
        <v>47</v>
      </c>
      <c r="L13" s="8" t="s">
        <v>205</v>
      </c>
      <c r="M13" s="8" t="s">
        <v>206</v>
      </c>
      <c r="N13" s="8">
        <v>481227</v>
      </c>
      <c r="O13" s="8">
        <v>6369144</v>
      </c>
      <c r="P13" s="8" t="s">
        <v>198</v>
      </c>
    </row>
    <row r="14" spans="1:16">
      <c r="A14" s="5" t="s">
        <v>203</v>
      </c>
      <c r="B14" s="6"/>
      <c r="C14" s="6"/>
      <c r="D14" s="6" t="str">
        <f t="shared" si="0"/>
        <v/>
      </c>
      <c r="E14" s="7"/>
      <c r="F14" s="7" t="str">
        <f t="shared" si="1"/>
        <v/>
      </c>
      <c r="G14" s="7"/>
      <c r="H14" s="6"/>
      <c r="I14" s="6" t="str">
        <f t="shared" si="2"/>
        <v/>
      </c>
      <c r="J14" s="8" t="s">
        <v>204</v>
      </c>
      <c r="K14" s="8">
        <v>47</v>
      </c>
      <c r="L14" s="8" t="s">
        <v>205</v>
      </c>
      <c r="M14" s="8" t="s">
        <v>206</v>
      </c>
      <c r="N14" s="8">
        <v>481227</v>
      </c>
      <c r="O14" s="8">
        <v>6369144</v>
      </c>
      <c r="P14" s="8" t="s">
        <v>198</v>
      </c>
    </row>
    <row r="15" spans="1:16">
      <c r="A15" s="5" t="s">
        <v>203</v>
      </c>
      <c r="B15" s="6"/>
      <c r="C15" s="6"/>
      <c r="D15" s="6" t="str">
        <f t="shared" si="0"/>
        <v/>
      </c>
      <c r="E15" s="7"/>
      <c r="F15" s="7" t="str">
        <f t="shared" si="1"/>
        <v/>
      </c>
      <c r="G15" s="7"/>
      <c r="H15" s="6"/>
      <c r="I15" s="6" t="str">
        <f t="shared" si="2"/>
        <v/>
      </c>
      <c r="J15" s="8" t="s">
        <v>204</v>
      </c>
      <c r="K15" s="8">
        <v>47</v>
      </c>
      <c r="L15" s="8" t="s">
        <v>205</v>
      </c>
      <c r="M15" s="8" t="s">
        <v>206</v>
      </c>
      <c r="N15" s="8">
        <v>481227</v>
      </c>
      <c r="O15" s="8">
        <v>6369144</v>
      </c>
      <c r="P15" s="8" t="s">
        <v>198</v>
      </c>
    </row>
    <row r="16" spans="1:16">
      <c r="A16" s="5" t="s">
        <v>203</v>
      </c>
      <c r="B16" s="6"/>
      <c r="C16" s="6"/>
      <c r="D16" s="6" t="str">
        <f t="shared" si="0"/>
        <v/>
      </c>
      <c r="E16" s="7"/>
      <c r="F16" s="7" t="str">
        <f t="shared" si="1"/>
        <v/>
      </c>
      <c r="G16" s="7"/>
      <c r="H16" s="6"/>
      <c r="I16" s="6" t="str">
        <f t="shared" si="2"/>
        <v/>
      </c>
      <c r="J16" s="8" t="s">
        <v>204</v>
      </c>
      <c r="K16" s="8">
        <v>47</v>
      </c>
      <c r="L16" s="8" t="s">
        <v>205</v>
      </c>
      <c r="M16" s="8" t="s">
        <v>206</v>
      </c>
      <c r="N16" s="8">
        <v>481227</v>
      </c>
      <c r="O16" s="8">
        <v>6369144</v>
      </c>
      <c r="P16" s="8" t="s">
        <v>198</v>
      </c>
    </row>
    <row r="17" spans="1:16">
      <c r="A17" s="5" t="s">
        <v>203</v>
      </c>
      <c r="B17" s="6"/>
      <c r="C17" s="6"/>
      <c r="D17" s="6" t="str">
        <f t="shared" si="0"/>
        <v/>
      </c>
      <c r="E17" s="7"/>
      <c r="F17" s="7" t="str">
        <f t="shared" si="1"/>
        <v/>
      </c>
      <c r="G17" s="7"/>
      <c r="H17" s="6"/>
      <c r="I17" s="6" t="str">
        <f t="shared" si="2"/>
        <v/>
      </c>
      <c r="J17" s="8" t="s">
        <v>204</v>
      </c>
      <c r="K17" s="8">
        <v>47</v>
      </c>
      <c r="L17" s="8" t="s">
        <v>205</v>
      </c>
      <c r="M17" s="8" t="s">
        <v>206</v>
      </c>
      <c r="N17" s="8">
        <v>481227</v>
      </c>
      <c r="O17" s="8">
        <v>6369144</v>
      </c>
      <c r="P17" s="8" t="s">
        <v>198</v>
      </c>
    </row>
    <row r="18" spans="1:16">
      <c r="A18" s="5" t="s">
        <v>203</v>
      </c>
      <c r="B18" s="6"/>
      <c r="C18" s="6"/>
      <c r="D18" s="6" t="str">
        <f t="shared" si="0"/>
        <v/>
      </c>
      <c r="E18" s="7"/>
      <c r="F18" s="7" t="str">
        <f t="shared" si="1"/>
        <v/>
      </c>
      <c r="G18" s="7"/>
      <c r="H18" s="6"/>
      <c r="I18" s="6" t="str">
        <f t="shared" si="2"/>
        <v/>
      </c>
      <c r="J18" s="8" t="s">
        <v>204</v>
      </c>
      <c r="K18" s="8">
        <v>47</v>
      </c>
      <c r="L18" s="8" t="s">
        <v>205</v>
      </c>
      <c r="M18" s="8" t="s">
        <v>206</v>
      </c>
      <c r="N18" s="8">
        <v>481227</v>
      </c>
      <c r="O18" s="8">
        <v>6369144</v>
      </c>
      <c r="P18" s="8" t="s">
        <v>198</v>
      </c>
    </row>
    <row r="19" spans="1:16">
      <c r="A19" s="5" t="s">
        <v>207</v>
      </c>
      <c r="B19" s="6"/>
      <c r="C19" s="6"/>
      <c r="D19" s="6" t="str">
        <f t="shared" si="0"/>
        <v/>
      </c>
      <c r="E19" s="7"/>
      <c r="F19" s="7" t="str">
        <f t="shared" si="1"/>
        <v/>
      </c>
      <c r="G19" s="7"/>
      <c r="H19" s="6"/>
      <c r="I19" s="6" t="str">
        <f t="shared" si="2"/>
        <v/>
      </c>
      <c r="J19" s="8" t="s">
        <v>11</v>
      </c>
      <c r="K19" s="8">
        <v>47</v>
      </c>
      <c r="L19" s="8" t="s">
        <v>208</v>
      </c>
      <c r="M19" s="8" t="s">
        <v>209</v>
      </c>
      <c r="N19" s="8">
        <v>503171</v>
      </c>
      <c r="O19" s="8">
        <v>6357518</v>
      </c>
      <c r="P19" s="8" t="s">
        <v>198</v>
      </c>
    </row>
    <row r="20" spans="1:16">
      <c r="A20" s="5" t="s">
        <v>210</v>
      </c>
      <c r="B20" s="6"/>
      <c r="C20" s="6"/>
      <c r="D20" s="6" t="str">
        <f t="shared" si="0"/>
        <v/>
      </c>
      <c r="E20" s="7"/>
      <c r="F20" s="7" t="str">
        <f t="shared" si="1"/>
        <v/>
      </c>
      <c r="G20" s="7"/>
      <c r="H20" s="6"/>
      <c r="I20" s="6" t="str">
        <f t="shared" si="2"/>
        <v/>
      </c>
      <c r="J20" s="8" t="s">
        <v>11</v>
      </c>
      <c r="K20" s="8">
        <v>47</v>
      </c>
      <c r="L20" s="8" t="s">
        <v>211</v>
      </c>
      <c r="M20" s="8" t="s">
        <v>212</v>
      </c>
      <c r="N20" s="8">
        <v>508857</v>
      </c>
      <c r="O20" s="8">
        <v>6348506</v>
      </c>
      <c r="P20" s="8" t="s">
        <v>198</v>
      </c>
    </row>
    <row r="21" spans="1:16">
      <c r="A21" s="5" t="s">
        <v>213</v>
      </c>
      <c r="B21" s="6"/>
      <c r="C21" s="6"/>
      <c r="D21" s="6" t="str">
        <f t="shared" si="0"/>
        <v/>
      </c>
      <c r="E21" s="7"/>
      <c r="F21" s="7" t="str">
        <f t="shared" si="1"/>
        <v/>
      </c>
      <c r="G21" s="7"/>
      <c r="H21" s="6"/>
      <c r="I21" s="6" t="str">
        <f t="shared" si="2"/>
        <v/>
      </c>
      <c r="J21" s="8" t="s">
        <v>11</v>
      </c>
      <c r="K21" s="8">
        <v>47</v>
      </c>
      <c r="L21" s="8" t="s">
        <v>211</v>
      </c>
      <c r="M21" s="8" t="s">
        <v>214</v>
      </c>
      <c r="N21" s="8">
        <v>508736</v>
      </c>
      <c r="O21" s="8">
        <v>6348397</v>
      </c>
      <c r="P21" s="8" t="s">
        <v>198</v>
      </c>
    </row>
    <row r="22" spans="1:16">
      <c r="A22" s="5" t="s">
        <v>215</v>
      </c>
      <c r="B22" s="6"/>
      <c r="C22" s="6"/>
      <c r="D22" s="6" t="str">
        <f t="shared" si="0"/>
        <v/>
      </c>
      <c r="E22" s="12">
        <v>3.6999999999999998E-5</v>
      </c>
      <c r="F22" s="7">
        <f t="shared" si="1"/>
        <v>-4.431798275933005</v>
      </c>
      <c r="G22" s="12">
        <f>37</f>
        <v>37</v>
      </c>
      <c r="H22" s="12">
        <f>E22/G22</f>
        <v>9.9999999999999995E-7</v>
      </c>
      <c r="I22" s="6">
        <f t="shared" si="2"/>
        <v>-6</v>
      </c>
      <c r="J22" s="8" t="s">
        <v>216</v>
      </c>
      <c r="K22" s="8">
        <v>24</v>
      </c>
      <c r="L22" s="8" t="s">
        <v>217</v>
      </c>
      <c r="M22" s="8" t="s">
        <v>218</v>
      </c>
      <c r="N22" s="8">
        <v>529134</v>
      </c>
      <c r="O22" s="8">
        <v>6475932</v>
      </c>
      <c r="P22" s="8" t="s">
        <v>198</v>
      </c>
    </row>
    <row r="23" spans="1:16">
      <c r="A23" s="5" t="s">
        <v>215</v>
      </c>
      <c r="B23" s="6"/>
      <c r="C23" s="6"/>
      <c r="D23" s="6" t="str">
        <f t="shared" si="0"/>
        <v/>
      </c>
      <c r="E23" s="12">
        <v>2.6999999999999999E-5</v>
      </c>
      <c r="F23" s="7">
        <f t="shared" si="1"/>
        <v>-4.5686362358410131</v>
      </c>
      <c r="G23" s="12">
        <f>37</f>
        <v>37</v>
      </c>
      <c r="H23" s="12">
        <f>E23/G23</f>
        <v>7.2972972972972972E-7</v>
      </c>
      <c r="I23" s="6">
        <f t="shared" si="2"/>
        <v>-6.1368379599080081</v>
      </c>
      <c r="J23" s="8" t="s">
        <v>216</v>
      </c>
      <c r="K23" s="8">
        <v>24</v>
      </c>
      <c r="L23" s="8" t="s">
        <v>217</v>
      </c>
      <c r="M23" s="8" t="s">
        <v>218</v>
      </c>
      <c r="N23" s="8">
        <v>529134</v>
      </c>
      <c r="O23" s="8">
        <v>6475932</v>
      </c>
      <c r="P23" s="8" t="s">
        <v>198</v>
      </c>
    </row>
    <row r="24" spans="1:16">
      <c r="A24" s="5" t="s">
        <v>219</v>
      </c>
      <c r="B24" s="6"/>
      <c r="C24" s="6"/>
      <c r="D24" s="6" t="str">
        <f t="shared" si="0"/>
        <v/>
      </c>
      <c r="E24" s="7"/>
      <c r="F24" s="7" t="str">
        <f t="shared" si="1"/>
        <v/>
      </c>
      <c r="G24" s="7"/>
      <c r="H24" s="12"/>
      <c r="I24" s="6" t="str">
        <f t="shared" si="2"/>
        <v/>
      </c>
      <c r="J24" s="8" t="s">
        <v>11</v>
      </c>
      <c r="K24" s="8">
        <v>24</v>
      </c>
      <c r="L24" s="8" t="s">
        <v>220</v>
      </c>
      <c r="M24" s="8" t="s">
        <v>221</v>
      </c>
      <c r="N24" s="8">
        <v>513421</v>
      </c>
      <c r="O24" s="8">
        <v>6456786</v>
      </c>
      <c r="P24" s="8" t="s">
        <v>198</v>
      </c>
    </row>
    <row r="25" spans="1:16">
      <c r="A25" s="5" t="s">
        <v>222</v>
      </c>
      <c r="B25" s="6"/>
      <c r="C25" s="6"/>
      <c r="D25" s="6" t="str">
        <f t="shared" si="0"/>
        <v/>
      </c>
      <c r="E25" s="7"/>
      <c r="F25" s="7" t="str">
        <f t="shared" si="1"/>
        <v/>
      </c>
      <c r="G25" s="7"/>
      <c r="H25" s="6"/>
      <c r="I25" s="6" t="str">
        <f t="shared" si="2"/>
        <v/>
      </c>
      <c r="J25" s="8" t="s">
        <v>11</v>
      </c>
      <c r="K25" s="8">
        <v>24</v>
      </c>
      <c r="L25" s="8" t="s">
        <v>223</v>
      </c>
      <c r="M25" s="8" t="s">
        <v>224</v>
      </c>
      <c r="N25" s="8">
        <v>518436</v>
      </c>
      <c r="O25" s="8">
        <v>6438211</v>
      </c>
      <c r="P25" s="8" t="s">
        <v>198</v>
      </c>
    </row>
    <row r="26" spans="1:16">
      <c r="A26" s="5" t="s">
        <v>225</v>
      </c>
      <c r="B26" s="6"/>
      <c r="C26" s="6"/>
      <c r="D26" s="6" t="str">
        <f t="shared" si="0"/>
        <v/>
      </c>
      <c r="E26" s="7"/>
      <c r="F26" s="7" t="str">
        <f t="shared" si="1"/>
        <v/>
      </c>
      <c r="G26" s="7"/>
      <c r="H26" s="6"/>
      <c r="I26" s="6" t="str">
        <f t="shared" si="2"/>
        <v/>
      </c>
      <c r="J26" s="8" t="s">
        <v>11</v>
      </c>
      <c r="K26" s="8">
        <v>24</v>
      </c>
      <c r="L26" s="8" t="s">
        <v>226</v>
      </c>
      <c r="M26" s="8" t="s">
        <v>227</v>
      </c>
      <c r="N26" s="8">
        <v>527591</v>
      </c>
      <c r="O26" s="8">
        <v>6438227</v>
      </c>
      <c r="P26" s="8" t="s">
        <v>198</v>
      </c>
    </row>
    <row r="27" spans="1:16">
      <c r="A27" s="5" t="s">
        <v>225</v>
      </c>
      <c r="B27" s="6"/>
      <c r="C27" s="6"/>
      <c r="D27" s="6" t="str">
        <f t="shared" si="0"/>
        <v/>
      </c>
      <c r="E27" s="7"/>
      <c r="F27" s="7" t="str">
        <f t="shared" si="1"/>
        <v/>
      </c>
      <c r="G27" s="7"/>
      <c r="H27" s="6"/>
      <c r="I27" s="6" t="str">
        <f t="shared" si="2"/>
        <v/>
      </c>
      <c r="J27" s="8" t="s">
        <v>11</v>
      </c>
      <c r="K27" s="8">
        <v>24</v>
      </c>
      <c r="L27" s="8" t="s">
        <v>226</v>
      </c>
      <c r="M27" s="8" t="s">
        <v>227</v>
      </c>
      <c r="N27" s="8">
        <v>527591</v>
      </c>
      <c r="O27" s="8">
        <v>6438227</v>
      </c>
      <c r="P27" s="8" t="s">
        <v>198</v>
      </c>
    </row>
    <row r="28" spans="1:16">
      <c r="A28" s="5" t="s">
        <v>225</v>
      </c>
      <c r="B28" s="6"/>
      <c r="C28" s="6"/>
      <c r="D28" s="6" t="str">
        <f t="shared" si="0"/>
        <v/>
      </c>
      <c r="E28" s="7"/>
      <c r="F28" s="7" t="str">
        <f t="shared" si="1"/>
        <v/>
      </c>
      <c r="G28" s="7"/>
      <c r="H28" s="6"/>
      <c r="I28" s="6" t="str">
        <f t="shared" si="2"/>
        <v/>
      </c>
      <c r="J28" s="8" t="s">
        <v>11</v>
      </c>
      <c r="K28" s="8">
        <v>24</v>
      </c>
      <c r="L28" s="8" t="s">
        <v>226</v>
      </c>
      <c r="M28" s="8" t="s">
        <v>227</v>
      </c>
      <c r="N28" s="8">
        <v>527591</v>
      </c>
      <c r="O28" s="8">
        <v>6438227</v>
      </c>
      <c r="P28" s="8" t="s">
        <v>198</v>
      </c>
    </row>
    <row r="29" spans="1:16">
      <c r="A29" s="5" t="s">
        <v>225</v>
      </c>
      <c r="B29" s="6"/>
      <c r="C29" s="6"/>
      <c r="D29" s="6" t="str">
        <f t="shared" si="0"/>
        <v/>
      </c>
      <c r="E29" s="7"/>
      <c r="F29" s="7" t="str">
        <f t="shared" si="1"/>
        <v/>
      </c>
      <c r="G29" s="7"/>
      <c r="H29" s="6"/>
      <c r="I29" s="6" t="str">
        <f t="shared" si="2"/>
        <v/>
      </c>
      <c r="J29" s="8" t="s">
        <v>11</v>
      </c>
      <c r="K29" s="8">
        <v>24</v>
      </c>
      <c r="L29" s="8" t="s">
        <v>226</v>
      </c>
      <c r="M29" s="8" t="s">
        <v>227</v>
      </c>
      <c r="N29" s="8">
        <v>527591</v>
      </c>
      <c r="O29" s="8">
        <v>6438227</v>
      </c>
      <c r="P29" s="8" t="s">
        <v>198</v>
      </c>
    </row>
    <row r="30" spans="1:16">
      <c r="A30" s="5" t="s">
        <v>228</v>
      </c>
      <c r="B30" s="6"/>
      <c r="C30" s="6"/>
      <c r="D30" s="6" t="str">
        <f t="shared" si="0"/>
        <v/>
      </c>
      <c r="E30" s="7"/>
      <c r="F30" s="7" t="str">
        <f t="shared" si="1"/>
        <v/>
      </c>
      <c r="G30" s="7"/>
      <c r="H30" s="6"/>
      <c r="I30" s="6" t="str">
        <f t="shared" si="2"/>
        <v/>
      </c>
      <c r="J30" s="8" t="s">
        <v>11</v>
      </c>
      <c r="K30" s="8">
        <v>24</v>
      </c>
      <c r="L30" s="8" t="s">
        <v>229</v>
      </c>
      <c r="M30" s="8" t="s">
        <v>230</v>
      </c>
      <c r="N30" s="8">
        <v>543543</v>
      </c>
      <c r="O30" s="8">
        <v>6419042</v>
      </c>
      <c r="P30" s="8" t="s">
        <v>198</v>
      </c>
    </row>
    <row r="33" spans="1:9">
      <c r="A33" s="28" t="s">
        <v>849</v>
      </c>
      <c r="B33" s="28" t="s">
        <v>850</v>
      </c>
      <c r="C33" s="28" t="s">
        <v>851</v>
      </c>
      <c r="D33" s="28" t="s">
        <v>852</v>
      </c>
      <c r="E33" s="28" t="s">
        <v>853</v>
      </c>
      <c r="F33" s="28" t="s">
        <v>934</v>
      </c>
      <c r="G33" s="28" t="s">
        <v>967</v>
      </c>
      <c r="I33" s="28"/>
    </row>
    <row r="34" spans="1:9">
      <c r="A34" s="28" t="s">
        <v>855</v>
      </c>
      <c r="B34" s="28">
        <f>COUNTA(B2:B30)</f>
        <v>1</v>
      </c>
      <c r="C34" s="37">
        <f xml:space="preserve"> MIN(B2:B30)</f>
        <v>0.02</v>
      </c>
      <c r="D34" s="37">
        <f>MAX(B2:B30)</f>
        <v>0.02</v>
      </c>
      <c r="E34" s="37">
        <f xml:space="preserve"> AVERAGEIF(B2:B30,"&lt;&gt;0")</f>
        <v>0.02</v>
      </c>
      <c r="F34" s="28"/>
      <c r="G34" s="28"/>
      <c r="I34" s="28"/>
    </row>
    <row r="35" spans="1:9">
      <c r="A35" s="28" t="s">
        <v>857</v>
      </c>
      <c r="B35" s="28">
        <f>COUNTA(C2:C30)</f>
        <v>1</v>
      </c>
      <c r="C35" s="37">
        <f xml:space="preserve"> MIN(C2:C30)</f>
        <v>0.04</v>
      </c>
      <c r="D35" s="37">
        <f xml:space="preserve"> MAX(C2:C30)</f>
        <v>0.04</v>
      </c>
      <c r="E35" s="37">
        <f xml:space="preserve"> AVERAGEIF(C2:C30,"&lt;&gt;0")</f>
        <v>0.04</v>
      </c>
      <c r="F35" s="28">
        <f>AVERAGE(D2:D30)</f>
        <v>-1.3979400086720375</v>
      </c>
      <c r="G35" s="28">
        <f>10^F35</f>
        <v>4.0000000000000008E-2</v>
      </c>
      <c r="I35" s="28"/>
    </row>
    <row r="36" spans="1:9">
      <c r="A36" s="28" t="s">
        <v>914</v>
      </c>
      <c r="B36" s="28">
        <f>COUNTA(E2:E30)</f>
        <v>2</v>
      </c>
      <c r="C36" s="37">
        <f xml:space="preserve"> MIN(E2:E30)</f>
        <v>2.6999999999999999E-5</v>
      </c>
      <c r="D36" s="37">
        <f xml:space="preserve"> MAX(E2:E30)</f>
        <v>3.6999999999999998E-5</v>
      </c>
      <c r="E36" s="37">
        <f>AVERAGEIF(E2:E30,"&lt;&gt;0")</f>
        <v>3.1999999999999999E-5</v>
      </c>
      <c r="F36" s="37">
        <f>AVERAGE(F2:F30)</f>
        <v>-4.5002172558870086</v>
      </c>
      <c r="G36" s="28">
        <f t="shared" ref="G36:G37" si="3">10^F36</f>
        <v>3.1606961258558194E-5</v>
      </c>
      <c r="I36" s="28"/>
    </row>
    <row r="37" spans="1:9">
      <c r="A37" s="28" t="s">
        <v>915</v>
      </c>
      <c r="B37" s="28">
        <f>COUNTA(H2:H30)</f>
        <v>2</v>
      </c>
      <c r="C37" s="37">
        <f xml:space="preserve"> MIN(H2:H30)</f>
        <v>7.2972972972972972E-7</v>
      </c>
      <c r="D37" s="37">
        <f xml:space="preserve"> MAX(H2:H30)</f>
        <v>9.9999999999999995E-7</v>
      </c>
      <c r="E37" s="37">
        <f>AVERAGEIF(H2:H30,"&lt;&gt;0")</f>
        <v>8.6486486486486489E-7</v>
      </c>
      <c r="F37" s="28">
        <f>AVERAGE(I2:I30)</f>
        <v>-6.0684189799540036</v>
      </c>
      <c r="G37" s="28">
        <f t="shared" si="3"/>
        <v>8.5424219617724903E-7</v>
      </c>
      <c r="I37" s="2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8"/>
  <sheetViews>
    <sheetView topLeftCell="A31" workbookViewId="0">
      <selection activeCell="I41" sqref="I41"/>
    </sheetView>
  </sheetViews>
  <sheetFormatPr baseColWidth="10" defaultRowHeight="15"/>
  <cols>
    <col min="1" max="1" width="18.1640625" customWidth="1"/>
    <col min="2" max="4" width="21.83203125" customWidth="1"/>
    <col min="5" max="7" width="15.5" customWidth="1"/>
    <col min="8" max="9" width="11.83203125" customWidth="1"/>
    <col min="11" max="11" width="14.5" customWidth="1"/>
    <col min="17" max="17" width="18.6640625" bestFit="1" customWidth="1"/>
  </cols>
  <sheetData>
    <row r="1" spans="1:16" ht="34">
      <c r="A1" s="1" t="s">
        <v>0</v>
      </c>
      <c r="B1" s="2" t="s">
        <v>855</v>
      </c>
      <c r="C1" s="2" t="s">
        <v>857</v>
      </c>
      <c r="D1" s="2" t="s">
        <v>935</v>
      </c>
      <c r="E1" s="3" t="s">
        <v>1</v>
      </c>
      <c r="F1" s="3" t="s">
        <v>936</v>
      </c>
      <c r="G1" s="3" t="s">
        <v>920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231</v>
      </c>
      <c r="B2" s="6">
        <f>0.02</f>
        <v>0.02</v>
      </c>
      <c r="C2" s="6"/>
      <c r="D2" s="6" t="str">
        <f>IFERROR(LOG10(C2),"")</f>
        <v/>
      </c>
      <c r="E2" s="7"/>
      <c r="F2" s="7" t="str">
        <f>IFERROR(LOG10(E2),"")</f>
        <v/>
      </c>
      <c r="G2" s="7"/>
      <c r="H2" s="6"/>
      <c r="I2" s="6" t="str">
        <f>IFERROR(LOG10(H2),"")</f>
        <v/>
      </c>
      <c r="J2" s="8" t="s">
        <v>962</v>
      </c>
      <c r="K2" s="8">
        <v>24</v>
      </c>
      <c r="L2" s="8" t="s">
        <v>232</v>
      </c>
      <c r="M2" s="8" t="s">
        <v>233</v>
      </c>
      <c r="N2" s="8">
        <v>544020</v>
      </c>
      <c r="O2" s="8">
        <v>6453447</v>
      </c>
      <c r="P2" s="8" t="s">
        <v>234</v>
      </c>
    </row>
    <row r="3" spans="1:16">
      <c r="A3" s="5" t="s">
        <v>231</v>
      </c>
      <c r="B3" s="6"/>
      <c r="C3" s="6">
        <f>0.04</f>
        <v>0.04</v>
      </c>
      <c r="D3" s="6">
        <f t="shared" ref="D3:D31" si="0">IFERROR(LOG10(C3),"")</f>
        <v>-1.3979400086720375</v>
      </c>
      <c r="E3" s="7"/>
      <c r="F3" s="7" t="str">
        <f t="shared" ref="F3:F31" si="1">IFERROR(LOG10(E3),"")</f>
        <v/>
      </c>
      <c r="G3" s="7"/>
      <c r="H3" s="6"/>
      <c r="I3" s="6" t="str">
        <f t="shared" ref="I3:I31" si="2">IFERROR(LOG10(H3),"")</f>
        <v/>
      </c>
      <c r="J3" s="8"/>
      <c r="K3" s="8">
        <v>24</v>
      </c>
      <c r="L3" s="8" t="s">
        <v>232</v>
      </c>
      <c r="M3" s="8" t="s">
        <v>233</v>
      </c>
      <c r="N3" s="8">
        <v>544020</v>
      </c>
      <c r="O3" s="8">
        <v>6453447</v>
      </c>
      <c r="P3" s="8" t="s">
        <v>234</v>
      </c>
    </row>
    <row r="4" spans="1:16">
      <c r="A4" s="5" t="s">
        <v>231</v>
      </c>
      <c r="B4" s="6"/>
      <c r="C4" s="6"/>
      <c r="D4" s="6" t="str">
        <f t="shared" si="0"/>
        <v/>
      </c>
      <c r="E4" s="7"/>
      <c r="F4" s="7" t="str">
        <f t="shared" si="1"/>
        <v/>
      </c>
      <c r="G4" s="7"/>
      <c r="H4" s="6"/>
      <c r="I4" s="6" t="str">
        <f t="shared" si="2"/>
        <v/>
      </c>
      <c r="J4" s="8"/>
      <c r="K4" s="8">
        <v>24</v>
      </c>
      <c r="L4" s="8" t="s">
        <v>232</v>
      </c>
      <c r="M4" s="8" t="s">
        <v>233</v>
      </c>
      <c r="N4" s="8">
        <v>544020</v>
      </c>
      <c r="O4" s="8">
        <v>6453447</v>
      </c>
      <c r="P4" s="8" t="s">
        <v>234</v>
      </c>
    </row>
    <row r="5" spans="1:16">
      <c r="A5" s="5" t="s">
        <v>231</v>
      </c>
      <c r="B5" s="6"/>
      <c r="C5" s="6"/>
      <c r="D5" s="6" t="str">
        <f t="shared" si="0"/>
        <v/>
      </c>
      <c r="E5" s="7"/>
      <c r="F5" s="7" t="str">
        <f t="shared" si="1"/>
        <v/>
      </c>
      <c r="G5" s="7"/>
      <c r="H5" s="6"/>
      <c r="I5" s="6" t="str">
        <f t="shared" si="2"/>
        <v/>
      </c>
      <c r="J5" s="8"/>
      <c r="K5" s="8">
        <v>24</v>
      </c>
      <c r="L5" s="8" t="s">
        <v>232</v>
      </c>
      <c r="M5" s="8" t="s">
        <v>233</v>
      </c>
      <c r="N5" s="8">
        <v>544020</v>
      </c>
      <c r="O5" s="8">
        <v>6453447</v>
      </c>
      <c r="P5" s="8" t="s">
        <v>234</v>
      </c>
    </row>
    <row r="6" spans="1:16">
      <c r="A6" s="5" t="s">
        <v>231</v>
      </c>
      <c r="B6" s="6"/>
      <c r="C6" s="6"/>
      <c r="D6" s="6" t="str">
        <f t="shared" si="0"/>
        <v/>
      </c>
      <c r="E6" s="7"/>
      <c r="F6" s="7" t="str">
        <f t="shared" si="1"/>
        <v/>
      </c>
      <c r="G6" s="7"/>
      <c r="H6" s="6"/>
      <c r="I6" s="6" t="str">
        <f t="shared" si="2"/>
        <v/>
      </c>
      <c r="J6" s="8"/>
      <c r="K6" s="8">
        <v>24</v>
      </c>
      <c r="L6" s="8" t="s">
        <v>232</v>
      </c>
      <c r="M6" s="8" t="s">
        <v>233</v>
      </c>
      <c r="N6" s="8">
        <v>544020</v>
      </c>
      <c r="O6" s="8">
        <v>6453447</v>
      </c>
      <c r="P6" s="8" t="s">
        <v>234</v>
      </c>
    </row>
    <row r="7" spans="1:16">
      <c r="A7" s="5" t="s">
        <v>231</v>
      </c>
      <c r="B7" s="6"/>
      <c r="C7" s="6"/>
      <c r="D7" s="6" t="str">
        <f t="shared" si="0"/>
        <v/>
      </c>
      <c r="E7" s="7"/>
      <c r="F7" s="7" t="str">
        <f t="shared" si="1"/>
        <v/>
      </c>
      <c r="G7" s="7"/>
      <c r="H7" s="6"/>
      <c r="I7" s="6" t="str">
        <f t="shared" si="2"/>
        <v/>
      </c>
      <c r="J7" s="8"/>
      <c r="K7" s="8">
        <v>24</v>
      </c>
      <c r="L7" s="8" t="s">
        <v>232</v>
      </c>
      <c r="M7" s="8" t="s">
        <v>233</v>
      </c>
      <c r="N7" s="8">
        <v>544020</v>
      </c>
      <c r="O7" s="8">
        <v>6453447</v>
      </c>
      <c r="P7" s="8" t="s">
        <v>234</v>
      </c>
    </row>
    <row r="8" spans="1:16">
      <c r="A8" s="5" t="s">
        <v>231</v>
      </c>
      <c r="B8" s="6"/>
      <c r="C8" s="6"/>
      <c r="D8" s="6" t="str">
        <f t="shared" si="0"/>
        <v/>
      </c>
      <c r="E8" s="7"/>
      <c r="F8" s="7" t="str">
        <f t="shared" si="1"/>
        <v/>
      </c>
      <c r="G8" s="7"/>
      <c r="H8" s="6"/>
      <c r="I8" s="6" t="str">
        <f t="shared" si="2"/>
        <v/>
      </c>
      <c r="J8" s="8"/>
      <c r="K8" s="8">
        <v>24</v>
      </c>
      <c r="L8" s="8" t="s">
        <v>232</v>
      </c>
      <c r="M8" s="8" t="s">
        <v>233</v>
      </c>
      <c r="N8" s="8">
        <v>544020</v>
      </c>
      <c r="O8" s="8">
        <v>6453447</v>
      </c>
      <c r="P8" s="8" t="s">
        <v>234</v>
      </c>
    </row>
    <row r="9" spans="1:16">
      <c r="A9" s="5" t="s">
        <v>231</v>
      </c>
      <c r="B9" s="6"/>
      <c r="C9" s="6"/>
      <c r="D9" s="6" t="str">
        <f t="shared" si="0"/>
        <v/>
      </c>
      <c r="E9" s="7"/>
      <c r="F9" s="7" t="str">
        <f t="shared" si="1"/>
        <v/>
      </c>
      <c r="G9" s="7"/>
      <c r="H9" s="6"/>
      <c r="I9" s="6" t="str">
        <f t="shared" si="2"/>
        <v/>
      </c>
      <c r="J9" s="8"/>
      <c r="K9" s="8">
        <v>24</v>
      </c>
      <c r="L9" s="8" t="s">
        <v>232</v>
      </c>
      <c r="M9" s="8" t="s">
        <v>233</v>
      </c>
      <c r="N9" s="8">
        <v>544020</v>
      </c>
      <c r="O9" s="8">
        <v>6453447</v>
      </c>
      <c r="P9" s="8" t="s">
        <v>234</v>
      </c>
    </row>
    <row r="10" spans="1:16">
      <c r="A10" s="5" t="s">
        <v>235</v>
      </c>
      <c r="B10" s="6"/>
      <c r="C10" s="6"/>
      <c r="D10" s="6" t="str">
        <f t="shared" si="0"/>
        <v/>
      </c>
      <c r="E10" s="7"/>
      <c r="F10" s="7" t="str">
        <f t="shared" si="1"/>
        <v/>
      </c>
      <c r="G10" s="7"/>
      <c r="H10" s="6"/>
      <c r="I10" s="6" t="str">
        <f t="shared" si="2"/>
        <v/>
      </c>
      <c r="J10" s="8" t="s">
        <v>236</v>
      </c>
      <c r="K10" s="8">
        <v>24</v>
      </c>
      <c r="L10" s="8" t="s">
        <v>237</v>
      </c>
      <c r="M10" s="8" t="s">
        <v>238</v>
      </c>
      <c r="N10" s="8">
        <v>555737</v>
      </c>
      <c r="O10" s="8">
        <v>6447326</v>
      </c>
      <c r="P10" s="8" t="s">
        <v>234</v>
      </c>
    </row>
    <row r="11" spans="1:16">
      <c r="A11" s="5" t="s">
        <v>235</v>
      </c>
      <c r="B11" s="6"/>
      <c r="C11" s="6"/>
      <c r="D11" s="6" t="str">
        <f t="shared" si="0"/>
        <v/>
      </c>
      <c r="E11" s="7"/>
      <c r="F11" s="7" t="str">
        <f t="shared" si="1"/>
        <v/>
      </c>
      <c r="G11" s="7"/>
      <c r="H11" s="6"/>
      <c r="I11" s="6" t="str">
        <f t="shared" si="2"/>
        <v/>
      </c>
      <c r="J11" s="8" t="s">
        <v>236</v>
      </c>
      <c r="K11" s="8">
        <v>24</v>
      </c>
      <c r="L11" s="8" t="s">
        <v>237</v>
      </c>
      <c r="M11" s="8" t="s">
        <v>238</v>
      </c>
      <c r="N11" s="8">
        <v>555737</v>
      </c>
      <c r="O11" s="8">
        <v>6447326</v>
      </c>
      <c r="P11" s="8" t="s">
        <v>234</v>
      </c>
    </row>
    <row r="12" spans="1:16">
      <c r="A12" s="5" t="s">
        <v>235</v>
      </c>
      <c r="B12" s="6"/>
      <c r="C12" s="6"/>
      <c r="D12" s="6" t="str">
        <f t="shared" si="0"/>
        <v/>
      </c>
      <c r="E12" s="7"/>
      <c r="F12" s="7" t="str">
        <f t="shared" si="1"/>
        <v/>
      </c>
      <c r="G12" s="7"/>
      <c r="H12" s="6"/>
      <c r="I12" s="6" t="str">
        <f t="shared" si="2"/>
        <v/>
      </c>
      <c r="J12" s="8" t="s">
        <v>236</v>
      </c>
      <c r="K12" s="8">
        <v>24</v>
      </c>
      <c r="L12" s="8" t="s">
        <v>237</v>
      </c>
      <c r="M12" s="8" t="s">
        <v>238</v>
      </c>
      <c r="N12" s="8">
        <v>555737</v>
      </c>
      <c r="O12" s="8">
        <v>6447326</v>
      </c>
      <c r="P12" s="8" t="s">
        <v>234</v>
      </c>
    </row>
    <row r="13" spans="1:16">
      <c r="A13" s="5" t="s">
        <v>235</v>
      </c>
      <c r="B13" s="6"/>
      <c r="C13" s="6"/>
      <c r="D13" s="6" t="str">
        <f t="shared" si="0"/>
        <v/>
      </c>
      <c r="E13" s="7"/>
      <c r="F13" s="7" t="str">
        <f t="shared" si="1"/>
        <v/>
      </c>
      <c r="G13" s="7"/>
      <c r="H13" s="6"/>
      <c r="I13" s="6" t="str">
        <f t="shared" si="2"/>
        <v/>
      </c>
      <c r="J13" s="8" t="s">
        <v>236</v>
      </c>
      <c r="K13" s="8">
        <v>24</v>
      </c>
      <c r="L13" s="8" t="s">
        <v>237</v>
      </c>
      <c r="M13" s="8" t="s">
        <v>238</v>
      </c>
      <c r="N13" s="8">
        <v>555737</v>
      </c>
      <c r="O13" s="8">
        <v>6447326</v>
      </c>
      <c r="P13" s="8" t="s">
        <v>234</v>
      </c>
    </row>
    <row r="14" spans="1:16">
      <c r="A14" s="5" t="s">
        <v>235</v>
      </c>
      <c r="B14" s="6"/>
      <c r="C14" s="6"/>
      <c r="D14" s="6" t="str">
        <f t="shared" si="0"/>
        <v/>
      </c>
      <c r="E14" s="7"/>
      <c r="F14" s="7" t="str">
        <f t="shared" si="1"/>
        <v/>
      </c>
      <c r="G14" s="7"/>
      <c r="H14" s="6"/>
      <c r="I14" s="6" t="str">
        <f t="shared" si="2"/>
        <v/>
      </c>
      <c r="J14" s="8" t="s">
        <v>236</v>
      </c>
      <c r="K14" s="8">
        <v>24</v>
      </c>
      <c r="L14" s="8" t="s">
        <v>237</v>
      </c>
      <c r="M14" s="8" t="s">
        <v>238</v>
      </c>
      <c r="N14" s="8">
        <v>555737</v>
      </c>
      <c r="O14" s="8">
        <v>6447326</v>
      </c>
      <c r="P14" s="8" t="s">
        <v>234</v>
      </c>
    </row>
    <row r="15" spans="1:16">
      <c r="A15" s="5" t="s">
        <v>235</v>
      </c>
      <c r="B15" s="6"/>
      <c r="C15" s="6"/>
      <c r="D15" s="6" t="str">
        <f t="shared" si="0"/>
        <v/>
      </c>
      <c r="E15" s="7"/>
      <c r="F15" s="7" t="str">
        <f t="shared" si="1"/>
        <v/>
      </c>
      <c r="G15" s="7"/>
      <c r="H15" s="6"/>
      <c r="I15" s="6" t="str">
        <f t="shared" si="2"/>
        <v/>
      </c>
      <c r="J15" s="8" t="s">
        <v>236</v>
      </c>
      <c r="K15" s="8">
        <v>24</v>
      </c>
      <c r="L15" s="8" t="s">
        <v>237</v>
      </c>
      <c r="M15" s="8" t="s">
        <v>238</v>
      </c>
      <c r="N15" s="8">
        <v>555737</v>
      </c>
      <c r="O15" s="8">
        <v>6447326</v>
      </c>
      <c r="P15" s="8" t="s">
        <v>234</v>
      </c>
    </row>
    <row r="16" spans="1:16">
      <c r="A16" s="5" t="s">
        <v>235</v>
      </c>
      <c r="B16" s="6"/>
      <c r="C16" s="6"/>
      <c r="D16" s="6" t="str">
        <f t="shared" si="0"/>
        <v/>
      </c>
      <c r="E16" s="7"/>
      <c r="F16" s="7" t="str">
        <f t="shared" si="1"/>
        <v/>
      </c>
      <c r="G16" s="7"/>
      <c r="H16" s="6"/>
      <c r="I16" s="6" t="str">
        <f t="shared" si="2"/>
        <v/>
      </c>
      <c r="J16" s="8" t="s">
        <v>236</v>
      </c>
      <c r="K16" s="8">
        <v>24</v>
      </c>
      <c r="L16" s="8" t="s">
        <v>237</v>
      </c>
      <c r="M16" s="8" t="s">
        <v>238</v>
      </c>
      <c r="N16" s="8">
        <v>555737</v>
      </c>
      <c r="O16" s="8">
        <v>6447326</v>
      </c>
      <c r="P16" s="8" t="s">
        <v>234</v>
      </c>
    </row>
    <row r="17" spans="1:16">
      <c r="A17" s="5" t="s">
        <v>235</v>
      </c>
      <c r="B17" s="6"/>
      <c r="C17" s="6"/>
      <c r="D17" s="6" t="str">
        <f t="shared" si="0"/>
        <v/>
      </c>
      <c r="E17" s="7"/>
      <c r="F17" s="7" t="str">
        <f t="shared" si="1"/>
        <v/>
      </c>
      <c r="G17" s="7"/>
      <c r="H17" s="6"/>
      <c r="I17" s="6" t="str">
        <f t="shared" si="2"/>
        <v/>
      </c>
      <c r="J17" s="8" t="s">
        <v>236</v>
      </c>
      <c r="K17" s="8">
        <v>24</v>
      </c>
      <c r="L17" s="8" t="s">
        <v>237</v>
      </c>
      <c r="M17" s="8" t="s">
        <v>238</v>
      </c>
      <c r="N17" s="8">
        <v>555737</v>
      </c>
      <c r="O17" s="8">
        <v>6447326</v>
      </c>
      <c r="P17" s="8" t="s">
        <v>234</v>
      </c>
    </row>
    <row r="18" spans="1:16">
      <c r="A18" s="5" t="s">
        <v>239</v>
      </c>
      <c r="B18" s="6"/>
      <c r="C18" s="6"/>
      <c r="D18" s="6" t="str">
        <f t="shared" si="0"/>
        <v/>
      </c>
      <c r="E18" s="7"/>
      <c r="F18" s="7" t="str">
        <f t="shared" si="1"/>
        <v/>
      </c>
      <c r="G18" s="7"/>
      <c r="H18" s="6"/>
      <c r="I18" s="6" t="str">
        <f t="shared" si="2"/>
        <v/>
      </c>
      <c r="J18" s="8" t="s">
        <v>240</v>
      </c>
      <c r="K18" s="8">
        <v>24</v>
      </c>
      <c r="L18" s="8" t="s">
        <v>241</v>
      </c>
      <c r="M18" s="8" t="s">
        <v>242</v>
      </c>
      <c r="N18" s="8">
        <v>563186</v>
      </c>
      <c r="O18" s="8">
        <v>6445570</v>
      </c>
      <c r="P18" s="8" t="s">
        <v>234</v>
      </c>
    </row>
    <row r="19" spans="1:16">
      <c r="A19" s="5" t="s">
        <v>239</v>
      </c>
      <c r="B19" s="6"/>
      <c r="C19" s="6"/>
      <c r="D19" s="6" t="str">
        <f t="shared" si="0"/>
        <v/>
      </c>
      <c r="E19" s="7"/>
      <c r="F19" s="7" t="str">
        <f t="shared" si="1"/>
        <v/>
      </c>
      <c r="G19" s="7"/>
      <c r="H19" s="6"/>
      <c r="I19" s="6" t="str">
        <f t="shared" si="2"/>
        <v/>
      </c>
      <c r="J19" s="8" t="s">
        <v>240</v>
      </c>
      <c r="K19" s="8">
        <v>24</v>
      </c>
      <c r="L19" s="8" t="s">
        <v>241</v>
      </c>
      <c r="M19" s="8" t="s">
        <v>242</v>
      </c>
      <c r="N19" s="8">
        <v>563186</v>
      </c>
      <c r="O19" s="8">
        <v>6445570</v>
      </c>
      <c r="P19" s="8" t="s">
        <v>234</v>
      </c>
    </row>
    <row r="20" spans="1:16">
      <c r="A20" s="5" t="s">
        <v>239</v>
      </c>
      <c r="B20" s="6"/>
      <c r="C20" s="6"/>
      <c r="D20" s="6" t="str">
        <f t="shared" si="0"/>
        <v/>
      </c>
      <c r="E20" s="7"/>
      <c r="F20" s="7" t="str">
        <f t="shared" si="1"/>
        <v/>
      </c>
      <c r="G20" s="7"/>
      <c r="H20" s="6"/>
      <c r="I20" s="6" t="str">
        <f t="shared" si="2"/>
        <v/>
      </c>
      <c r="J20" s="8" t="s">
        <v>240</v>
      </c>
      <c r="K20" s="8">
        <v>24</v>
      </c>
      <c r="L20" s="8" t="s">
        <v>241</v>
      </c>
      <c r="M20" s="8" t="s">
        <v>242</v>
      </c>
      <c r="N20" s="8">
        <v>563186</v>
      </c>
      <c r="O20" s="8">
        <v>6445570</v>
      </c>
      <c r="P20" s="8" t="s">
        <v>234</v>
      </c>
    </row>
    <row r="21" spans="1:16">
      <c r="A21" s="5" t="s">
        <v>239</v>
      </c>
      <c r="B21" s="6"/>
      <c r="C21" s="6"/>
      <c r="D21" s="6" t="str">
        <f t="shared" si="0"/>
        <v/>
      </c>
      <c r="E21" s="7"/>
      <c r="F21" s="7" t="str">
        <f t="shared" si="1"/>
        <v/>
      </c>
      <c r="G21" s="7"/>
      <c r="H21" s="6"/>
      <c r="I21" s="6" t="str">
        <f t="shared" si="2"/>
        <v/>
      </c>
      <c r="J21" s="8" t="s">
        <v>240</v>
      </c>
      <c r="K21" s="8">
        <v>24</v>
      </c>
      <c r="L21" s="8" t="s">
        <v>241</v>
      </c>
      <c r="M21" s="8" t="s">
        <v>242</v>
      </c>
      <c r="N21" s="8">
        <v>563186</v>
      </c>
      <c r="O21" s="8">
        <v>6445570</v>
      </c>
      <c r="P21" s="8" t="s">
        <v>234</v>
      </c>
    </row>
    <row r="22" spans="1:16">
      <c r="A22" s="5" t="s">
        <v>243</v>
      </c>
      <c r="B22" s="6"/>
      <c r="C22" s="6"/>
      <c r="D22" s="6" t="str">
        <f t="shared" si="0"/>
        <v/>
      </c>
      <c r="E22" s="7"/>
      <c r="F22" s="7" t="str">
        <f t="shared" si="1"/>
        <v/>
      </c>
      <c r="G22" s="7"/>
      <c r="H22" s="6"/>
      <c r="I22" s="6" t="str">
        <f t="shared" si="2"/>
        <v/>
      </c>
      <c r="J22" s="8" t="s">
        <v>11</v>
      </c>
      <c r="K22" s="8">
        <v>24</v>
      </c>
      <c r="L22" s="8" t="s">
        <v>241</v>
      </c>
      <c r="M22" s="8" t="s">
        <v>244</v>
      </c>
      <c r="N22" s="8">
        <v>563103</v>
      </c>
      <c r="O22" s="8">
        <v>6445211</v>
      </c>
      <c r="P22" s="8" t="s">
        <v>234</v>
      </c>
    </row>
    <row r="23" spans="1:16">
      <c r="A23" s="5" t="s">
        <v>243</v>
      </c>
      <c r="B23" s="6"/>
      <c r="C23" s="6"/>
      <c r="D23" s="6" t="str">
        <f t="shared" si="0"/>
        <v/>
      </c>
      <c r="E23" s="7"/>
      <c r="F23" s="7" t="str">
        <f t="shared" si="1"/>
        <v/>
      </c>
      <c r="G23" s="7"/>
      <c r="H23" s="6"/>
      <c r="I23" s="6" t="str">
        <f t="shared" si="2"/>
        <v/>
      </c>
      <c r="J23" s="8" t="s">
        <v>11</v>
      </c>
      <c r="K23" s="8">
        <v>24</v>
      </c>
      <c r="L23" s="8" t="s">
        <v>241</v>
      </c>
      <c r="M23" s="8" t="s">
        <v>244</v>
      </c>
      <c r="N23" s="8">
        <v>563103</v>
      </c>
      <c r="O23" s="8">
        <v>6445211</v>
      </c>
      <c r="P23" s="8" t="s">
        <v>234</v>
      </c>
    </row>
    <row r="24" spans="1:16">
      <c r="A24" s="5" t="s">
        <v>243</v>
      </c>
      <c r="B24" s="6"/>
      <c r="C24" s="6"/>
      <c r="D24" s="6" t="str">
        <f t="shared" si="0"/>
        <v/>
      </c>
      <c r="E24" s="7"/>
      <c r="F24" s="7" t="str">
        <f t="shared" si="1"/>
        <v/>
      </c>
      <c r="G24" s="7"/>
      <c r="H24" s="6"/>
      <c r="I24" s="6" t="str">
        <f t="shared" si="2"/>
        <v/>
      </c>
      <c r="J24" s="8" t="s">
        <v>11</v>
      </c>
      <c r="K24" s="8">
        <v>24</v>
      </c>
      <c r="L24" s="8" t="s">
        <v>241</v>
      </c>
      <c r="M24" s="8" t="s">
        <v>244</v>
      </c>
      <c r="N24" s="8">
        <v>563103</v>
      </c>
      <c r="O24" s="8">
        <v>6445211</v>
      </c>
      <c r="P24" s="8" t="s">
        <v>234</v>
      </c>
    </row>
    <row r="25" spans="1:16">
      <c r="A25" s="5" t="s">
        <v>243</v>
      </c>
      <c r="B25" s="6"/>
      <c r="C25" s="6"/>
      <c r="D25" s="6" t="str">
        <f t="shared" si="0"/>
        <v/>
      </c>
      <c r="E25" s="7"/>
      <c r="F25" s="7" t="str">
        <f t="shared" si="1"/>
        <v/>
      </c>
      <c r="G25" s="7"/>
      <c r="H25" s="6"/>
      <c r="I25" s="6" t="str">
        <f t="shared" si="2"/>
        <v/>
      </c>
      <c r="J25" s="8" t="s">
        <v>11</v>
      </c>
      <c r="K25" s="8">
        <v>24</v>
      </c>
      <c r="L25" s="8" t="s">
        <v>241</v>
      </c>
      <c r="M25" s="8" t="s">
        <v>244</v>
      </c>
      <c r="N25" s="8">
        <v>563103</v>
      </c>
      <c r="O25" s="8">
        <v>6445211</v>
      </c>
      <c r="P25" s="8" t="s">
        <v>234</v>
      </c>
    </row>
    <row r="26" spans="1:16">
      <c r="A26" s="5" t="s">
        <v>245</v>
      </c>
      <c r="B26" s="6"/>
      <c r="C26" s="6"/>
      <c r="D26" s="6" t="str">
        <f t="shared" si="0"/>
        <v/>
      </c>
      <c r="E26" s="9">
        <v>2.4E-2</v>
      </c>
      <c r="F26" s="7">
        <f t="shared" si="1"/>
        <v>-1.6197887582883939</v>
      </c>
      <c r="G26" s="9">
        <f>125</f>
        <v>125</v>
      </c>
      <c r="H26" s="12">
        <f>E26/G26</f>
        <v>1.92E-4</v>
      </c>
      <c r="I26" s="6">
        <f t="shared" si="2"/>
        <v>-3.7166987712964503</v>
      </c>
      <c r="J26" s="8" t="s">
        <v>11</v>
      </c>
      <c r="K26" s="8">
        <v>24</v>
      </c>
      <c r="L26" s="8" t="s">
        <v>246</v>
      </c>
      <c r="M26" s="8" t="s">
        <v>247</v>
      </c>
      <c r="N26" s="8">
        <v>510295</v>
      </c>
      <c r="O26" s="8">
        <v>6497721</v>
      </c>
      <c r="P26" s="8" t="s">
        <v>234</v>
      </c>
    </row>
    <row r="27" spans="1:16">
      <c r="A27" s="5" t="s">
        <v>245</v>
      </c>
      <c r="B27" s="6"/>
      <c r="C27" s="6"/>
      <c r="D27" s="6" t="str">
        <f t="shared" si="0"/>
        <v/>
      </c>
      <c r="E27" s="9">
        <v>2.3099999999999999E-2</v>
      </c>
      <c r="F27" s="7">
        <f t="shared" si="1"/>
        <v>-1.6363880201078558</v>
      </c>
      <c r="G27" s="9">
        <f>125</f>
        <v>125</v>
      </c>
      <c r="H27" s="12">
        <f>E27/G27</f>
        <v>1.8479999999999999E-4</v>
      </c>
      <c r="I27" s="6">
        <f t="shared" si="2"/>
        <v>-3.7332980331159122</v>
      </c>
      <c r="J27" s="8" t="s">
        <v>11</v>
      </c>
      <c r="K27" s="8">
        <v>24</v>
      </c>
      <c r="L27" s="8" t="s">
        <v>246</v>
      </c>
      <c r="M27" s="8" t="s">
        <v>247</v>
      </c>
      <c r="N27" s="8">
        <v>510295</v>
      </c>
      <c r="O27" s="8">
        <v>6497721</v>
      </c>
      <c r="P27" s="8" t="s">
        <v>234</v>
      </c>
    </row>
    <row r="28" spans="1:16">
      <c r="A28" s="5" t="s">
        <v>248</v>
      </c>
      <c r="B28" s="6"/>
      <c r="C28" s="6"/>
      <c r="D28" s="6" t="str">
        <f t="shared" si="0"/>
        <v/>
      </c>
      <c r="E28" s="7"/>
      <c r="F28" s="7" t="str">
        <f t="shared" si="1"/>
        <v/>
      </c>
      <c r="G28" s="7"/>
      <c r="H28" s="6"/>
      <c r="I28" s="6" t="str">
        <f t="shared" si="2"/>
        <v/>
      </c>
      <c r="J28" s="8" t="s">
        <v>11</v>
      </c>
      <c r="K28" s="8">
        <v>24</v>
      </c>
      <c r="L28" s="8" t="s">
        <v>249</v>
      </c>
      <c r="M28" s="8" t="s">
        <v>250</v>
      </c>
      <c r="N28" s="8">
        <v>514047</v>
      </c>
      <c r="O28" s="8">
        <v>6489268</v>
      </c>
      <c r="P28" s="8" t="s">
        <v>234</v>
      </c>
    </row>
    <row r="29" spans="1:16">
      <c r="A29" s="5" t="s">
        <v>251</v>
      </c>
      <c r="B29" s="6"/>
      <c r="C29" s="6"/>
      <c r="D29" s="6" t="str">
        <f t="shared" si="0"/>
        <v/>
      </c>
      <c r="E29" s="7"/>
      <c r="F29" s="7" t="str">
        <f t="shared" si="1"/>
        <v/>
      </c>
      <c r="G29" s="7"/>
      <c r="H29" s="6"/>
      <c r="I29" s="6" t="str">
        <f t="shared" si="2"/>
        <v/>
      </c>
      <c r="J29" s="8" t="s">
        <v>11</v>
      </c>
      <c r="K29" s="8">
        <v>24</v>
      </c>
      <c r="L29" s="8" t="s">
        <v>252</v>
      </c>
      <c r="M29" s="8" t="s">
        <v>253</v>
      </c>
      <c r="N29" s="8">
        <v>515737</v>
      </c>
      <c r="O29" s="8">
        <v>6457534</v>
      </c>
      <c r="P29" s="8" t="s">
        <v>234</v>
      </c>
    </row>
    <row r="30" spans="1:16">
      <c r="A30" s="5" t="s">
        <v>251</v>
      </c>
      <c r="B30" s="6"/>
      <c r="C30" s="6"/>
      <c r="D30" s="6" t="str">
        <f t="shared" si="0"/>
        <v/>
      </c>
      <c r="E30" s="7"/>
      <c r="F30" s="7" t="str">
        <f t="shared" si="1"/>
        <v/>
      </c>
      <c r="G30" s="7"/>
      <c r="H30" s="6"/>
      <c r="I30" s="6" t="str">
        <f t="shared" si="2"/>
        <v/>
      </c>
      <c r="J30" s="8" t="s">
        <v>11</v>
      </c>
      <c r="K30" s="8">
        <v>24</v>
      </c>
      <c r="L30" s="8" t="s">
        <v>252</v>
      </c>
      <c r="M30" s="8" t="s">
        <v>253</v>
      </c>
      <c r="N30" s="8">
        <v>515737</v>
      </c>
      <c r="O30" s="8">
        <v>6457534</v>
      </c>
      <c r="P30" s="8" t="s">
        <v>234</v>
      </c>
    </row>
    <row r="31" spans="1:16">
      <c r="A31" s="5" t="s">
        <v>254</v>
      </c>
      <c r="B31" s="6"/>
      <c r="C31" s="6"/>
      <c r="D31" s="6" t="str">
        <f t="shared" si="0"/>
        <v/>
      </c>
      <c r="E31" s="7"/>
      <c r="F31" s="7" t="str">
        <f t="shared" si="1"/>
        <v/>
      </c>
      <c r="G31" s="7"/>
      <c r="H31" s="6"/>
      <c r="I31" s="6" t="str">
        <f t="shared" si="2"/>
        <v/>
      </c>
      <c r="J31" s="8" t="s">
        <v>11</v>
      </c>
      <c r="K31" s="8">
        <v>24</v>
      </c>
      <c r="L31" s="8" t="s">
        <v>255</v>
      </c>
      <c r="M31" s="8" t="s">
        <v>256</v>
      </c>
      <c r="N31" s="8">
        <v>532349</v>
      </c>
      <c r="O31" s="8">
        <v>6398941</v>
      </c>
      <c r="P31" s="8" t="s">
        <v>234</v>
      </c>
    </row>
    <row r="34" spans="1:9">
      <c r="A34" s="29" t="s">
        <v>849</v>
      </c>
      <c r="B34" s="28" t="s">
        <v>850</v>
      </c>
      <c r="C34" s="28" t="s">
        <v>851</v>
      </c>
      <c r="D34" s="28" t="s">
        <v>852</v>
      </c>
      <c r="E34" s="28" t="s">
        <v>853</v>
      </c>
      <c r="F34" s="28" t="s">
        <v>934</v>
      </c>
      <c r="G34" s="28" t="s">
        <v>967</v>
      </c>
      <c r="I34" s="28"/>
    </row>
    <row r="35" spans="1:9">
      <c r="A35" s="29" t="s">
        <v>855</v>
      </c>
      <c r="B35" s="28">
        <f xml:space="preserve"> COUNTA(B2:B31)</f>
        <v>1</v>
      </c>
      <c r="C35" s="28">
        <f>MIN(B2:B31)</f>
        <v>0.02</v>
      </c>
      <c r="D35" s="28">
        <f>MAX(B2:B31)</f>
        <v>0.02</v>
      </c>
      <c r="E35" s="28">
        <f xml:space="preserve"> AVERAGEIF(B2:B31,"&lt;&gt;0")</f>
        <v>0.02</v>
      </c>
      <c r="F35" s="28"/>
      <c r="G35" s="28"/>
      <c r="I35" s="28"/>
    </row>
    <row r="36" spans="1:9">
      <c r="A36" s="29" t="s">
        <v>857</v>
      </c>
      <c r="B36" s="19">
        <f>COUNTA(C2:C31)</f>
        <v>1</v>
      </c>
      <c r="C36" s="19">
        <f xml:space="preserve"> MIN(C2:C31)</f>
        <v>0.04</v>
      </c>
      <c r="D36" s="19">
        <f xml:space="preserve"> MAX(C2:C31)</f>
        <v>0.04</v>
      </c>
      <c r="E36" s="19">
        <f xml:space="preserve"> AVERAGEIF(C2:C31,"&lt;&gt;0")</f>
        <v>0.04</v>
      </c>
      <c r="F36" s="19">
        <f>AVERAGE(D2:D31)</f>
        <v>-1.3979400086720375</v>
      </c>
      <c r="G36" s="19">
        <f>10^F36</f>
        <v>4.0000000000000008E-2</v>
      </c>
      <c r="I36" s="19"/>
    </row>
    <row r="37" spans="1:9">
      <c r="A37" s="29" t="s">
        <v>914</v>
      </c>
      <c r="B37" s="19">
        <f>COUNTA(E2:E31)</f>
        <v>2</v>
      </c>
      <c r="C37" s="27">
        <f xml:space="preserve"> MIN(E2:E31)</f>
        <v>2.3099999999999999E-2</v>
      </c>
      <c r="D37" s="27">
        <f xml:space="preserve"> MAX(E2:E31)</f>
        <v>2.4E-2</v>
      </c>
      <c r="E37" s="19">
        <f>AVERAGEIF(E2:E31,"&lt;&gt;0")</f>
        <v>2.3550000000000001E-2</v>
      </c>
      <c r="F37" s="19">
        <f>AVERAGE(F2:F31)</f>
        <v>-1.6280883891981248</v>
      </c>
      <c r="G37" s="19">
        <f t="shared" ref="G37:G38" si="3">10^F37</f>
        <v>2.3545700244418294E-2</v>
      </c>
      <c r="I37" s="19"/>
    </row>
    <row r="38" spans="1:9">
      <c r="A38" s="29" t="s">
        <v>915</v>
      </c>
      <c r="B38" s="19">
        <f>COUNTA(H2:H31)</f>
        <v>2</v>
      </c>
      <c r="C38" s="19">
        <f xml:space="preserve"> MIN(H2:H31)</f>
        <v>1.8479999999999999E-4</v>
      </c>
      <c r="D38" s="19">
        <f xml:space="preserve"> MAX(H2:H31)</f>
        <v>1.92E-4</v>
      </c>
      <c r="E38" s="19">
        <f>AVERAGEIF(H2:H31,"&lt;&gt;0")</f>
        <v>1.884E-4</v>
      </c>
      <c r="F38" s="19">
        <f>AVERAGE(I2:I31)</f>
        <v>-3.7249984022061815</v>
      </c>
      <c r="G38" s="19">
        <f t="shared" si="3"/>
        <v>1.8836560195534621E-4</v>
      </c>
      <c r="I38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8"/>
  <sheetViews>
    <sheetView workbookViewId="0">
      <selection activeCell="A34" sqref="A34"/>
    </sheetView>
  </sheetViews>
  <sheetFormatPr baseColWidth="10" defaultRowHeight="15"/>
  <cols>
    <col min="1" max="1" width="12.83203125" bestFit="1" customWidth="1"/>
  </cols>
  <sheetData>
    <row r="1" spans="1:2">
      <c r="A1" s="48" t="s">
        <v>923</v>
      </c>
      <c r="B1" s="48" t="s">
        <v>925</v>
      </c>
    </row>
    <row r="2" spans="1:2">
      <c r="A2" s="49">
        <v>2.0000000000000002E-5</v>
      </c>
      <c r="B2" s="46">
        <v>2</v>
      </c>
    </row>
    <row r="3" spans="1:2">
      <c r="A3" s="49">
        <v>3.0000000000000001E-5</v>
      </c>
      <c r="B3" s="46">
        <v>1</v>
      </c>
    </row>
    <row r="4" spans="1:2">
      <c r="A4" s="49">
        <v>4.0000000000000003E-5</v>
      </c>
      <c r="B4" s="46">
        <v>0</v>
      </c>
    </row>
    <row r="5" spans="1:2">
      <c r="A5" s="49">
        <v>5.0000000000000002E-5</v>
      </c>
      <c r="B5" s="46">
        <v>0</v>
      </c>
    </row>
    <row r="6" spans="1:2">
      <c r="A6" s="49">
        <v>6.0000000000000002E-5</v>
      </c>
      <c r="B6" s="46">
        <v>0</v>
      </c>
    </row>
    <row r="7" spans="1:2">
      <c r="A7" s="49">
        <v>6.9999999999999994E-5</v>
      </c>
      <c r="B7" s="46">
        <v>2</v>
      </c>
    </row>
    <row r="8" spans="1:2">
      <c r="A8" s="49">
        <v>8.0000000000000007E-5</v>
      </c>
      <c r="B8" s="46">
        <v>0</v>
      </c>
    </row>
    <row r="9" spans="1:2">
      <c r="A9" s="49">
        <v>9.0000000000000006E-5</v>
      </c>
      <c r="B9" s="46">
        <v>0</v>
      </c>
    </row>
    <row r="10" spans="1:2">
      <c r="A10" s="49">
        <v>1E-4</v>
      </c>
      <c r="B10" s="46">
        <v>1</v>
      </c>
    </row>
    <row r="11" spans="1:2">
      <c r="A11" s="49">
        <v>2.0000000000000001E-4</v>
      </c>
      <c r="B11" s="46">
        <v>2</v>
      </c>
    </row>
    <row r="12" spans="1:2">
      <c r="A12" s="49">
        <v>2.9999999999999997E-4</v>
      </c>
      <c r="B12" s="46">
        <v>10</v>
      </c>
    </row>
    <row r="13" spans="1:2">
      <c r="A13" s="49">
        <v>4.0000000000000002E-4</v>
      </c>
      <c r="B13" s="46">
        <v>5</v>
      </c>
    </row>
    <row r="14" spans="1:2">
      <c r="A14" s="49">
        <v>5.0000000000000001E-4</v>
      </c>
      <c r="B14" s="46">
        <v>4</v>
      </c>
    </row>
    <row r="15" spans="1:2">
      <c r="A15" s="49">
        <v>5.9999999999999995E-4</v>
      </c>
      <c r="B15" s="46">
        <v>2</v>
      </c>
    </row>
    <row r="16" spans="1:2">
      <c r="A16" s="49">
        <v>6.9999999999999999E-4</v>
      </c>
      <c r="B16" s="46">
        <v>6</v>
      </c>
    </row>
    <row r="17" spans="1:2">
      <c r="A17" s="49">
        <v>8.0000000000000004E-4</v>
      </c>
      <c r="B17" s="46">
        <v>1</v>
      </c>
    </row>
    <row r="18" spans="1:2">
      <c r="A18" s="49">
        <v>8.9999999999999998E-4</v>
      </c>
      <c r="B18" s="46">
        <v>2</v>
      </c>
    </row>
    <row r="19" spans="1:2">
      <c r="A19" s="49">
        <v>1E-3</v>
      </c>
      <c r="B19" s="46">
        <v>5</v>
      </c>
    </row>
    <row r="20" spans="1:2">
      <c r="A20" s="49">
        <v>2E-3</v>
      </c>
      <c r="B20" s="46">
        <v>27</v>
      </c>
    </row>
    <row r="21" spans="1:2">
      <c r="A21" s="49">
        <v>3.0000000000000001E-3</v>
      </c>
      <c r="B21" s="46">
        <v>17</v>
      </c>
    </row>
    <row r="22" spans="1:2">
      <c r="A22" s="49">
        <v>4.0000000000000001E-3</v>
      </c>
      <c r="B22" s="46">
        <v>14</v>
      </c>
    </row>
    <row r="23" spans="1:2">
      <c r="A23" s="49">
        <v>5.0000000000000001E-3</v>
      </c>
      <c r="B23" s="46">
        <v>15</v>
      </c>
    </row>
    <row r="24" spans="1:2">
      <c r="A24" s="49">
        <v>6.0000000000000001E-3</v>
      </c>
      <c r="B24" s="46">
        <v>16</v>
      </c>
    </row>
    <row r="25" spans="1:2">
      <c r="A25" s="49">
        <v>7.0000000000000001E-3</v>
      </c>
      <c r="B25" s="46">
        <v>7</v>
      </c>
    </row>
    <row r="26" spans="1:2">
      <c r="A26" s="49">
        <v>8.0000000000000002E-3</v>
      </c>
      <c r="B26" s="46">
        <v>2</v>
      </c>
    </row>
    <row r="27" spans="1:2">
      <c r="A27" s="49">
        <v>8.9999999999999993E-3</v>
      </c>
      <c r="B27" s="46">
        <v>4</v>
      </c>
    </row>
    <row r="28" spans="1:2">
      <c r="A28" s="49">
        <v>0.01</v>
      </c>
      <c r="B28" s="46">
        <v>1</v>
      </c>
    </row>
    <row r="29" spans="1:2">
      <c r="A29" s="49">
        <v>0.02</v>
      </c>
      <c r="B29" s="46">
        <v>14</v>
      </c>
    </row>
    <row r="30" spans="1:2">
      <c r="A30" s="49">
        <v>0.03</v>
      </c>
      <c r="B30" s="46">
        <v>4</v>
      </c>
    </row>
    <row r="31" spans="1:2">
      <c r="A31" s="49">
        <v>0.04</v>
      </c>
      <c r="B31" s="46">
        <v>2</v>
      </c>
    </row>
    <row r="32" spans="1:2">
      <c r="A32" s="49">
        <v>0.05</v>
      </c>
      <c r="B32" s="46">
        <v>2</v>
      </c>
    </row>
    <row r="33" spans="1:2">
      <c r="A33" s="49">
        <v>0.06</v>
      </c>
      <c r="B33" s="46">
        <v>1</v>
      </c>
    </row>
    <row r="34" spans="1:2">
      <c r="A34" s="49">
        <v>7.0000000000000007E-2</v>
      </c>
      <c r="B34" s="46">
        <v>0</v>
      </c>
    </row>
    <row r="35" spans="1:2">
      <c r="A35" s="49">
        <v>0.08</v>
      </c>
      <c r="B35" s="46">
        <v>2</v>
      </c>
    </row>
    <row r="36" spans="1:2">
      <c r="A36" s="49">
        <v>0.09</v>
      </c>
      <c r="B36" s="46">
        <v>0</v>
      </c>
    </row>
    <row r="37" spans="1:2">
      <c r="A37" s="49">
        <v>0.1</v>
      </c>
      <c r="B37" s="46">
        <v>1</v>
      </c>
    </row>
    <row r="38" spans="1:2" ht="16" thickBot="1">
      <c r="A38" s="47"/>
      <c r="B38" s="47">
        <v>3</v>
      </c>
    </row>
  </sheetData>
  <sortState ref="A2:A37">
    <sortCondition ref="A2"/>
  </sortState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1"/>
  <sheetViews>
    <sheetView zoomScale="150" zoomScaleNormal="150" workbookViewId="0">
      <selection activeCell="A34" sqref="A34"/>
    </sheetView>
  </sheetViews>
  <sheetFormatPr baseColWidth="10" defaultRowHeight="15"/>
  <sheetData>
    <row r="1" spans="1:2">
      <c r="A1" s="48" t="s">
        <v>923</v>
      </c>
      <c r="B1" s="48" t="s">
        <v>925</v>
      </c>
    </row>
    <row r="2" spans="1:2">
      <c r="A2" s="49">
        <v>9.9999999999999995E-7</v>
      </c>
      <c r="B2" s="46">
        <v>0</v>
      </c>
    </row>
    <row r="3" spans="1:2">
      <c r="A3" s="49">
        <v>5.0000000000000002E-5</v>
      </c>
      <c r="B3" s="46">
        <v>3</v>
      </c>
    </row>
    <row r="4" spans="1:2">
      <c r="A4" s="49">
        <v>1E-4</v>
      </c>
      <c r="B4" s="46">
        <v>3</v>
      </c>
    </row>
    <row r="5" spans="1:2">
      <c r="A5" s="49">
        <v>5.0000000000000001E-4</v>
      </c>
      <c r="B5" s="46">
        <v>21</v>
      </c>
    </row>
    <row r="6" spans="1:2">
      <c r="A6" s="49">
        <v>1E-3</v>
      </c>
      <c r="B6" s="46">
        <v>16</v>
      </c>
    </row>
    <row r="7" spans="1:2">
      <c r="A7" s="49">
        <v>5.0000000000000001E-3</v>
      </c>
      <c r="B7" s="46">
        <v>73</v>
      </c>
    </row>
    <row r="8" spans="1:2">
      <c r="A8" s="49">
        <v>0.01</v>
      </c>
      <c r="B8" s="46">
        <v>30</v>
      </c>
    </row>
    <row r="9" spans="1:2">
      <c r="A9" s="49">
        <v>0.05</v>
      </c>
      <c r="B9" s="46">
        <v>22</v>
      </c>
    </row>
    <row r="10" spans="1:2">
      <c r="A10" s="49">
        <v>0.1</v>
      </c>
      <c r="B10" s="46">
        <v>4</v>
      </c>
    </row>
    <row r="11" spans="1:2" ht="16" thickBot="1">
      <c r="A11" s="47" t="s">
        <v>924</v>
      </c>
      <c r="B11" s="47">
        <v>3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3"/>
  <sheetViews>
    <sheetView workbookViewId="0">
      <selection activeCell="A34" sqref="A34"/>
    </sheetView>
  </sheetViews>
  <sheetFormatPr baseColWidth="10" defaultRowHeight="15"/>
  <sheetData>
    <row r="1" spans="1:2">
      <c r="A1" s="48" t="s">
        <v>923</v>
      </c>
      <c r="B1" s="48" t="s">
        <v>925</v>
      </c>
    </row>
    <row r="2" spans="1:2">
      <c r="A2" s="49">
        <v>1E-3</v>
      </c>
      <c r="B2" s="46">
        <v>3</v>
      </c>
    </row>
    <row r="3" spans="1:2">
      <c r="A3" s="49">
        <v>2E-3</v>
      </c>
      <c r="B3" s="46">
        <v>2</v>
      </c>
    </row>
    <row r="4" spans="1:2">
      <c r="A4" s="49">
        <v>3.0000000000000001E-3</v>
      </c>
      <c r="B4" s="46">
        <v>2</v>
      </c>
    </row>
    <row r="5" spans="1:2">
      <c r="A5" s="49">
        <v>4.0000000000000001E-3</v>
      </c>
      <c r="B5" s="46">
        <v>1</v>
      </c>
    </row>
    <row r="6" spans="1:2">
      <c r="A6" s="49">
        <v>5.0000000000000001E-3</v>
      </c>
      <c r="B6" s="46">
        <v>1</v>
      </c>
    </row>
    <row r="7" spans="1:2">
      <c r="A7" s="49">
        <v>0.01</v>
      </c>
      <c r="B7" s="46">
        <v>0</v>
      </c>
    </row>
    <row r="8" spans="1:2">
      <c r="A8" s="49">
        <v>0.02</v>
      </c>
      <c r="B8" s="46">
        <v>4</v>
      </c>
    </row>
    <row r="9" spans="1:2">
      <c r="A9" s="49">
        <v>0.03</v>
      </c>
      <c r="B9" s="46">
        <v>2</v>
      </c>
    </row>
    <row r="10" spans="1:2">
      <c r="A10" s="49">
        <v>0.04</v>
      </c>
      <c r="B10" s="46">
        <v>0</v>
      </c>
    </row>
    <row r="11" spans="1:2">
      <c r="A11" s="49">
        <v>0.05</v>
      </c>
      <c r="B11" s="46">
        <v>2</v>
      </c>
    </row>
    <row r="12" spans="1:2">
      <c r="A12" s="49">
        <v>0.1</v>
      </c>
      <c r="B12" s="46">
        <v>1</v>
      </c>
    </row>
    <row r="13" spans="1:2" ht="16" thickBot="1">
      <c r="A13" s="47" t="s">
        <v>924</v>
      </c>
      <c r="B13" s="47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1"/>
  <sheetViews>
    <sheetView zoomScale="140" zoomScaleNormal="140" workbookViewId="0">
      <selection activeCell="A34" sqref="A34"/>
    </sheetView>
  </sheetViews>
  <sheetFormatPr baseColWidth="10" defaultRowHeight="15"/>
  <sheetData>
    <row r="1" spans="1:2">
      <c r="A1" s="48" t="s">
        <v>923</v>
      </c>
      <c r="B1" s="48" t="s">
        <v>925</v>
      </c>
    </row>
    <row r="2" spans="1:2">
      <c r="A2" s="49">
        <v>1.0000000000000001E-5</v>
      </c>
      <c r="B2" s="46">
        <v>0</v>
      </c>
    </row>
    <row r="3" spans="1:2">
      <c r="A3" s="49">
        <v>5.0000000000000002E-5</v>
      </c>
      <c r="B3" s="46">
        <v>4</v>
      </c>
    </row>
    <row r="4" spans="1:2">
      <c r="A4" s="49">
        <v>1E-4</v>
      </c>
      <c r="B4" s="46">
        <v>3</v>
      </c>
    </row>
    <row r="5" spans="1:2">
      <c r="A5" s="49">
        <v>5.0000000000000001E-4</v>
      </c>
      <c r="B5" s="46">
        <v>12</v>
      </c>
    </row>
    <row r="6" spans="1:2">
      <c r="A6" s="49">
        <v>1E-3</v>
      </c>
      <c r="B6" s="46">
        <v>7</v>
      </c>
    </row>
    <row r="7" spans="1:2">
      <c r="A7" s="49">
        <v>5.0000000000000001E-3</v>
      </c>
      <c r="B7" s="46">
        <v>5</v>
      </c>
    </row>
    <row r="8" spans="1:2">
      <c r="A8" s="49">
        <v>0.01</v>
      </c>
      <c r="B8" s="46">
        <v>0</v>
      </c>
    </row>
    <row r="9" spans="1:2">
      <c r="A9" s="49">
        <v>0.05</v>
      </c>
      <c r="B9" s="46">
        <v>2</v>
      </c>
    </row>
    <row r="10" spans="1:2">
      <c r="A10" s="49">
        <v>0.1</v>
      </c>
      <c r="B10" s="46">
        <v>0</v>
      </c>
    </row>
    <row r="11" spans="1:2" ht="16" thickBot="1">
      <c r="A11" s="47" t="s">
        <v>924</v>
      </c>
      <c r="B11" s="47">
        <v>0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C5" sqref="C5"/>
    </sheetView>
  </sheetViews>
  <sheetFormatPr baseColWidth="10" defaultRowHeight="15"/>
  <cols>
    <col min="2" max="2" width="14.33203125" customWidth="1"/>
    <col min="4" max="4" width="16.5" customWidth="1"/>
  </cols>
  <sheetData>
    <row r="1" spans="1:11">
      <c r="A1" t="str">
        <f>Tableau1[[#Headers],[id]]</f>
        <v>id</v>
      </c>
      <c r="B1" s="78" t="s">
        <v>972</v>
      </c>
      <c r="C1" t="s">
        <v>958</v>
      </c>
      <c r="D1" t="s">
        <v>959</v>
      </c>
      <c r="E1" t="s">
        <v>973</v>
      </c>
    </row>
    <row r="2" spans="1:11">
      <c r="A2">
        <f>Tableau1[[#This Row],[id]]</f>
        <v>1</v>
      </c>
      <c r="B2" s="78">
        <v>4</v>
      </c>
      <c r="C2" s="45">
        <f>10^-6</f>
        <v>9.9999999999999995E-7</v>
      </c>
      <c r="D2" s="45">
        <f>3*10^-2</f>
        <v>0.03</v>
      </c>
      <c r="E2" s="45">
        <f t="shared" ref="E2:E3" si="0">10^(AVERAGE(IFERROR(LOG10(C2),""),IFERROR(LOG10(D2),"")))</f>
        <v>1.7320508075688767E-4</v>
      </c>
      <c r="F2" s="45"/>
      <c r="G2" s="45"/>
      <c r="H2" s="45"/>
      <c r="I2" s="45"/>
      <c r="J2" s="45"/>
      <c r="K2" s="78"/>
    </row>
    <row r="3" spans="1:11">
      <c r="A3">
        <f>Tableau1[[#This Row],[id]]</f>
        <v>2</v>
      </c>
      <c r="B3" s="78">
        <v>4</v>
      </c>
      <c r="C3" s="45">
        <f>10^-6</f>
        <v>9.9999999999999995E-7</v>
      </c>
      <c r="D3" s="45">
        <f>10^-3</f>
        <v>1E-3</v>
      </c>
      <c r="E3" s="45">
        <f t="shared" si="0"/>
        <v>3.1622776601683748E-5</v>
      </c>
      <c r="F3" s="45"/>
      <c r="G3" s="45"/>
      <c r="H3" s="45"/>
      <c r="I3" s="45"/>
      <c r="J3" s="45"/>
      <c r="K3" s="78"/>
    </row>
    <row r="4" spans="1:11">
      <c r="A4">
        <f>Tableau1[[#This Row],[id]]</f>
        <v>3</v>
      </c>
      <c r="B4" s="78">
        <v>8</v>
      </c>
      <c r="C4" s="45">
        <f t="shared" ref="C4" si="1">10^-7</f>
        <v>9.9999999999999995E-8</v>
      </c>
      <c r="D4" s="45">
        <f>10^-2</f>
        <v>0.01</v>
      </c>
      <c r="E4" s="45">
        <f>10^(AVERAGE(IFERROR(LOG10(C4),""),IFERROR(LOG10(D4),"")))</f>
        <v>3.1622776601683748E-5</v>
      </c>
      <c r="F4" s="45"/>
      <c r="G4" s="45"/>
      <c r="H4" s="45"/>
      <c r="I4" s="45"/>
      <c r="J4" s="45"/>
      <c r="K4" s="78"/>
    </row>
    <row r="5" spans="1:11">
      <c r="A5">
        <f>Tableau1[[#This Row],[id]]</f>
        <v>4</v>
      </c>
      <c r="B5" s="78">
        <v>175</v>
      </c>
      <c r="C5" s="45">
        <f>10^-7</f>
        <v>9.9999999999999995E-8</v>
      </c>
      <c r="D5" s="45">
        <f>10^-2</f>
        <v>0.01</v>
      </c>
      <c r="E5" s="45">
        <v>3.1645802307592832E-5</v>
      </c>
      <c r="F5" s="45"/>
      <c r="G5" s="45"/>
      <c r="H5" s="45"/>
      <c r="I5" s="45"/>
      <c r="J5" s="45"/>
      <c r="K5" s="78"/>
    </row>
    <row r="6" spans="1:11">
      <c r="A6">
        <f>Tableau1[[#This Row],[id]]</f>
        <v>5</v>
      </c>
      <c r="B6" s="78">
        <v>12</v>
      </c>
      <c r="C6" s="45">
        <f>10^-8</f>
        <v>1E-8</v>
      </c>
      <c r="D6" s="45">
        <f>D3</f>
        <v>1E-3</v>
      </c>
      <c r="E6" s="45">
        <f t="shared" ref="E6:E11" si="2">10^(AVERAGE(IFERROR(LOG10(C6),""),IFERROR(LOG10(D6),"")))</f>
        <v>3.1622776601683767E-6</v>
      </c>
      <c r="F6" s="45"/>
      <c r="G6" s="45"/>
      <c r="H6" s="45"/>
      <c r="I6" s="45"/>
      <c r="J6" s="45"/>
      <c r="K6" s="78"/>
    </row>
    <row r="7" spans="1:11">
      <c r="A7">
        <f>Tableau1[[#This Row],[id]]</f>
        <v>6</v>
      </c>
      <c r="B7" s="78">
        <v>80</v>
      </c>
      <c r="C7" s="45">
        <v>1.5871920502380789E-8</v>
      </c>
      <c r="D7" s="45">
        <f>10^-3</f>
        <v>1E-3</v>
      </c>
      <c r="E7" s="45">
        <f t="shared" si="2"/>
        <v>3.9839578941525975E-6</v>
      </c>
      <c r="F7" s="45"/>
      <c r="G7" s="45"/>
      <c r="H7" s="45"/>
      <c r="I7" s="45"/>
      <c r="J7" s="45"/>
      <c r="K7" s="78"/>
    </row>
    <row r="8" spans="1:11">
      <c r="A8">
        <f>Tableau1[[#This Row],[id]]</f>
        <v>7</v>
      </c>
      <c r="B8" s="78">
        <v>10</v>
      </c>
      <c r="C8" s="45">
        <f>10^-7</f>
        <v>9.9999999999999995E-8</v>
      </c>
      <c r="D8" s="45">
        <f>10^-3</f>
        <v>1E-3</v>
      </c>
      <c r="E8" s="45">
        <f t="shared" si="2"/>
        <v>1.0000000000000001E-5</v>
      </c>
      <c r="F8" s="45"/>
      <c r="G8" s="45"/>
      <c r="H8" s="45"/>
      <c r="I8" s="45"/>
      <c r="J8" s="45"/>
      <c r="K8" s="78"/>
    </row>
    <row r="9" spans="1:11">
      <c r="A9">
        <f>Tableau1[[#This Row],[id]]</f>
        <v>8</v>
      </c>
      <c r="B9" s="78">
        <v>12</v>
      </c>
      <c r="C9" s="45">
        <f>10^-8</f>
        <v>1E-8</v>
      </c>
      <c r="D9" s="45">
        <f>5*10^-3</f>
        <v>5.0000000000000001E-3</v>
      </c>
      <c r="E9" s="45">
        <f t="shared" si="2"/>
        <v>7.0710678118654671E-6</v>
      </c>
      <c r="F9" s="45"/>
      <c r="G9" s="45"/>
      <c r="H9" s="45"/>
      <c r="I9" s="45"/>
      <c r="J9" s="45"/>
      <c r="K9" s="78"/>
    </row>
    <row r="10" spans="1:11">
      <c r="A10">
        <f>Tableau1[[#This Row],[id]]</f>
        <v>9</v>
      </c>
      <c r="B10" s="78">
        <v>12</v>
      </c>
      <c r="C10" s="45">
        <f>5*10^-8</f>
        <v>4.9999999999999998E-8</v>
      </c>
      <c r="D10" s="45">
        <f>10^-2</f>
        <v>0.01</v>
      </c>
      <c r="E10" s="45">
        <f t="shared" si="2"/>
        <v>2.2360679774997884E-5</v>
      </c>
      <c r="F10" s="45"/>
      <c r="G10" s="45"/>
      <c r="H10" s="45"/>
      <c r="I10" s="45"/>
      <c r="J10" s="45"/>
      <c r="K10" s="78"/>
    </row>
    <row r="11" spans="1:11">
      <c r="A11">
        <f>Tableau1[[#This Row],[id]]</f>
        <v>10</v>
      </c>
      <c r="B11" s="78">
        <v>20</v>
      </c>
      <c r="C11" s="45">
        <f>5*10^-8</f>
        <v>4.9999999999999998E-8</v>
      </c>
      <c r="D11" s="45">
        <f>5*10^-2</f>
        <v>0.05</v>
      </c>
      <c r="E11" s="45">
        <f t="shared" si="2"/>
        <v>4.9999999999999955E-5</v>
      </c>
      <c r="F11" s="45"/>
      <c r="G11" s="45"/>
      <c r="H11" s="45"/>
      <c r="I11" s="45"/>
      <c r="J11" s="45"/>
      <c r="K11" s="78"/>
    </row>
    <row r="12" spans="1:11">
      <c r="A12">
        <f>Tableau1[[#This Row],[id]]</f>
        <v>11</v>
      </c>
      <c r="B12" s="78">
        <v>18</v>
      </c>
      <c r="C12" s="45">
        <f>5*10^-7</f>
        <v>4.9999999999999998E-7</v>
      </c>
      <c r="D12" s="45">
        <v>1.0853835021707671E-3</v>
      </c>
      <c r="E12" s="45">
        <f>10^(AVERAGE(IFERROR(LOG10(C12),""),IFERROR(LOG10(D12),"")))</f>
        <v>2.3295745342988751E-5</v>
      </c>
      <c r="F12" s="45"/>
      <c r="G12" s="45"/>
      <c r="H12" s="45"/>
      <c r="I12" s="45"/>
      <c r="J12" s="45"/>
      <c r="K12" s="78"/>
    </row>
    <row r="13" spans="1:11">
      <c r="A13">
        <f>Tableau1[[#This Row],[id]]</f>
        <v>12</v>
      </c>
      <c r="B13" s="78">
        <v>2</v>
      </c>
      <c r="C13" s="45">
        <f>10^-7</f>
        <v>9.9999999999999995E-8</v>
      </c>
      <c r="D13" s="45">
        <f>5*10^-3</f>
        <v>5.0000000000000001E-3</v>
      </c>
      <c r="E13" s="45">
        <f>10^(AVERAGE(IFERROR(LOG10(C13),""),IFERROR(LOG10(D13),"")))</f>
        <v>2.2360679774997884E-5</v>
      </c>
      <c r="F13" s="45"/>
      <c r="G13" s="45"/>
      <c r="H13" s="45"/>
      <c r="I13" s="45"/>
      <c r="J13" s="45"/>
      <c r="K13" s="78"/>
    </row>
    <row r="14" spans="1:11">
      <c r="A14">
        <f>Tableau1[[#This Row],[id]]</f>
        <v>13</v>
      </c>
      <c r="B14" s="78">
        <v>1</v>
      </c>
      <c r="C14" s="45">
        <v>9.9999999999999995E-8</v>
      </c>
      <c r="D14" s="45">
        <v>1E-3</v>
      </c>
      <c r="E14" s="45">
        <f>10^(AVERAGE(IFERROR(LOG10(C14),""),IFERROR(LOG10(D14),"")))</f>
        <v>1.0000000000000001E-5</v>
      </c>
      <c r="F14" s="45"/>
      <c r="G14" s="45"/>
      <c r="H14" s="45"/>
      <c r="I14" s="45"/>
      <c r="J14" s="45"/>
      <c r="K14" s="78"/>
    </row>
    <row r="15" spans="1:11">
      <c r="A15">
        <f>Tableau1[[#This Row],[id]]</f>
        <v>14</v>
      </c>
      <c r="B15" s="78">
        <v>2</v>
      </c>
      <c r="C15" s="45">
        <v>1.0250180327246497E-7</v>
      </c>
      <c r="D15" s="45">
        <v>1.4046543411411899E-2</v>
      </c>
      <c r="E15" s="45">
        <f>10^(AVERAGE(IFERROR(LOG10(C15),""),IFERROR(LOG10(D15),"")))</f>
        <v>3.7944644278404838E-5</v>
      </c>
      <c r="F15" s="45"/>
      <c r="G15" s="45"/>
      <c r="H15" s="45"/>
      <c r="I15" s="45"/>
      <c r="J15" s="45"/>
      <c r="K15" s="78"/>
    </row>
    <row r="16" spans="1:11">
      <c r="A16">
        <f>Tableau1[[#This Row],[id]]</f>
        <v>15</v>
      </c>
      <c r="B16" s="78">
        <v>2</v>
      </c>
      <c r="C16" s="45">
        <f>10^-7</f>
        <v>9.9999999999999995E-8</v>
      </c>
      <c r="D16" s="45">
        <v>1.4046543411411899E-2</v>
      </c>
      <c r="E16" s="45">
        <f>10^(AVERAGE(IFERROR(LOG10(C16),""),IFERROR(LOG10(D16),"")))</f>
        <v>3.7478718509858222E-5</v>
      </c>
      <c r="F16" s="45"/>
      <c r="G16" s="45"/>
      <c r="H16" s="45"/>
      <c r="I16" s="45"/>
      <c r="J16" s="45"/>
      <c r="K16" s="78"/>
    </row>
    <row r="17" spans="6:11">
      <c r="F17" s="45"/>
      <c r="G17" s="45"/>
      <c r="H17" s="45"/>
      <c r="I17" s="45"/>
      <c r="J17" s="45"/>
      <c r="K17" s="78"/>
    </row>
    <row r="20" spans="6:11">
      <c r="G20" s="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3"/>
  <sheetViews>
    <sheetView zoomScale="160" zoomScaleNormal="160" workbookViewId="0">
      <selection activeCell="A34" sqref="A34"/>
    </sheetView>
  </sheetViews>
  <sheetFormatPr baseColWidth="10" defaultRowHeight="15"/>
  <sheetData>
    <row r="1" spans="1:2">
      <c r="A1" s="48" t="s">
        <v>923</v>
      </c>
      <c r="B1" s="48" t="s">
        <v>925</v>
      </c>
    </row>
    <row r="2" spans="1:2">
      <c r="A2" s="49">
        <v>1E-3</v>
      </c>
      <c r="B2" s="46">
        <v>3</v>
      </c>
    </row>
    <row r="3" spans="1:2">
      <c r="A3" s="49">
        <v>2E-3</v>
      </c>
      <c r="B3" s="46">
        <v>0</v>
      </c>
    </row>
    <row r="4" spans="1:2">
      <c r="A4" s="49">
        <v>3.0000000000000001E-3</v>
      </c>
      <c r="B4" s="46">
        <v>2</v>
      </c>
    </row>
    <row r="5" spans="1:2">
      <c r="A5" s="49">
        <v>4.0000000000000001E-3</v>
      </c>
      <c r="B5" s="46">
        <v>0</v>
      </c>
    </row>
    <row r="6" spans="1:2">
      <c r="A6" s="49">
        <v>5.0000000000000001E-3</v>
      </c>
      <c r="B6" s="46">
        <v>3</v>
      </c>
    </row>
    <row r="7" spans="1:2">
      <c r="A7" s="49">
        <v>0.01</v>
      </c>
      <c r="B7" s="46">
        <v>0</v>
      </c>
    </row>
    <row r="8" spans="1:2">
      <c r="A8" s="49">
        <v>0.02</v>
      </c>
      <c r="B8" s="46">
        <v>1</v>
      </c>
    </row>
    <row r="9" spans="1:2">
      <c r="A9" s="49">
        <v>0.03</v>
      </c>
      <c r="B9" s="46">
        <v>1</v>
      </c>
    </row>
    <row r="10" spans="1:2">
      <c r="A10" s="49">
        <v>0.04</v>
      </c>
      <c r="B10" s="46">
        <v>1</v>
      </c>
    </row>
    <row r="11" spans="1:2">
      <c r="A11" s="49">
        <v>0.06</v>
      </c>
      <c r="B11" s="46">
        <v>7</v>
      </c>
    </row>
    <row r="12" spans="1:2">
      <c r="A12" s="49">
        <v>0.1</v>
      </c>
      <c r="B12" s="46">
        <v>0</v>
      </c>
    </row>
    <row r="13" spans="1:2" ht="16" thickBot="1">
      <c r="A13" s="47" t="s">
        <v>924</v>
      </c>
      <c r="B13" s="47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1"/>
  <sheetViews>
    <sheetView workbookViewId="0">
      <selection activeCell="A34" sqref="A34"/>
    </sheetView>
  </sheetViews>
  <sheetFormatPr baseColWidth="10" defaultRowHeight="15"/>
  <sheetData>
    <row r="1" spans="1:2">
      <c r="A1" s="48" t="s">
        <v>923</v>
      </c>
      <c r="B1" s="48" t="s">
        <v>925</v>
      </c>
    </row>
    <row r="2" spans="1:2">
      <c r="A2" s="49">
        <v>1.0000000000000001E-5</v>
      </c>
      <c r="B2" s="46">
        <v>2</v>
      </c>
    </row>
    <row r="3" spans="1:2">
      <c r="A3" s="49">
        <v>3.0000000000000001E-5</v>
      </c>
      <c r="B3" s="46">
        <v>0</v>
      </c>
    </row>
    <row r="4" spans="1:2">
      <c r="A4" s="49">
        <v>5.0000000000000002E-5</v>
      </c>
      <c r="B4" s="46">
        <v>1</v>
      </c>
    </row>
    <row r="5" spans="1:2">
      <c r="A5" s="49">
        <v>6.9999999999999994E-5</v>
      </c>
      <c r="B5" s="46">
        <v>0</v>
      </c>
    </row>
    <row r="6" spans="1:2">
      <c r="A6" s="49">
        <v>1E-4</v>
      </c>
      <c r="B6" s="46">
        <v>5</v>
      </c>
    </row>
    <row r="7" spans="1:2">
      <c r="A7" s="49">
        <v>2.0000000000000001E-4</v>
      </c>
      <c r="B7" s="46">
        <v>0</v>
      </c>
    </row>
    <row r="8" spans="1:2">
      <c r="A8" s="49">
        <v>2.9999999999999997E-4</v>
      </c>
      <c r="B8" s="46">
        <v>2</v>
      </c>
    </row>
    <row r="9" spans="1:2">
      <c r="A9" s="49">
        <v>4.0000000000000002E-4</v>
      </c>
      <c r="B9" s="46">
        <v>2</v>
      </c>
    </row>
    <row r="10" spans="1:2">
      <c r="A10" s="49">
        <v>5.0000000000000001E-4</v>
      </c>
      <c r="B10" s="46">
        <v>0</v>
      </c>
    </row>
    <row r="11" spans="1:2" ht="16" thickBot="1">
      <c r="A11" s="47" t="s">
        <v>924</v>
      </c>
      <c r="B11" s="47">
        <v>0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1"/>
  <sheetViews>
    <sheetView workbookViewId="0">
      <selection activeCell="A34" sqref="A34"/>
    </sheetView>
  </sheetViews>
  <sheetFormatPr baseColWidth="10" defaultRowHeight="15"/>
  <sheetData>
    <row r="1" spans="1:2">
      <c r="A1" s="48" t="s">
        <v>923</v>
      </c>
      <c r="B1" s="48" t="s">
        <v>925</v>
      </c>
    </row>
    <row r="2" spans="1:2">
      <c r="A2" s="49">
        <v>9.9999999999999995E-7</v>
      </c>
      <c r="B2" s="46">
        <v>0</v>
      </c>
    </row>
    <row r="3" spans="1:2">
      <c r="A3" s="49">
        <v>5.0000000000000002E-5</v>
      </c>
      <c r="B3" s="46">
        <v>2</v>
      </c>
    </row>
    <row r="4" spans="1:2">
      <c r="A4" s="49">
        <v>1E-4</v>
      </c>
      <c r="B4" s="46">
        <v>0</v>
      </c>
    </row>
    <row r="5" spans="1:2">
      <c r="A5" s="49">
        <v>5.0000000000000001E-4</v>
      </c>
      <c r="B5" s="46">
        <v>4</v>
      </c>
    </row>
    <row r="6" spans="1:2">
      <c r="A6" s="49">
        <v>1E-3</v>
      </c>
      <c r="B6" s="46">
        <v>11</v>
      </c>
    </row>
    <row r="7" spans="1:2">
      <c r="A7" s="49">
        <v>5.0000000000000001E-3</v>
      </c>
      <c r="B7" s="46">
        <v>20</v>
      </c>
    </row>
    <row r="8" spans="1:2">
      <c r="A8" s="49">
        <v>0.01</v>
      </c>
      <c r="B8" s="46">
        <v>22</v>
      </c>
    </row>
    <row r="9" spans="1:2">
      <c r="A9" s="49">
        <v>0.05</v>
      </c>
      <c r="B9" s="46">
        <v>19</v>
      </c>
    </row>
    <row r="10" spans="1:2">
      <c r="A10" s="49">
        <v>0.1</v>
      </c>
      <c r="B10" s="46">
        <v>2</v>
      </c>
    </row>
    <row r="11" spans="1:2" ht="16" thickBot="1">
      <c r="A11" s="47" t="s">
        <v>924</v>
      </c>
      <c r="B11" s="47">
        <v>0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42"/>
  <sheetViews>
    <sheetView zoomScale="140" zoomScaleNormal="140" workbookViewId="0">
      <selection activeCell="A34" sqref="A34"/>
    </sheetView>
  </sheetViews>
  <sheetFormatPr baseColWidth="10" defaultRowHeight="15"/>
  <sheetData>
    <row r="1" spans="1:2">
      <c r="A1" s="48" t="s">
        <v>923</v>
      </c>
      <c r="B1" s="48" t="s">
        <v>925</v>
      </c>
    </row>
    <row r="2" spans="1:2">
      <c r="A2" s="49">
        <v>9.9999999999999995E-7</v>
      </c>
      <c r="B2" s="46">
        <v>0</v>
      </c>
    </row>
    <row r="3" spans="1:2">
      <c r="A3" s="49">
        <v>5.0000000000000004E-6</v>
      </c>
      <c r="B3" s="46">
        <v>1</v>
      </c>
    </row>
    <row r="4" spans="1:2">
      <c r="A4" s="49">
        <v>9.0000000000000002E-6</v>
      </c>
      <c r="B4" s="46">
        <v>0</v>
      </c>
    </row>
    <row r="5" spans="1:2">
      <c r="A5" s="49">
        <v>1.0000000000000001E-5</v>
      </c>
      <c r="B5" s="46">
        <v>0</v>
      </c>
    </row>
    <row r="6" spans="1:2">
      <c r="A6" s="49">
        <v>2.0000000000000002E-5</v>
      </c>
      <c r="B6" s="46">
        <v>0</v>
      </c>
    </row>
    <row r="7" spans="1:2">
      <c r="A7" s="49">
        <v>3.0000000000000001E-5</v>
      </c>
      <c r="B7" s="46">
        <v>0</v>
      </c>
    </row>
    <row r="8" spans="1:2">
      <c r="A8" s="49">
        <v>4.0000000000000003E-5</v>
      </c>
      <c r="B8" s="46">
        <v>1</v>
      </c>
    </row>
    <row r="9" spans="1:2">
      <c r="A9" s="49">
        <v>5.0000000000000002E-5</v>
      </c>
      <c r="B9" s="46">
        <v>0</v>
      </c>
    </row>
    <row r="10" spans="1:2">
      <c r="A10" s="49">
        <v>6.0000000000000002E-5</v>
      </c>
      <c r="B10" s="46">
        <v>0</v>
      </c>
    </row>
    <row r="11" spans="1:2">
      <c r="A11" s="49">
        <v>6.9999999999999994E-5</v>
      </c>
      <c r="B11" s="46">
        <v>0</v>
      </c>
    </row>
    <row r="12" spans="1:2">
      <c r="A12" s="49">
        <v>8.0000000000000007E-5</v>
      </c>
      <c r="B12" s="46">
        <v>0</v>
      </c>
    </row>
    <row r="13" spans="1:2">
      <c r="A13" s="49">
        <v>9.0000000000000006E-5</v>
      </c>
      <c r="B13" s="46">
        <v>0</v>
      </c>
    </row>
    <row r="14" spans="1:2">
      <c r="A14" s="49">
        <v>1E-4</v>
      </c>
      <c r="B14" s="46">
        <v>0</v>
      </c>
    </row>
    <row r="15" spans="1:2">
      <c r="A15" s="49">
        <v>2.0000000000000001E-4</v>
      </c>
      <c r="B15" s="46">
        <v>1</v>
      </c>
    </row>
    <row r="16" spans="1:2">
      <c r="A16" s="49">
        <v>2.9999999999999997E-4</v>
      </c>
      <c r="B16" s="46">
        <v>0</v>
      </c>
    </row>
    <row r="17" spans="1:2">
      <c r="A17" s="49">
        <v>4.0000000000000002E-4</v>
      </c>
      <c r="B17" s="46">
        <v>2</v>
      </c>
    </row>
    <row r="18" spans="1:2">
      <c r="A18" s="49">
        <v>5.0000000000000001E-4</v>
      </c>
      <c r="B18" s="46">
        <v>1</v>
      </c>
    </row>
    <row r="19" spans="1:2">
      <c r="A19" s="49">
        <v>5.9999999999999995E-4</v>
      </c>
      <c r="B19" s="46">
        <v>1</v>
      </c>
    </row>
    <row r="20" spans="1:2">
      <c r="A20" s="49">
        <v>6.9999999999999999E-4</v>
      </c>
      <c r="B20" s="46">
        <v>2</v>
      </c>
    </row>
    <row r="21" spans="1:2">
      <c r="A21" s="49">
        <v>8.0000000000000004E-4</v>
      </c>
      <c r="B21" s="46">
        <v>4</v>
      </c>
    </row>
    <row r="22" spans="1:2">
      <c r="A22" s="49">
        <v>8.9999999999999998E-4</v>
      </c>
      <c r="B22" s="46">
        <v>2</v>
      </c>
    </row>
    <row r="23" spans="1:2">
      <c r="A23" s="49">
        <v>1E-3</v>
      </c>
      <c r="B23" s="46">
        <v>2</v>
      </c>
    </row>
    <row r="24" spans="1:2">
      <c r="A24" s="49">
        <v>2E-3</v>
      </c>
      <c r="B24" s="46">
        <v>6</v>
      </c>
    </row>
    <row r="25" spans="1:2">
      <c r="A25" s="49">
        <v>3.0000000000000001E-3</v>
      </c>
      <c r="B25" s="46">
        <v>2</v>
      </c>
    </row>
    <row r="26" spans="1:2">
      <c r="A26" s="49">
        <v>4.0000000000000001E-3</v>
      </c>
      <c r="B26" s="46">
        <v>7</v>
      </c>
    </row>
    <row r="27" spans="1:2">
      <c r="A27" s="49">
        <v>5.0000000000000001E-3</v>
      </c>
      <c r="B27" s="46">
        <v>5</v>
      </c>
    </row>
    <row r="28" spans="1:2">
      <c r="A28" s="49">
        <v>6.0000000000000001E-3</v>
      </c>
      <c r="B28" s="46">
        <v>5</v>
      </c>
    </row>
    <row r="29" spans="1:2">
      <c r="A29" s="49">
        <v>7.0000000000000001E-3</v>
      </c>
      <c r="B29" s="46">
        <v>7</v>
      </c>
    </row>
    <row r="30" spans="1:2">
      <c r="A30" s="49">
        <v>8.0000000000000002E-3</v>
      </c>
      <c r="B30" s="46">
        <v>6</v>
      </c>
    </row>
    <row r="31" spans="1:2">
      <c r="A31" s="49">
        <v>8.9999999999999993E-3</v>
      </c>
      <c r="B31" s="46">
        <v>3</v>
      </c>
    </row>
    <row r="32" spans="1:2">
      <c r="A32" s="49">
        <v>0.01</v>
      </c>
      <c r="B32" s="46">
        <v>1</v>
      </c>
    </row>
    <row r="33" spans="1:2">
      <c r="A33" s="49">
        <v>0.02</v>
      </c>
      <c r="B33" s="46">
        <v>16</v>
      </c>
    </row>
    <row r="34" spans="1:2">
      <c r="A34" s="49">
        <v>0.03</v>
      </c>
      <c r="B34" s="46">
        <v>2</v>
      </c>
    </row>
    <row r="35" spans="1:2">
      <c r="A35" s="49">
        <v>0.04</v>
      </c>
      <c r="B35" s="46">
        <v>1</v>
      </c>
    </row>
    <row r="36" spans="1:2">
      <c r="A36" s="49">
        <v>0.05</v>
      </c>
      <c r="B36" s="46">
        <v>0</v>
      </c>
    </row>
    <row r="37" spans="1:2">
      <c r="A37" s="49">
        <v>0.06</v>
      </c>
      <c r="B37" s="46">
        <v>2</v>
      </c>
    </row>
    <row r="38" spans="1:2">
      <c r="A38" s="49">
        <v>7.0000000000000007E-2</v>
      </c>
      <c r="B38" s="46">
        <v>0</v>
      </c>
    </row>
    <row r="39" spans="1:2">
      <c r="A39" s="49">
        <v>0.08</v>
      </c>
      <c r="B39" s="46">
        <v>0</v>
      </c>
    </row>
    <row r="40" spans="1:2">
      <c r="A40" s="49">
        <v>0.09</v>
      </c>
      <c r="B40" s="46">
        <v>0</v>
      </c>
    </row>
    <row r="41" spans="1:2">
      <c r="A41" s="49">
        <v>0.1</v>
      </c>
      <c r="B41" s="46">
        <v>0</v>
      </c>
    </row>
    <row r="42" spans="1:2" ht="16" thickBot="1">
      <c r="A42" s="47" t="s">
        <v>924</v>
      </c>
      <c r="B42" s="47">
        <v>0</v>
      </c>
    </row>
  </sheetData>
  <sortState ref="A2:A4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E17" activeCellId="1" sqref="E2:E17 E17"/>
    </sheetView>
  </sheetViews>
  <sheetFormatPr baseColWidth="10" defaultRowHeight="15"/>
  <cols>
    <col min="5" max="5" width="16.33203125" customWidth="1"/>
  </cols>
  <sheetData>
    <row r="1" spans="1:5">
      <c r="A1" t="str">
        <f>Tableau2[[#Headers],[id]]</f>
        <v>id</v>
      </c>
      <c r="B1" t="str">
        <f>Tableau2[[#Headers],[Wmin]]</f>
        <v>Wmin</v>
      </c>
      <c r="C1" t="str">
        <f>Tableau2[[#Headers],[Wmax]]</f>
        <v>Wmax</v>
      </c>
      <c r="D1" t="str">
        <f>Tableau2[[#Headers],[Wmoy]]</f>
        <v>Wmoy</v>
      </c>
      <c r="E1" t="s">
        <v>974</v>
      </c>
    </row>
    <row r="2" spans="1:5">
      <c r="A2">
        <f>synth!I22</f>
        <v>1</v>
      </c>
      <c r="B2" s="45">
        <f>synth!J22</f>
        <v>5.0000000000000001E-3</v>
      </c>
      <c r="C2">
        <f>synth!K22</f>
        <v>0.11</v>
      </c>
      <c r="D2" s="45">
        <f>synth!L22</f>
        <v>5.7500000000000002E-2</v>
      </c>
      <c r="E2">
        <f>QUAT!B18</f>
        <v>2</v>
      </c>
    </row>
    <row r="3" spans="1:5">
      <c r="A3">
        <f>synth!I23</f>
        <v>2</v>
      </c>
      <c r="B3" s="45">
        <f ca="1">synth!J23*10^-1</f>
        <v>2.2000000000000002E-2</v>
      </c>
      <c r="C3" s="45">
        <f>0.1</f>
        <v>0.1</v>
      </c>
      <c r="D3">
        <f ca="1">synth!L23</f>
        <v>0.22</v>
      </c>
      <c r="E3">
        <f>HELV!B43</f>
        <v>1</v>
      </c>
    </row>
    <row r="4" spans="1:5">
      <c r="A4">
        <f>synth!I24</f>
        <v>3</v>
      </c>
      <c r="B4" s="45">
        <f ca="1">synth!J24*10^-1</f>
        <v>2.2000000000000002E-2</v>
      </c>
      <c r="C4" s="45">
        <f>0.1</f>
        <v>0.1</v>
      </c>
      <c r="D4">
        <f ca="1">synth!L24</f>
        <v>0.22</v>
      </c>
      <c r="E4">
        <f>AQUI!B56</f>
        <v>1</v>
      </c>
    </row>
    <row r="5" spans="1:5">
      <c r="A5">
        <f>synth!I25</f>
        <v>4</v>
      </c>
      <c r="B5">
        <f ca="1">synth!J25</f>
        <v>1E-3</v>
      </c>
      <c r="C5">
        <f ca="1">synth!K25</f>
        <v>0.1</v>
      </c>
      <c r="D5">
        <f ca="1">synth!L25</f>
        <v>1.9394444444444447E-2</v>
      </c>
      <c r="E5">
        <f>OLNP!B232</f>
        <v>18</v>
      </c>
    </row>
    <row r="6" spans="1:5">
      <c r="A6">
        <f>synth!I26</f>
        <v>5</v>
      </c>
      <c r="B6">
        <f ca="1">synth!J26</f>
        <v>0</v>
      </c>
      <c r="C6">
        <f ca="1">synth!K26</f>
        <v>0</v>
      </c>
      <c r="D6" t="e">
        <f ca="1">synth!L26</f>
        <v>#DIV/0!</v>
      </c>
    </row>
    <row r="7" spans="1:5">
      <c r="A7">
        <f>synth!I27</f>
        <v>6</v>
      </c>
      <c r="B7" s="45">
        <f ca="1">synth!J27*10^-1</f>
        <v>1.4999999999999999E-2</v>
      </c>
      <c r="C7">
        <f>0.1</f>
        <v>0.1</v>
      </c>
      <c r="D7">
        <f ca="1">synth!L27</f>
        <v>0.15</v>
      </c>
      <c r="E7">
        <f>EOCS!B27</f>
        <v>1</v>
      </c>
    </row>
    <row r="8" spans="1:5">
      <c r="A8">
        <f>synth!I28</f>
        <v>7</v>
      </c>
      <c r="B8" s="45">
        <f ca="1">synth!J28</f>
        <v>1E-3</v>
      </c>
      <c r="C8">
        <f ca="1">synth!K28</f>
        <v>0.06</v>
      </c>
      <c r="D8">
        <f ca="1">synth!L28</f>
        <v>2.7427777777777777E-2</v>
      </c>
      <c r="E8">
        <f>EOCM!B136</f>
        <v>18</v>
      </c>
    </row>
    <row r="9" spans="1:5">
      <c r="A9">
        <f>synth!I29</f>
        <v>8</v>
      </c>
      <c r="B9" s="45">
        <f ca="1">synth!J29*10^-1</f>
        <v>5.0000000000000001E-4</v>
      </c>
      <c r="C9" s="45">
        <f ca="1">synth!K29*10</f>
        <v>0.05</v>
      </c>
      <c r="D9">
        <f ca="1">synth!L29</f>
        <v>5.0000000000000001E-3</v>
      </c>
      <c r="E9">
        <f>EOCI!B28</f>
        <v>2</v>
      </c>
    </row>
    <row r="10" spans="1:5">
      <c r="A10">
        <f>synth!I30</f>
        <v>9</v>
      </c>
      <c r="B10" s="45">
        <f ca="1">synth!J30*10^-1</f>
        <v>1E-3</v>
      </c>
      <c r="C10" s="45">
        <f ca="1">synth!K30*10</f>
        <v>0.1</v>
      </c>
      <c r="D10">
        <f ca="1">synth!L30</f>
        <v>0.01</v>
      </c>
      <c r="E10">
        <f>CAMP!B26</f>
        <v>2</v>
      </c>
    </row>
    <row r="11" spans="1:5">
      <c r="A11">
        <f>synth!I31</f>
        <v>10</v>
      </c>
      <c r="B11" s="45">
        <f ca="1">synth!J31*10^-1</f>
        <v>2.1000000000000001E-2</v>
      </c>
      <c r="C11" s="45">
        <f>0.1</f>
        <v>0.1</v>
      </c>
      <c r="D11">
        <f ca="1">synth!L31</f>
        <v>0.21</v>
      </c>
      <c r="E11">
        <f>COST!B27</f>
        <v>1</v>
      </c>
    </row>
    <row r="12" spans="1:5">
      <c r="A12">
        <f>synth!I32</f>
        <v>11</v>
      </c>
      <c r="B12" s="45">
        <f ca="1">synth!J32*10^-1</f>
        <v>2.0000000000000004E-2</v>
      </c>
      <c r="C12" s="45">
        <f>0.1</f>
        <v>0.1</v>
      </c>
      <c r="D12">
        <f ca="1">synth!L32</f>
        <v>0.2</v>
      </c>
      <c r="E12">
        <f>TURO!B26</f>
        <v>1</v>
      </c>
    </row>
    <row r="13" spans="1:5">
      <c r="A13">
        <f>synth!I33</f>
        <v>12</v>
      </c>
      <c r="B13">
        <f ca="1">synth!J33</f>
        <v>0.01</v>
      </c>
      <c r="C13">
        <f ca="1">synth!K33</f>
        <v>2.5000000000000001E-2</v>
      </c>
      <c r="D13">
        <f ca="1">synth!L33</f>
        <v>1.7500000000000002E-2</v>
      </c>
      <c r="E13">
        <f>CENO!B26</f>
        <v>2</v>
      </c>
    </row>
    <row r="14" spans="1:5">
      <c r="A14">
        <f>synth!I34</f>
        <v>13</v>
      </c>
      <c r="B14" s="45">
        <f ca="1">synth!J34*10^-1</f>
        <v>2E-3</v>
      </c>
      <c r="C14" s="45">
        <f ca="1">synth!K34*10</f>
        <v>0.2</v>
      </c>
      <c r="D14">
        <f ca="1">synth!L34</f>
        <v>0.02</v>
      </c>
      <c r="E14">
        <f>TITH!B8</f>
        <v>1</v>
      </c>
    </row>
    <row r="15" spans="1:5">
      <c r="A15">
        <f>synth!I35</f>
        <v>14</v>
      </c>
      <c r="B15" s="45">
        <f ca="1">synth!J35*10^-1</f>
        <v>2E-3</v>
      </c>
      <c r="C15" s="45">
        <f ca="1">synth!K35*10</f>
        <v>0.2</v>
      </c>
      <c r="D15">
        <f ca="1">synth!L35</f>
        <v>0.02</v>
      </c>
      <c r="E15">
        <f>KIMM!B7</f>
        <v>1</v>
      </c>
    </row>
    <row r="16" spans="1:5">
      <c r="A16">
        <f>synth!I36</f>
        <v>15</v>
      </c>
      <c r="B16" s="45">
        <f ca="1">synth!J36*10^-1</f>
        <v>2E-3</v>
      </c>
      <c r="C16" s="45">
        <f ca="1">synth!K36*10</f>
        <v>0.2</v>
      </c>
      <c r="D16">
        <f ca="1">synth!L36</f>
        <v>0.02</v>
      </c>
      <c r="E16">
        <f>BACX!B34</f>
        <v>1</v>
      </c>
    </row>
    <row r="17" spans="1:5">
      <c r="A17">
        <f>synth!I37</f>
        <v>16</v>
      </c>
      <c r="B17" s="45">
        <f ca="1">synth!J37*10^-1</f>
        <v>2E-3</v>
      </c>
      <c r="C17" s="45">
        <f ca="1">synth!K37*10</f>
        <v>0.2</v>
      </c>
      <c r="D17">
        <f ca="1">synth!L37</f>
        <v>0.02</v>
      </c>
      <c r="E17">
        <f>BAJO!B35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workbookViewId="0">
      <selection activeCell="D8" sqref="D8"/>
    </sheetView>
  </sheetViews>
  <sheetFormatPr baseColWidth="10" defaultRowHeight="15"/>
  <cols>
    <col min="2" max="2" width="11.5" customWidth="1"/>
  </cols>
  <sheetData>
    <row r="1" spans="1:9">
      <c r="A1" t="s">
        <v>9</v>
      </c>
      <c r="B1" t="s">
        <v>975</v>
      </c>
      <c r="C1" t="s">
        <v>946</v>
      </c>
      <c r="D1" t="s">
        <v>947</v>
      </c>
      <c r="E1" t="s">
        <v>948</v>
      </c>
    </row>
    <row r="2" spans="1:9">
      <c r="A2">
        <v>1</v>
      </c>
      <c r="B2">
        <v>2</v>
      </c>
      <c r="C2" s="45">
        <f>0.03</f>
        <v>0.03</v>
      </c>
      <c r="D2">
        <f>0.6</f>
        <v>0.6</v>
      </c>
      <c r="E2" s="45">
        <f>AVERAGE(C2,D2)</f>
        <v>0.315</v>
      </c>
    </row>
    <row r="3" spans="1:9">
      <c r="A3">
        <v>2</v>
      </c>
      <c r="B3">
        <v>1</v>
      </c>
      <c r="C3">
        <v>0.01</v>
      </c>
      <c r="D3">
        <v>0.4</v>
      </c>
      <c r="E3" s="45">
        <f t="shared" ref="E3:E16" si="0">AVERAGE(C3,D3)</f>
        <v>0.20500000000000002</v>
      </c>
    </row>
    <row r="4" spans="1:9">
      <c r="A4">
        <v>3</v>
      </c>
      <c r="B4">
        <v>1</v>
      </c>
      <c r="C4">
        <v>0.01</v>
      </c>
      <c r="D4">
        <v>0.4</v>
      </c>
      <c r="E4" s="45">
        <f t="shared" si="0"/>
        <v>0.20500000000000002</v>
      </c>
    </row>
    <row r="5" spans="1:9">
      <c r="A5">
        <v>4</v>
      </c>
      <c r="B5">
        <v>18</v>
      </c>
      <c r="C5">
        <v>0.01</v>
      </c>
      <c r="D5">
        <v>0.4</v>
      </c>
      <c r="E5" s="45">
        <f t="shared" si="0"/>
        <v>0.20500000000000002</v>
      </c>
    </row>
    <row r="6" spans="1:9">
      <c r="A6">
        <v>5</v>
      </c>
      <c r="B6">
        <v>1</v>
      </c>
      <c r="C6">
        <v>1E-3</v>
      </c>
      <c r="D6">
        <v>0.56000000000000005</v>
      </c>
      <c r="E6" s="45">
        <f t="shared" si="0"/>
        <v>0.28050000000000003</v>
      </c>
    </row>
    <row r="7" spans="1:9">
      <c r="A7">
        <v>6</v>
      </c>
      <c r="B7">
        <v>18</v>
      </c>
      <c r="C7">
        <v>0.01</v>
      </c>
      <c r="D7">
        <v>0.4</v>
      </c>
      <c r="E7" s="45">
        <f t="shared" si="0"/>
        <v>0.20500000000000002</v>
      </c>
    </row>
    <row r="8" spans="1:9">
      <c r="A8">
        <v>7</v>
      </c>
      <c r="B8">
        <v>2</v>
      </c>
      <c r="C8">
        <v>0.01</v>
      </c>
      <c r="D8">
        <v>0.56000000000000005</v>
      </c>
      <c r="E8" s="45">
        <f t="shared" si="0"/>
        <v>0.28500000000000003</v>
      </c>
    </row>
    <row r="9" spans="1:9">
      <c r="A9">
        <v>8</v>
      </c>
      <c r="B9">
        <v>2</v>
      </c>
      <c r="C9">
        <v>0.01</v>
      </c>
      <c r="D9">
        <v>0.56000000000000005</v>
      </c>
      <c r="E9" s="45">
        <f t="shared" si="0"/>
        <v>0.28500000000000003</v>
      </c>
    </row>
    <row r="10" spans="1:9">
      <c r="A10">
        <v>9</v>
      </c>
      <c r="B10">
        <v>1</v>
      </c>
      <c r="C10">
        <v>1E-3</v>
      </c>
      <c r="D10">
        <v>0.56000000000000005</v>
      </c>
      <c r="E10" s="45">
        <f t="shared" si="0"/>
        <v>0.28050000000000003</v>
      </c>
    </row>
    <row r="11" spans="1:9">
      <c r="A11">
        <v>10</v>
      </c>
      <c r="B11">
        <v>1</v>
      </c>
      <c r="C11">
        <v>0.01</v>
      </c>
      <c r="D11">
        <v>0.56000000000000005</v>
      </c>
      <c r="E11" s="45">
        <f t="shared" si="0"/>
        <v>0.28500000000000003</v>
      </c>
      <c r="I11">
        <f>LOG10(10^-1)</f>
        <v>-1</v>
      </c>
    </row>
    <row r="12" spans="1:9">
      <c r="A12">
        <v>11</v>
      </c>
      <c r="B12">
        <v>2</v>
      </c>
      <c r="C12">
        <v>0.01</v>
      </c>
      <c r="D12">
        <v>0.56000000000000005</v>
      </c>
      <c r="E12" s="45">
        <f t="shared" si="0"/>
        <v>0.28500000000000003</v>
      </c>
    </row>
    <row r="13" spans="1:9">
      <c r="A13">
        <v>12</v>
      </c>
      <c r="B13">
        <v>1</v>
      </c>
      <c r="C13">
        <v>1E-3</v>
      </c>
      <c r="D13">
        <v>0.2</v>
      </c>
      <c r="E13" s="45">
        <f t="shared" si="0"/>
        <v>0.10050000000000001</v>
      </c>
    </row>
    <row r="14" spans="1:9">
      <c r="A14">
        <v>13</v>
      </c>
      <c r="B14">
        <v>1</v>
      </c>
      <c r="C14">
        <v>1E-3</v>
      </c>
      <c r="D14">
        <v>0.2</v>
      </c>
      <c r="E14" s="45">
        <f t="shared" si="0"/>
        <v>0.10050000000000001</v>
      </c>
    </row>
    <row r="15" spans="1:9">
      <c r="A15">
        <v>14</v>
      </c>
      <c r="B15">
        <v>1</v>
      </c>
      <c r="C15">
        <v>1E-3</v>
      </c>
      <c r="D15">
        <v>0.2</v>
      </c>
      <c r="E15" s="45">
        <f t="shared" si="0"/>
        <v>0.10050000000000001</v>
      </c>
    </row>
    <row r="16" spans="1:9">
      <c r="A16">
        <v>15</v>
      </c>
      <c r="B16">
        <v>1</v>
      </c>
      <c r="C16">
        <v>1E-3</v>
      </c>
      <c r="D16">
        <v>0.2</v>
      </c>
      <c r="E16" s="45">
        <f t="shared" si="0"/>
        <v>0.10050000000000001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7"/>
  <sheetViews>
    <sheetView workbookViewId="0">
      <selection activeCell="F22" sqref="F22"/>
    </sheetView>
  </sheetViews>
  <sheetFormatPr baseColWidth="10" defaultRowHeight="15"/>
  <cols>
    <col min="7" max="8" width="11.83203125" bestFit="1" customWidth="1"/>
    <col min="12" max="12" width="17.1640625" customWidth="1"/>
  </cols>
  <sheetData>
    <row r="1" spans="1:12">
      <c r="A1" t="str">
        <f>synth!P1</f>
        <v>id</v>
      </c>
      <c r="B1" t="str">
        <f>synth!Q1</f>
        <v>Smin</v>
      </c>
      <c r="C1" t="str">
        <f>synth!R1</f>
        <v>Smax</v>
      </c>
      <c r="D1" t="str">
        <f>synth!S1</f>
        <v>Smoy</v>
      </c>
      <c r="E1" t="str">
        <f>synth!T1</f>
        <v>Moy(logS)</v>
      </c>
      <c r="F1" t="s">
        <v>957</v>
      </c>
      <c r="G1" t="s">
        <v>964</v>
      </c>
      <c r="H1" t="s">
        <v>965</v>
      </c>
      <c r="I1" t="s">
        <v>966</v>
      </c>
      <c r="J1" t="s">
        <v>968</v>
      </c>
      <c r="K1" t="s">
        <v>969</v>
      </c>
      <c r="L1" t="s">
        <v>971</v>
      </c>
    </row>
    <row r="2" spans="1:12">
      <c r="A2">
        <f>synth!P2</f>
        <v>1</v>
      </c>
      <c r="B2">
        <f>synth!Q2</f>
        <v>4.5500000000000002E-3</v>
      </c>
      <c r="C2">
        <f>synth!R2</f>
        <v>4.5500000000000002E-3</v>
      </c>
      <c r="D2">
        <f>synth!S2</f>
        <v>4.5500000000000002E-3</v>
      </c>
      <c r="E2">
        <f>synth!T2</f>
        <v>-2.3419886033428874</v>
      </c>
      <c r="F2">
        <f xml:space="preserve"> 60.32</f>
        <v>60.32</v>
      </c>
      <c r="G2" s="45">
        <f>B2/F2</f>
        <v>7.5431034482758625E-5</v>
      </c>
      <c r="H2" s="45">
        <f>C2/F2</f>
        <v>7.5431034482758625E-5</v>
      </c>
      <c r="I2" s="45">
        <f>D2/F2</f>
        <v>7.5431034482758625E-5</v>
      </c>
      <c r="J2">
        <f>10^E2</f>
        <v>4.5499999999999985E-3</v>
      </c>
      <c r="K2">
        <f>J2/F2</f>
        <v>7.5431034482758598E-5</v>
      </c>
      <c r="L2">
        <f>QUAT!B19</f>
        <v>1</v>
      </c>
    </row>
    <row r="3" spans="1:12">
      <c r="A3">
        <f>synth!P3</f>
        <v>2</v>
      </c>
      <c r="B3">
        <f ca="1">synth!Q3</f>
        <v>8.9999999999999998E-4</v>
      </c>
      <c r="C3">
        <f ca="1">synth!R3</f>
        <v>8.9999999999999998E-4</v>
      </c>
      <c r="D3">
        <f ca="1">synth!S3</f>
        <v>8.9999999999999998E-4</v>
      </c>
      <c r="E3">
        <f ca="1">synth!T3</f>
        <v>-3.0457574905606752</v>
      </c>
      <c r="F3">
        <f xml:space="preserve"> 16.43</f>
        <v>16.43</v>
      </c>
      <c r="G3" s="45">
        <f ca="1">B3/F3</f>
        <v>5.4777845404747415E-5</v>
      </c>
      <c r="H3" s="45">
        <f ca="1">C3/F3</f>
        <v>5.4777845404747415E-5</v>
      </c>
      <c r="I3" s="45">
        <f t="shared" ref="I3:I17" ca="1" si="0">D3/F3</f>
        <v>5.4777845404747415E-5</v>
      </c>
      <c r="J3">
        <f t="shared" ref="J3:J17" ca="1" si="1">10^E3</f>
        <v>8.9999999999999889E-4</v>
      </c>
      <c r="K3">
        <f t="shared" ref="K3:K16" ca="1" si="2">J3/F3</f>
        <v>5.4777845404747347E-5</v>
      </c>
      <c r="L3">
        <f>HELV!B44</f>
        <v>2</v>
      </c>
    </row>
    <row r="4" spans="1:12">
      <c r="A4">
        <f>synth!P4</f>
        <v>3</v>
      </c>
      <c r="B4">
        <f ca="1">synth!Q4</f>
        <v>2.9999999999999997E-4</v>
      </c>
      <c r="C4">
        <f ca="1">synth!R4</f>
        <v>2.9999999999999997E-4</v>
      </c>
      <c r="D4">
        <f ca="1">synth!S4</f>
        <v>2.9999999999999997E-4</v>
      </c>
      <c r="E4">
        <f ca="1">synth!T4</f>
        <v>-3.5228787452803374</v>
      </c>
      <c r="F4">
        <f xml:space="preserve"> 59.6</f>
        <v>59.6</v>
      </c>
      <c r="G4" s="45">
        <f ca="1">B4/F4</f>
        <v>5.0335570469798653E-6</v>
      </c>
      <c r="H4" s="45">
        <f ca="1">C4/F4</f>
        <v>5.0335570469798653E-6</v>
      </c>
      <c r="I4" s="45">
        <f t="shared" ca="1" si="0"/>
        <v>5.0335570469798653E-6</v>
      </c>
      <c r="J4">
        <f t="shared" ca="1" si="1"/>
        <v>3.0000000000000008E-4</v>
      </c>
      <c r="K4">
        <f t="shared" ca="1" si="2"/>
        <v>5.033557046979867E-6</v>
      </c>
      <c r="L4">
        <f>AQUI!B57</f>
        <v>1</v>
      </c>
    </row>
    <row r="5" spans="1:12">
      <c r="A5">
        <f>synth!P5</f>
        <v>4</v>
      </c>
      <c r="B5">
        <f ca="1">synth!Q5</f>
        <v>2.0000000000000002E-5</v>
      </c>
      <c r="C5">
        <f ca="1">synth!R5</f>
        <v>2.5999999999999999E-2</v>
      </c>
      <c r="D5">
        <f ca="1">synth!S5</f>
        <v>2.502121212121212E-3</v>
      </c>
      <c r="E5">
        <f ca="1">synth!T5</f>
        <v>-3.3095363311650323</v>
      </c>
      <c r="F5">
        <f>83.33</f>
        <v>83.33</v>
      </c>
      <c r="G5" s="45">
        <f t="shared" ref="G5:G13" ca="1" si="3">B5/F5</f>
        <v>2.4000960038401538E-7</v>
      </c>
      <c r="H5" s="45">
        <f t="shared" ref="H5:H13" ca="1" si="4">C5/F5</f>
        <v>3.1201248049921997E-4</v>
      </c>
      <c r="I5" s="45">
        <f t="shared" ca="1" si="0"/>
        <v>3.0026655611679014E-5</v>
      </c>
      <c r="J5">
        <f t="shared" ca="1" si="1"/>
        <v>4.9030200456832691E-4</v>
      </c>
      <c r="K5">
        <f t="shared" ca="1" si="2"/>
        <v>5.8838594091962907E-6</v>
      </c>
      <c r="L5">
        <f>OLNP!B233</f>
        <v>33</v>
      </c>
    </row>
    <row r="6" spans="1:12">
      <c r="A6">
        <f>synth!P6</f>
        <v>5</v>
      </c>
      <c r="B6">
        <f ca="1">synth!Q6</f>
        <v>4.0000000000000003E-5</v>
      </c>
      <c r="C6">
        <f ca="1">synth!R6</f>
        <v>4.0000000000000003E-5</v>
      </c>
      <c r="D6">
        <f ca="1">synth!S6</f>
        <v>4.0000000000000003E-5</v>
      </c>
      <c r="E6">
        <f ca="1">synth!T6</f>
        <v>-4.3979400086720375</v>
      </c>
      <c r="G6" s="45" t="e">
        <f t="shared" ca="1" si="3"/>
        <v>#DIV/0!</v>
      </c>
      <c r="H6" s="45" t="e">
        <f t="shared" ca="1" si="4"/>
        <v>#DIV/0!</v>
      </c>
      <c r="I6" s="45" t="e">
        <f t="shared" ca="1" si="0"/>
        <v>#DIV/0!</v>
      </c>
      <c r="J6">
        <f t="shared" ca="1" si="1"/>
        <v>4.0000000000000003E-5</v>
      </c>
      <c r="K6" t="e">
        <f t="shared" ca="1" si="2"/>
        <v>#DIV/0!</v>
      </c>
    </row>
    <row r="7" spans="1:12">
      <c r="A7">
        <f>synth!P7</f>
        <v>6</v>
      </c>
      <c r="B7">
        <f ca="1">synth!Q7</f>
        <v>1.4E-3</v>
      </c>
      <c r="C7">
        <f ca="1">synth!R7</f>
        <v>1.4E-3</v>
      </c>
      <c r="D7">
        <f ca="1">synth!S7</f>
        <v>1.4E-3</v>
      </c>
      <c r="E7">
        <f ca="1">synth!T7</f>
        <v>-2.8538719643217618</v>
      </c>
      <c r="F7">
        <f xml:space="preserve"> 39.5</f>
        <v>39.5</v>
      </c>
      <c r="G7" s="45">
        <f ca="1">B7/F7</f>
        <v>3.5443037974683544E-5</v>
      </c>
      <c r="H7" s="45">
        <f ca="1">C7/F7</f>
        <v>3.5443037974683544E-5</v>
      </c>
      <c r="I7" s="45">
        <f t="shared" ca="1" si="0"/>
        <v>3.5443037974683544E-5</v>
      </c>
      <c r="J7">
        <f t="shared" ca="1" si="1"/>
        <v>1.3999999999999991E-3</v>
      </c>
      <c r="K7">
        <f t="shared" ca="1" si="2"/>
        <v>3.5443037974683523E-5</v>
      </c>
      <c r="L7">
        <f>EOCS!B28</f>
        <v>1</v>
      </c>
    </row>
    <row r="8" spans="1:12">
      <c r="A8">
        <f>synth!P8</f>
        <v>7</v>
      </c>
      <c r="B8">
        <f ca="1">synth!Q8</f>
        <v>1.0000000000000001E-5</v>
      </c>
      <c r="C8">
        <f ca="1">synth!R8</f>
        <v>4.0000000000000002E-4</v>
      </c>
      <c r="D8">
        <f ca="1">synth!S8</f>
        <v>1.5666666666666669E-4</v>
      </c>
      <c r="E8">
        <f ca="1">synth!T8</f>
        <v>-4.0247974552962065</v>
      </c>
      <c r="F8">
        <f xml:space="preserve"> 144.91</f>
        <v>144.91</v>
      </c>
      <c r="G8" s="45">
        <f t="shared" ca="1" si="3"/>
        <v>6.9008350010351263E-8</v>
      </c>
      <c r="H8" s="45">
        <f t="shared" ca="1" si="4"/>
        <v>2.7603340004140502E-6</v>
      </c>
      <c r="I8" s="45">
        <f t="shared" ca="1" si="0"/>
        <v>1.0811308168288364E-6</v>
      </c>
      <c r="J8">
        <f t="shared" ca="1" si="1"/>
        <v>9.4450126669940086E-5</v>
      </c>
      <c r="K8">
        <f t="shared" ca="1" si="2"/>
        <v>6.517847399761237E-7</v>
      </c>
      <c r="L8">
        <f>EOCM!B137</f>
        <v>12</v>
      </c>
    </row>
    <row r="9" spans="1:12">
      <c r="A9">
        <f>synth!P9</f>
        <v>8</v>
      </c>
      <c r="B9">
        <f ca="1">synth!Q9</f>
        <v>1E-4</v>
      </c>
      <c r="C9">
        <f ca="1">synth!R9</f>
        <v>2.9999999999999997E-4</v>
      </c>
      <c r="D9" s="45">
        <f ca="1">synth!S9</f>
        <v>2.2666666666666666E-4</v>
      </c>
      <c r="E9">
        <f ca="1">synth!T9</f>
        <v>-3.6919069046460393</v>
      </c>
      <c r="F9">
        <f xml:space="preserve"> 88.14</f>
        <v>88.14</v>
      </c>
      <c r="G9" s="45">
        <f t="shared" ca="1" si="3"/>
        <v>1.1345586566825504E-6</v>
      </c>
      <c r="H9" s="45">
        <f t="shared" ca="1" si="4"/>
        <v>3.4036759700476511E-6</v>
      </c>
      <c r="I9" s="45">
        <f t="shared" ca="1" si="0"/>
        <v>2.5716662884804477E-6</v>
      </c>
      <c r="J9">
        <f t="shared" ca="1" si="1"/>
        <v>2.0327927136297064E-4</v>
      </c>
      <c r="K9">
        <f t="shared" ca="1" si="2"/>
        <v>2.3063225704897961E-6</v>
      </c>
      <c r="L9">
        <f>EOCI!B29</f>
        <v>3</v>
      </c>
    </row>
    <row r="10" spans="1:12">
      <c r="A10">
        <f>synth!P10</f>
        <v>9</v>
      </c>
      <c r="B10">
        <f ca="1">synth!Q10</f>
        <v>5.0000000000000001E-4</v>
      </c>
      <c r="C10">
        <f ca="1">synth!R10</f>
        <v>5.0000000000000001E-4</v>
      </c>
      <c r="D10">
        <f ca="1">synth!S10</f>
        <v>5.0000000000000001E-4</v>
      </c>
      <c r="E10">
        <f ca="1">synth!T10</f>
        <v>-3.3010299956639813</v>
      </c>
      <c r="F10">
        <f>57</f>
        <v>57</v>
      </c>
      <c r="G10" s="45">
        <f ca="1">B10/F10*0.1</f>
        <v>8.7719298245614037E-7</v>
      </c>
      <c r="H10" s="45">
        <f ca="1">C10/F10</f>
        <v>8.7719298245614029E-6</v>
      </c>
      <c r="I10" s="45">
        <f t="shared" ca="1" si="0"/>
        <v>8.7719298245614029E-6</v>
      </c>
      <c r="J10">
        <f t="shared" ca="1" si="1"/>
        <v>4.9999999999999958E-4</v>
      </c>
      <c r="K10">
        <f t="shared" ca="1" si="2"/>
        <v>8.7719298245613961E-6</v>
      </c>
      <c r="L10">
        <f>CAMP!B27</f>
        <v>1</v>
      </c>
    </row>
    <row r="11" spans="1:12">
      <c r="A11">
        <f>synth!P11</f>
        <v>10</v>
      </c>
      <c r="B11">
        <f ca="1">synth!Q11</f>
        <v>9.3999999999999998E-6</v>
      </c>
      <c r="C11">
        <f ca="1">synth!R11</f>
        <v>9.3999999999999998E-6</v>
      </c>
      <c r="D11">
        <f ca="1">synth!S11</f>
        <v>9.3999999999999998E-6</v>
      </c>
      <c r="E11">
        <f ca="1">synth!T11</f>
        <v>-5.0268721464003017</v>
      </c>
      <c r="F11">
        <f>236.79</f>
        <v>236.79</v>
      </c>
      <c r="G11" s="45">
        <f ca="1">B11/F11</f>
        <v>3.9697622365809364E-8</v>
      </c>
      <c r="H11" s="45">
        <f ca="1">C11/F11</f>
        <v>3.9697622365809364E-8</v>
      </c>
      <c r="I11" s="45">
        <f t="shared" ca="1" si="0"/>
        <v>3.9697622365809364E-8</v>
      </c>
      <c r="J11">
        <f t="shared" ca="1" si="1"/>
        <v>9.3999999999999862E-6</v>
      </c>
      <c r="K11">
        <f t="shared" ca="1" si="2"/>
        <v>3.9697622365809311E-8</v>
      </c>
      <c r="L11">
        <f>COST!B28</f>
        <v>1</v>
      </c>
    </row>
    <row r="12" spans="1:12">
      <c r="A12">
        <f>synth!P12</f>
        <v>11</v>
      </c>
      <c r="B12">
        <f ca="1">synth!Q12</f>
        <v>1.0000000000000001E-5</v>
      </c>
      <c r="C12">
        <f ca="1">synth!R12</f>
        <v>1E-4</v>
      </c>
      <c r="D12">
        <f ca="1">synth!S12</f>
        <v>6.6875000000000013E-5</v>
      </c>
      <c r="E12">
        <f ca="1">synth!T12</f>
        <v>-4.3529885926180398</v>
      </c>
      <c r="F12">
        <f>54.06</f>
        <v>54.06</v>
      </c>
      <c r="G12" s="45">
        <f t="shared" ca="1" si="3"/>
        <v>1.8497965223825381E-7</v>
      </c>
      <c r="H12" s="45">
        <f t="shared" ca="1" si="4"/>
        <v>1.849796522382538E-6</v>
      </c>
      <c r="I12" s="45">
        <f t="shared" ca="1" si="0"/>
        <v>1.2370514243433225E-6</v>
      </c>
      <c r="J12">
        <f t="shared" ca="1" si="1"/>
        <v>4.4362029611655785E-5</v>
      </c>
      <c r="K12">
        <f t="shared" ca="1" si="2"/>
        <v>8.2060728101472034E-7</v>
      </c>
      <c r="L12">
        <f>TURO!B27</f>
        <v>8</v>
      </c>
    </row>
    <row r="13" spans="1:12">
      <c r="A13">
        <f>synth!P13</f>
        <v>12</v>
      </c>
      <c r="B13">
        <f ca="1">synth!Q13</f>
        <v>4.0000000000000002E-4</v>
      </c>
      <c r="C13">
        <f ca="1">synth!R13</f>
        <v>2.5399999999999999E-2</v>
      </c>
      <c r="D13">
        <f ca="1">synth!S13</f>
        <v>9.1000000000000004E-3</v>
      </c>
      <c r="E13">
        <f ca="1">synth!T13</f>
        <v>-2.6056716776654727</v>
      </c>
      <c r="F13">
        <f>69.1</f>
        <v>69.099999999999994</v>
      </c>
      <c r="G13" s="45">
        <f t="shared" ca="1" si="3"/>
        <v>5.7887120115774247E-6</v>
      </c>
      <c r="H13" s="45">
        <f t="shared" ca="1" si="4"/>
        <v>3.6758321273516644E-4</v>
      </c>
      <c r="I13" s="45">
        <f t="shared" ca="1" si="0"/>
        <v>1.3169319826338642E-4</v>
      </c>
      <c r="J13">
        <f t="shared" ca="1" si="1"/>
        <v>2.4792956723428917E-3</v>
      </c>
      <c r="K13" s="45">
        <f t="shared" ca="1" si="2"/>
        <v>3.5879821596858059E-5</v>
      </c>
      <c r="L13">
        <f>CENO!B27</f>
        <v>3</v>
      </c>
    </row>
    <row r="14" spans="1:12">
      <c r="A14">
        <f>synth!P14</f>
        <v>13</v>
      </c>
      <c r="B14">
        <f ca="1">synth!Q14</f>
        <v>0.04</v>
      </c>
      <c r="C14">
        <f ca="1">synth!R14</f>
        <v>0.04</v>
      </c>
      <c r="D14">
        <f ca="1">synth!S14</f>
        <v>0.04</v>
      </c>
      <c r="E14">
        <f ca="1">synth!T14</f>
        <v>-1.3979400086720375</v>
      </c>
      <c r="F14">
        <f>563.8571</f>
        <v>563.85709999999995</v>
      </c>
      <c r="G14" s="45">
        <f ca="1">B14/F14</f>
        <v>7.0939959787683798E-5</v>
      </c>
      <c r="H14" s="45">
        <f ca="1">C14/F14</f>
        <v>7.0939959787683798E-5</v>
      </c>
      <c r="I14" s="45">
        <f t="shared" ca="1" si="0"/>
        <v>7.0939959787683798E-5</v>
      </c>
      <c r="J14">
        <f t="shared" ca="1" si="1"/>
        <v>4.0000000000000008E-2</v>
      </c>
      <c r="K14" s="45">
        <f t="shared" ca="1" si="2"/>
        <v>7.0939959787683811E-5</v>
      </c>
      <c r="L14">
        <f>TITH!B9</f>
        <v>1</v>
      </c>
    </row>
    <row r="15" spans="1:12">
      <c r="A15">
        <f>synth!P15</f>
        <v>14</v>
      </c>
      <c r="B15">
        <f ca="1">synth!Q15</f>
        <v>0.04</v>
      </c>
      <c r="C15">
        <f ca="1">synth!R15</f>
        <v>0.04</v>
      </c>
      <c r="D15">
        <f ca="1">synth!S15</f>
        <v>0.04</v>
      </c>
      <c r="E15">
        <f ca="1">synth!T15</f>
        <v>-1.3979400086720375</v>
      </c>
      <c r="F15">
        <f>106</f>
        <v>106</v>
      </c>
      <c r="G15" s="45">
        <f ca="1">B15/F15</f>
        <v>3.7735849056603772E-4</v>
      </c>
      <c r="H15" s="45">
        <f ca="1">C15/F15</f>
        <v>3.7735849056603772E-4</v>
      </c>
      <c r="I15" s="45">
        <f t="shared" ca="1" si="0"/>
        <v>3.7735849056603772E-4</v>
      </c>
      <c r="J15">
        <f t="shared" ca="1" si="1"/>
        <v>4.0000000000000008E-2</v>
      </c>
      <c r="K15" s="45">
        <f t="shared" ca="1" si="2"/>
        <v>3.7735849056603783E-4</v>
      </c>
      <c r="L15">
        <f>KIMM!B8</f>
        <v>1</v>
      </c>
    </row>
    <row r="16" spans="1:12">
      <c r="A16">
        <f>synth!P16</f>
        <v>15</v>
      </c>
      <c r="B16">
        <f ca="1">synth!Q16</f>
        <v>0.04</v>
      </c>
      <c r="C16">
        <f ca="1">synth!R16</f>
        <v>0.04</v>
      </c>
      <c r="D16">
        <f ca="1">synth!S16</f>
        <v>0.04</v>
      </c>
      <c r="E16">
        <f ca="1">synth!T16</f>
        <v>-1.3979400086720375</v>
      </c>
      <c r="F16">
        <f>263.41</f>
        <v>263.41000000000003</v>
      </c>
      <c r="G16" s="45">
        <f ca="1">B16/F16</f>
        <v>1.5185452336661476E-4</v>
      </c>
      <c r="H16" s="45">
        <f ca="1">C16/F16</f>
        <v>1.5185452336661476E-4</v>
      </c>
      <c r="I16" s="45">
        <f t="shared" ca="1" si="0"/>
        <v>1.5185452336661476E-4</v>
      </c>
      <c r="J16">
        <f t="shared" ca="1" si="1"/>
        <v>4.0000000000000008E-2</v>
      </c>
      <c r="K16" s="45">
        <f t="shared" ca="1" si="2"/>
        <v>1.5185452336661479E-4</v>
      </c>
      <c r="L16">
        <f>BACX!B35</f>
        <v>1</v>
      </c>
    </row>
    <row r="17" spans="1:12">
      <c r="A17">
        <f>synth!P17</f>
        <v>16</v>
      </c>
      <c r="B17">
        <f ca="1">synth!Q17</f>
        <v>0.04</v>
      </c>
      <c r="C17">
        <f ca="1">synth!R17</f>
        <v>0.04</v>
      </c>
      <c r="D17">
        <f ca="1">synth!S17</f>
        <v>0.04</v>
      </c>
      <c r="E17">
        <f ca="1">synth!T17</f>
        <v>-1.3979400086720375</v>
      </c>
      <c r="F17">
        <f>145.33</f>
        <v>145.33000000000001</v>
      </c>
      <c r="G17" s="45">
        <f ca="1">B17/F17</f>
        <v>2.7523567054290232E-4</v>
      </c>
      <c r="H17" s="45">
        <f ca="1">C17/F17</f>
        <v>2.7523567054290232E-4</v>
      </c>
      <c r="I17" s="45">
        <f t="shared" ca="1" si="0"/>
        <v>2.7523567054290232E-4</v>
      </c>
      <c r="J17">
        <f t="shared" ca="1" si="1"/>
        <v>4.0000000000000008E-2</v>
      </c>
      <c r="K17" s="45">
        <f ca="1">J17/F17</f>
        <v>2.7523567054290238E-4</v>
      </c>
      <c r="L17">
        <f>BAJO!B36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"/>
  <sheetViews>
    <sheetView zoomScaleNormal="100" workbookViewId="0">
      <selection activeCell="C9" sqref="C9"/>
    </sheetView>
  </sheetViews>
  <sheetFormatPr baseColWidth="10" defaultRowHeight="15"/>
  <cols>
    <col min="2" max="2" width="15.6640625" customWidth="1"/>
  </cols>
  <sheetData>
    <row r="1" spans="1:5">
      <c r="A1" t="str">
        <f>synth!P1</f>
        <v>id</v>
      </c>
      <c r="B1" t="s">
        <v>971</v>
      </c>
      <c r="C1" t="s">
        <v>964</v>
      </c>
      <c r="D1" t="s">
        <v>965</v>
      </c>
      <c r="E1" t="s">
        <v>969</v>
      </c>
    </row>
    <row r="2" spans="1:5">
      <c r="A2">
        <f>synth!P2</f>
        <v>1</v>
      </c>
      <c r="B2">
        <v>1</v>
      </c>
      <c r="C2" s="45">
        <f>(1.5*10^-4)/0.3048</f>
        <v>4.921259842519685E-4</v>
      </c>
      <c r="D2" s="45">
        <f>5*10^-3</f>
        <v>5.0000000000000001E-3</v>
      </c>
      <c r="E2" s="45">
        <f>10^(AVERAGE(LOG10(C2),LOG10(D2)))</f>
        <v>1.5686395128453943E-3</v>
      </c>
    </row>
    <row r="3" spans="1:5">
      <c r="A3">
        <f>synth!P3</f>
        <v>2</v>
      </c>
      <c r="B3">
        <v>2</v>
      </c>
      <c r="C3" s="45">
        <v>9.9999999999999995E-8</v>
      </c>
      <c r="D3" s="45">
        <f>10^-4/0.3048</f>
        <v>3.2808398950131233E-4</v>
      </c>
      <c r="E3" s="45">
        <f t="shared" ref="E3:E4" si="0">10^(AVERAGE(LOG10(C3),LOG10(D3)))</f>
        <v>5.727861638528927E-6</v>
      </c>
    </row>
    <row r="4" spans="1:5">
      <c r="A4">
        <f>synth!P4</f>
        <v>3</v>
      </c>
      <c r="B4">
        <v>1</v>
      </c>
      <c r="C4" s="45">
        <f>5*0.00000001</f>
        <v>4.9999999999999998E-8</v>
      </c>
      <c r="D4" s="45">
        <f>10^-4/0.3048</f>
        <v>3.2808398950131233E-4</v>
      </c>
      <c r="E4" s="45">
        <f t="shared" si="0"/>
        <v>4.0502098063020901E-6</v>
      </c>
    </row>
    <row r="5" spans="1:5">
      <c r="A5">
        <f>synth!P5</f>
        <v>4</v>
      </c>
      <c r="B5">
        <v>33</v>
      </c>
      <c r="C5" s="45">
        <v>2.4000960038401501E-7</v>
      </c>
      <c r="D5" s="45">
        <v>3.1201248049921997E-4</v>
      </c>
      <c r="E5" s="45">
        <f>10^(AVERAGE(LOG10(C5),LOG10(D5)))</f>
        <v>8.6536692078818668E-6</v>
      </c>
    </row>
    <row r="6" spans="1:5">
      <c r="A6">
        <f>synth!P6</f>
        <v>5</v>
      </c>
      <c r="B6">
        <v>1</v>
      </c>
      <c r="C6" s="45">
        <v>9.9999999999999995E-8</v>
      </c>
      <c r="D6" s="45">
        <f>10^-4/0.3048</f>
        <v>3.2808398950131233E-4</v>
      </c>
      <c r="E6" s="45">
        <f t="shared" ref="E6:E16" si="1">10^(AVERAGE(LOG10(C6),LOG10(D6)))</f>
        <v>5.727861638528927E-6</v>
      </c>
    </row>
    <row r="7" spans="1:5">
      <c r="A7">
        <f>synth!P7</f>
        <v>6</v>
      </c>
      <c r="B7">
        <v>12</v>
      </c>
      <c r="C7" s="45">
        <f>10^-8</f>
        <v>1E-8</v>
      </c>
      <c r="D7" s="45">
        <v>2.7603340004140502E-6</v>
      </c>
      <c r="E7" s="45">
        <f t="shared" si="1"/>
        <v>1.6614252918545709E-7</v>
      </c>
    </row>
    <row r="8" spans="1:5">
      <c r="A8">
        <f>synth!P8</f>
        <v>7</v>
      </c>
      <c r="B8">
        <v>3</v>
      </c>
      <c r="C8" s="45">
        <v>9.9999999999999995E-8</v>
      </c>
      <c r="D8" s="45">
        <f>D4</f>
        <v>3.2808398950131233E-4</v>
      </c>
      <c r="E8" s="45">
        <f t="shared" si="1"/>
        <v>5.727861638528927E-6</v>
      </c>
    </row>
    <row r="9" spans="1:5">
      <c r="A9">
        <f>synth!P9</f>
        <v>8</v>
      </c>
      <c r="B9">
        <v>1</v>
      </c>
      <c r="C9" s="45">
        <v>9.9999999999999995E-8</v>
      </c>
      <c r="D9" s="45">
        <v>8.7719298245614029E-6</v>
      </c>
      <c r="E9" s="45">
        <f t="shared" si="1"/>
        <v>9.3658581158169325E-7</v>
      </c>
    </row>
    <row r="10" spans="1:5">
      <c r="A10">
        <f>synth!P10</f>
        <v>9</v>
      </c>
      <c r="B10">
        <v>1</v>
      </c>
      <c r="C10" s="45">
        <f>5*10^-7</f>
        <v>4.9999999999999998E-7</v>
      </c>
      <c r="D10" s="45">
        <f>D4</f>
        <v>3.2808398950131233E-4</v>
      </c>
      <c r="E10" s="45">
        <f t="shared" si="1"/>
        <v>1.2807887989464005E-5</v>
      </c>
    </row>
    <row r="11" spans="1:5">
      <c r="A11">
        <f>synth!P11</f>
        <v>10</v>
      </c>
      <c r="B11">
        <v>8</v>
      </c>
      <c r="C11" s="45">
        <v>9.9999999999999995E-8</v>
      </c>
      <c r="D11" s="45">
        <v>4.0000000000000003E-5</v>
      </c>
      <c r="E11" s="45">
        <f t="shared" si="1"/>
        <v>1.9999999999999978E-6</v>
      </c>
    </row>
    <row r="12" spans="1:5">
      <c r="A12">
        <f>synth!P12</f>
        <v>11</v>
      </c>
      <c r="B12">
        <v>3</v>
      </c>
      <c r="C12" s="45">
        <v>9.9999999999999995E-8</v>
      </c>
      <c r="D12" s="45">
        <v>3.6758321273516644E-4</v>
      </c>
      <c r="E12" s="45">
        <f t="shared" si="1"/>
        <v>6.0628641147164561E-6</v>
      </c>
    </row>
    <row r="13" spans="1:5">
      <c r="A13">
        <f>synth!P13</f>
        <v>12</v>
      </c>
      <c r="B13">
        <v>1</v>
      </c>
      <c r="C13" s="45">
        <f>10^-7</f>
        <v>9.9999999999999995E-8</v>
      </c>
      <c r="D13" s="45">
        <f>10^-3</f>
        <v>1E-3</v>
      </c>
      <c r="E13" s="45">
        <f t="shared" si="1"/>
        <v>1.0000000000000001E-5</v>
      </c>
    </row>
    <row r="14" spans="1:5">
      <c r="A14">
        <f>synth!P14</f>
        <v>13</v>
      </c>
      <c r="B14">
        <v>1</v>
      </c>
      <c r="C14" s="45">
        <f>5*10^-7</f>
        <v>4.9999999999999998E-7</v>
      </c>
      <c r="D14" s="45">
        <f>10^-4</f>
        <v>1E-4</v>
      </c>
      <c r="E14" s="45">
        <f t="shared" si="1"/>
        <v>7.0710678118654671E-6</v>
      </c>
    </row>
    <row r="15" spans="1:5">
      <c r="A15">
        <f>synth!P15</f>
        <v>14</v>
      </c>
      <c r="B15">
        <v>1</v>
      </c>
      <c r="C15" s="45">
        <f t="shared" ref="C15" si="2">10^-7</f>
        <v>9.9999999999999995E-8</v>
      </c>
      <c r="D15" s="45">
        <f>10^-4</f>
        <v>1E-4</v>
      </c>
      <c r="E15" s="45">
        <f t="shared" si="1"/>
        <v>3.1622776601683767E-6</v>
      </c>
    </row>
    <row r="16" spans="1:5">
      <c r="A16">
        <f>synth!P16</f>
        <v>15</v>
      </c>
      <c r="B16">
        <v>1</v>
      </c>
      <c r="C16" s="45">
        <f>10^-7</f>
        <v>9.9999999999999995E-8</v>
      </c>
      <c r="D16" s="45">
        <f>3*10^-3</f>
        <v>3.0000000000000001E-3</v>
      </c>
      <c r="E16" s="45">
        <f t="shared" si="1"/>
        <v>1.732050807568875E-5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7"/>
  <sheetViews>
    <sheetView tabSelected="1" workbookViewId="0">
      <selection activeCell="D2" sqref="D2"/>
    </sheetView>
  </sheetViews>
  <sheetFormatPr baseColWidth="10" defaultRowHeight="15"/>
  <cols>
    <col min="2" max="3" width="11.83203125" bestFit="1" customWidth="1"/>
    <col min="4" max="4" width="15" customWidth="1"/>
    <col min="5" max="5" width="11.83203125" bestFit="1" customWidth="1"/>
  </cols>
  <sheetData>
    <row r="1" spans="1:6">
      <c r="A1" s="28" t="s">
        <v>9</v>
      </c>
      <c r="B1" s="28" t="s">
        <v>954</v>
      </c>
      <c r="C1" s="28" t="s">
        <v>955</v>
      </c>
      <c r="D1" s="28" t="s">
        <v>956</v>
      </c>
      <c r="E1" s="28"/>
      <c r="F1" s="28"/>
    </row>
    <row r="2" spans="1:6">
      <c r="A2">
        <v>1</v>
      </c>
      <c r="B2" s="45">
        <f>10^-13</f>
        <v>1E-13</v>
      </c>
      <c r="C2" s="45">
        <f>1*10^-7</f>
        <v>9.9999999999999995E-8</v>
      </c>
      <c r="D2" s="45">
        <f>10^(AVERAGE(IFERROR(LOG10(C2),""),IFERROR(LOG10(B2),"")))</f>
        <v>1E-10</v>
      </c>
    </row>
    <row r="3" spans="1:6">
      <c r="A3">
        <v>2</v>
      </c>
      <c r="B3" s="45">
        <f>10^-13</f>
        <v>1E-13</v>
      </c>
      <c r="C3" s="45">
        <f>5*10^-7</f>
        <v>4.9999999999999998E-7</v>
      </c>
      <c r="D3" s="45">
        <f>10^(AVERAGE(IFERROR(LOG10(C3),""),IFERROR(LOG10(B3),"")))</f>
        <v>2.236067977499784E-10</v>
      </c>
    </row>
    <row r="4" spans="1:6">
      <c r="A4">
        <v>3</v>
      </c>
      <c r="B4" s="45">
        <f t="shared" ref="B3:B5" si="0">10^-13</f>
        <v>1E-13</v>
      </c>
      <c r="C4" s="45">
        <f>5*10^-7</f>
        <v>4.9999999999999998E-7</v>
      </c>
      <c r="D4" s="45">
        <f>10^(AVERAGE(IFERROR(LOG10(C4),""),IFERROR(LOG10(B4),"")))</f>
        <v>2.236067977499784E-10</v>
      </c>
    </row>
    <row r="5" spans="1:6">
      <c r="A5">
        <v>4</v>
      </c>
      <c r="B5" s="45">
        <f t="shared" si="0"/>
        <v>1E-13</v>
      </c>
      <c r="C5" s="45">
        <f>10^-6</f>
        <v>9.9999999999999995E-7</v>
      </c>
      <c r="D5" s="45">
        <f>10^(AVERAGE(IFERROR(LOG10(C5),""),IFERROR(LOG10(B5),"")))</f>
        <v>3.1622776601683744E-10</v>
      </c>
    </row>
    <row r="6" spans="1:6">
      <c r="A6">
        <v>5</v>
      </c>
      <c r="B6" s="45">
        <f>10^-12</f>
        <v>9.9999999999999998E-13</v>
      </c>
      <c r="C6" s="45">
        <f>10^-6</f>
        <v>9.9999999999999995E-7</v>
      </c>
      <c r="D6" s="45">
        <f>10^(AVERAGE((LOG10(C6)),(LOG10(B6))))</f>
        <v>1.0000000000000001E-9</v>
      </c>
      <c r="E6" s="45"/>
    </row>
    <row r="7" spans="1:6">
      <c r="A7">
        <v>6</v>
      </c>
      <c r="B7" s="45">
        <f>10^-13</f>
        <v>1E-13</v>
      </c>
      <c r="C7" s="45">
        <f>5*10^-7</f>
        <v>4.9999999999999998E-7</v>
      </c>
      <c r="D7" s="45">
        <f t="shared" ref="D7:D16" si="1">10^(AVERAGE((LOG10(C7)),(LOG10(B7))))</f>
        <v>2.236067977499784E-10</v>
      </c>
    </row>
    <row r="8" spans="1:6">
      <c r="A8">
        <v>7</v>
      </c>
      <c r="B8" s="45">
        <f t="shared" ref="B8:B16" si="2">10^-13</f>
        <v>1E-13</v>
      </c>
      <c r="C8" s="45">
        <f>10^-7</f>
        <v>9.9999999999999995E-8</v>
      </c>
      <c r="D8" s="45">
        <f t="shared" si="1"/>
        <v>1E-10</v>
      </c>
    </row>
    <row r="9" spans="1:6">
      <c r="A9">
        <v>8</v>
      </c>
      <c r="B9" s="45">
        <f t="shared" si="2"/>
        <v>1E-13</v>
      </c>
      <c r="C9" s="45">
        <f t="shared" ref="C9:C15" si="3">10^-6</f>
        <v>9.9999999999999995E-7</v>
      </c>
      <c r="D9" s="45">
        <f t="shared" si="1"/>
        <v>3.1622776601683744E-10</v>
      </c>
    </row>
    <row r="10" spans="1:6">
      <c r="A10">
        <v>9</v>
      </c>
      <c r="B10" s="45">
        <f t="shared" si="2"/>
        <v>1E-13</v>
      </c>
      <c r="C10" s="45">
        <f t="shared" si="3"/>
        <v>9.9999999999999995E-7</v>
      </c>
      <c r="D10" s="45">
        <f t="shared" si="1"/>
        <v>3.1622776601683744E-10</v>
      </c>
    </row>
    <row r="11" spans="1:6">
      <c r="A11">
        <v>10</v>
      </c>
      <c r="B11" s="45">
        <f t="shared" si="2"/>
        <v>1E-13</v>
      </c>
      <c r="C11" s="45">
        <f t="shared" si="3"/>
        <v>9.9999999999999995E-7</v>
      </c>
      <c r="D11" s="45">
        <f t="shared" si="1"/>
        <v>3.1622776601683744E-10</v>
      </c>
    </row>
    <row r="12" spans="1:6">
      <c r="A12">
        <v>11</v>
      </c>
      <c r="B12" s="45">
        <f t="shared" si="2"/>
        <v>1E-13</v>
      </c>
      <c r="C12" s="45">
        <f t="shared" si="3"/>
        <v>9.9999999999999995E-7</v>
      </c>
      <c r="D12" s="45">
        <f t="shared" si="1"/>
        <v>3.1622776601683744E-10</v>
      </c>
    </row>
    <row r="13" spans="1:6">
      <c r="A13">
        <v>12</v>
      </c>
      <c r="B13" s="45">
        <f>5*10^-15</f>
        <v>5.0000000000000008E-15</v>
      </c>
      <c r="C13" s="45">
        <f t="shared" si="3"/>
        <v>9.9999999999999995E-7</v>
      </c>
      <c r="D13" s="45">
        <f t="shared" si="1"/>
        <v>7.0710678118654662E-11</v>
      </c>
    </row>
    <row r="14" spans="1:6">
      <c r="A14">
        <v>13</v>
      </c>
      <c r="B14" s="45">
        <f t="shared" si="2"/>
        <v>1E-13</v>
      </c>
      <c r="C14" s="45">
        <f>5*10^-9</f>
        <v>5.0000000000000001E-9</v>
      </c>
      <c r="D14" s="45">
        <f t="shared" si="1"/>
        <v>2.2360679774997816E-11</v>
      </c>
    </row>
    <row r="15" spans="1:6">
      <c r="A15">
        <v>14</v>
      </c>
      <c r="B15" s="45">
        <f>10^-13</f>
        <v>1E-13</v>
      </c>
      <c r="C15" s="45">
        <f t="shared" si="3"/>
        <v>9.9999999999999995E-7</v>
      </c>
      <c r="D15" s="45">
        <f t="shared" si="1"/>
        <v>3.1622776601683744E-10</v>
      </c>
    </row>
    <row r="16" spans="1:6">
      <c r="A16">
        <v>15</v>
      </c>
      <c r="B16" s="45">
        <f t="shared" si="2"/>
        <v>1E-13</v>
      </c>
      <c r="C16" s="45">
        <f>10^-7</f>
        <v>9.9999999999999995E-8</v>
      </c>
      <c r="D16" s="45">
        <f t="shared" si="1"/>
        <v>1E-10</v>
      </c>
    </row>
    <row r="17" spans="4:4">
      <c r="D17" s="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7"/>
  <sheetViews>
    <sheetView zoomScale="70" zoomScaleNormal="70" workbookViewId="0">
      <selection activeCell="I14" sqref="I14"/>
    </sheetView>
  </sheetViews>
  <sheetFormatPr baseColWidth="10" defaultRowHeight="15"/>
  <cols>
    <col min="1" max="1" width="27.1640625" customWidth="1"/>
    <col min="2" max="4" width="21.83203125" customWidth="1"/>
    <col min="5" max="7" width="15.5" customWidth="1"/>
    <col min="8" max="8" width="17.83203125" customWidth="1"/>
    <col min="9" max="9" width="24" customWidth="1"/>
    <col min="10" max="10" width="24.1640625" customWidth="1"/>
    <col min="12" max="12" width="14.5" customWidth="1"/>
    <col min="13" max="13" width="7.83203125" customWidth="1"/>
    <col min="18" max="18" width="18.6640625" bestFit="1" customWidth="1"/>
  </cols>
  <sheetData>
    <row r="1" spans="1:16" ht="34">
      <c r="A1" s="1" t="s">
        <v>0</v>
      </c>
      <c r="B1" s="2" t="s">
        <v>855</v>
      </c>
      <c r="C1" s="2" t="s">
        <v>856</v>
      </c>
      <c r="D1" s="2" t="s">
        <v>928</v>
      </c>
      <c r="E1" s="3" t="s">
        <v>1</v>
      </c>
      <c r="F1" s="3" t="s">
        <v>926</v>
      </c>
      <c r="G1" s="3" t="s">
        <v>919</v>
      </c>
      <c r="H1" s="2" t="s">
        <v>2</v>
      </c>
      <c r="I1" s="2" t="s">
        <v>933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10</v>
      </c>
    </row>
    <row r="2" spans="1:16">
      <c r="A2" s="5" t="s">
        <v>618</v>
      </c>
      <c r="B2" s="6"/>
      <c r="C2" s="45">
        <f>0.00455</f>
        <v>4.5500000000000002E-3</v>
      </c>
      <c r="D2" s="6">
        <f>IFERROR(LOG10(C2),"")</f>
        <v>-2.3419886033428874</v>
      </c>
      <c r="E2" s="7"/>
      <c r="F2" s="7" t="str">
        <f>IFERROR(LOG10(E2),"")</f>
        <v/>
      </c>
      <c r="G2" s="7"/>
      <c r="H2" s="6"/>
      <c r="I2" s="6" t="str">
        <f>IFERROR(LOG10(H2),"")</f>
        <v/>
      </c>
      <c r="J2" s="77" t="s">
        <v>963</v>
      </c>
      <c r="K2" s="8">
        <v>40</v>
      </c>
      <c r="L2" s="8" t="s">
        <v>619</v>
      </c>
      <c r="M2" s="8" t="s">
        <v>620</v>
      </c>
      <c r="N2" s="8">
        <v>366770</v>
      </c>
      <c r="O2" s="8">
        <v>6339411</v>
      </c>
      <c r="P2" s="8" t="s">
        <v>621</v>
      </c>
    </row>
    <row r="3" spans="1:16">
      <c r="A3" s="5" t="s">
        <v>618</v>
      </c>
      <c r="B3" s="6"/>
      <c r="C3" s="6"/>
      <c r="D3" s="6" t="str">
        <f t="shared" ref="D3:D14" si="0">IFERROR(LOG10(C3),"")</f>
        <v/>
      </c>
      <c r="E3" s="7"/>
      <c r="F3" s="7" t="str">
        <f t="shared" ref="F3:F14" si="1">IFERROR(LOG10(E3),"")</f>
        <v/>
      </c>
      <c r="G3" s="7"/>
      <c r="H3" s="6"/>
      <c r="I3" s="6" t="str">
        <f t="shared" ref="I3:I14" si="2">IFERROR(LOG10(H3),"")</f>
        <v/>
      </c>
      <c r="J3" s="8" t="s">
        <v>11</v>
      </c>
      <c r="K3" s="8">
        <v>40</v>
      </c>
      <c r="L3" s="8" t="s">
        <v>619</v>
      </c>
      <c r="M3" s="8" t="s">
        <v>620</v>
      </c>
      <c r="N3" s="8">
        <v>366770</v>
      </c>
      <c r="O3" s="8">
        <v>6339411</v>
      </c>
      <c r="P3" s="8" t="s">
        <v>621</v>
      </c>
    </row>
    <row r="4" spans="1:16">
      <c r="A4" s="5" t="s">
        <v>618</v>
      </c>
      <c r="B4" s="6"/>
      <c r="C4" s="6"/>
      <c r="D4" s="6" t="str">
        <f t="shared" si="0"/>
        <v/>
      </c>
      <c r="E4" s="7"/>
      <c r="F4" s="7" t="str">
        <f t="shared" si="1"/>
        <v/>
      </c>
      <c r="G4" s="7"/>
      <c r="H4" s="6"/>
      <c r="I4" s="6" t="str">
        <f t="shared" si="2"/>
        <v/>
      </c>
      <c r="J4" s="8" t="s">
        <v>11</v>
      </c>
      <c r="K4" s="8">
        <v>40</v>
      </c>
      <c r="L4" s="8" t="s">
        <v>619</v>
      </c>
      <c r="M4" s="8" t="s">
        <v>620</v>
      </c>
      <c r="N4" s="8">
        <v>366770</v>
      </c>
      <c r="O4" s="8">
        <v>6339411</v>
      </c>
      <c r="P4" s="8" t="s">
        <v>621</v>
      </c>
    </row>
    <row r="5" spans="1:16">
      <c r="A5" s="5" t="s">
        <v>618</v>
      </c>
      <c r="B5" s="6"/>
      <c r="C5" s="6"/>
      <c r="D5" s="6" t="str">
        <f t="shared" si="0"/>
        <v/>
      </c>
      <c r="E5" s="9">
        <v>5.9999999999999995E-4</v>
      </c>
      <c r="F5" s="7">
        <f>IFERROR(LOG10(E5),"")</f>
        <v>-3.2218487496163566</v>
      </c>
      <c r="G5" s="9">
        <f>89.75</f>
        <v>89.75</v>
      </c>
      <c r="H5" s="12">
        <f>E5/G5</f>
        <v>6.6852367688022278E-6</v>
      </c>
      <c r="I5" s="6">
        <f t="shared" si="2"/>
        <v>-5.1748832068667134</v>
      </c>
      <c r="J5" s="8" t="s">
        <v>11</v>
      </c>
      <c r="K5" s="8">
        <v>40</v>
      </c>
      <c r="L5" s="8" t="s">
        <v>619</v>
      </c>
      <c r="M5" s="8" t="s">
        <v>620</v>
      </c>
      <c r="N5" s="8">
        <v>366770</v>
      </c>
      <c r="O5" s="8">
        <v>6339411</v>
      </c>
      <c r="P5" s="8" t="s">
        <v>621</v>
      </c>
    </row>
    <row r="6" spans="1:16">
      <c r="A6" s="5" t="s">
        <v>622</v>
      </c>
      <c r="B6" s="6"/>
      <c r="C6" s="6"/>
      <c r="D6" s="6" t="str">
        <f t="shared" si="0"/>
        <v/>
      </c>
      <c r="E6" s="7"/>
      <c r="F6" s="7" t="str">
        <f t="shared" si="1"/>
        <v/>
      </c>
      <c r="G6" s="7"/>
      <c r="H6" s="6"/>
      <c r="I6" s="6" t="str">
        <f t="shared" si="2"/>
        <v/>
      </c>
      <c r="J6" s="8" t="s">
        <v>11</v>
      </c>
      <c r="K6" s="8">
        <v>33</v>
      </c>
      <c r="L6" s="8" t="s">
        <v>623</v>
      </c>
      <c r="M6" s="8" t="s">
        <v>624</v>
      </c>
      <c r="N6" s="8">
        <v>387130</v>
      </c>
      <c r="O6" s="8">
        <v>6448926</v>
      </c>
      <c r="P6" s="8" t="s">
        <v>621</v>
      </c>
    </row>
    <row r="7" spans="1:16">
      <c r="A7" s="5" t="s">
        <v>625</v>
      </c>
      <c r="B7" s="6"/>
      <c r="C7" s="6"/>
      <c r="D7" s="6" t="str">
        <f t="shared" si="0"/>
        <v/>
      </c>
      <c r="E7" s="7"/>
      <c r="F7" s="7" t="str">
        <f t="shared" si="1"/>
        <v/>
      </c>
      <c r="G7" s="7"/>
      <c r="H7" s="6"/>
      <c r="I7" s="6" t="str">
        <f t="shared" si="2"/>
        <v/>
      </c>
      <c r="J7" s="8" t="s">
        <v>11</v>
      </c>
      <c r="K7" s="8">
        <v>33</v>
      </c>
      <c r="L7" s="8" t="s">
        <v>375</v>
      </c>
      <c r="M7" s="8" t="s">
        <v>626</v>
      </c>
      <c r="N7" s="8">
        <v>385351</v>
      </c>
      <c r="O7" s="8">
        <v>6432540</v>
      </c>
      <c r="P7" s="8" t="s">
        <v>621</v>
      </c>
    </row>
    <row r="8" spans="1:16">
      <c r="A8" s="5" t="s">
        <v>625</v>
      </c>
      <c r="B8" s="6"/>
      <c r="C8" s="6"/>
      <c r="D8" s="6" t="str">
        <f t="shared" si="0"/>
        <v/>
      </c>
      <c r="E8" s="7"/>
      <c r="F8" s="7" t="str">
        <f t="shared" si="1"/>
        <v/>
      </c>
      <c r="G8" s="7"/>
      <c r="H8" s="6"/>
      <c r="I8" s="6" t="str">
        <f t="shared" si="2"/>
        <v/>
      </c>
      <c r="J8" s="8" t="s">
        <v>11</v>
      </c>
      <c r="K8" s="8">
        <v>33</v>
      </c>
      <c r="L8" s="8" t="s">
        <v>375</v>
      </c>
      <c r="M8" s="8" t="s">
        <v>626</v>
      </c>
      <c r="N8" s="8">
        <v>385351</v>
      </c>
      <c r="O8" s="8">
        <v>6432540</v>
      </c>
      <c r="P8" s="8" t="s">
        <v>621</v>
      </c>
    </row>
    <row r="9" spans="1:16">
      <c r="A9" s="5" t="s">
        <v>625</v>
      </c>
      <c r="B9" s="6"/>
      <c r="C9" s="6"/>
      <c r="D9" s="6" t="str">
        <f t="shared" si="0"/>
        <v/>
      </c>
      <c r="E9" s="7"/>
      <c r="F9" s="7" t="str">
        <f t="shared" si="1"/>
        <v/>
      </c>
      <c r="G9" s="7"/>
      <c r="H9" s="6"/>
      <c r="I9" s="6" t="str">
        <f t="shared" si="2"/>
        <v/>
      </c>
      <c r="J9" s="8" t="s">
        <v>11</v>
      </c>
      <c r="K9" s="8">
        <v>33</v>
      </c>
      <c r="L9" s="8" t="s">
        <v>375</v>
      </c>
      <c r="M9" s="8" t="s">
        <v>626</v>
      </c>
      <c r="N9" s="8">
        <v>385351</v>
      </c>
      <c r="O9" s="8">
        <v>6432540</v>
      </c>
      <c r="P9" s="8" t="s">
        <v>621</v>
      </c>
    </row>
    <row r="10" spans="1:16">
      <c r="A10" s="5" t="s">
        <v>625</v>
      </c>
      <c r="B10" s="6"/>
      <c r="C10" s="6"/>
      <c r="D10" s="6" t="str">
        <f t="shared" si="0"/>
        <v/>
      </c>
      <c r="E10" s="7"/>
      <c r="F10" s="7" t="str">
        <f t="shared" si="1"/>
        <v/>
      </c>
      <c r="G10" s="7"/>
      <c r="H10" s="6"/>
      <c r="I10" s="6" t="str">
        <f t="shared" si="2"/>
        <v/>
      </c>
      <c r="J10" s="8" t="s">
        <v>11</v>
      </c>
      <c r="K10" s="8">
        <v>33</v>
      </c>
      <c r="L10" s="8" t="s">
        <v>375</v>
      </c>
      <c r="M10" s="8" t="s">
        <v>626</v>
      </c>
      <c r="N10" s="8">
        <v>385351</v>
      </c>
      <c r="O10" s="8">
        <v>6432540</v>
      </c>
      <c r="P10" s="8" t="s">
        <v>621</v>
      </c>
    </row>
    <row r="11" spans="1:16">
      <c r="A11" s="5" t="s">
        <v>627</v>
      </c>
      <c r="B11" s="12">
        <v>5.0000000000000001E-3</v>
      </c>
      <c r="C11" s="12"/>
      <c r="D11" s="6" t="str">
        <f t="shared" si="0"/>
        <v/>
      </c>
      <c r="E11" s="12">
        <v>2E-3</v>
      </c>
      <c r="F11" s="7">
        <f t="shared" si="1"/>
        <v>-2.6989700043360187</v>
      </c>
      <c r="G11" s="12">
        <f>48</f>
        <v>48</v>
      </c>
      <c r="H11" s="12">
        <f>E11/G11</f>
        <v>4.1666666666666665E-5</v>
      </c>
      <c r="I11" s="6">
        <f t="shared" si="2"/>
        <v>-4.3802112417116064</v>
      </c>
      <c r="J11" s="8" t="s">
        <v>628</v>
      </c>
      <c r="K11" s="8">
        <v>33</v>
      </c>
      <c r="L11" s="8" t="s">
        <v>100</v>
      </c>
      <c r="M11" s="8" t="s">
        <v>101</v>
      </c>
      <c r="N11" s="8">
        <v>386568</v>
      </c>
      <c r="O11" s="8">
        <v>6436611</v>
      </c>
      <c r="P11" s="8" t="s">
        <v>621</v>
      </c>
    </row>
    <row r="12" spans="1:16">
      <c r="A12" s="5" t="s">
        <v>721</v>
      </c>
      <c r="B12" s="6"/>
      <c r="C12" s="6"/>
      <c r="D12" s="6" t="str">
        <f t="shared" si="0"/>
        <v/>
      </c>
      <c r="E12" s="7"/>
      <c r="F12" s="7" t="str">
        <f>IFERROR(LOG10(E12),"")</f>
        <v/>
      </c>
      <c r="G12" s="7"/>
      <c r="H12" s="6"/>
      <c r="I12" s="6" t="str">
        <f t="shared" si="2"/>
        <v/>
      </c>
      <c r="J12" s="8" t="s">
        <v>11</v>
      </c>
      <c r="K12" s="8">
        <v>24</v>
      </c>
      <c r="L12" s="8" t="s">
        <v>722</v>
      </c>
      <c r="M12" s="8" t="s">
        <v>723</v>
      </c>
      <c r="N12" s="8">
        <v>493603</v>
      </c>
      <c r="O12" s="8">
        <v>6465085</v>
      </c>
      <c r="P12" s="8" t="s">
        <v>621</v>
      </c>
    </row>
    <row r="13" spans="1:16">
      <c r="A13" s="5" t="s">
        <v>257</v>
      </c>
      <c r="B13" s="6"/>
      <c r="C13" s="6"/>
      <c r="D13" s="6" t="str">
        <f t="shared" si="0"/>
        <v/>
      </c>
      <c r="E13" s="9">
        <v>1.56E-3</v>
      </c>
      <c r="F13" s="7">
        <f t="shared" si="1"/>
        <v>-2.8068754016455384</v>
      </c>
      <c r="G13" s="9"/>
      <c r="H13" s="6"/>
      <c r="I13" s="6" t="str">
        <f t="shared" si="2"/>
        <v/>
      </c>
      <c r="J13" s="8" t="s">
        <v>11</v>
      </c>
      <c r="K13" s="8">
        <v>24</v>
      </c>
      <c r="L13" s="8" t="s">
        <v>258</v>
      </c>
      <c r="M13" s="8" t="s">
        <v>259</v>
      </c>
      <c r="N13" s="8">
        <v>572114</v>
      </c>
      <c r="O13" s="8">
        <v>6449318</v>
      </c>
      <c r="P13" s="8" t="s">
        <v>621</v>
      </c>
    </row>
    <row r="14" spans="1:16">
      <c r="A14" s="5" t="s">
        <v>921</v>
      </c>
      <c r="B14" s="19">
        <f>0.11</f>
        <v>0.11</v>
      </c>
      <c r="D14" s="6" t="str">
        <f t="shared" si="0"/>
        <v/>
      </c>
      <c r="E14" s="9">
        <v>4.6999999999999999E-4</v>
      </c>
      <c r="F14" s="7">
        <f t="shared" si="1"/>
        <v>-3.3279021420642825</v>
      </c>
      <c r="G14" s="9">
        <f>48</f>
        <v>48</v>
      </c>
      <c r="H14" s="45">
        <f>+E14/G14</f>
        <v>9.7916666666666664E-6</v>
      </c>
      <c r="I14" s="6">
        <f t="shared" si="2"/>
        <v>-5.0091433794398696</v>
      </c>
      <c r="N14">
        <v>386571.3198</v>
      </c>
      <c r="O14">
        <v>6436610.8269999996</v>
      </c>
      <c r="P14" s="8" t="s">
        <v>621</v>
      </c>
    </row>
    <row r="17" spans="1:10">
      <c r="A17" s="28" t="s">
        <v>849</v>
      </c>
      <c r="B17" s="28" t="s">
        <v>850</v>
      </c>
      <c r="C17" s="28" t="s">
        <v>851</v>
      </c>
      <c r="D17" s="28" t="s">
        <v>852</v>
      </c>
      <c r="E17" s="28" t="s">
        <v>853</v>
      </c>
      <c r="F17" s="28" t="s">
        <v>927</v>
      </c>
      <c r="G17" s="28" t="s">
        <v>927</v>
      </c>
      <c r="J17" s="36"/>
    </row>
    <row r="18" spans="1:10">
      <c r="A18" s="28" t="s">
        <v>855</v>
      </c>
      <c r="B18" s="28">
        <f>COUNTA(B2:B14)</f>
        <v>2</v>
      </c>
      <c r="C18" s="37">
        <f>MIN(B2:B14)</f>
        <v>5.0000000000000001E-3</v>
      </c>
      <c r="D18" s="37">
        <f>MAX(B2:B14)</f>
        <v>0.11</v>
      </c>
      <c r="E18" s="37">
        <f>AVERAGE(B2:B14)</f>
        <v>5.7500000000000002E-2</v>
      </c>
      <c r="F18" s="37"/>
      <c r="J18" s="36"/>
    </row>
    <row r="19" spans="1:10">
      <c r="A19" s="28" t="s">
        <v>857</v>
      </c>
      <c r="B19" s="28">
        <f>COUNTA(C2:C14)</f>
        <v>1</v>
      </c>
      <c r="C19" s="37">
        <f xml:space="preserve"> MIN(C2:C14)</f>
        <v>4.5500000000000002E-3</v>
      </c>
      <c r="D19" s="37">
        <f xml:space="preserve"> MAX(C2:C15)</f>
        <v>4.5500000000000002E-3</v>
      </c>
      <c r="E19" s="37">
        <f>AVERAGE(C2:C14)</f>
        <v>4.5500000000000002E-3</v>
      </c>
      <c r="F19" s="37">
        <f>AVERAGE(D2:D14)</f>
        <v>-2.3419886033428874</v>
      </c>
      <c r="G19" s="45">
        <f>10^F19</f>
        <v>4.5499999999999985E-3</v>
      </c>
      <c r="H19" s="45"/>
      <c r="J19" s="36"/>
    </row>
    <row r="20" spans="1:10">
      <c r="A20" s="28" t="s">
        <v>914</v>
      </c>
      <c r="B20" s="28">
        <f>COUNTA(E2:E14)</f>
        <v>4</v>
      </c>
      <c r="C20" s="37">
        <f xml:space="preserve"> MIN(E2:E14)</f>
        <v>4.6999999999999999E-4</v>
      </c>
      <c r="D20" s="37">
        <f xml:space="preserve"> MAX(E2:E14)</f>
        <v>2E-3</v>
      </c>
      <c r="E20" s="37">
        <f>AVERAGEIF(E2:E14,"&lt;&gt;0")</f>
        <v>1.1574999999999999E-3</v>
      </c>
      <c r="F20" s="37">
        <f>AVERAGE(F3:F14)</f>
        <v>-3.0138990744155487</v>
      </c>
      <c r="G20" s="45">
        <f>10^F20</f>
        <v>9.6850290025451849E-4</v>
      </c>
      <c r="H20" s="45"/>
      <c r="J20" s="36"/>
    </row>
    <row r="21" spans="1:10">
      <c r="A21" s="28" t="s">
        <v>915</v>
      </c>
      <c r="B21" s="28">
        <f>COUNTA(H2:H14)</f>
        <v>3</v>
      </c>
      <c r="C21" s="37">
        <f xml:space="preserve"> MIN(H3:H14)</f>
        <v>6.6852367688022278E-6</v>
      </c>
      <c r="D21" s="37">
        <f xml:space="preserve"> MAX(H3:H14)</f>
        <v>4.1666666666666665E-5</v>
      </c>
      <c r="E21" s="37">
        <f>AVERAGEIF(H2:H14,"&lt;&gt;0")</f>
        <v>1.9381190034045188E-5</v>
      </c>
      <c r="F21">
        <f>AVERAGE(I2:I14)</f>
        <v>-4.8547459426727295</v>
      </c>
      <c r="G21" s="45">
        <f>10^F21</f>
        <v>1.3971854596222336E-5</v>
      </c>
      <c r="H21" s="45"/>
      <c r="J21" s="36"/>
    </row>
    <row r="22" spans="1:10" ht="14" customHeight="1">
      <c r="A22" s="19"/>
      <c r="B22" s="19"/>
      <c r="C22" s="19"/>
      <c r="D22" s="19"/>
      <c r="G22" s="37"/>
      <c r="H22" s="19"/>
      <c r="I22" s="19"/>
    </row>
    <row r="24" spans="1:10">
      <c r="G24" s="45">
        <f>G20/60.3</f>
        <v>1.6061407964419877E-5</v>
      </c>
    </row>
    <row r="26" spans="1:10">
      <c r="D26" s="37"/>
    </row>
    <row r="27" spans="1:10">
      <c r="F27" s="45"/>
    </row>
  </sheetData>
  <hyperlinks>
    <hyperlink ref="J2" r:id="rId1" xr:uid="{00000000-0004-0000-08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synth</vt:lpstr>
      <vt:lpstr>T</vt:lpstr>
      <vt:lpstr>permh</vt:lpstr>
      <vt:lpstr>emmli</vt:lpstr>
      <vt:lpstr>w</vt:lpstr>
      <vt:lpstr>emmca</vt:lpstr>
      <vt:lpstr>Ss</vt:lpstr>
      <vt:lpstr>kepon</vt:lpstr>
      <vt:lpstr>QUAT</vt:lpstr>
      <vt:lpstr>HELV</vt:lpstr>
      <vt:lpstr>AQUI</vt:lpstr>
      <vt:lpstr>OLNP</vt:lpstr>
      <vt:lpstr>EPOL</vt:lpstr>
      <vt:lpstr>EOCS</vt:lpstr>
      <vt:lpstr>EOCM</vt:lpstr>
      <vt:lpstr>EOCI</vt:lpstr>
      <vt:lpstr>EPCA</vt:lpstr>
      <vt:lpstr>CAMP</vt:lpstr>
      <vt:lpstr>COST</vt:lpstr>
      <vt:lpstr>TURO</vt:lpstr>
      <vt:lpstr>CENO</vt:lpstr>
      <vt:lpstr>TITH</vt:lpstr>
      <vt:lpstr>KIMM</vt:lpstr>
      <vt:lpstr>BACX</vt:lpstr>
      <vt:lpstr>BAJO</vt:lpstr>
      <vt:lpstr>histo_Tolnp</vt:lpstr>
      <vt:lpstr>histo_olnp</vt:lpstr>
      <vt:lpstr>histo_Wolnp</vt:lpstr>
      <vt:lpstr>histo_Solnp</vt:lpstr>
      <vt:lpstr>histo_WEOCM</vt:lpstr>
      <vt:lpstr>histo_SEOCM</vt:lpstr>
      <vt:lpstr>histo_TEOCM</vt:lpstr>
      <vt:lpstr>Feuil12</vt:lpstr>
    </vt:vector>
  </TitlesOfParts>
  <Company>Bordeaux-INP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Ryma</dc:creator>
  <cp:lastModifiedBy>ap</cp:lastModifiedBy>
  <dcterms:created xsi:type="dcterms:W3CDTF">2018-12-14T11:05:56Z</dcterms:created>
  <dcterms:modified xsi:type="dcterms:W3CDTF">2020-02-05T09:13:16Z</dcterms:modified>
</cp:coreProperties>
</file>