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ur\Documents\cf\"/>
    </mc:Choice>
  </mc:AlternateContent>
  <xr:revisionPtr revIDLastSave="0" documentId="13_ncr:1_{6D420AA6-5E38-4F11-BDC0-F0D20AE7555C}" xr6:coauthVersionLast="47" xr6:coauthVersionMax="47" xr10:uidLastSave="{00000000-0000-0000-0000-000000000000}"/>
  <bookViews>
    <workbookView xWindow="1536" yWindow="1536" windowWidth="19440" windowHeight="12120" firstSheet="1" activeTab="1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Daily!$A$1:$I$47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0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3" i="2" l="1"/>
  <c r="G53" i="2"/>
  <c r="F53" i="2"/>
  <c r="E53" i="2"/>
  <c r="YI49" i="3" l="1"/>
  <c r="YI50" i="3" s="1"/>
  <c r="YI43" i="3"/>
  <c r="YI25" i="3"/>
  <c r="YI11" i="3"/>
  <c r="YI12" i="3" s="1"/>
  <c r="YI2" i="3"/>
  <c r="YI44" i="3" l="1"/>
  <c r="YI3" i="3"/>
  <c r="YI4" i="3" s="1"/>
  <c r="YI26" i="3"/>
  <c r="ZE29" i="1" l="1"/>
  <c r="ZE26" i="1"/>
  <c r="ZE25" i="1"/>
  <c r="ZE22" i="1"/>
  <c r="ZE21" i="1"/>
  <c r="ZE17" i="1"/>
  <c r="ZE11" i="1"/>
  <c r="F47" i="2"/>
  <c r="E23" i="105" l="1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H16" i="105"/>
  <c r="D16" i="105"/>
  <c r="M15" i="105"/>
  <c r="O15" i="105" s="1"/>
  <c r="L15" i="105"/>
  <c r="K15" i="105"/>
  <c r="K35" i="105" s="1"/>
  <c r="I15" i="105"/>
  <c r="H15" i="105"/>
  <c r="D15" i="105"/>
  <c r="M13" i="105"/>
  <c r="L13" i="105"/>
  <c r="I13" i="105"/>
  <c r="H13" i="105"/>
  <c r="E13" i="105"/>
  <c r="D13" i="105"/>
  <c r="L10" i="105"/>
  <c r="I10" i="105"/>
  <c r="H10" i="105"/>
  <c r="J10" i="105" s="1"/>
  <c r="D10" i="105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14" i="105"/>
  <c r="J12" i="105"/>
  <c r="H14" i="105"/>
  <c r="AL16" i="106"/>
  <c r="AM16" i="106" s="1"/>
  <c r="O13" i="105"/>
  <c r="O33" i="105" s="1"/>
  <c r="L9" i="105"/>
  <c r="M12" i="105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F121" i="106"/>
  <c r="H41" i="106"/>
  <c r="H43" i="106"/>
  <c r="H19" i="105"/>
  <c r="D7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AL37" i="106"/>
  <c r="AM37" i="106" s="1"/>
  <c r="L109" i="106"/>
  <c r="H109" i="106"/>
  <c r="M10" i="105"/>
  <c r="M11" i="105" s="1"/>
  <c r="L8" i="105"/>
  <c r="G121" i="106"/>
  <c r="G124" i="106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N13" i="105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N7" i="105"/>
  <c r="J15" i="105"/>
  <c r="AA121" i="106"/>
  <c r="L12" i="105"/>
  <c r="D12" i="105" s="1"/>
  <c r="J13" i="105"/>
  <c r="E15" i="105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O29" i="105"/>
  <c r="O18" i="105"/>
  <c r="K30" i="105"/>
  <c r="Y25" i="107"/>
  <c r="K9" i="105"/>
  <c r="K29" i="105" s="1"/>
  <c r="E9" i="105"/>
  <c r="I11" i="105"/>
  <c r="F10" i="105"/>
  <c r="J8" i="107"/>
  <c r="E4" i="107"/>
  <c r="G25" i="107"/>
  <c r="E5" i="107"/>
  <c r="M25" i="107"/>
  <c r="AA8" i="107"/>
  <c r="AL19" i="106"/>
  <c r="AM19" i="106" s="1"/>
  <c r="S8" i="107"/>
  <c r="F1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E17" i="105"/>
  <c r="K17" i="105" a="1"/>
  <c r="K17" i="105" s="1"/>
  <c r="K37" i="105" s="1"/>
  <c r="M14" i="105"/>
  <c r="O12" i="105"/>
  <c r="O32" i="105" s="1"/>
  <c r="G12" i="105"/>
  <c r="G32" i="105" s="1"/>
  <c r="E12" i="107"/>
  <c r="J9" i="105"/>
  <c r="D9" i="105"/>
  <c r="H18" i="105"/>
  <c r="H11" i="105"/>
  <c r="H20" i="105" s="1"/>
  <c r="M20" i="105"/>
  <c r="O8" i="105" a="1"/>
  <c r="O8" i="105" s="1"/>
  <c r="T8" i="107"/>
  <c r="L11" i="105"/>
  <c r="N9" i="105"/>
  <c r="E12" i="105"/>
  <c r="F6" i="107"/>
  <c r="AC6" i="107" s="1"/>
  <c r="J6" i="105"/>
  <c r="E6" i="105"/>
  <c r="G6" i="105" s="1"/>
  <c r="G26" i="105" s="1"/>
  <c r="I18" i="105"/>
  <c r="I8" i="105"/>
  <c r="K6" i="105"/>
  <c r="K26" i="105" s="1"/>
  <c r="N12" i="105"/>
  <c r="L14" i="105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D17" i="105"/>
  <c r="G126" i="106"/>
  <c r="G127" i="106" s="1"/>
  <c r="N25" i="107"/>
  <c r="F5" i="107"/>
  <c r="AC5" i="107" s="1"/>
  <c r="F16" i="105"/>
  <c r="M8" i="107"/>
  <c r="J17" i="105"/>
  <c r="F15" i="105"/>
  <c r="R4" i="107"/>
  <c r="F4" i="107" s="1"/>
  <c r="AC4" i="107" s="1"/>
  <c r="AB121" i="106"/>
  <c r="E7" i="107"/>
  <c r="F15" i="107"/>
  <c r="AC15" i="107" s="1"/>
  <c r="Y8" i="107"/>
  <c r="D8" i="105"/>
  <c r="N8" i="105"/>
  <c r="N18" i="105"/>
  <c r="N19" i="105"/>
  <c r="F7" i="105"/>
  <c r="J19" i="105"/>
  <c r="O25" i="107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O10" i="105"/>
  <c r="M19" i="105"/>
  <c r="E10" i="105"/>
  <c r="D19" i="105"/>
  <c r="O8" i="107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22" i="105" l="1"/>
  <c r="E8" i="107"/>
  <c r="V24" i="107"/>
  <c r="U27" i="107"/>
  <c r="X24" i="107"/>
  <c r="P27" i="107"/>
  <c r="F11" i="107"/>
  <c r="AC11" i="107" s="1"/>
  <c r="Q25" i="107"/>
  <c r="Z25" i="107"/>
  <c r="E25" i="107"/>
  <c r="E19" i="105"/>
  <c r="T25" i="107"/>
  <c r="T13" i="107"/>
  <c r="O30" i="105"/>
  <c r="O19" i="105"/>
  <c r="G19" i="105" s="1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F14" i="105"/>
  <c r="W13" i="107"/>
  <c r="D14" i="105"/>
  <c r="S18" i="107"/>
  <c r="E18" i="105"/>
  <c r="J18" i="105"/>
  <c r="F6" i="105"/>
  <c r="J8" i="105"/>
  <c r="AE121" i="106"/>
  <c r="AL115" i="106"/>
  <c r="S24" i="107"/>
  <c r="D11" i="105"/>
  <c r="W18" i="107"/>
  <c r="F19" i="105"/>
  <c r="E10" i="107"/>
  <c r="O11" i="105" a="1"/>
  <c r="O11" i="105" s="1"/>
  <c r="R25" i="107"/>
  <c r="AC12" i="107"/>
  <c r="J11" i="105"/>
  <c r="F9" i="105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22" i="105"/>
  <c r="F25" i="107"/>
  <c r="AC25" i="107" s="1"/>
  <c r="P13" i="107"/>
  <c r="R8" i="107"/>
  <c r="R24" i="107"/>
  <c r="N14" i="105"/>
  <c r="Q24" i="107"/>
  <c r="E17" i="107"/>
  <c r="E11" i="105"/>
  <c r="K11" i="105" a="1"/>
  <c r="K11" i="105" s="1"/>
  <c r="K31" i="105" s="1"/>
  <c r="G11" i="105"/>
  <c r="G31" i="105" s="1"/>
  <c r="F17" i="105"/>
  <c r="I20" i="105"/>
  <c r="K8" i="105" a="1"/>
  <c r="K8" i="105" s="1"/>
  <c r="K28" i="105" s="1"/>
  <c r="E8" i="105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O13" i="107"/>
  <c r="U25" i="107"/>
  <c r="F14" i="107"/>
  <c r="AC14" i="107" s="1"/>
  <c r="E14" i="105"/>
  <c r="N11" i="105"/>
  <c r="P26" i="107" l="1"/>
  <c r="P28" i="107" s="1"/>
  <c r="Q26" i="107"/>
  <c r="F18" i="105"/>
  <c r="O18" i="107"/>
  <c r="Q18" i="107"/>
  <c r="P18" i="107"/>
  <c r="E19" i="107"/>
  <c r="G24" i="107"/>
  <c r="M18" i="107"/>
  <c r="F16" i="107"/>
  <c r="AC16" i="107" s="1"/>
  <c r="AA24" i="107"/>
  <c r="Z18" i="107"/>
  <c r="AC8" i="107"/>
  <c r="L24" i="107"/>
  <c r="H24" i="107"/>
  <c r="F13" i="107"/>
  <c r="AC13" i="107" s="1"/>
  <c r="F22" i="107"/>
  <c r="AC22" i="107" s="1"/>
  <c r="N27" i="107"/>
  <c r="F27" i="107" s="1"/>
  <c r="AC27" i="107" s="1"/>
  <c r="M23" i="107"/>
  <c r="M24" i="107"/>
  <c r="U26" i="107"/>
  <c r="U28" i="107" s="1"/>
  <c r="R23" i="107"/>
  <c r="R29" i="107" s="1"/>
  <c r="Y24" i="107"/>
  <c r="F19" i="107"/>
  <c r="AC19" i="107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AM115" i="106"/>
  <c r="AM121" i="106" s="1"/>
  <c r="AL121" i="106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F8" i="105"/>
  <c r="V23" i="107"/>
  <c r="V29" i="107" s="1"/>
  <c r="N24" i="107"/>
  <c r="F11" i="105"/>
  <c r="T18" i="107"/>
  <c r="E20" i="105"/>
  <c r="I22" i="105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22" i="105"/>
  <c r="T29" i="107"/>
  <c r="H28" i="107"/>
  <c r="F20" i="105"/>
  <c r="J21" i="105"/>
  <c r="J22" i="105"/>
  <c r="E21" i="105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22" i="105"/>
  <c r="I29" i="107"/>
  <c r="F23" i="107"/>
  <c r="N29" i="107"/>
  <c r="G28" i="107"/>
  <c r="E28" i="107" s="1"/>
  <c r="O29" i="107"/>
  <c r="E29" i="107"/>
  <c r="K29" i="107"/>
  <c r="AC23" i="107" l="1"/>
  <c r="F29" i="107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YM25" i="1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9" i="1"/>
  <c r="ZE13" i="1" s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4" i="1" l="1"/>
  <c r="C64" i="1" s="1"/>
  <c r="ZE18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9" i="1"/>
  <c r="ZE14" i="1" s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4" i="1" l="1"/>
  <c r="C54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M11" i="1" l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F8" i="2" l="1"/>
  <c r="F23" i="105"/>
  <c r="F52" i="2"/>
  <c r="F41" i="2"/>
  <c r="G51" i="2"/>
  <c r="D51" i="2" s="1"/>
  <c r="H8" i="2" s="1"/>
  <c r="G41" i="2"/>
  <c r="S66" i="59"/>
  <c r="S65" i="59"/>
  <c r="O66" i="59"/>
  <c r="Q66" i="59" s="1"/>
  <c r="G55" i="2"/>
  <c r="F66" i="59"/>
  <c r="L65" i="59"/>
  <c r="F65" i="59"/>
  <c r="L66" i="59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I35" i="105" l="1"/>
  <c r="H35" i="105"/>
  <c r="M33" i="105"/>
  <c r="I33" i="105"/>
  <c r="H33" i="105"/>
  <c r="H30" i="105"/>
  <c r="L27" i="105"/>
  <c r="D35" i="105"/>
  <c r="M26" i="105"/>
  <c r="E36" i="105"/>
  <c r="L33" i="105"/>
  <c r="H32" i="105"/>
  <c r="D33" i="105"/>
  <c r="E33" i="105"/>
  <c r="J30" i="105"/>
  <c r="L26" i="105"/>
  <c r="I36" i="105"/>
  <c r="H26" i="105"/>
  <c r="H27" i="105"/>
  <c r="D30" i="105"/>
  <c r="I30" i="105"/>
  <c r="M27" i="105"/>
  <c r="L30" i="105"/>
  <c r="D36" i="105"/>
  <c r="H36" i="105"/>
  <c r="I32" i="105"/>
  <c r="M29" i="105"/>
  <c r="N30" i="105"/>
  <c r="H28" i="105"/>
  <c r="J33" i="105"/>
  <c r="N26" i="105"/>
  <c r="J32" i="105"/>
  <c r="J35" i="105"/>
  <c r="M30" i="105"/>
  <c r="D32" i="105"/>
  <c r="I37" i="105"/>
  <c r="I34" i="105"/>
  <c r="N33" i="105"/>
  <c r="E35" i="105"/>
  <c r="I26" i="105"/>
  <c r="H29" i="105"/>
  <c r="N27" i="105"/>
  <c r="D27" i="105"/>
  <c r="M32" i="105"/>
  <c r="M28" i="105"/>
  <c r="M43" i="105" s="1"/>
  <c r="H37" i="105"/>
  <c r="L32" i="105"/>
  <c r="D26" i="105"/>
  <c r="L28" i="105"/>
  <c r="M31" i="105"/>
  <c r="H34" i="105"/>
  <c r="J27" i="105"/>
  <c r="I27" i="105"/>
  <c r="J36" i="105"/>
  <c r="I29" i="105"/>
  <c r="L29" i="105"/>
  <c r="L34" i="105"/>
  <c r="F32" i="105"/>
  <c r="I28" i="105"/>
  <c r="N29" i="105"/>
  <c r="H40" i="105"/>
  <c r="H31" i="105"/>
  <c r="J29" i="105"/>
  <c r="L31" i="105"/>
  <c r="E26" i="105"/>
  <c r="F27" i="105"/>
  <c r="D28" i="105"/>
  <c r="D29" i="105"/>
  <c r="J34" i="105"/>
  <c r="N32" i="105"/>
  <c r="D37" i="105"/>
  <c r="E32" i="105"/>
  <c r="J37" i="105"/>
  <c r="M34" i="105"/>
  <c r="F33" i="105"/>
  <c r="E27" i="105"/>
  <c r="M40" i="105"/>
  <c r="F36" i="105"/>
  <c r="I31" i="105"/>
  <c r="E29" i="105"/>
  <c r="E30" i="105"/>
  <c r="J26" i="105"/>
  <c r="F35" i="105"/>
  <c r="E37" i="105"/>
  <c r="F30" i="105"/>
  <c r="N28" i="105"/>
  <c r="F37" i="105"/>
  <c r="F29" i="105"/>
  <c r="J31" i="105"/>
  <c r="E31" i="105"/>
  <c r="F26" i="105"/>
  <c r="D31" i="105"/>
  <c r="I40" i="105"/>
  <c r="N31" i="105"/>
  <c r="L40" i="105"/>
  <c r="N34" i="105"/>
  <c r="D34" i="105"/>
  <c r="E28" i="105"/>
  <c r="E34" i="105"/>
  <c r="J28" i="105"/>
  <c r="F34" i="105"/>
  <c r="F28" i="105"/>
  <c r="D40" i="105"/>
  <c r="F31" i="105"/>
  <c r="J40" i="105"/>
  <c r="J43" i="105" s="1"/>
  <c r="E40" i="105"/>
  <c r="N40" i="105"/>
  <c r="F40" i="105"/>
  <c r="D41" i="2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L43" i="105" l="1"/>
  <c r="M39" i="105"/>
  <c r="N39" i="105"/>
  <c r="N42" i="105" s="1"/>
  <c r="J38" i="105"/>
  <c r="J41" i="105" s="1"/>
  <c r="M38" i="105"/>
  <c r="O38" i="105" s="1"/>
  <c r="F43" i="105"/>
  <c r="D38" i="105"/>
  <c r="D41" i="105" s="1"/>
  <c r="N43" i="105"/>
  <c r="I43" i="105"/>
  <c r="E43" i="105"/>
  <c r="M42" i="105"/>
  <c r="O39" i="105"/>
  <c r="D43" i="105"/>
  <c r="F38" i="105"/>
  <c r="F41" i="105" s="1"/>
  <c r="D39" i="105"/>
  <c r="D42" i="105" s="1"/>
  <c r="N38" i="105"/>
  <c r="N41" i="105" s="1"/>
  <c r="H39" i="105"/>
  <c r="H42" i="105" s="1"/>
  <c r="L39" i="105"/>
  <c r="L42" i="105" s="1"/>
  <c r="F39" i="105"/>
  <c r="F42" i="105" s="1"/>
  <c r="E38" i="105"/>
  <c r="E41" i="105" s="1"/>
  <c r="I39" i="105"/>
  <c r="I42" i="105"/>
  <c r="H38" i="105"/>
  <c r="H41" i="105" s="1"/>
  <c r="E39" i="105"/>
  <c r="E42" i="105" s="1"/>
  <c r="J39" i="105"/>
  <c r="J42" i="105" s="1"/>
  <c r="I38" i="105"/>
  <c r="K38" i="105" s="1"/>
  <c r="L38" i="105"/>
  <c r="L41" i="105" s="1"/>
  <c r="H43" i="105"/>
  <c r="G8" i="2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E7" i="60"/>
  <c r="E8" i="60"/>
  <c r="E15" i="2"/>
  <c r="C8" i="60"/>
  <c r="E9" i="2"/>
  <c r="D9" i="2" s="1"/>
  <c r="D14" i="2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ZE19" i="1" l="1"/>
  <c r="ZE23" i="1"/>
  <c r="M41" i="105"/>
  <c r="I41" i="105"/>
  <c r="G38" i="105"/>
  <c r="K39" i="105"/>
  <c r="G39" i="105" s="1"/>
  <c r="YM19" i="1"/>
  <c r="YM23" i="1"/>
  <c r="D8" i="2"/>
  <c r="D13" i="2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E15" i="1" l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E27" i="1" l="1"/>
  <c r="ZE30" i="1" s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ZE28" i="1" l="1"/>
  <c r="YM30" i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<sst xmlns="http://schemas.openxmlformats.org/spreadsheetml/2006/main" count="2884" uniqueCount="733">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</sst>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;\-&quot;฿&quot;#,##0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_-* #,##0.00\ _₽_-;\-* #,##0.00\ _₽_-;_-* &quot;-&quot;??\ _₽_-;_-@_-"/>
    <numFmt numFmtId="169" formatCode="_(* #,##0_);_(* \(#,##0\);_(* &quot;-&quot;??_);_(@_)"/>
    <numFmt numFmtId="170" formatCode="_(* #,##0.0_);_(* \(#,##0.0\);_(* &quot;-&quot;??_);_(@_)"/>
    <numFmt numFmtId="171" formatCode="_-* #,##0.00\ _р_._-;\-* #,##0.00\ _р_._-;_-* &quot;-&quot;??\ _р_._-;_-@_-"/>
    <numFmt numFmtId="172" formatCode="#,##0.0"/>
    <numFmt numFmtId="173" formatCode="dd\/mm\/yy"/>
    <numFmt numFmtId="174" formatCode="#,##0.0_);\(#,##0.0\)"/>
    <numFmt numFmtId="175" formatCode="_-* #,##0_-;\-* #,##0_-;_-* &quot;-&quot;??_-;_-@_-"/>
    <numFmt numFmtId="176" formatCode="dd\.mm\.yyyy;@"/>
    <numFmt numFmtId="177" formatCode="_-* #,##0.00_р_._-;\-* #,##0.00_р_._-;_-* &quot;-&quot;??_р_._-;_-@_-"/>
    <numFmt numFmtId="178" formatCode="_(* #,##0_);_(* \(#,##0\);_(* &quot;-&quot;???_);_(@_)"/>
    <numFmt numFmtId="179" formatCode="_-* #,##0_р_._-;\-* #,##0_р_._-;_-* &quot;-&quot;??_р_._-;_-@_-"/>
    <numFmt numFmtId="180" formatCode="_(* #,##0_);[Red]_(* \(#,##0\);_(* &quot;-&quot;??_);_(@_)"/>
    <numFmt numFmtId="181" formatCode="_(* #,##0,;[Red]_(* \(#,##0,\);_(* &quot;-&quot;??_);_(@_)"/>
    <numFmt numFmtId="182" formatCode="_(* #,##0.000_);_(* \(#,##0.000\);_(* &quot;-&quot;??_);_(@_)"/>
    <numFmt numFmtId="183" formatCode="_(* #,##0.0000000_);_(* \(#,##0.0000000\);_(* &quot;-&quot;??_);_(@_)"/>
    <numFmt numFmtId="184" formatCode="_-* #,##0.0\ _₽_-;\-* #,##0.0\ _₽_-;_-* &quot;-&quot;?\ _₽_-;_-@_-"/>
    <numFmt numFmtId="185" formatCode="0.0%"/>
    <numFmt numFmtId="186" formatCode="General_)"/>
    <numFmt numFmtId="187" formatCode="_ * #,##0_ ;_ * \-#,##0_ ;_ * &quot;-&quot;_ ;_ @_ "/>
    <numFmt numFmtId="188" formatCode="_ * #,##0.00_ ;_ * \-#,##0.00_ ;_ * &quot;-&quot;??_ ;_ @_ "/>
    <numFmt numFmtId="189" formatCode="\t&quot;$&quot;#,##0_);[Red]\(\t&quot;$&quot;#,##0\)"/>
    <numFmt numFmtId="190" formatCode="\t&quot;฿&quot;#,##0_);[Red]\(\t&quot;฿&quot;#,##0\)"/>
    <numFmt numFmtId="191" formatCode="_-* #,##0_р_._-;\-* #,##0_р_._-;_-* &quot;-&quot;_р_._-;_-@_-"/>
    <numFmt numFmtId="192" formatCode="_-* #,##0\ _T_L_-;\-* #,##0\ _T_L_-;_-* &quot;-&quot;\ _T_L_-;_-@_-"/>
    <numFmt numFmtId="193" formatCode="#,##0\ \ ;\(#,##0\)\ ;\—\ \ \ \ "/>
    <numFmt numFmtId="194" formatCode="0.00_)"/>
    <numFmt numFmtId="195" formatCode="#,##0.000"/>
    <numFmt numFmtId="196" formatCode="[$-1070000]d/m/yy;@"/>
    <numFmt numFmtId="197" formatCode="#,##0.000;[Red]\-#,##0.000"/>
    <numFmt numFmtId="198" formatCode="#,##0.00;[Red]\(#,##0.000\)"/>
    <numFmt numFmtId="199" formatCode="#,##0;[Red]\(#,##0\)"/>
    <numFmt numFmtId="200" formatCode="_(&quot;฿&quot;* #,##0.00_);_(&quot;฿&quot;* \(#,##0.00\);_(&quot;฿&quot;* &quot;-&quot;??_);_(@_)"/>
    <numFmt numFmtId="201" formatCode="#,##0.0000"/>
    <numFmt numFmtId="202" formatCode="dd\-mmm\-yy_)"/>
    <numFmt numFmtId="203" formatCode="#,##0.00\ &quot;F&quot;;\-#,##0.00\ &quot;F&quot;"/>
    <numFmt numFmtId="204" formatCode="\$#,##0\ ;\(\$#,##0\)"/>
    <numFmt numFmtId="205" formatCode="#,##0\ &quot; &quot;;\(#,##0\)\ ;&quot;—&quot;&quot; &quot;&quot; &quot;&quot; &quot;&quot; &quot;"/>
    <numFmt numFmtId="206" formatCode="#,##0.0000_);[Red]\(#,##0.0000\)"/>
    <numFmt numFmtId="207" formatCode="&quot;฿&quot;#,##0_);\(&quot;฿&quot;#,##0\)"/>
    <numFmt numFmtId="208" formatCode="&quot;\&quot;#,##0;[Red]&quot;\&quot;&quot;\&quot;\-#,##0"/>
    <numFmt numFmtId="209" formatCode="&quot;\&quot;#,##0.00;[Red]&quot;\&quot;\-#,##0.00"/>
    <numFmt numFmtId="210" formatCode="&quot;\&quot;#,##0;[Red]&quot;\&quot;\-#,##0"/>
    <numFmt numFmtId="211" formatCode="#,##0.00000_);\(#,##0.00000\)"/>
    <numFmt numFmtId="212" formatCode="&quot;$&quot;#,##0;[Red]\-&quot;$&quot;#,##0"/>
    <numFmt numFmtId="213" formatCode="_-* #,##0\ _р_._-;\-* #,##0\ _р_._-;_-* &quot;-&quot;??\ _р_._-;_-@_-"/>
    <numFmt numFmtId="214" formatCode="_-* #,##0.00000000000\ _р_._-;\-* #,##0.00000000000\ _р_._-;_-* &quot;-&quot;??\ _р_._-;_-@_-"/>
    <numFmt numFmtId="215" formatCode="#,##0_ ;\-#,##0\ "/>
    <numFmt numFmtId="216" formatCode="_-* #,##0.0\ _₽_-;\-* #,##0.0\ _₽_-;_-* &quot;-&quot;??\ _₽_-;_-@_-"/>
    <numFmt numFmtId="217" formatCode="dd\.mm\.yyyy"/>
    <numFmt numFmtId="218" formatCode="_-* #,##0.0\ _р_._-;\-* #,##0.0\ _р_._-;_-* &quot;-&quot;??\ _р_._-;_-@_-"/>
    <numFmt numFmtId="219" formatCode="#,##0.0;\-#,##0.0"/>
    <numFmt numFmtId="220" formatCode="0.0"/>
    <numFmt numFmtId="221" formatCode="mm/yyyy"/>
    <numFmt numFmtId="222" formatCode="_(* #,##0.0000_);_(* \(#,##0.0000\);_(* &quot;-&quot;??_);_(@_)"/>
    <numFmt numFmtId="223" formatCode="_ [$¥-804]* #,##0.00_ ;_ [$¥-804]* \-#,##0.00_ ;_ [$¥-804]* &quot;-&quot;??_ ;_ @_ "/>
    <numFmt numFmtId="224" formatCode="#,##0;[Red]#,##0"/>
    <numFmt numFmtId="225" formatCode="yyyy"/>
    <numFmt numFmtId="226" formatCode="_-* #,##0.000_-;\-* #,##0.000_-;_-* &quot;-&quot;??_-;_-@_-"/>
    <numFmt numFmtId="227" formatCode="#,##0.0000000000000"/>
    <numFmt numFmtId="228" formatCode="#,##0.00000000000000"/>
  </numFmts>
  <fonts count="36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0000CC"/>
      <name val="Calibri"/>
      <family val="2"/>
      <charset val="204"/>
      <scheme val="minor"/>
    </font>
    <font>
      <i/>
      <sz val="11"/>
      <color rgb="FF0000CC"/>
      <name val="Calibri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8"/>
      <color theme="1"/>
      <name val="Calibri"/>
      <family val="2"/>
      <scheme val="minor"/>
    </font>
    <font>
      <i/>
      <sz val="8"/>
      <color theme="0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10"/>
      <name val="Calibri"/>
      <family val="2"/>
      <charset val="204"/>
      <scheme val="minor"/>
    </font>
    <font>
      <sz val="11"/>
      <color rgb="FF0033CC"/>
      <name val="Calibri"/>
      <family val="2"/>
      <charset val="204"/>
      <scheme val="minor"/>
    </font>
    <font>
      <sz val="11"/>
      <color rgb="FF003399"/>
      <name val="Calibri"/>
      <family val="2"/>
      <scheme val="minor"/>
    </font>
    <font>
      <sz val="11"/>
      <color rgb="FF00339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u val="singleAccounting"/>
      <sz val="10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0"/>
      <name val="Calibri"/>
      <family val="2"/>
      <charset val="204"/>
      <scheme val="minor"/>
    </font>
    <font>
      <sz val="10"/>
      <color rgb="FF003399"/>
      <name val="Calibri"/>
      <family val="2"/>
      <charset val="204"/>
      <scheme val="minor"/>
    </font>
    <font>
      <b/>
      <sz val="10"/>
      <color rgb="FF003399"/>
      <name val="Calibri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Calibri"/>
      <family val="2"/>
      <charset val="204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charset val="204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8"/>
      <color theme="3"/>
      <name val="Calibri Light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charset val="204"/>
    </font>
    <font>
      <sz val="8"/>
      <name val="Calibri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Calibri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Calibri Light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Calibri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Calibri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Calibri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71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27" fillId="0" borderId="0"/>
    <xf numFmtId="167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4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165" fontId="62" fillId="0" borderId="0" applyFont="0" applyFill="0" applyBorder="0" applyAlignment="0" applyProtection="0">
      <alignment vertical="center"/>
    </xf>
    <xf numFmtId="0" fontId="14" fillId="0" borderId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177" fontId="14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177" fontId="118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43" fontId="1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187" fontId="154" fillId="0" borderId="0" applyFont="0" applyFill="0" applyBorder="0" applyAlignment="0" applyProtection="0"/>
    <xf numFmtId="187" fontId="155" fillId="0" borderId="0" applyFont="0" applyFill="0" applyBorder="0" applyAlignment="0" applyProtection="0"/>
    <xf numFmtId="187" fontId="154" fillId="0" borderId="0" applyFont="0" applyFill="0" applyBorder="0" applyAlignment="0" applyProtection="0"/>
    <xf numFmtId="188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7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165" fontId="32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1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9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8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32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6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9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9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202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9" fillId="0" borderId="0"/>
    <xf numFmtId="203" fontId="158" fillId="0" borderId="0"/>
    <xf numFmtId="203" fontId="158" fillId="0" borderId="0"/>
    <xf numFmtId="203" fontId="159" fillId="0" borderId="0"/>
    <xf numFmtId="203" fontId="159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4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9" fillId="0" borderId="0"/>
    <xf numFmtId="202" fontId="158" fillId="0" borderId="0"/>
    <xf numFmtId="202" fontId="158" fillId="0" borderId="0"/>
    <xf numFmtId="202" fontId="159" fillId="0" borderId="0"/>
    <xf numFmtId="202" fontId="159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9" fillId="0" borderId="0"/>
    <xf numFmtId="185" fontId="158" fillId="0" borderId="0"/>
    <xf numFmtId="185" fontId="158" fillId="0" borderId="0"/>
    <xf numFmtId="185" fontId="159" fillId="0" borderId="0"/>
    <xf numFmtId="185" fontId="159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05" fontId="196" fillId="0" borderId="0">
      <alignment horizontal="right"/>
    </xf>
    <xf numFmtId="205" fontId="196" fillId="0" borderId="0">
      <alignment horizontal="right"/>
    </xf>
    <xf numFmtId="193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194" fontId="221" fillId="0" borderId="0"/>
    <xf numFmtId="194" fontId="221" fillId="0" borderId="0"/>
    <xf numFmtId="194" fontId="222" fillId="0" borderId="0"/>
    <xf numFmtId="194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165" fontId="62" fillId="0" borderId="0" applyFont="0" applyFill="0" applyBorder="0" applyAlignment="0" applyProtection="0">
      <alignment vertical="center"/>
    </xf>
    <xf numFmtId="167" fontId="10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6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7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200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58" fillId="0" borderId="0" applyFont="0" applyFill="0" applyBorder="0" applyAlignment="0" applyProtection="0"/>
    <xf numFmtId="42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6" fontId="32" fillId="0" borderId="0" applyFont="0" applyFill="0" applyBorder="0" applyAlignment="0" applyProtection="0"/>
    <xf numFmtId="8" fontId="32" fillId="0" borderId="0" applyFont="0" applyFill="0" applyBorder="0" applyAlignment="0" applyProtection="0"/>
    <xf numFmtId="5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165" fontId="271" fillId="0" borderId="0" applyFont="0" applyFill="0" applyBorder="0" applyAlignment="0" applyProtection="0"/>
    <xf numFmtId="167" fontId="271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08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09" fontId="274" fillId="0" borderId="0" applyFont="0" applyFill="0" applyBorder="0" applyAlignment="0" applyProtection="0"/>
    <xf numFmtId="210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167" fontId="160" fillId="0" borderId="0" applyFont="0" applyFill="0" applyBorder="0" applyAlignment="0" applyProtection="0"/>
    <xf numFmtId="42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52" fillId="0" borderId="0" applyFont="0" applyFill="0" applyBorder="0" applyAlignment="0" applyProtection="0"/>
    <xf numFmtId="211" fontId="160" fillId="0" borderId="0" applyFont="0" applyFill="0" applyBorder="0" applyAlignment="0" applyProtection="0"/>
    <xf numFmtId="211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27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12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9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5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52" fillId="0" borderId="0"/>
    <xf numFmtId="167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43" fontId="16" fillId="0" borderId="1" xfId="1" applyFont="1" applyBorder="1"/>
    <xf numFmtId="0" fontId="16" fillId="4" borderId="8" xfId="0" applyFont="1" applyFill="1" applyBorder="1"/>
    <xf numFmtId="169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70" fontId="16" fillId="3" borderId="7" xfId="1" applyNumberFormat="1" applyFont="1" applyFill="1" applyBorder="1"/>
    <xf numFmtId="170" fontId="18" fillId="5" borderId="1" xfId="0" applyNumberFormat="1" applyFont="1" applyFill="1" applyBorder="1"/>
    <xf numFmtId="170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71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72" fontId="26" fillId="0" borderId="11" xfId="3" applyNumberFormat="1" applyFont="1" applyBorder="1" applyAlignment="1">
      <alignment horizontal="center" vertical="center"/>
    </xf>
    <xf numFmtId="172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71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72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72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72" fontId="26" fillId="0" borderId="13" xfId="3" applyNumberFormat="1" applyFont="1" applyBorder="1" applyAlignment="1">
      <alignment horizontal="center" vertical="center"/>
    </xf>
    <xf numFmtId="171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43" fontId="26" fillId="0" borderId="16" xfId="1" applyFont="1" applyBorder="1" applyAlignment="1">
      <alignment vertical="center"/>
    </xf>
    <xf numFmtId="171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71" fontId="23" fillId="0" borderId="17" xfId="4" applyFont="1" applyBorder="1" applyAlignment="1">
      <alignment horizontal="center" vertical="center"/>
    </xf>
    <xf numFmtId="172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43" fontId="23" fillId="0" borderId="17" xfId="1" applyFont="1" applyBorder="1" applyAlignment="1">
      <alignment horizontal="center" vertical="center"/>
    </xf>
    <xf numFmtId="172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43" fontId="23" fillId="0" borderId="0" xfId="1" applyFont="1" applyBorder="1" applyAlignment="1">
      <alignment horizontal="center" vertical="center"/>
    </xf>
    <xf numFmtId="172" fontId="23" fillId="0" borderId="0" xfId="4" applyNumberFormat="1" applyFont="1" applyBorder="1" applyAlignment="1">
      <alignment horizontal="center" vertical="center"/>
    </xf>
    <xf numFmtId="172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174" fontId="23" fillId="0" borderId="0" xfId="1" applyNumberFormat="1" applyFont="1" applyFill="1" applyAlignment="1">
      <alignment horizontal="center" vertical="center"/>
    </xf>
    <xf numFmtId="174" fontId="23" fillId="0" borderId="18" xfId="1" applyNumberFormat="1" applyFont="1" applyFill="1" applyBorder="1" applyAlignment="1">
      <alignment horizontal="center" vertical="center"/>
    </xf>
    <xf numFmtId="174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4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4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72" fontId="26" fillId="0" borderId="16" xfId="3" applyNumberFormat="1" applyFont="1" applyBorder="1" applyAlignment="1">
      <alignment horizontal="center" vertical="center"/>
    </xf>
    <xf numFmtId="172" fontId="0" fillId="0" borderId="16" xfId="4" applyNumberFormat="1" applyFont="1" applyBorder="1" applyAlignment="1">
      <alignment horizontal="center" vertical="center"/>
    </xf>
    <xf numFmtId="172" fontId="15" fillId="0" borderId="16" xfId="4" applyNumberFormat="1" applyFont="1" applyBorder="1" applyAlignment="1">
      <alignment horizontal="center" vertical="center"/>
    </xf>
    <xf numFmtId="172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72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167" fontId="37" fillId="0" borderId="0" xfId="6" applyFont="1" applyAlignment="1">
      <alignment horizontal="left" vertical="center"/>
    </xf>
    <xf numFmtId="167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167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167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167" fontId="43" fillId="0" borderId="0" xfId="6" applyFont="1" applyAlignment="1">
      <alignment vertical="center"/>
    </xf>
    <xf numFmtId="167" fontId="44" fillId="0" borderId="0" xfId="6" applyFont="1" applyAlignment="1">
      <alignment vertical="center"/>
    </xf>
    <xf numFmtId="174" fontId="38" fillId="0" borderId="27" xfId="0" applyNumberFormat="1" applyFont="1" applyBorder="1" applyAlignment="1">
      <alignment horizontal="center" vertical="center"/>
    </xf>
    <xf numFmtId="174" fontId="38" fillId="0" borderId="28" xfId="0" applyNumberFormat="1" applyFont="1" applyBorder="1" applyAlignment="1">
      <alignment horizontal="center" vertical="center"/>
    </xf>
    <xf numFmtId="174" fontId="42" fillId="0" borderId="25" xfId="0" applyNumberFormat="1" applyFont="1" applyBorder="1" applyAlignment="1">
      <alignment horizontal="center" vertical="center"/>
    </xf>
    <xf numFmtId="174" fontId="42" fillId="0" borderId="0" xfId="0" applyNumberFormat="1" applyFont="1" applyAlignment="1">
      <alignment horizontal="center" vertical="center"/>
    </xf>
    <xf numFmtId="174" fontId="42" fillId="0" borderId="0" xfId="6" applyNumberFormat="1" applyFont="1" applyBorder="1" applyAlignment="1">
      <alignment horizontal="center" vertical="center"/>
    </xf>
    <xf numFmtId="174" fontId="38" fillId="0" borderId="25" xfId="0" applyNumberFormat="1" applyFont="1" applyBorder="1" applyAlignment="1">
      <alignment horizontal="center" vertical="center"/>
    </xf>
    <xf numFmtId="174" fontId="38" fillId="0" borderId="0" xfId="0" applyNumberFormat="1" applyFont="1" applyAlignment="1">
      <alignment horizontal="center" vertical="center"/>
    </xf>
    <xf numFmtId="4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43" fontId="34" fillId="0" borderId="0" xfId="1" applyFont="1" applyFill="1"/>
    <xf numFmtId="170" fontId="33" fillId="0" borderId="14" xfId="1" applyNumberFormat="1" applyFont="1" applyFill="1" applyBorder="1"/>
    <xf numFmtId="170" fontId="33" fillId="0" borderId="15" xfId="1" applyNumberFormat="1" applyFont="1" applyFill="1" applyBorder="1"/>
    <xf numFmtId="170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72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167" fontId="17" fillId="0" borderId="1" xfId="8" applyFont="1" applyBorder="1"/>
    <xf numFmtId="170" fontId="31" fillId="0" borderId="9" xfId="1" applyNumberFormat="1" applyFont="1" applyBorder="1" applyAlignment="1">
      <alignment vertical="center" wrapText="1"/>
    </xf>
    <xf numFmtId="170" fontId="31" fillId="4" borderId="7" xfId="1" applyNumberFormat="1" applyFont="1" applyFill="1" applyBorder="1" applyAlignment="1">
      <alignment vertical="top" wrapText="1"/>
    </xf>
    <xf numFmtId="170" fontId="16" fillId="4" borderId="7" xfId="1" applyNumberFormat="1" applyFont="1" applyFill="1" applyBorder="1"/>
    <xf numFmtId="170" fontId="17" fillId="4" borderId="7" xfId="1" applyNumberFormat="1" applyFont="1" applyFill="1" applyBorder="1"/>
    <xf numFmtId="170" fontId="16" fillId="0" borderId="0" xfId="1" applyNumberFormat="1" applyFont="1"/>
    <xf numFmtId="4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4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4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4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43" fontId="40" fillId="0" borderId="2" xfId="11" applyFont="1" applyFill="1" applyBorder="1" applyAlignment="1">
      <alignment vertical="center"/>
    </xf>
    <xf numFmtId="4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176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4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176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176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72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43" fontId="65" fillId="11" borderId="27" xfId="1" applyFont="1" applyFill="1" applyBorder="1" applyAlignment="1">
      <alignment vertical="center"/>
    </xf>
    <xf numFmtId="4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4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4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43" fontId="66" fillId="11" borderId="0" xfId="1" applyFont="1" applyFill="1" applyBorder="1" applyAlignment="1">
      <alignment vertical="center"/>
    </xf>
    <xf numFmtId="4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4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4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43" fontId="65" fillId="14" borderId="22" xfId="1" applyFont="1" applyFill="1" applyBorder="1" applyAlignment="1">
      <alignment vertical="center"/>
    </xf>
    <xf numFmtId="4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43" fontId="63" fillId="11" borderId="0" xfId="1" applyFont="1" applyFill="1" applyAlignment="1">
      <alignment vertical="center"/>
    </xf>
    <xf numFmtId="4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69" fontId="15" fillId="0" borderId="0" xfId="17" applyNumberFormat="1" applyFont="1"/>
    <xf numFmtId="0" fontId="15" fillId="0" borderId="0" xfId="17" applyFont="1"/>
    <xf numFmtId="169" fontId="15" fillId="0" borderId="54" xfId="18" applyNumberFormat="1" applyFont="1" applyFill="1" applyBorder="1" applyAlignment="1">
      <alignment wrapText="1"/>
    </xf>
    <xf numFmtId="169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69" fontId="14" fillId="0" borderId="0" xfId="20" applyNumberFormat="1"/>
    <xf numFmtId="37" fontId="14" fillId="0" borderId="0" xfId="20" applyNumberFormat="1"/>
    <xf numFmtId="169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178" fontId="14" fillId="0" borderId="0" xfId="20" applyNumberFormat="1"/>
    <xf numFmtId="0" fontId="67" fillId="0" borderId="0" xfId="20" applyFont="1"/>
    <xf numFmtId="169" fontId="69" fillId="0" borderId="0" xfId="20" applyNumberFormat="1" applyFont="1"/>
    <xf numFmtId="169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69" fontId="71" fillId="0" borderId="0" xfId="20" applyNumberFormat="1" applyFont="1"/>
    <xf numFmtId="169" fontId="72" fillId="0" borderId="0" xfId="20" applyNumberFormat="1" applyFont="1" applyAlignment="1">
      <alignment horizontal="right"/>
    </xf>
    <xf numFmtId="169" fontId="26" fillId="0" borderId="50" xfId="20" applyNumberFormat="1" applyFont="1" applyBorder="1"/>
    <xf numFmtId="169" fontId="26" fillId="0" borderId="51" xfId="20" applyNumberFormat="1" applyFont="1" applyBorder="1" applyAlignment="1">
      <alignment horizontal="center" vertical="top"/>
    </xf>
    <xf numFmtId="169" fontId="26" fillId="0" borderId="52" xfId="20" applyNumberFormat="1" applyFont="1" applyBorder="1" applyAlignment="1">
      <alignment horizontal="center" vertical="top"/>
    </xf>
    <xf numFmtId="169" fontId="26" fillId="0" borderId="53" xfId="20" applyNumberFormat="1" applyFont="1" applyBorder="1"/>
    <xf numFmtId="169" fontId="14" fillId="0" borderId="1" xfId="20" applyNumberFormat="1" applyBorder="1"/>
    <xf numFmtId="169" fontId="14" fillId="0" borderId="54" xfId="20" applyNumberFormat="1" applyBorder="1"/>
    <xf numFmtId="169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69" fontId="67" fillId="0" borderId="53" xfId="20" applyNumberFormat="1" applyFont="1" applyBorder="1"/>
    <xf numFmtId="169" fontId="67" fillId="0" borderId="1" xfId="20" applyNumberFormat="1" applyFont="1" applyBorder="1"/>
    <xf numFmtId="169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69" fontId="23" fillId="0" borderId="53" xfId="20" applyNumberFormat="1" applyFont="1" applyBorder="1"/>
    <xf numFmtId="169" fontId="23" fillId="0" borderId="1" xfId="20" applyNumberFormat="1" applyFont="1" applyBorder="1"/>
    <xf numFmtId="169" fontId="23" fillId="0" borderId="54" xfId="20" applyNumberFormat="1" applyFont="1" applyBorder="1"/>
    <xf numFmtId="37" fontId="74" fillId="0" borderId="0" xfId="21" applyNumberFormat="1" applyFont="1" applyFill="1"/>
    <xf numFmtId="179" fontId="74" fillId="0" borderId="0" xfId="20" applyNumberFormat="1" applyFont="1"/>
    <xf numFmtId="179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69" fontId="26" fillId="0" borderId="55" xfId="20" applyNumberFormat="1" applyFont="1" applyBorder="1"/>
    <xf numFmtId="169" fontId="26" fillId="0" borderId="56" xfId="20" applyNumberFormat="1" applyFont="1" applyBorder="1"/>
    <xf numFmtId="169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69" fontId="76" fillId="0" borderId="0" xfId="20" applyNumberFormat="1" applyFont="1"/>
    <xf numFmtId="169" fontId="77" fillId="0" borderId="0" xfId="20" applyNumberFormat="1" applyFont="1"/>
    <xf numFmtId="169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69" fontId="14" fillId="0" borderId="0" xfId="20" applyNumberFormat="1" applyAlignment="1">
      <alignment horizontal="center"/>
    </xf>
    <xf numFmtId="180" fontId="14" fillId="0" borderId="0" xfId="20" applyNumberFormat="1"/>
    <xf numFmtId="169" fontId="23" fillId="0" borderId="50" xfId="21" applyNumberFormat="1" applyFont="1" applyFill="1" applyBorder="1" applyAlignment="1">
      <alignment wrapText="1"/>
    </xf>
    <xf numFmtId="169" fontId="15" fillId="0" borderId="51" xfId="21" applyNumberFormat="1" applyFont="1" applyFill="1" applyBorder="1" applyAlignment="1">
      <alignment horizontal="center" wrapText="1"/>
    </xf>
    <xf numFmtId="169" fontId="15" fillId="0" borderId="51" xfId="20" applyNumberFormat="1" applyFont="1" applyBorder="1" applyAlignment="1">
      <alignment horizontal="center"/>
    </xf>
    <xf numFmtId="169" fontId="15" fillId="0" borderId="52" xfId="20" applyNumberFormat="1" applyFont="1" applyBorder="1" applyAlignment="1">
      <alignment horizontal="center"/>
    </xf>
    <xf numFmtId="169" fontId="15" fillId="0" borderId="0" xfId="20" applyNumberFormat="1" applyFont="1"/>
    <xf numFmtId="0" fontId="15" fillId="0" borderId="0" xfId="20" applyFont="1"/>
    <xf numFmtId="169" fontId="15" fillId="0" borderId="1" xfId="21" applyNumberFormat="1" applyFont="1" applyFill="1" applyBorder="1" applyAlignment="1"/>
    <xf numFmtId="169" fontId="15" fillId="0" borderId="54" xfId="21" applyNumberFormat="1" applyFont="1" applyFill="1" applyBorder="1" applyAlignment="1">
      <alignment wrapText="1"/>
    </xf>
    <xf numFmtId="169" fontId="15" fillId="0" borderId="53" xfId="20" applyNumberFormat="1" applyFont="1" applyBorder="1"/>
    <xf numFmtId="169" fontId="15" fillId="0" borderId="1" xfId="20" applyNumberFormat="1" applyFont="1" applyBorder="1"/>
    <xf numFmtId="169" fontId="35" fillId="0" borderId="1" xfId="20" applyNumberFormat="1" applyFont="1" applyBorder="1"/>
    <xf numFmtId="169" fontId="23" fillId="0" borderId="1" xfId="21" applyNumberFormat="1" applyFont="1" applyFill="1" applyBorder="1" applyAlignment="1">
      <alignment wrapText="1"/>
    </xf>
    <xf numFmtId="169" fontId="23" fillId="0" borderId="2" xfId="21" applyNumberFormat="1" applyFont="1" applyFill="1" applyBorder="1" applyAlignment="1">
      <alignment wrapText="1"/>
    </xf>
    <xf numFmtId="169" fontId="23" fillId="0" borderId="25" xfId="20" applyNumberFormat="1" applyFont="1" applyBorder="1"/>
    <xf numFmtId="169" fontId="23" fillId="0" borderId="0" xfId="20" applyNumberFormat="1" applyFont="1"/>
    <xf numFmtId="0" fontId="23" fillId="0" borderId="0" xfId="20" applyFont="1"/>
    <xf numFmtId="169" fontId="15" fillId="0" borderId="53" xfId="21" applyNumberFormat="1" applyFont="1" applyFill="1" applyBorder="1" applyAlignment="1">
      <alignment wrapText="1"/>
    </xf>
    <xf numFmtId="169" fontId="15" fillId="0" borderId="1" xfId="21" applyNumberFormat="1" applyFont="1" applyFill="1" applyBorder="1" applyAlignment="1">
      <alignment wrapText="1"/>
    </xf>
    <xf numFmtId="169" fontId="80" fillId="0" borderId="1" xfId="20" applyNumberFormat="1" applyFont="1" applyBorder="1" applyAlignment="1">
      <alignment wrapText="1"/>
    </xf>
    <xf numFmtId="169" fontId="14" fillId="0" borderId="1" xfId="20" applyNumberFormat="1" applyBorder="1" applyAlignment="1">
      <alignment wrapText="1"/>
    </xf>
    <xf numFmtId="169" fontId="67" fillId="0" borderId="1" xfId="20" applyNumberFormat="1" applyFont="1" applyBorder="1" applyAlignment="1">
      <alignment wrapText="1"/>
    </xf>
    <xf numFmtId="169" fontId="23" fillId="0" borderId="54" xfId="21" applyNumberFormat="1" applyFont="1" applyFill="1" applyBorder="1" applyAlignment="1">
      <alignment wrapText="1"/>
    </xf>
    <xf numFmtId="169" fontId="23" fillId="0" borderId="53" xfId="21" applyNumberFormat="1" applyFont="1" applyFill="1" applyBorder="1" applyAlignment="1">
      <alignment wrapText="1"/>
    </xf>
    <xf numFmtId="169" fontId="35" fillId="0" borderId="1" xfId="21" applyNumberFormat="1" applyFont="1" applyFill="1" applyBorder="1" applyAlignment="1"/>
    <xf numFmtId="169" fontId="81" fillId="0" borderId="1" xfId="21" applyNumberFormat="1" applyFont="1" applyFill="1" applyBorder="1" applyAlignment="1"/>
    <xf numFmtId="169" fontId="82" fillId="0" borderId="1" xfId="20" applyNumberFormat="1" applyFont="1" applyBorder="1"/>
    <xf numFmtId="169" fontId="23" fillId="0" borderId="55" xfId="20" applyNumberFormat="1" applyFont="1" applyBorder="1"/>
    <xf numFmtId="169" fontId="23" fillId="0" borderId="56" xfId="21" applyNumberFormat="1" applyFont="1" applyFill="1" applyBorder="1" applyAlignment="1">
      <alignment wrapText="1"/>
    </xf>
    <xf numFmtId="169" fontId="15" fillId="0" borderId="57" xfId="21" applyNumberFormat="1" applyFont="1" applyFill="1" applyBorder="1" applyAlignment="1">
      <alignment wrapText="1"/>
    </xf>
    <xf numFmtId="0" fontId="84" fillId="0" borderId="0" xfId="20" applyFont="1"/>
    <xf numFmtId="169" fontId="85" fillId="0" borderId="0" xfId="20" applyNumberFormat="1" applyFont="1"/>
    <xf numFmtId="0" fontId="83" fillId="0" borderId="0" xfId="20" applyFont="1" applyAlignment="1">
      <alignment vertical="center" wrapText="1"/>
    </xf>
    <xf numFmtId="169" fontId="83" fillId="0" borderId="0" xfId="20" applyNumberFormat="1" applyFont="1"/>
    <xf numFmtId="169" fontId="86" fillId="0" borderId="0" xfId="20" applyNumberFormat="1" applyFont="1"/>
    <xf numFmtId="181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69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69" fontId="87" fillId="0" borderId="0" xfId="20" applyNumberFormat="1" applyFont="1"/>
    <xf numFmtId="169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69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43" fontId="91" fillId="11" borderId="27" xfId="1" applyFont="1" applyFill="1" applyBorder="1" applyAlignment="1">
      <alignment vertical="center"/>
    </xf>
    <xf numFmtId="4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4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4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4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4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4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4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43" fontId="91" fillId="14" borderId="22" xfId="1" applyFont="1" applyFill="1" applyBorder="1" applyAlignment="1">
      <alignment vertical="center"/>
    </xf>
    <xf numFmtId="4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69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43" fontId="32" fillId="4" borderId="7" xfId="1" applyFont="1" applyFill="1" applyBorder="1"/>
    <xf numFmtId="170" fontId="31" fillId="4" borderId="9" xfId="1" applyNumberFormat="1" applyFont="1" applyFill="1" applyBorder="1" applyAlignment="1">
      <alignment vertical="top"/>
    </xf>
    <xf numFmtId="43" fontId="32" fillId="3" borderId="7" xfId="1" applyFont="1" applyFill="1" applyBorder="1"/>
    <xf numFmtId="43" fontId="32" fillId="3" borderId="8" xfId="1" applyFont="1" applyFill="1" applyBorder="1"/>
    <xf numFmtId="43" fontId="32" fillId="2" borderId="7" xfId="1" applyFont="1" applyFill="1" applyBorder="1"/>
    <xf numFmtId="43" fontId="32" fillId="2" borderId="8" xfId="1" applyFont="1" applyFill="1" applyBorder="1"/>
    <xf numFmtId="4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183" fontId="15" fillId="0" borderId="0" xfId="17" applyNumberFormat="1" applyFont="1"/>
    <xf numFmtId="169" fontId="98" fillId="0" borderId="0" xfId="17" applyNumberFormat="1" applyFont="1"/>
    <xf numFmtId="169" fontId="99" fillId="0" borderId="0" xfId="17" applyNumberFormat="1" applyFont="1"/>
    <xf numFmtId="43" fontId="15" fillId="0" borderId="0" xfId="17" applyNumberFormat="1" applyFont="1"/>
    <xf numFmtId="182" fontId="15" fillId="0" borderId="0" xfId="17" applyNumberFormat="1" applyFont="1"/>
    <xf numFmtId="169" fontId="23" fillId="0" borderId="0" xfId="17" applyNumberFormat="1" applyFont="1"/>
    <xf numFmtId="169" fontId="33" fillId="0" borderId="0" xfId="17" applyNumberFormat="1" applyFont="1"/>
    <xf numFmtId="169" fontId="33" fillId="0" borderId="0" xfId="17" applyNumberFormat="1" applyFont="1" applyAlignment="1">
      <alignment horizontal="right"/>
    </xf>
    <xf numFmtId="169" fontId="23" fillId="0" borderId="50" xfId="18" applyNumberFormat="1" applyFont="1" applyFill="1" applyBorder="1" applyAlignment="1">
      <alignment wrapText="1"/>
    </xf>
    <xf numFmtId="169" fontId="23" fillId="0" borderId="0" xfId="18" applyNumberFormat="1" applyFont="1" applyFill="1" applyBorder="1" applyAlignment="1">
      <alignment wrapText="1"/>
    </xf>
    <xf numFmtId="169" fontId="15" fillId="0" borderId="51" xfId="18" applyNumberFormat="1" applyFont="1" applyFill="1" applyBorder="1" applyAlignment="1">
      <alignment horizontal="center" wrapText="1"/>
    </xf>
    <xf numFmtId="169" fontId="15" fillId="0" borderId="51" xfId="17" applyNumberFormat="1" applyFont="1" applyBorder="1" applyAlignment="1">
      <alignment horizontal="center"/>
    </xf>
    <xf numFmtId="169" fontId="15" fillId="0" borderId="52" xfId="17" applyNumberFormat="1" applyFont="1" applyBorder="1" applyAlignment="1">
      <alignment horizontal="center"/>
    </xf>
    <xf numFmtId="169" fontId="23" fillId="0" borderId="53" xfId="17" applyNumberFormat="1" applyFont="1" applyBorder="1"/>
    <xf numFmtId="169" fontId="15" fillId="0" borderId="1" xfId="18" applyNumberFormat="1" applyFont="1" applyFill="1" applyBorder="1" applyAlignment="1"/>
    <xf numFmtId="169" fontId="15" fillId="0" borderId="53" xfId="17" applyNumberFormat="1" applyFont="1" applyBorder="1"/>
    <xf numFmtId="169" fontId="15" fillId="0" borderId="1" xfId="17" applyNumberFormat="1" applyFont="1" applyBorder="1"/>
    <xf numFmtId="169" fontId="15" fillId="0" borderId="25" xfId="17" applyNumberFormat="1" applyFont="1" applyBorder="1"/>
    <xf numFmtId="169" fontId="35" fillId="0" borderId="0" xfId="17" applyNumberFormat="1" applyFont="1"/>
    <xf numFmtId="169" fontId="100" fillId="0" borderId="0" xfId="17" applyNumberFormat="1" applyFont="1"/>
    <xf numFmtId="169" fontId="23" fillId="0" borderId="1" xfId="18" applyNumberFormat="1" applyFont="1" applyFill="1" applyBorder="1" applyAlignment="1">
      <alignment wrapText="1"/>
    </xf>
    <xf numFmtId="169" fontId="23" fillId="0" borderId="54" xfId="18" applyNumberFormat="1" applyFont="1" applyFill="1" applyBorder="1" applyAlignment="1">
      <alignment wrapText="1"/>
    </xf>
    <xf numFmtId="169" fontId="15" fillId="0" borderId="53" xfId="18" applyNumberFormat="1" applyFont="1" applyFill="1" applyBorder="1" applyAlignment="1">
      <alignment wrapText="1"/>
    </xf>
    <xf numFmtId="169" fontId="101" fillId="0" borderId="1" xfId="18" applyNumberFormat="1" applyFont="1" applyFill="1" applyBorder="1" applyAlignment="1">
      <alignment wrapText="1"/>
    </xf>
    <xf numFmtId="169" fontId="15" fillId="0" borderId="1" xfId="18" applyNumberFormat="1" applyFont="1" applyFill="1" applyBorder="1" applyAlignment="1">
      <alignment wrapText="1"/>
    </xf>
    <xf numFmtId="169" fontId="0" fillId="0" borderId="53" xfId="19" applyNumberFormat="1" applyFont="1" applyBorder="1"/>
    <xf numFmtId="169" fontId="14" fillId="0" borderId="53" xfId="19" applyNumberFormat="1" applyBorder="1"/>
    <xf numFmtId="169" fontId="15" fillId="0" borderId="0" xfId="17" applyNumberFormat="1" applyFont="1" applyAlignment="1">
      <alignment horizontal="center"/>
    </xf>
    <xf numFmtId="169" fontId="23" fillId="0" borderId="53" xfId="18" applyNumberFormat="1" applyFont="1" applyFill="1" applyBorder="1" applyAlignment="1">
      <alignment wrapText="1"/>
    </xf>
    <xf numFmtId="169" fontId="0" fillId="0" borderId="53" xfId="18" applyNumberFormat="1" applyFont="1" applyFill="1" applyBorder="1" applyAlignment="1">
      <alignment wrapText="1"/>
    </xf>
    <xf numFmtId="169" fontId="15" fillId="8" borderId="1" xfId="17" applyNumberFormat="1" applyFont="1" applyFill="1" applyBorder="1"/>
    <xf numFmtId="169" fontId="102" fillId="0" borderId="0" xfId="17" applyNumberFormat="1" applyFont="1"/>
    <xf numFmtId="169" fontId="102" fillId="0" borderId="1" xfId="17" applyNumberFormat="1" applyFont="1" applyBorder="1"/>
    <xf numFmtId="169" fontId="102" fillId="0" borderId="54" xfId="18" applyNumberFormat="1" applyFont="1" applyFill="1" applyBorder="1" applyAlignment="1">
      <alignment wrapText="1"/>
    </xf>
    <xf numFmtId="43" fontId="67" fillId="0" borderId="0" xfId="17" applyNumberFormat="1" applyFont="1"/>
    <xf numFmtId="169" fontId="14" fillId="0" borderId="53" xfId="17" applyNumberFormat="1" applyBorder="1"/>
    <xf numFmtId="169" fontId="67" fillId="0" borderId="0" xfId="17" applyNumberFormat="1" applyFont="1"/>
    <xf numFmtId="169" fontId="102" fillId="0" borderId="53" xfId="17" applyNumberFormat="1" applyFont="1" applyBorder="1"/>
    <xf numFmtId="169" fontId="14" fillId="0" borderId="0" xfId="17" applyNumberFormat="1"/>
    <xf numFmtId="169" fontId="14" fillId="0" borderId="54" xfId="17" applyNumberFormat="1" applyBorder="1"/>
    <xf numFmtId="169" fontId="103" fillId="0" borderId="53" xfId="18" applyNumberFormat="1" applyFont="1" applyFill="1" applyBorder="1" applyAlignment="1">
      <alignment wrapText="1"/>
    </xf>
    <xf numFmtId="169" fontId="104" fillId="0" borderId="54" xfId="18" applyNumberFormat="1" applyFont="1" applyFill="1" applyBorder="1" applyAlignment="1">
      <alignment wrapText="1"/>
    </xf>
    <xf numFmtId="169" fontId="67" fillId="0" borderId="1" xfId="17" applyNumberFormat="1" applyFont="1" applyBorder="1"/>
    <xf numFmtId="169" fontId="35" fillId="0" borderId="1" xfId="17" applyNumberFormat="1" applyFont="1" applyBorder="1"/>
    <xf numFmtId="0" fontId="35" fillId="0" borderId="0" xfId="17" applyFont="1"/>
    <xf numFmtId="169" fontId="23" fillId="0" borderId="55" xfId="17" applyNumberFormat="1" applyFont="1" applyBorder="1"/>
    <xf numFmtId="169" fontId="23" fillId="0" borderId="56" xfId="18" applyNumberFormat="1" applyFont="1" applyFill="1" applyBorder="1" applyAlignment="1">
      <alignment wrapText="1"/>
    </xf>
    <xf numFmtId="169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184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167" fontId="38" fillId="0" borderId="36" xfId="6" applyFont="1" applyBorder="1" applyAlignment="1">
      <alignment vertical="center"/>
    </xf>
    <xf numFmtId="174" fontId="38" fillId="0" borderId="36" xfId="0" applyNumberFormat="1" applyFont="1" applyBorder="1" applyAlignment="1">
      <alignment horizontal="center" vertical="center"/>
    </xf>
    <xf numFmtId="174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43" fontId="92" fillId="11" borderId="0" xfId="1" applyFont="1" applyFill="1" applyAlignment="1">
      <alignment horizontal="right" vertical="center"/>
    </xf>
    <xf numFmtId="4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43" fontId="120" fillId="11" borderId="27" xfId="1" applyFont="1" applyFill="1" applyBorder="1" applyAlignment="1">
      <alignment vertical="center"/>
    </xf>
    <xf numFmtId="4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4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4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43" fontId="121" fillId="11" borderId="0" xfId="1" applyFont="1" applyFill="1" applyBorder="1" applyAlignment="1">
      <alignment vertical="center"/>
    </xf>
    <xf numFmtId="4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4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43" fontId="120" fillId="14" borderId="22" xfId="1" applyFont="1" applyFill="1" applyBorder="1" applyAlignment="1">
      <alignment vertical="center"/>
    </xf>
    <xf numFmtId="4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69" fontId="106" fillId="11" borderId="0" xfId="1" applyNumberFormat="1" applyFont="1" applyFill="1" applyAlignment="1">
      <alignment vertical="center"/>
    </xf>
    <xf numFmtId="4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4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185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43" fontId="83" fillId="0" borderId="0" xfId="1" applyFont="1" applyFill="1" applyBorder="1"/>
    <xf numFmtId="169" fontId="16" fillId="4" borderId="7" xfId="1" applyNumberFormat="1" applyFont="1" applyFill="1" applyBorder="1"/>
    <xf numFmtId="170" fontId="18" fillId="6" borderId="1" xfId="1" applyNumberFormat="1" applyFont="1" applyFill="1" applyBorder="1"/>
    <xf numFmtId="186" fontId="31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center"/>
    </xf>
    <xf numFmtId="0" fontId="129" fillId="0" borderId="0" xfId="58805" applyFont="1"/>
    <xf numFmtId="186" fontId="128" fillId="0" borderId="0" xfId="58805" applyNumberFormat="1" applyFont="1" applyAlignment="1">
      <alignment horizontal="right"/>
    </xf>
    <xf numFmtId="186" fontId="128" fillId="6" borderId="56" xfId="58805" applyNumberFormat="1" applyFont="1" applyFill="1" applyBorder="1" applyAlignment="1">
      <alignment horizontal="center"/>
    </xf>
    <xf numFmtId="186" fontId="128" fillId="6" borderId="57" xfId="58805" applyNumberFormat="1" applyFont="1" applyFill="1" applyBorder="1" applyAlignment="1">
      <alignment horizontal="center"/>
    </xf>
    <xf numFmtId="186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186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186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186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186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69" fontId="129" fillId="20" borderId="0" xfId="58805" applyNumberFormat="1" applyFont="1" applyFill="1"/>
    <xf numFmtId="186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13" fontId="336" fillId="0" borderId="0" xfId="4" applyNumberFormat="1" applyFont="1" applyFill="1" applyBorder="1"/>
    <xf numFmtId="214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43" fontId="17" fillId="4" borderId="7" xfId="1" applyFont="1" applyFill="1" applyBorder="1"/>
    <xf numFmtId="215" fontId="336" fillId="0" borderId="0" xfId="4" applyNumberFormat="1" applyFont="1" applyFill="1" applyBorder="1"/>
    <xf numFmtId="170" fontId="101" fillId="0" borderId="0" xfId="1" applyNumberFormat="1" applyFont="1" applyFill="1"/>
    <xf numFmtId="43" fontId="45" fillId="0" borderId="0" xfId="1" applyFont="1" applyFill="1" applyAlignment="1">
      <alignment vertical="center"/>
    </xf>
    <xf numFmtId="167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174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72" fontId="26" fillId="0" borderId="9" xfId="3" applyNumberFormat="1" applyFont="1" applyBorder="1" applyAlignment="1">
      <alignment horizontal="center" vertical="center"/>
    </xf>
    <xf numFmtId="172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70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69" fontId="18" fillId="6" borderId="1" xfId="1" applyNumberFormat="1" applyFont="1" applyFill="1" applyBorder="1"/>
    <xf numFmtId="170" fontId="32" fillId="3" borderId="7" xfId="1" applyNumberFormat="1" applyFont="1" applyFill="1" applyBorder="1"/>
    <xf numFmtId="0" fontId="32" fillId="2" borderId="7" xfId="0" applyFont="1" applyFill="1" applyBorder="1"/>
    <xf numFmtId="170" fontId="32" fillId="2" borderId="7" xfId="1" applyNumberFormat="1" applyFont="1" applyFill="1" applyBorder="1"/>
    <xf numFmtId="0" fontId="32" fillId="2" borderId="8" xfId="0" applyFont="1" applyFill="1" applyBorder="1"/>
    <xf numFmtId="169" fontId="32" fillId="2" borderId="8" xfId="1" applyNumberFormat="1" applyFont="1" applyFill="1" applyBorder="1"/>
    <xf numFmtId="10" fontId="32" fillId="2" borderId="8" xfId="2" applyNumberFormat="1" applyFont="1" applyFill="1" applyBorder="1"/>
    <xf numFmtId="170" fontId="32" fillId="4" borderId="7" xfId="1" applyNumberFormat="1" applyFont="1" applyFill="1" applyBorder="1"/>
    <xf numFmtId="169" fontId="32" fillId="4" borderId="7" xfId="1" applyNumberFormat="1" applyFont="1" applyFill="1" applyBorder="1"/>
    <xf numFmtId="170" fontId="32" fillId="0" borderId="0" xfId="1" applyNumberFormat="1" applyFont="1"/>
    <xf numFmtId="172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69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69" fontId="338" fillId="0" borderId="36" xfId="1" applyNumberFormat="1" applyFont="1" applyBorder="1" applyAlignment="1">
      <alignment vertical="center"/>
    </xf>
    <xf numFmtId="169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72" fontId="338" fillId="0" borderId="62" xfId="0" applyNumberFormat="1" applyFont="1" applyBorder="1" applyAlignment="1">
      <alignment horizontal="center" vertical="center"/>
    </xf>
    <xf numFmtId="172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69" fontId="338" fillId="0" borderId="25" xfId="1" applyNumberFormat="1" applyFont="1" applyBorder="1" applyAlignment="1">
      <alignment vertical="center"/>
    </xf>
    <xf numFmtId="169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72" fontId="338" fillId="0" borderId="42" xfId="0" applyNumberFormat="1" applyFont="1" applyBorder="1" applyAlignment="1">
      <alignment horizontal="center" vertical="center"/>
    </xf>
    <xf numFmtId="172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69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174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174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69" fontId="339" fillId="0" borderId="0" xfId="1" applyNumberFormat="1" applyFont="1" applyBorder="1" applyAlignment="1">
      <alignment vertical="center"/>
    </xf>
    <xf numFmtId="169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186" fontId="31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centerContinuous"/>
    </xf>
    <xf numFmtId="186" fontId="128" fillId="0" borderId="0" xfId="59855" applyNumberFormat="1" applyFont="1" applyAlignment="1">
      <alignment horizontal="right"/>
    </xf>
    <xf numFmtId="186" fontId="128" fillId="5" borderId="56" xfId="59855" applyNumberFormat="1" applyFont="1" applyFill="1" applyBorder="1" applyAlignment="1">
      <alignment horizontal="center"/>
    </xf>
    <xf numFmtId="186" fontId="128" fillId="5" borderId="39" xfId="59855" applyNumberFormat="1" applyFont="1" applyFill="1" applyBorder="1" applyAlignment="1">
      <alignment horizontal="center"/>
    </xf>
    <xf numFmtId="186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186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186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186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186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4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72" fontId="35" fillId="0" borderId="18" xfId="0" applyNumberFormat="1" applyFont="1" applyBorder="1" applyAlignment="1">
      <alignment horizontal="center"/>
    </xf>
    <xf numFmtId="172" fontId="35" fillId="0" borderId="0" xfId="0" applyNumberFormat="1" applyFont="1" applyAlignment="1">
      <alignment horizontal="center"/>
    </xf>
    <xf numFmtId="174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72" fontId="35" fillId="0" borderId="20" xfId="0" applyNumberFormat="1" applyFont="1" applyBorder="1" applyAlignment="1">
      <alignment horizontal="center"/>
    </xf>
    <xf numFmtId="172" fontId="35" fillId="0" borderId="28" xfId="0" applyNumberFormat="1" applyFont="1" applyBorder="1" applyAlignment="1">
      <alignment horizontal="center"/>
    </xf>
    <xf numFmtId="174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73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73" fontId="340" fillId="0" borderId="16" xfId="0" applyNumberFormat="1" applyFont="1" applyBorder="1" applyAlignment="1">
      <alignment horizontal="center" vertical="center"/>
    </xf>
    <xf numFmtId="173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73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4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72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16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69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174" fontId="35" fillId="0" borderId="16" xfId="0" applyNumberFormat="1" applyFont="1" applyBorder="1" applyAlignment="1">
      <alignment horizontal="center" vertical="center"/>
    </xf>
    <xf numFmtId="174" fontId="35" fillId="0" borderId="12" xfId="0" applyNumberFormat="1" applyFont="1" applyBorder="1" applyAlignment="1">
      <alignment horizontal="center" vertical="center"/>
    </xf>
    <xf numFmtId="174" fontId="35" fillId="0" borderId="12" xfId="1" applyNumberFormat="1" applyFont="1" applyBorder="1" applyAlignment="1">
      <alignment horizontal="center" vertical="center"/>
    </xf>
    <xf numFmtId="174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72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72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69" fontId="339" fillId="0" borderId="40" xfId="1" applyNumberFormat="1" applyFont="1" applyBorder="1" applyAlignment="1">
      <alignment horizontal="center" vertical="center"/>
    </xf>
    <xf numFmtId="174" fontId="339" fillId="0" borderId="62" xfId="1" applyNumberFormat="1" applyFont="1" applyBorder="1" applyAlignment="1">
      <alignment horizontal="center" vertical="center"/>
    </xf>
    <xf numFmtId="174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174" fontId="339" fillId="0" borderId="44" xfId="1" applyNumberFormat="1" applyFont="1" applyBorder="1" applyAlignment="1">
      <alignment horizontal="center" vertical="center"/>
    </xf>
    <xf numFmtId="174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174" fontId="339" fillId="0" borderId="109" xfId="1" applyNumberFormat="1" applyFont="1" applyBorder="1" applyAlignment="1">
      <alignment horizontal="center" vertical="center"/>
    </xf>
    <xf numFmtId="169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174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174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174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174" fontId="337" fillId="0" borderId="0" xfId="0" applyNumberFormat="1" applyFont="1" applyAlignment="1">
      <alignment horizontal="center"/>
    </xf>
    <xf numFmtId="174" fontId="337" fillId="0" borderId="28" xfId="0" applyNumberFormat="1" applyFont="1" applyBorder="1" applyAlignment="1">
      <alignment horizontal="center"/>
    </xf>
    <xf numFmtId="174" fontId="29" fillId="0" borderId="16" xfId="0" applyNumberFormat="1" applyFont="1" applyBorder="1" applyAlignment="1">
      <alignment horizontal="center" vertical="center"/>
    </xf>
    <xf numFmtId="174" fontId="29" fillId="0" borderId="12" xfId="0" applyNumberFormat="1" applyFont="1" applyBorder="1" applyAlignment="1">
      <alignment horizontal="center" vertical="center"/>
    </xf>
    <xf numFmtId="174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70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174" fontId="340" fillId="0" borderId="1" xfId="0" applyNumberFormat="1" applyFont="1" applyBorder="1" applyAlignment="1">
      <alignment horizontal="center" vertical="center"/>
    </xf>
    <xf numFmtId="174" fontId="340" fillId="0" borderId="0" xfId="0" applyNumberFormat="1" applyFont="1" applyAlignment="1">
      <alignment horizontal="center" vertical="center"/>
    </xf>
    <xf numFmtId="170" fontId="16" fillId="4" borderId="8" xfId="1" applyNumberFormat="1" applyFont="1" applyFill="1" applyBorder="1"/>
    <xf numFmtId="217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4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4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4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4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4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4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4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4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4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43" fontId="47" fillId="0" borderId="0" xfId="1" applyFont="1" applyFill="1"/>
    <xf numFmtId="43" fontId="28" fillId="0" borderId="0" xfId="1" applyFont="1" applyFill="1"/>
    <xf numFmtId="43" fontId="33" fillId="0" borderId="14" xfId="1" applyFont="1" applyFill="1" applyBorder="1"/>
    <xf numFmtId="43" fontId="33" fillId="0" borderId="15" xfId="1" applyFont="1" applyFill="1" applyBorder="1"/>
    <xf numFmtId="43" fontId="0" fillId="0" borderId="0" xfId="1" applyFont="1" applyFill="1"/>
    <xf numFmtId="170" fontId="0" fillId="0" borderId="0" xfId="1" applyNumberFormat="1" applyFont="1" applyFill="1"/>
    <xf numFmtId="43" fontId="23" fillId="0" borderId="14" xfId="1" applyFont="1" applyFill="1" applyBorder="1"/>
    <xf numFmtId="170" fontId="23" fillId="0" borderId="14" xfId="1" applyNumberFormat="1" applyFont="1" applyFill="1" applyBorder="1"/>
    <xf numFmtId="43" fontId="23" fillId="0" borderId="15" xfId="1" applyFont="1" applyFill="1" applyBorder="1"/>
    <xf numFmtId="170" fontId="23" fillId="0" borderId="15" xfId="1" applyNumberFormat="1" applyFont="1" applyFill="1" applyBorder="1"/>
    <xf numFmtId="195" fontId="13" fillId="0" borderId="0" xfId="12" applyNumberForma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43" fontId="19" fillId="0" borderId="0" xfId="61890" applyFont="1" applyAlignment="1">
      <alignment horizontal="center" vertical="center"/>
    </xf>
    <xf numFmtId="186" fontId="128" fillId="6" borderId="55" xfId="58805" applyNumberFormat="1" applyFont="1" applyFill="1" applyBorder="1" applyAlignment="1">
      <alignment horizontal="center"/>
    </xf>
    <xf numFmtId="169" fontId="17" fillId="13" borderId="9" xfId="1" applyNumberFormat="1" applyFont="1" applyFill="1" applyBorder="1" applyAlignment="1">
      <alignment horizontal="center" vertical="center"/>
    </xf>
    <xf numFmtId="169" fontId="18" fillId="6" borderId="1" xfId="1" applyNumberFormat="1" applyFont="1" applyFill="1" applyBorder="1" applyAlignment="1">
      <alignment horizontal="center" vertical="center"/>
    </xf>
    <xf numFmtId="173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20" fontId="0" fillId="0" borderId="0" xfId="0" applyNumberFormat="1"/>
    <xf numFmtId="172" fontId="0" fillId="0" borderId="0" xfId="0" applyNumberFormat="1"/>
    <xf numFmtId="0" fontId="23" fillId="0" borderId="0" xfId="0" applyFont="1"/>
    <xf numFmtId="219" fontId="67" fillId="0" borderId="0" xfId="0" applyNumberFormat="1" applyFont="1"/>
    <xf numFmtId="218" fontId="67" fillId="0" borderId="0" xfId="0" applyNumberFormat="1" applyFont="1" applyAlignment="1">
      <alignment vertical="center"/>
    </xf>
    <xf numFmtId="43" fontId="0" fillId="0" borderId="0" xfId="0" applyNumberFormat="1"/>
    <xf numFmtId="4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72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43" fontId="16" fillId="0" borderId="0" xfId="0" applyNumberFormat="1" applyFont="1" applyAlignment="1">
      <alignment horizontal="center" wrapText="1"/>
    </xf>
    <xf numFmtId="173" fontId="47" fillId="0" borderId="0" xfId="0" applyNumberFormat="1" applyFont="1" applyAlignment="1">
      <alignment horizontal="right"/>
    </xf>
    <xf numFmtId="43" fontId="34" fillId="0" borderId="0" xfId="1" applyFont="1" applyFill="1" applyAlignment="1">
      <alignment horizontal="right"/>
    </xf>
    <xf numFmtId="170" fontId="33" fillId="0" borderId="14" xfId="1" applyNumberFormat="1" applyFont="1" applyFill="1" applyBorder="1" applyAlignment="1">
      <alignment horizontal="right"/>
    </xf>
    <xf numFmtId="170" fontId="33" fillId="0" borderId="15" xfId="1" applyNumberFormat="1" applyFont="1" applyFill="1" applyBorder="1" applyAlignment="1">
      <alignment horizontal="right"/>
    </xf>
    <xf numFmtId="170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69" fontId="129" fillId="0" borderId="0" xfId="1" applyNumberFormat="1" applyFont="1"/>
    <xf numFmtId="186" fontId="128" fillId="3" borderId="50" xfId="58805" applyNumberFormat="1" applyFont="1" applyFill="1" applyBorder="1" applyAlignment="1">
      <alignment horizontal="center"/>
    </xf>
    <xf numFmtId="186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174" fontId="42" fillId="0" borderId="36" xfId="0" applyNumberFormat="1" applyFont="1" applyBorder="1" applyAlignment="1">
      <alignment horizontal="center" vertical="center"/>
    </xf>
    <xf numFmtId="174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167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167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167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167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186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69" fontId="131" fillId="0" borderId="0" xfId="1" applyNumberFormat="1" applyFont="1"/>
    <xf numFmtId="169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75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175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175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175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69" fontId="35" fillId="0" borderId="16" xfId="0" applyNumberFormat="1" applyFont="1" applyBorder="1" applyAlignment="1">
      <alignment horizontal="center" vertical="center"/>
    </xf>
    <xf numFmtId="169" fontId="346" fillId="0" borderId="16" xfId="0" applyNumberFormat="1" applyFont="1" applyBorder="1" applyAlignment="1">
      <alignment horizontal="center" vertical="center"/>
    </xf>
    <xf numFmtId="169" fontId="35" fillId="0" borderId="12" xfId="0" applyNumberFormat="1" applyFont="1" applyBorder="1" applyAlignment="1">
      <alignment horizontal="center" vertical="center"/>
    </xf>
    <xf numFmtId="169" fontId="35" fillId="0" borderId="12" xfId="1" applyNumberFormat="1" applyFont="1" applyBorder="1" applyAlignment="1">
      <alignment horizontal="center" vertical="center"/>
    </xf>
    <xf numFmtId="169" fontId="346" fillId="0" borderId="12" xfId="0" applyNumberFormat="1" applyFont="1" applyBorder="1" applyAlignment="1">
      <alignment horizontal="center" vertical="center"/>
    </xf>
    <xf numFmtId="169" fontId="35" fillId="0" borderId="13" xfId="0" applyNumberFormat="1" applyFont="1" applyBorder="1" applyAlignment="1">
      <alignment horizontal="center" vertical="center"/>
    </xf>
    <xf numFmtId="169" fontId="346" fillId="0" borderId="13" xfId="0" applyNumberFormat="1" applyFont="1" applyBorder="1" applyAlignment="1">
      <alignment horizontal="center" vertical="center"/>
    </xf>
    <xf numFmtId="169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69" fontId="42" fillId="0" borderId="25" xfId="1" applyNumberFormat="1" applyFont="1" applyBorder="1" applyAlignment="1">
      <alignment horizontal="center" vertical="center"/>
    </xf>
    <xf numFmtId="169" fontId="42" fillId="0" borderId="0" xfId="1" applyNumberFormat="1" applyFont="1" applyAlignment="1">
      <alignment horizontal="center" vertical="center"/>
    </xf>
    <xf numFmtId="169" fontId="38" fillId="0" borderId="27" xfId="1" applyNumberFormat="1" applyFont="1" applyBorder="1" applyAlignment="1">
      <alignment horizontal="center" vertical="center"/>
    </xf>
    <xf numFmtId="169" fontId="38" fillId="0" borderId="28" xfId="1" applyNumberFormat="1" applyFont="1" applyBorder="1" applyAlignment="1">
      <alignment horizontal="center" vertical="center"/>
    </xf>
    <xf numFmtId="169" fontId="38" fillId="13" borderId="48" xfId="1" applyNumberFormat="1" applyFont="1" applyFill="1" applyBorder="1" applyAlignment="1">
      <alignment horizontal="center" vertical="center"/>
    </xf>
    <xf numFmtId="169" fontId="38" fillId="13" borderId="0" xfId="1" applyNumberFormat="1" applyFont="1" applyFill="1" applyAlignment="1">
      <alignment horizontal="center" vertical="center"/>
    </xf>
    <xf numFmtId="169" fontId="38" fillId="8" borderId="21" xfId="1" applyNumberFormat="1" applyFont="1" applyFill="1" applyBorder="1" applyAlignment="1">
      <alignment horizontal="center" vertical="center"/>
    </xf>
    <xf numFmtId="219" fontId="38" fillId="13" borderId="36" xfId="0" applyNumberFormat="1" applyFont="1" applyFill="1" applyBorder="1" applyAlignment="1">
      <alignment horizontal="center" vertical="center"/>
    </xf>
    <xf numFmtId="219" fontId="38" fillId="13" borderId="48" xfId="0" applyNumberFormat="1" applyFont="1" applyFill="1" applyBorder="1" applyAlignment="1">
      <alignment horizontal="center" vertical="center"/>
    </xf>
    <xf numFmtId="219" fontId="38" fillId="13" borderId="25" xfId="0" applyNumberFormat="1" applyFont="1" applyFill="1" applyBorder="1" applyAlignment="1">
      <alignment horizontal="center" vertical="center"/>
    </xf>
    <xf numFmtId="219" fontId="38" fillId="13" borderId="0" xfId="0" applyNumberFormat="1" applyFont="1" applyFill="1" applyAlignment="1">
      <alignment horizontal="center" vertical="center"/>
    </xf>
    <xf numFmtId="219" fontId="38" fillId="13" borderId="38" xfId="0" applyNumberFormat="1" applyFont="1" applyFill="1" applyBorder="1" applyAlignment="1">
      <alignment horizontal="center" vertical="center"/>
    </xf>
    <xf numFmtId="219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72" fontId="0" fillId="0" borderId="13" xfId="4" applyNumberFormat="1" applyFont="1" applyFill="1" applyBorder="1" applyAlignment="1">
      <alignment horizontal="center" vertical="center"/>
    </xf>
    <xf numFmtId="223" fontId="24" fillId="0" borderId="0" xfId="3" applyNumberFormat="1" applyAlignment="1">
      <alignment horizontal="center" vertical="center"/>
    </xf>
    <xf numFmtId="223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72" fontId="337" fillId="0" borderId="12" xfId="3" applyNumberFormat="1" applyFont="1" applyBorder="1" applyAlignment="1">
      <alignment horizontal="center" vertical="center"/>
    </xf>
    <xf numFmtId="172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72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70" fontId="23" fillId="0" borderId="0" xfId="1" applyNumberFormat="1" applyFont="1" applyFill="1" applyBorder="1"/>
    <xf numFmtId="170" fontId="33" fillId="0" borderId="0" xfId="1" applyNumberFormat="1" applyFont="1" applyFill="1" applyBorder="1"/>
    <xf numFmtId="170" fontId="33" fillId="0" borderId="0" xfId="1" applyNumberFormat="1" applyFont="1" applyFill="1" applyBorder="1" applyAlignment="1">
      <alignment horizontal="right"/>
    </xf>
    <xf numFmtId="172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69" fontId="360" fillId="13" borderId="9" xfId="1" applyNumberFormat="1" applyFont="1" applyFill="1" applyBorder="1"/>
    <xf numFmtId="170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70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72" fontId="363" fillId="0" borderId="12" xfId="3" applyNumberFormat="1" applyFont="1" applyBorder="1" applyAlignment="1">
      <alignment horizontal="center" vertical="center"/>
    </xf>
    <xf numFmtId="169" fontId="128" fillId="0" borderId="0" xfId="61893" applyNumberFormat="1" applyFont="1" applyAlignment="1">
      <alignment horizontal="right" indent="1"/>
    </xf>
    <xf numFmtId="169" fontId="129" fillId="0" borderId="0" xfId="61893" applyNumberFormat="1" applyFont="1" applyAlignment="1">
      <alignment horizontal="right" indent="1"/>
    </xf>
    <xf numFmtId="169" fontId="129" fillId="0" borderId="0" xfId="61893" applyNumberFormat="1" applyFont="1"/>
    <xf numFmtId="169" fontId="131" fillId="0" borderId="0" xfId="61893" applyNumberFormat="1" applyFont="1"/>
    <xf numFmtId="169" fontId="129" fillId="0" borderId="0" xfId="61893" applyNumberFormat="1" applyFont="1" applyFill="1" applyBorder="1"/>
    <xf numFmtId="172" fontId="365" fillId="0" borderId="8" xfId="4" applyNumberFormat="1" applyFont="1" applyBorder="1" applyAlignment="1">
      <alignment horizontal="center" vertical="center"/>
    </xf>
    <xf numFmtId="172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184" fontId="16" fillId="0" borderId="0" xfId="0" applyNumberFormat="1" applyFont="1" applyAlignment="1">
      <alignment wrapText="1"/>
    </xf>
    <xf numFmtId="43" fontId="35" fillId="0" borderId="0" xfId="1" applyFont="1" applyFill="1" applyAlignment="1">
      <alignment horizontal="center" vertical="center"/>
    </xf>
    <xf numFmtId="43" fontId="35" fillId="0" borderId="0" xfId="1" applyFont="1" applyFill="1" applyAlignment="1">
      <alignment vertical="center"/>
    </xf>
    <xf numFmtId="222" fontId="35" fillId="0" borderId="0" xfId="1" applyNumberFormat="1" applyFont="1" applyFill="1" applyAlignment="1">
      <alignment vertical="center"/>
    </xf>
    <xf numFmtId="43" fontId="35" fillId="0" borderId="35" xfId="0" applyNumberFormat="1" applyFont="1" applyBorder="1" applyAlignment="1">
      <alignment vertical="center"/>
    </xf>
    <xf numFmtId="43" fontId="35" fillId="0" borderId="0" xfId="0" applyNumberFormat="1" applyFont="1" applyAlignment="1">
      <alignment vertical="center"/>
    </xf>
    <xf numFmtId="167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186" fontId="31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centerContinuous"/>
    </xf>
    <xf numFmtId="0" fontId="129" fillId="0" borderId="0" xfId="61894" applyFont="1"/>
    <xf numFmtId="186" fontId="128" fillId="0" borderId="0" xfId="61894" applyNumberFormat="1" applyFont="1" applyAlignment="1">
      <alignment horizontal="right"/>
    </xf>
    <xf numFmtId="186" fontId="128" fillId="5" borderId="63" xfId="61894" applyNumberFormat="1" applyFont="1" applyFill="1" applyBorder="1"/>
    <xf numFmtId="186" fontId="128" fillId="5" borderId="63" xfId="61894" applyNumberFormat="1" applyFont="1" applyFill="1" applyBorder="1" applyAlignment="1">
      <alignment horizontal="left"/>
    </xf>
    <xf numFmtId="186" fontId="128" fillId="5" borderId="106" xfId="61894" applyNumberFormat="1" applyFont="1" applyFill="1" applyBorder="1"/>
    <xf numFmtId="186" fontId="128" fillId="5" borderId="56" xfId="61894" applyNumberFormat="1" applyFont="1" applyFill="1" applyBorder="1" applyAlignment="1">
      <alignment horizontal="center"/>
    </xf>
    <xf numFmtId="186" fontId="128" fillId="5" borderId="39" xfId="61894" applyNumberFormat="1" applyFont="1" applyFill="1" applyBorder="1" applyAlignment="1">
      <alignment horizontal="center"/>
    </xf>
    <xf numFmtId="186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186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186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186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186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24" fontId="32" fillId="0" borderId="0" xfId="59965" applyNumberFormat="1"/>
    <xf numFmtId="38" fontId="32" fillId="0" borderId="0" xfId="59965" applyNumberFormat="1"/>
    <xf numFmtId="224" fontId="32" fillId="0" borderId="15" xfId="59965" applyNumberFormat="1" applyBorder="1"/>
    <xf numFmtId="4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175" fontId="35" fillId="0" borderId="0" xfId="1" applyNumberFormat="1" applyFont="1" applyFill="1" applyAlignment="1">
      <alignment vertical="center"/>
    </xf>
    <xf numFmtId="169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69" fontId="35" fillId="0" borderId="0" xfId="1" applyNumberFormat="1" applyFont="1" applyFill="1" applyAlignment="1">
      <alignment horizontal="center" vertical="center"/>
    </xf>
    <xf numFmtId="175" fontId="35" fillId="0" borderId="0" xfId="0" applyNumberFormat="1" applyFont="1" applyAlignment="1">
      <alignment horizontal="center" vertical="center"/>
    </xf>
    <xf numFmtId="175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4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4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27" fontId="26" fillId="0" borderId="0" xfId="3" applyNumberFormat="1" applyFont="1" applyAlignment="1">
      <alignment horizontal="center" vertical="center"/>
    </xf>
    <xf numFmtId="228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43" fontId="33" fillId="0" borderId="21" xfId="1" applyFont="1" applyFill="1" applyBorder="1" applyAlignment="1">
      <alignment horizontal="center" vertical="center"/>
    </xf>
    <xf numFmtId="169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69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21" fontId="35" fillId="0" borderId="21" xfId="1" applyNumberFormat="1" applyFont="1" applyFill="1" applyBorder="1" applyAlignment="1">
      <alignment horizontal="center" vertical="center"/>
    </xf>
    <xf numFmtId="225" fontId="35" fillId="0" borderId="21" xfId="0" applyNumberFormat="1" applyFont="1" applyBorder="1" applyAlignment="1">
      <alignment vertical="center"/>
    </xf>
    <xf numFmtId="169" fontId="33" fillId="0" borderId="0" xfId="1" applyNumberFormat="1" applyFont="1" applyFill="1" applyAlignment="1">
      <alignment vertical="center"/>
    </xf>
    <xf numFmtId="226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175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175" fontId="35" fillId="0" borderId="0" xfId="1" applyNumberFormat="1" applyFont="1" applyFill="1" applyBorder="1" applyAlignment="1">
      <alignment horizontal="center" vertical="center"/>
    </xf>
    <xf numFmtId="175" fontId="35" fillId="0" borderId="35" xfId="0" applyNumberFormat="1" applyFont="1" applyBorder="1" applyAlignment="1">
      <alignment horizontal="center" vertical="center"/>
    </xf>
    <xf numFmtId="175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72" fontId="358" fillId="0" borderId="12" xfId="3" applyNumberFormat="1" applyFont="1" applyBorder="1" applyAlignment="1">
      <alignment horizontal="center" vertical="center"/>
    </xf>
    <xf numFmtId="172" fontId="358" fillId="0" borderId="13" xfId="4" applyNumberFormat="1" applyFont="1" applyBorder="1" applyAlignment="1">
      <alignment horizontal="center" vertical="center"/>
    </xf>
    <xf numFmtId="172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69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69" fontId="35" fillId="0" borderId="0" xfId="0" applyNumberFormat="1" applyFont="1" applyAlignment="1">
      <alignment vertical="center"/>
    </xf>
    <xf numFmtId="186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185" fontId="17" fillId="98" borderId="1" xfId="0" applyNumberFormat="1" applyFont="1" applyFill="1" applyBorder="1"/>
    <xf numFmtId="43" fontId="35" fillId="0" borderId="0" xfId="1" applyFont="1" applyAlignment="1">
      <alignment vertical="center"/>
    </xf>
    <xf numFmtId="43" fontId="33" fillId="0" borderId="0" xfId="1" applyFont="1" applyAlignment="1">
      <alignment vertical="center"/>
    </xf>
    <xf numFmtId="43" fontId="35" fillId="0" borderId="0" xfId="1" applyFont="1" applyAlignment="1">
      <alignment horizontal="center" vertical="center"/>
    </xf>
    <xf numFmtId="43" fontId="368" fillId="0" borderId="0" xfId="1" applyFont="1" applyFill="1"/>
    <xf numFmtId="185" fontId="17" fillId="99" borderId="1" xfId="0" applyNumberFormat="1" applyFont="1" applyFill="1" applyBorder="1"/>
    <xf numFmtId="4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6" fillId="0" borderId="0" xfId="0" applyFont="1" applyAlignment="1">
      <alignment horizontal="center" wrapText="1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6" borderId="71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69" fontId="339" fillId="0" borderId="22" xfId="1" applyNumberFormat="1" applyFont="1" applyBorder="1" applyAlignment="1">
      <alignment horizontal="center" vertical="center" wrapText="1"/>
    </xf>
    <xf numFmtId="169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186" fontId="128" fillId="6" borderId="62" xfId="58805" applyNumberFormat="1" applyFont="1" applyFill="1" applyBorder="1" applyAlignment="1">
      <alignment horizontal="center" vertical="center"/>
    </xf>
    <xf numFmtId="186" fontId="128" fillId="6" borderId="49" xfId="58805" applyNumberFormat="1" applyFont="1" applyFill="1" applyBorder="1" applyAlignment="1">
      <alignment horizontal="center" vertical="center"/>
    </xf>
    <xf numFmtId="186" fontId="128" fillId="0" borderId="62" xfId="59855" applyNumberFormat="1" applyFont="1" applyBorder="1" applyAlignment="1">
      <alignment horizontal="center" vertical="center"/>
    </xf>
    <xf numFmtId="186" fontId="128" fillId="0" borderId="49" xfId="59855" applyNumberFormat="1" applyFont="1" applyBorder="1" applyAlignment="1">
      <alignment horizontal="center" vertical="center"/>
    </xf>
    <xf numFmtId="186" fontId="128" fillId="5" borderId="63" xfId="59855" applyNumberFormat="1" applyFont="1" applyFill="1" applyBorder="1" applyAlignment="1">
      <alignment horizontal="center"/>
    </xf>
    <xf numFmtId="186" fontId="128" fillId="5" borderId="106" xfId="59855" applyNumberFormat="1" applyFont="1" applyFill="1" applyBorder="1" applyAlignment="1">
      <alignment horizontal="center"/>
    </xf>
    <xf numFmtId="186" fontId="128" fillId="5" borderId="62" xfId="59855" applyNumberFormat="1" applyFont="1" applyFill="1" applyBorder="1" applyAlignment="1">
      <alignment horizontal="center" vertical="center"/>
    </xf>
    <xf numFmtId="186" fontId="128" fillId="5" borderId="49" xfId="59855" applyNumberFormat="1" applyFont="1" applyFill="1" applyBorder="1" applyAlignment="1">
      <alignment horizontal="center" vertical="center"/>
    </xf>
    <xf numFmtId="186" fontId="128" fillId="0" borderId="62" xfId="61894" applyNumberFormat="1" applyFont="1" applyBorder="1" applyAlignment="1">
      <alignment horizontal="center" vertical="center"/>
    </xf>
    <xf numFmtId="186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43" fontId="19" fillId="4" borderId="7" xfId="11" applyFont="1" applyFill="1" applyBorder="1" applyAlignment="1">
      <alignment horizontal="center" vertical="center"/>
    </xf>
    <xf numFmtId="4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73" fontId="37" fillId="0" borderId="0" xfId="6" applyNumberFormat="1" applyFont="1" applyBorder="1" applyAlignment="1">
      <alignment horizontal="left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175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H64"/>
  <sheetViews>
    <sheetView showGridLines="0" zoomScale="90" zoomScaleNormal="90" workbookViewId="0">
      <pane xSplit="228" ySplit="3" topLeftCell="ZC23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C46" sqref="C46"/>
    </sheetView>
  </sheetViews>
  <sheetFormatPr defaultColWidth="13.77734375" defaultRowHeight="13.2" outlineLevelCol="1"/>
  <cols>
    <col min="1" max="1" width="14.21875" style="1" customWidth="1"/>
    <col min="2" max="2" width="18.6640625" style="1" customWidth="1"/>
    <col min="3" max="3" width="19.6640625" style="1" customWidth="1"/>
    <col min="4" max="4" width="13.77734375" style="1" customWidth="1"/>
    <col min="5" max="46" width="13.77734375" style="1" hidden="1" customWidth="1" outlineLevel="1"/>
    <col min="47" max="48" width="0" style="1" hidden="1" customWidth="1" outlineLevel="1"/>
    <col min="49" max="72" width="15.21875" style="1" hidden="1" customWidth="1" outlineLevel="1"/>
    <col min="73" max="116" width="18" style="1" hidden="1" customWidth="1" outlineLevel="1"/>
    <col min="117" max="161" width="18.21875" style="1" hidden="1" customWidth="1" outlineLevel="1"/>
    <col min="162" max="194" width="18.6640625" style="1" hidden="1" customWidth="1" outlineLevel="1"/>
    <col min="195" max="210" width="15.21875" style="1" hidden="1" customWidth="1" outlineLevel="1"/>
    <col min="211" max="211" width="15.21875" style="1" hidden="1" customWidth="1" outlineLevel="1" collapsed="1"/>
    <col min="212" max="212" width="15.21875" style="1" hidden="1" customWidth="1" outlineLevel="1"/>
    <col min="213" max="213" width="15.21875" style="1" hidden="1" customWidth="1" outlineLevel="1" collapsed="1"/>
    <col min="214" max="216" width="15.21875" style="1" hidden="1" customWidth="1" outlineLevel="1"/>
    <col min="217" max="217" width="15.21875" style="1" hidden="1" customWidth="1" outlineLevel="1" collapsed="1"/>
    <col min="218" max="223" width="15.21875" style="1" hidden="1" customWidth="1" outlineLevel="1"/>
    <col min="224" max="224" width="15.21875" style="1" hidden="1" customWidth="1" outlineLevel="1" collapsed="1"/>
    <col min="225" max="227" width="15.21875" style="1" hidden="1" customWidth="1" outlineLevel="1"/>
    <col min="228" max="228" width="12.21875" style="1" hidden="1" customWidth="1" collapsed="1"/>
    <col min="229" max="340" width="15.21875" style="1" hidden="1" customWidth="1" outlineLevel="1"/>
    <col min="341" max="534" width="13.77734375" style="1" hidden="1" customWidth="1" outlineLevel="1"/>
    <col min="535" max="535" width="13.77734375" style="1" hidden="1" customWidth="1" outlineLevel="1" collapsed="1"/>
    <col min="536" max="562" width="13.77734375" style="1" hidden="1" customWidth="1" outlineLevel="1"/>
    <col min="563" max="563" width="13.77734375" style="1" hidden="1" customWidth="1" outlineLevel="1" collapsed="1"/>
    <col min="564" max="564" width="13.77734375" style="1" hidden="1" customWidth="1" outlineLevel="1"/>
    <col min="565" max="565" width="12.6640625" style="1" hidden="1" customWidth="1" outlineLevel="1" collapsed="1"/>
    <col min="566" max="566" width="12.6640625" style="1" hidden="1" customWidth="1" outlineLevel="1"/>
    <col min="567" max="568" width="13.77734375" style="1" hidden="1" customWidth="1" outlineLevel="1"/>
    <col min="569" max="569" width="13.77734375" style="1" customWidth="1" collapsed="1"/>
    <col min="570" max="682" width="13.77734375" style="1" customWidth="1"/>
    <col min="683" max="16384" width="13.77734375" style="1"/>
  </cols>
  <sheetData>
    <row r="1" spans="1:684" ht="21.45" customHeight="1">
      <c r="A1" s="11" t="s">
        <v>15</v>
      </c>
    </row>
    <row r="2" spans="1:684">
      <c r="J2" s="1" t="s">
        <v>17</v>
      </c>
    </row>
    <row r="3" spans="1:684" s="3" customFormat="1">
      <c r="A3" s="1324"/>
      <c r="B3" s="1324"/>
      <c r="C3" s="1324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9">
        <v>45880</v>
      </c>
      <c r="ZE3" s="9">
        <v>45882</v>
      </c>
      <c r="ZF3" s="1"/>
      <c r="ZG3" s="1"/>
      <c r="ZH3" s="1"/>
    </row>
    <row r="4" spans="1:684">
      <c r="A4" s="1321" t="s">
        <v>2</v>
      </c>
      <c r="B4" s="1322"/>
      <c r="C4" s="1323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  <c r="ZD4" s="584">
        <v>0.18</v>
      </c>
      <c r="ZE4" s="584">
        <v>0.18</v>
      </c>
    </row>
    <row r="5" spans="1:684" ht="15" customHeight="1">
      <c r="A5" s="87"/>
      <c r="B5" s="87"/>
      <c r="C5" s="87"/>
      <c r="AU5" s="1" t="s">
        <v>366</v>
      </c>
      <c r="AW5" s="1318" t="s">
        <v>380</v>
      </c>
      <c r="AX5" s="1318"/>
      <c r="AY5" s="1318"/>
      <c r="AZ5" s="1318"/>
      <c r="BA5" s="1318"/>
      <c r="BB5" s="1318"/>
      <c r="BC5" s="1318"/>
      <c r="BD5" s="1318"/>
      <c r="BE5" s="1318"/>
      <c r="BF5" s="1318"/>
      <c r="BG5" s="1318"/>
      <c r="BH5" s="1318"/>
      <c r="BI5" s="1318" t="s">
        <v>382</v>
      </c>
      <c r="BJ5" s="1318"/>
      <c r="BK5" s="1318"/>
      <c r="BL5" s="1318"/>
      <c r="BM5" s="1318"/>
      <c r="BN5" s="1318"/>
      <c r="BO5" s="1318"/>
      <c r="BP5" s="1318"/>
      <c r="BQ5" s="1318"/>
      <c r="BR5" s="1318"/>
      <c r="BS5" s="1318"/>
      <c r="BT5" s="1318" t="s">
        <v>419</v>
      </c>
      <c r="BU5" s="1320" t="s">
        <v>420</v>
      </c>
      <c r="BV5" s="1320"/>
      <c r="BW5" s="1320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8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  <c r="ZD5" s="585"/>
      <c r="ZE5" s="585"/>
    </row>
    <row r="6" spans="1:684" ht="13.2" customHeight="1">
      <c r="A6" s="87"/>
      <c r="B6" s="87"/>
      <c r="C6" s="87"/>
      <c r="AU6" s="1" t="s">
        <v>365</v>
      </c>
      <c r="AW6" s="1319"/>
      <c r="AX6" s="1319"/>
      <c r="AY6" s="1319"/>
      <c r="AZ6" s="1319"/>
      <c r="BA6" s="1319"/>
      <c r="BB6" s="1319"/>
      <c r="BC6" s="1319"/>
      <c r="BD6" s="1319"/>
      <c r="BE6" s="1319"/>
      <c r="BF6" s="1319"/>
      <c r="BG6" s="1319"/>
      <c r="BH6" s="1319"/>
      <c r="BI6" s="1319"/>
      <c r="BJ6" s="1319"/>
      <c r="BK6" s="1319"/>
      <c r="BL6" s="1319"/>
      <c r="BM6" s="1319"/>
      <c r="BN6" s="1319"/>
      <c r="BO6" s="1319"/>
      <c r="BP6" s="1319"/>
      <c r="BQ6" s="1319"/>
      <c r="BR6" s="1319"/>
      <c r="BS6" s="1319"/>
      <c r="BT6" s="1319"/>
      <c r="BU6" s="1320"/>
      <c r="BV6" s="1320"/>
      <c r="BW6" s="1320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19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  <c r="ZD6" s="964"/>
      <c r="ZE6" s="964"/>
    </row>
    <row r="7" spans="1:684">
      <c r="A7" s="1329" t="s">
        <v>1</v>
      </c>
      <c r="B7" s="1330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5">
        <v>79.779600000000002</v>
      </c>
      <c r="ZE7" s="5">
        <v>79.871399999999994</v>
      </c>
      <c r="ZF7" s="1" t="s">
        <v>84</v>
      </c>
    </row>
    <row r="8" spans="1:684" ht="14.4">
      <c r="A8" s="1331"/>
      <c r="B8" s="1332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5">
        <v>92.88</v>
      </c>
      <c r="ZE8" s="5">
        <v>92.8583</v>
      </c>
      <c r="ZF8" s="92" t="s">
        <v>85</v>
      </c>
    </row>
    <row r="9" spans="1:684">
      <c r="A9" s="1331"/>
      <c r="B9" s="1332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  <c r="ZD9" s="5">
        <v>11.0665</v>
      </c>
      <c r="ZE9" s="5">
        <v>11.0609</v>
      </c>
    </row>
    <row r="10" spans="1:684">
      <c r="A10" s="87"/>
      <c r="B10" s="87"/>
      <c r="C10" s="87"/>
    </row>
    <row r="11" spans="1:684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v>27.904031693298776</v>
      </c>
      <c r="ZD11" s="15">
        <v>31.954234588389387</v>
      </c>
      <c r="ZE11" s="15">
        <f>SUMIF(Table!$1:$1,Daily!ZE$3,Table!$4:$4)</f>
        <v>30.571523560471835</v>
      </c>
      <c r="ZF11" s="475"/>
    </row>
    <row r="12" spans="1:684" ht="26.4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</row>
    <row r="13" spans="1:684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$D49/RG$7</f>
        <v>47.550956055602754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$D49/SF$7</f>
        <v>46.910273166200405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$D49/TE$7</f>
        <v>47.731936215273997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$D49/VJ$7</f>
        <v>44.962408817311612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$D49/WR$7</f>
        <v>44.814591622777328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$D49/XT$7</f>
        <v>53.248097143753924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$D49/YM$7</f>
        <v>55.347050090163563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v>54.781435415767774</v>
      </c>
      <c r="ZD13" s="668">
        <v>53.18402198055643</v>
      </c>
      <c r="ZE13" s="668">
        <f>$D49/ZE$7</f>
        <v>54.374907664069994</v>
      </c>
    </row>
    <row r="14" spans="1:684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$C$49</f>
        <v>0.17894773198250058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$C$49</f>
        <v>0.17894773198250058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$C$49</f>
        <v>0.17894773198250058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$C$49</f>
        <v>0.17894773198250058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$C$49</f>
        <v>0.17894773198250058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$C$49</f>
        <v>0.17894773198250058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$C$49</f>
        <v>0.17894773198250058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v>0.18024356931481905</v>
      </c>
      <c r="ZD14" s="8">
        <v>0.17905020032995522</v>
      </c>
      <c r="ZE14" s="8">
        <f>$C$49</f>
        <v>0.17894773198250058</v>
      </c>
    </row>
    <row r="15" spans="1:684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v>2.933246</v>
      </c>
      <c r="ZD15" s="670">
        <v>2.933246</v>
      </c>
      <c r="ZE15" s="670">
        <f>'Cash in bank report'!$D$13-'Cash in bank report'!$D$56</f>
        <v>2.933246</v>
      </c>
    </row>
    <row r="16" spans="1:684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  <c r="ZD16" s="672"/>
      <c r="ZE16" s="672"/>
    </row>
    <row r="17" spans="1:681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$D$62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$D$62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$D$62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$D$62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$D$62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$D$62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$D$62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v>0</v>
      </c>
      <c r="ZD17" s="670">
        <v>0</v>
      </c>
      <c r="ZE17" s="670">
        <f>$D$62</f>
        <v>0</v>
      </c>
    </row>
    <row r="18" spans="1:681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E62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AA62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AT62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$C$64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$C$64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$C$64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$C$64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v>0</v>
      </c>
      <c r="ZD18" s="673">
        <v>0</v>
      </c>
      <c r="ZE18" s="673">
        <f>$C$64</f>
        <v>0</v>
      </c>
    </row>
    <row r="19" spans="1:681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v>0</v>
      </c>
      <c r="ZD19" s="674">
        <v>0</v>
      </c>
      <c r="ZE19" s="674">
        <f>'Cash in bank report'!$D$14-'Cash in bank report'!$D$57</f>
        <v>0</v>
      </c>
    </row>
    <row r="20" spans="1:681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</row>
    <row r="21" spans="1:681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$D70*CP8/CP7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$D65*CY8/CY7</f>
        <v>0</v>
      </c>
      <c r="CZ21" s="587">
        <f>$D65*CZ8/CZ7</f>
        <v>0</v>
      </c>
      <c r="DA21" s="587">
        <f>$D64*DA8/DA7</f>
        <v>0</v>
      </c>
      <c r="DB21" s="587">
        <f>$D66*DB8/DB7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$D66*DZ8/DZ7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$D67*EN8/EN7</f>
        <v>0</v>
      </c>
      <c r="EO21" s="587">
        <v>0</v>
      </c>
      <c r="EP21" s="587">
        <f>$D69*EP8/EP7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$D65*EX8/EX7</f>
        <v>0</v>
      </c>
      <c r="EY21" s="587">
        <f>$D65*EY8/EY7</f>
        <v>0</v>
      </c>
      <c r="EZ21" s="587">
        <f>$D65*EZ8/EZ7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$D68*FH8/FH7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$D65*FP8/FP7</f>
        <v>0</v>
      </c>
      <c r="FQ21" s="587">
        <v>0</v>
      </c>
      <c r="FR21" s="587">
        <v>0</v>
      </c>
      <c r="FS21" s="587">
        <f>$D64*FS8/FS7</f>
        <v>0</v>
      </c>
      <c r="FT21" s="587">
        <f>$D65*FT8/FT7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$D67*GD8/GD7</f>
        <v>0</v>
      </c>
      <c r="GE21" s="587">
        <v>0</v>
      </c>
      <c r="GF21" s="587">
        <f>$D67*GF8/GF7</f>
        <v>0</v>
      </c>
      <c r="GG21" s="587">
        <f>$D67*GG8/GG7</f>
        <v>0</v>
      </c>
      <c r="GH21" s="587">
        <f>$D67*GH8/GH7</f>
        <v>0</v>
      </c>
      <c r="GI21" s="587">
        <v>0</v>
      </c>
      <c r="GJ21" s="587">
        <v>0</v>
      </c>
      <c r="GK21" s="587">
        <f>$D68*GK8/GK7</f>
        <v>0</v>
      </c>
      <c r="GL21" s="587">
        <v>0</v>
      </c>
      <c r="GM21" s="587">
        <v>0</v>
      </c>
      <c r="GN21" s="587">
        <f>$D68*GN8/GN7</f>
        <v>0</v>
      </c>
      <c r="GO21" s="587">
        <f>$D68*GO8/GO7</f>
        <v>0</v>
      </c>
      <c r="GP21" s="587">
        <f>$D68*GP8/GP7</f>
        <v>0</v>
      </c>
      <c r="GQ21" s="587">
        <f>$D68*GQ8/GQ7</f>
        <v>0</v>
      </c>
      <c r="GR21" s="587">
        <v>0</v>
      </c>
      <c r="GS21" s="587">
        <f>$D68*GS8/GS7</f>
        <v>0</v>
      </c>
      <c r="GT21" s="587">
        <v>0</v>
      </c>
      <c r="GU21" s="587">
        <f t="shared" ref="GU21:HD21" si="14">$D68*GU8/GU7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$D$57*VJ8/VJ7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$D$57*WR8/WR7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$D$57*XT8/XT7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$D$57*YM8/YM7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v>2.9666273625850152</v>
      </c>
      <c r="ZD21" s="140">
        <v>2.9778620549614185</v>
      </c>
      <c r="ZE21" s="140">
        <f>$D$57*ZE8/ZE7</f>
        <v>2.9737445238658644</v>
      </c>
    </row>
    <row r="22" spans="1:681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$C$57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$C$57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$C$57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$C$57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v>7.4999999999999997E-3</v>
      </c>
      <c r="ZD22" s="133">
        <v>7.4999999999999997E-3</v>
      </c>
      <c r="ZE22" s="133">
        <f>$C$57</f>
        <v>7.4999999999999997E-3</v>
      </c>
    </row>
    <row r="23" spans="1:681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7.4982531372814192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7.4982531372814192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7.4982531372814192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7.4982531372814192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7.4982531372814192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7.4982531372814192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7.4982531372814192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v>7.9217466642235319</v>
      </c>
      <c r="ZD23" s="674">
        <v>7.5106817961473222</v>
      </c>
      <c r="ZE23" s="674">
        <f>'Cash in bank report'!$D$15-'Cash in bank report'!$D$58</f>
        <v>7.4982531372814192</v>
      </c>
    </row>
    <row r="24" spans="1:681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  <c r="ZD24" s="875"/>
      <c r="ZE24" s="875"/>
    </row>
    <row r="25" spans="1:681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$D$49*HT9/HT7</f>
        <v>639.47579436210026</v>
      </c>
      <c r="HU25" s="140">
        <f t="shared" si="15"/>
        <v>637.89190340187076</v>
      </c>
      <c r="HV25" s="140">
        <f t="shared" si="15"/>
        <v>636.34067921667361</v>
      </c>
      <c r="HW25" s="140">
        <f t="shared" si="15"/>
        <v>634.83740770836448</v>
      </c>
      <c r="HX25" s="140">
        <f t="shared" si="15"/>
        <v>629.78577371493384</v>
      </c>
      <c r="HY25" s="140">
        <f t="shared" si="15"/>
        <v>629.82538779261438</v>
      </c>
      <c r="HZ25" s="140">
        <f t="shared" si="15"/>
        <v>630.14416527124695</v>
      </c>
      <c r="IA25" s="140">
        <f t="shared" si="15"/>
        <v>621.39336066910334</v>
      </c>
      <c r="IB25" s="140">
        <v>0.50165034310167023</v>
      </c>
      <c r="IC25" s="140">
        <v>0.50531047164735943</v>
      </c>
      <c r="ID25" s="140">
        <f>$D$49*ID9/ID7</f>
        <v>628.13015642890468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$D$49*JU9/JU7</f>
        <v>622.50908354359478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$D$52*RG9/RG7</f>
        <v>0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$D$52*SF9/SF7</f>
        <v>0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$D$52*TE9/TE7</f>
        <v>0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$D$52*VJ9/VJ7</f>
        <v>0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$D$52*WR9/WR7</f>
        <v>0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$D$52*XT9/XT7</f>
        <v>0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$D$52*YM9/YM7</f>
        <v>0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v>0.50203732386646205</v>
      </c>
      <c r="ZD25" s="140">
        <v>0</v>
      </c>
      <c r="ZE25" s="140">
        <f>$D$52*ZE9/ZE7</f>
        <v>0</v>
      </c>
    </row>
    <row r="26" spans="1:681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$C$51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$C$51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$C$51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$C$52</f>
        <v>0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$C$52</f>
        <v>0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$C$52</f>
        <v>0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$C$52</f>
        <v>0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$C$52</f>
        <v>0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$C$52</f>
        <v>0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$C$52</f>
        <v>0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v>1E-4</v>
      </c>
      <c r="ZD26" s="133">
        <v>0</v>
      </c>
      <c r="ZE26" s="133">
        <f>$C$52</f>
        <v>0</v>
      </c>
    </row>
    <row r="27" spans="1:681">
      <c r="A27" s="1328" t="s">
        <v>11</v>
      </c>
      <c r="B27" s="1328"/>
      <c r="C27" s="1328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801.37800485309219</v>
      </c>
      <c r="HU27" s="16">
        <f t="shared" si="111"/>
        <v>801.53255185410649</v>
      </c>
      <c r="HV27" s="16">
        <f t="shared" si="111"/>
        <v>799.29959595330604</v>
      </c>
      <c r="HW27" s="16">
        <f t="shared" si="111"/>
        <v>803.21401656039711</v>
      </c>
      <c r="HX27" s="16">
        <f t="shared" ref="HX27:IA27" si="112">+HX11+HX13+HX15+HX17+HX19+HX21+HX23+HX25</f>
        <v>798.60444191268152</v>
      </c>
      <c r="HY27" s="16">
        <f t="shared" si="112"/>
        <v>784.96358698791084</v>
      </c>
      <c r="HZ27" s="16">
        <f t="shared" si="112"/>
        <v>784.66162614160862</v>
      </c>
      <c r="IA27" s="16">
        <f t="shared" si="112"/>
        <v>771.46315614307628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99.956855189380533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80.490945202564788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104.30533549993864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90.862715728554178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80.417965276384166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90.081596839956703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109.79161403471795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v>97.009124459741557</v>
      </c>
      <c r="ZD27" s="16">
        <v>98.560046420054562</v>
      </c>
      <c r="ZE27" s="16">
        <f>+ZE11+ZE13+ZE15+ZE17+ZE19+ZE21+ZE23+ZE25</f>
        <v>98.351674885689107</v>
      </c>
    </row>
    <row r="28" spans="1:681">
      <c r="A28" s="1324" t="s">
        <v>12</v>
      </c>
      <c r="B28" s="1324"/>
      <c r="C28" s="1324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8.512808574887698E-2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0.10429107235162191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8.1889595464286577E-2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8.8779519429349571E-2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9.9970181778624073E-2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0.10602100171680798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9.0414821334492343E-2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v>0.10201412924395506</v>
      </c>
      <c r="ZD28" s="10">
        <v>9.6843945412767363E-2</v>
      </c>
      <c r="ZE28" s="10">
        <f>((ZE11*ZE12)+(ZE13*ZE14)+(ZE15*ZE16)+(ZE17*ZE18)+(ZE19*ZE20)+(ZE21*ZE22)+(ZE23*ZE24)+(ZE25*ZE26))/ZE27</f>
        <v>9.9160176972149142E-2</v>
      </c>
    </row>
    <row r="29" spans="1:681">
      <c r="A29" s="1324" t="s">
        <v>18</v>
      </c>
      <c r="B29" s="1324"/>
      <c r="C29" s="1324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v>8.7291155909486555</v>
      </c>
      <c r="ZD29" s="16">
        <v>8.7741728461912558</v>
      </c>
      <c r="ZE29" s="16">
        <f>(700)/ZE7</f>
        <v>8.7640882718970747</v>
      </c>
    </row>
    <row r="30" spans="1:681" ht="26.25" customHeight="1">
      <c r="A30" s="1327" t="s">
        <v>19</v>
      </c>
      <c r="B30" s="1324"/>
      <c r="C30" s="1324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801.37800485309219</v>
      </c>
      <c r="HU30" s="17">
        <f t="shared" ref="HU30" si="398">HU27+HU29</f>
        <v>801.53255185410649</v>
      </c>
      <c r="HV30" s="17">
        <f>HV27+HV29</f>
        <v>799.29959595330604</v>
      </c>
      <c r="HW30" s="17">
        <f>HW27+HW29</f>
        <v>803.21401656039711</v>
      </c>
      <c r="HX30" s="17">
        <f t="shared" ref="HX30:HY30" si="399">HX27+HX29</f>
        <v>798.60444191268152</v>
      </c>
      <c r="HY30" s="17">
        <f t="shared" si="399"/>
        <v>784.96358698791084</v>
      </c>
      <c r="HZ30" s="17">
        <f t="shared" ref="HZ30:IA30" si="400">HZ27+HZ29</f>
        <v>784.66162614160862</v>
      </c>
      <c r="IA30" s="17">
        <f t="shared" si="400"/>
        <v>771.46315614307628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99.956855189380533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80.490945202564788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104.30533549993864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99.319344552118906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88.680659476387461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98.664067022003152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118.7123911618454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v>105.73824005069021</v>
      </c>
      <c r="ZD30" s="17">
        <v>107.33421926624581</v>
      </c>
      <c r="ZE30" s="17">
        <f t="shared" ref="ZE30" si="415">ZE27+ZE29</f>
        <v>107.11576315758619</v>
      </c>
    </row>
    <row r="32" spans="1:681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  <c r="ZD32" s="811"/>
      <c r="ZE32" s="811"/>
    </row>
    <row r="33" spans="1:681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  <c r="ZD33" s="1182"/>
      <c r="ZE33" s="1182"/>
    </row>
    <row r="34" spans="1:681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81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81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81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81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81" ht="13.95" customHeight="1">
      <c r="A39" s="1164">
        <v>45849</v>
      </c>
      <c r="B39" s="1165">
        <v>45884</v>
      </c>
      <c r="C39" s="1166">
        <v>0.192</v>
      </c>
      <c r="D39" s="1167">
        <v>300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81" ht="13.95" customHeight="1">
      <c r="A40" s="1164">
        <v>45849</v>
      </c>
      <c r="B40" s="1165">
        <v>45894</v>
      </c>
      <c r="C40" s="1166">
        <v>0.192</v>
      </c>
      <c r="D40" s="1167">
        <v>250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81">
      <c r="A41" s="1164">
        <v>45863</v>
      </c>
      <c r="B41" s="1165">
        <v>45898</v>
      </c>
      <c r="C41" s="1166">
        <v>0.1716</v>
      </c>
      <c r="D41" s="1167">
        <v>200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81">
      <c r="A42" s="1164">
        <v>45870</v>
      </c>
      <c r="B42" s="1165">
        <v>45912</v>
      </c>
      <c r="C42" s="1166">
        <v>0.17780000000000001</v>
      </c>
      <c r="D42" s="1167">
        <v>1000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81">
      <c r="A43" s="1164"/>
      <c r="B43" s="1165"/>
      <c r="C43" s="1166"/>
      <c r="D43" s="1167"/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</row>
    <row r="44" spans="1:681">
      <c r="A44" s="1164">
        <v>45863</v>
      </c>
      <c r="B44" s="1165">
        <v>45894</v>
      </c>
      <c r="C44" s="1166">
        <v>0.17499999999999999</v>
      </c>
      <c r="D44" s="1167">
        <v>235</v>
      </c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81">
      <c r="A45" s="1164">
        <v>45882</v>
      </c>
      <c r="B45" s="1165">
        <v>45912</v>
      </c>
      <c r="C45" s="1166">
        <v>0.17460000000000001</v>
      </c>
      <c r="D45" s="1167">
        <v>100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81">
      <c r="A46" s="1164">
        <v>45877</v>
      </c>
      <c r="B46" s="1165">
        <v>45905</v>
      </c>
      <c r="C46" s="1166">
        <v>0.17549999999999999</v>
      </c>
      <c r="D46" s="1167">
        <v>200</v>
      </c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81">
      <c r="A47" s="1164"/>
      <c r="B47" s="1165"/>
      <c r="C47" s="1166"/>
      <c r="D47" s="1167"/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81">
      <c r="A48" s="1164">
        <v>45873</v>
      </c>
      <c r="B48" s="1165">
        <v>45894</v>
      </c>
      <c r="C48" s="1166">
        <v>0.17249999999999999</v>
      </c>
      <c r="D48" s="1167">
        <v>458</v>
      </c>
      <c r="GZ48" s="641"/>
      <c r="HA48" s="641"/>
      <c r="HB48" s="641"/>
      <c r="HC48" s="641"/>
      <c r="HD48" s="641"/>
      <c r="HE48" s="641"/>
      <c r="HF48" s="641"/>
      <c r="HG48" s="641"/>
      <c r="HH48" s="641"/>
      <c r="HI48" s="641"/>
      <c r="HJ48" s="641"/>
      <c r="HK48" s="641"/>
      <c r="HL48" s="641"/>
      <c r="HM48" s="641"/>
      <c r="HN48" s="641"/>
      <c r="HO48" s="641"/>
      <c r="HP48" s="641"/>
      <c r="HQ48" s="641"/>
      <c r="HR48" s="649"/>
      <c r="HS48" s="641"/>
      <c r="HT48" s="939"/>
      <c r="PC48" s="132"/>
    </row>
    <row r="49" spans="1:681">
      <c r="A49" s="1325" t="s">
        <v>14</v>
      </c>
      <c r="B49" s="1326"/>
      <c r="C49" s="409">
        <f>(SUMPRODUCT(C34:C48,D34:D48))/D49</f>
        <v>0.17894773198250058</v>
      </c>
      <c r="D49" s="667">
        <f>SUM(D34:D48)</f>
        <v>4343</v>
      </c>
      <c r="BJ49" s="484"/>
      <c r="HT49" s="940"/>
    </row>
    <row r="50" spans="1:681" ht="15.6">
      <c r="A50" s="12" t="s">
        <v>467</v>
      </c>
      <c r="B50" s="2"/>
      <c r="C50" s="2"/>
    </row>
    <row r="51" spans="1:681" s="132" customFormat="1" ht="26.4">
      <c r="A51" s="13" t="s">
        <v>3</v>
      </c>
      <c r="B51" s="13" t="s">
        <v>4</v>
      </c>
      <c r="C51" s="13" t="s">
        <v>0</v>
      </c>
      <c r="D51" s="13" t="s">
        <v>468</v>
      </c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</row>
    <row r="52" spans="1:681">
      <c r="A52" s="1299"/>
      <c r="B52" s="1165"/>
      <c r="C52" s="1166"/>
      <c r="D52" s="1168"/>
      <c r="QJ52" s="132"/>
      <c r="QK52" s="132"/>
      <c r="QL52" s="132"/>
      <c r="QM52" s="132"/>
      <c r="QN52" s="132"/>
      <c r="QO52" s="132"/>
      <c r="QP52" s="132"/>
      <c r="QQ52" s="132"/>
      <c r="QR52" s="132"/>
      <c r="QS52" s="132"/>
      <c r="QT52" s="132"/>
      <c r="QU52" s="132"/>
      <c r="QV52" s="132"/>
      <c r="QW52" s="132"/>
      <c r="QX52" s="132"/>
      <c r="QY52" s="132"/>
      <c r="QZ52" s="132"/>
      <c r="RA52" s="132"/>
      <c r="RB52" s="132"/>
      <c r="RC52" s="132"/>
      <c r="RD52" s="132"/>
      <c r="RE52" s="132"/>
      <c r="RF52" s="132"/>
      <c r="RG52" s="132"/>
      <c r="RH52" s="132"/>
      <c r="RI52" s="132"/>
      <c r="RJ52" s="132"/>
      <c r="RK52" s="132"/>
      <c r="RL52" s="132"/>
      <c r="RM52" s="132"/>
      <c r="RN52" s="132"/>
      <c r="RO52" s="132"/>
      <c r="RP52" s="132"/>
      <c r="RQ52" s="132"/>
      <c r="RR52" s="132"/>
      <c r="RS52" s="132"/>
      <c r="RT52" s="132"/>
      <c r="RU52" s="132"/>
      <c r="RV52" s="132"/>
      <c r="RW52" s="132"/>
      <c r="RX52" s="132"/>
      <c r="RY52" s="132"/>
      <c r="RZ52" s="132"/>
      <c r="SA52" s="132"/>
      <c r="SB52" s="132"/>
      <c r="SC52" s="132"/>
      <c r="SD52" s="132"/>
      <c r="SE52" s="132"/>
      <c r="SF52" s="132"/>
      <c r="SG52" s="132"/>
      <c r="SH52" s="132"/>
      <c r="SI52" s="132"/>
      <c r="SJ52" s="132"/>
      <c r="SK52" s="132"/>
      <c r="SL52" s="132"/>
      <c r="SM52" s="132"/>
      <c r="SN52" s="132"/>
      <c r="SO52" s="132"/>
      <c r="SP52" s="132"/>
      <c r="SQ52" s="132"/>
      <c r="SR52" s="132"/>
      <c r="SS52" s="132"/>
      <c r="ST52" s="132"/>
      <c r="SU52" s="132"/>
      <c r="SV52" s="132"/>
      <c r="SW52" s="132"/>
      <c r="SX52" s="132"/>
      <c r="SY52" s="132"/>
      <c r="SZ52" s="132"/>
      <c r="TA52" s="132"/>
      <c r="TB52" s="132"/>
      <c r="TC52" s="132"/>
      <c r="TD52" s="132"/>
      <c r="TE52" s="132"/>
      <c r="TF52" s="132"/>
      <c r="TG52" s="132"/>
      <c r="TH52" s="132"/>
      <c r="TI52" s="132"/>
      <c r="TJ52" s="132"/>
      <c r="TK52" s="132"/>
      <c r="TL52" s="132"/>
      <c r="TM52" s="132"/>
      <c r="TN52" s="132"/>
      <c r="TO52" s="132"/>
      <c r="TP52" s="132"/>
      <c r="TQ52" s="132"/>
      <c r="TR52" s="132"/>
      <c r="TS52" s="132"/>
      <c r="TT52" s="132"/>
      <c r="TU52" s="132"/>
      <c r="TV52" s="132"/>
      <c r="TW52" s="132"/>
      <c r="TX52" s="132"/>
      <c r="TY52" s="132"/>
      <c r="TZ52" s="132"/>
      <c r="UA52" s="132"/>
      <c r="UB52" s="132"/>
      <c r="UC52" s="132"/>
      <c r="UD52" s="132"/>
      <c r="UE52" s="132"/>
      <c r="UF52" s="132"/>
      <c r="UG52" s="132"/>
      <c r="UH52" s="132"/>
      <c r="UI52" s="132"/>
      <c r="UJ52" s="132"/>
      <c r="UK52" s="132"/>
      <c r="UL52" s="132"/>
      <c r="UM52" s="132"/>
      <c r="UN52" s="132"/>
      <c r="UO52" s="132"/>
      <c r="UP52" s="132"/>
      <c r="UQ52" s="132"/>
      <c r="UT52" s="132"/>
      <c r="UU52" s="132"/>
      <c r="UV52" s="132"/>
      <c r="UW52" s="132"/>
      <c r="UX52" s="132"/>
      <c r="UY52" s="132"/>
      <c r="UZ52" s="132"/>
      <c r="VA52" s="132"/>
      <c r="VB52" s="132"/>
      <c r="VC52" s="132"/>
      <c r="VD52" s="132"/>
      <c r="VE52" s="132"/>
      <c r="VF52" s="132"/>
      <c r="VG52" s="132"/>
      <c r="VH52" s="132"/>
      <c r="VI52" s="132"/>
      <c r="VJ52" s="132"/>
      <c r="VK52" s="132"/>
      <c r="VL52" s="132"/>
      <c r="VM52" s="132"/>
      <c r="VN52" s="132"/>
      <c r="VO52" s="132"/>
      <c r="VP52" s="132"/>
      <c r="VQ52" s="132"/>
      <c r="VR52" s="132"/>
      <c r="VS52" s="132"/>
      <c r="VT52" s="132"/>
      <c r="VU52" s="132"/>
      <c r="VV52" s="132"/>
      <c r="VW52" s="132"/>
      <c r="VX52" s="132"/>
      <c r="VY52" s="132"/>
      <c r="VZ52" s="132"/>
      <c r="WA52" s="132"/>
      <c r="WB52" s="132"/>
      <c r="WC52" s="132"/>
      <c r="WD52" s="132"/>
      <c r="WE52" s="132"/>
      <c r="WF52" s="132"/>
      <c r="WG52" s="132"/>
      <c r="WH52" s="132"/>
      <c r="WI52" s="132"/>
      <c r="WJ52" s="132"/>
      <c r="WK52" s="132"/>
      <c r="WL52" s="132"/>
      <c r="WM52" s="132"/>
      <c r="WN52" s="132"/>
      <c r="WO52" s="132"/>
      <c r="WP52" s="132"/>
      <c r="WQ52" s="132"/>
      <c r="WR52" s="132"/>
      <c r="WS52" s="132"/>
      <c r="WT52" s="132"/>
      <c r="WU52" s="132"/>
      <c r="WV52" s="132"/>
      <c r="WW52" s="132"/>
      <c r="WX52" s="132"/>
      <c r="WY52" s="132"/>
      <c r="WZ52" s="132"/>
      <c r="XA52" s="132"/>
      <c r="XB52" s="132"/>
      <c r="XC52" s="132"/>
      <c r="XD52" s="132"/>
      <c r="XE52" s="132"/>
      <c r="XF52" s="132"/>
      <c r="XG52" s="132"/>
      <c r="XH52" s="132"/>
      <c r="XI52" s="132"/>
      <c r="XJ52" s="132"/>
      <c r="XK52" s="132"/>
      <c r="XL52" s="132"/>
      <c r="XM52" s="132"/>
      <c r="XN52" s="132"/>
      <c r="XO52" s="132"/>
      <c r="XP52" s="132"/>
      <c r="XQ52" s="132"/>
      <c r="XR52" s="132"/>
      <c r="XS52" s="132"/>
      <c r="XT52" s="132"/>
      <c r="XU52" s="132"/>
      <c r="XV52" s="132"/>
      <c r="XW52" s="132"/>
      <c r="XX52" s="132"/>
      <c r="XY52" s="132"/>
      <c r="XZ52" s="132"/>
      <c r="YA52" s="132"/>
      <c r="YB52" s="132"/>
      <c r="YC52" s="132"/>
      <c r="YD52" s="132"/>
      <c r="YE52" s="132"/>
      <c r="YF52" s="132"/>
      <c r="YG52" s="132"/>
      <c r="YH52" s="132"/>
      <c r="YI52" s="132"/>
      <c r="YJ52" s="132"/>
      <c r="YK52" s="132"/>
      <c r="YL52" s="132"/>
      <c r="YM52" s="132"/>
      <c r="YN52" s="132"/>
      <c r="YO52" s="132"/>
      <c r="YP52" s="132"/>
      <c r="YQ52" s="132"/>
      <c r="YR52" s="132"/>
      <c r="YS52" s="132"/>
      <c r="YT52" s="132"/>
      <c r="YU52" s="132"/>
      <c r="YV52" s="132"/>
      <c r="YW52" s="132"/>
      <c r="YX52" s="132"/>
      <c r="YY52" s="132"/>
      <c r="YZ52" s="132"/>
      <c r="ZA52" s="132"/>
      <c r="ZB52" s="132"/>
      <c r="ZC52" s="132"/>
      <c r="ZD52" s="132"/>
      <c r="ZE52" s="132"/>
    </row>
    <row r="53" spans="1:681">
      <c r="A53" s="1246"/>
      <c r="B53" s="662"/>
      <c r="C53" s="663"/>
      <c r="D53" s="664"/>
    </row>
    <row r="54" spans="1:681">
      <c r="A54" s="1333" t="s">
        <v>14</v>
      </c>
      <c r="B54" s="1333"/>
      <c r="C54" s="409" t="str">
        <f>IF(D54=0,"-",(SUMPRODUCT(C52:C53,D52:D53))/D54)</f>
        <v>-</v>
      </c>
      <c r="D54" s="588">
        <f>SUM(D52:D53)</f>
        <v>0</v>
      </c>
    </row>
    <row r="55" spans="1:681" ht="15.6">
      <c r="A55" s="12" t="s">
        <v>586</v>
      </c>
      <c r="B55" s="2"/>
      <c r="C55" s="2"/>
    </row>
    <row r="56" spans="1:681" ht="26.4">
      <c r="A56" s="13" t="s">
        <v>3</v>
      </c>
      <c r="B56" s="13" t="s">
        <v>4</v>
      </c>
      <c r="C56" s="13" t="s">
        <v>0</v>
      </c>
      <c r="D56" s="13" t="s">
        <v>587</v>
      </c>
    </row>
    <row r="57" spans="1:681">
      <c r="A57" s="1164">
        <v>45727</v>
      </c>
      <c r="B57" s="1165">
        <v>45908</v>
      </c>
      <c r="C57" s="1166">
        <v>7.4999999999999997E-3</v>
      </c>
      <c r="D57" s="1168">
        <v>2.5578449999999999</v>
      </c>
    </row>
    <row r="58" spans="1:681">
      <c r="A58" s="661"/>
      <c r="B58" s="662"/>
      <c r="C58" s="663"/>
      <c r="D58" s="664"/>
    </row>
    <row r="59" spans="1:681">
      <c r="A59" s="1333" t="s">
        <v>14</v>
      </c>
      <c r="B59" s="1333"/>
      <c r="C59" s="1171">
        <v>0</v>
      </c>
      <c r="D59" s="1171">
        <v>0</v>
      </c>
    </row>
    <row r="60" spans="1:681" ht="15.6">
      <c r="A60" s="12" t="s">
        <v>570</v>
      </c>
      <c r="B60" s="2"/>
      <c r="C60" s="2"/>
    </row>
    <row r="61" spans="1:681" ht="26.4">
      <c r="A61" s="13" t="s">
        <v>3</v>
      </c>
      <c r="B61" s="13" t="s">
        <v>4</v>
      </c>
      <c r="C61" s="13" t="s">
        <v>0</v>
      </c>
      <c r="D61" s="13" t="s">
        <v>571</v>
      </c>
    </row>
    <row r="62" spans="1:681">
      <c r="A62" s="1164"/>
      <c r="B62" s="1165"/>
      <c r="C62" s="1166"/>
      <c r="D62" s="1168"/>
    </row>
    <row r="63" spans="1:681">
      <c r="A63" s="661"/>
      <c r="B63" s="662"/>
      <c r="C63" s="663"/>
      <c r="D63" s="664"/>
    </row>
    <row r="64" spans="1:681">
      <c r="A64" s="1333" t="s">
        <v>14</v>
      </c>
      <c r="B64" s="1333"/>
      <c r="C64" s="1171">
        <f>IF(D64=0,0,(SUMPRODUCT(C62:C63,D62:D63))/D64)</f>
        <v>0</v>
      </c>
      <c r="D64" s="1171">
        <f>SUM(D62:D63)</f>
        <v>0</v>
      </c>
    </row>
  </sheetData>
  <sortState xmlns:xlrd2="http://schemas.microsoft.com/office/spreadsheetml/2017/richdata2" ref="A44:D46">
    <sortCondition ref="A44:A46"/>
  </sortState>
  <mergeCells count="39">
    <mergeCell ref="A59:B59"/>
    <mergeCell ref="A64:B64"/>
    <mergeCell ref="BO5:BO6"/>
    <mergeCell ref="BN5:BN6"/>
    <mergeCell ref="A54:B54"/>
    <mergeCell ref="BC5:BC6"/>
    <mergeCell ref="BB5:BB6"/>
    <mergeCell ref="AW5:AW6"/>
    <mergeCell ref="AZ5:AZ6"/>
    <mergeCell ref="AY5:AY6"/>
    <mergeCell ref="A3:C3"/>
    <mergeCell ref="A49:B49"/>
    <mergeCell ref="A30:C30"/>
    <mergeCell ref="A29:C29"/>
    <mergeCell ref="A28:C28"/>
    <mergeCell ref="A27:C27"/>
    <mergeCell ref="A7:B9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CW5:CW6"/>
    <mergeCell ref="BV5:BV6"/>
    <mergeCell ref="BT5:BT6"/>
    <mergeCell ref="BU5:BU6"/>
    <mergeCell ref="BS5:BS6"/>
    <mergeCell ref="BW5:BW6"/>
  </mergeCells>
  <hyperlinks>
    <hyperlink ref="ZF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tabSelected="1" topLeftCell="A23" zoomScale="66" zoomScaleNormal="60" workbookViewId="0">
      <selection activeCell="E52" sqref="E52"/>
    </sheetView>
  </sheetViews>
  <sheetFormatPr defaultColWidth="8.77734375" defaultRowHeight="14.4"/>
  <cols>
    <col min="1" max="1" width="2.21875" style="19" customWidth="1"/>
    <col min="2" max="2" width="39.77734375" style="20" customWidth="1"/>
    <col min="3" max="3" width="9.21875" style="25" customWidth="1"/>
    <col min="4" max="4" width="10.6640625" style="38" bestFit="1" customWidth="1"/>
    <col min="5" max="5" width="17.77734375" style="25" customWidth="1"/>
    <col min="6" max="6" width="15.21875" style="25" customWidth="1"/>
    <col min="7" max="7" width="16.21875" style="25" customWidth="1"/>
    <col min="8" max="8" width="17.21875" style="25" customWidth="1"/>
    <col min="9" max="9" width="15.21875" style="25" customWidth="1"/>
    <col min="10" max="11" width="12.6640625" style="25" customWidth="1"/>
    <col min="12" max="12" width="14.6640625" style="25" customWidth="1"/>
    <col min="13" max="17" width="12.6640625" style="25" customWidth="1"/>
    <col min="18" max="18" width="13.21875" style="19" customWidth="1"/>
    <col min="19" max="16384" width="8.777343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45882</v>
      </c>
      <c r="D2" s="84" t="s">
        <v>20</v>
      </c>
      <c r="E2" s="27">
        <f>SUMIF(Daily!3:3,'Cash in bank report'!B2,Daily!7:7)</f>
        <v>79.871399999999994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92.8583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11.0609</v>
      </c>
      <c r="F4" s="28" t="s">
        <v>470</v>
      </c>
      <c r="I4" s="655"/>
    </row>
    <row r="5" spans="1:17" ht="15.6">
      <c r="A5" s="18"/>
      <c r="B5" s="18"/>
      <c r="D5" s="25"/>
      <c r="E5" s="27">
        <v>2.4704999999999999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7484.7903869078709</v>
      </c>
      <c r="E7" s="74">
        <f>D19</f>
        <v>752.79795233000004</v>
      </c>
      <c r="F7" s="74">
        <f>D28</f>
        <v>1101.8453312600004</v>
      </c>
      <c r="G7" s="74">
        <f>D37</f>
        <v>627.28210206000006</v>
      </c>
      <c r="H7" s="75">
        <f>D48</f>
        <v>5002.8650012578701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234.28246456439999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234.28246456439999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237.51713836349998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237.51713836349998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598.89597562905908</v>
      </c>
      <c r="E10" s="47">
        <f>D25*E2</f>
        <v>0</v>
      </c>
      <c r="F10" s="35"/>
      <c r="G10" s="35">
        <f>D43*E2</f>
        <v>0</v>
      </c>
      <c r="H10" s="71">
        <f>(D58+D53)*E2</f>
        <v>598.89597562905908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8555.485965464828</v>
      </c>
      <c r="E11" s="72">
        <f>SUM(E7:E10)</f>
        <v>752.79795233000004</v>
      </c>
      <c r="F11" s="72">
        <f t="shared" ref="F11:G11" si="0">SUM(F7:F10)</f>
        <v>1101.8453312600004</v>
      </c>
      <c r="G11" s="72">
        <f t="shared" si="0"/>
        <v>627.28210206000006</v>
      </c>
      <c r="H11" s="72">
        <f>SUM(H7:H10)</f>
        <v>6073.5605798148281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93.71051949643892</v>
      </c>
      <c r="E12" s="79">
        <f>E7/$E$2</f>
        <v>9.4251252930335525</v>
      </c>
      <c r="F12" s="79">
        <f>F7/$E$2</f>
        <v>13.795242493057597</v>
      </c>
      <c r="G12" s="79">
        <f>G7/$E$2</f>
        <v>7.8536510197642722</v>
      </c>
      <c r="H12" s="80">
        <f>H7/$E$2</f>
        <v>62.636500690583496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2.9737445238658644</v>
      </c>
      <c r="E14" s="81">
        <f>+D24</f>
        <v>0</v>
      </c>
      <c r="F14" s="81">
        <f>+D33</f>
        <v>0</v>
      </c>
      <c r="G14" s="81"/>
      <c r="H14" s="83">
        <f>H9/$E$2</f>
        <v>2.9737445238658644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7.4982531372814192</v>
      </c>
      <c r="E15" s="83">
        <f>E10/$E$2</f>
        <v>0</v>
      </c>
      <c r="F15" s="47"/>
      <c r="G15" s="47">
        <f>G10/E2</f>
        <v>0</v>
      </c>
      <c r="H15" s="83">
        <f>H10/$E$2</f>
        <v>7.4982531372814192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107.11576315758617</v>
      </c>
      <c r="E16" s="62">
        <f t="shared" ref="E16:G16" si="1">SUM(E12:E15)</f>
        <v>9.4251252930335525</v>
      </c>
      <c r="F16" s="62">
        <f t="shared" si="1"/>
        <v>13.795242493057597</v>
      </c>
      <c r="G16" s="62">
        <f t="shared" si="1"/>
        <v>7.8536510197642722</v>
      </c>
      <c r="H16" s="62">
        <f>SUM(H12:H15)</f>
        <v>76.041744351730785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5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752.79795233000004</v>
      </c>
      <c r="E19" s="32">
        <f>SUMIF(Table!$1:$1,'Cash in bank report'!$B$2,Table!5:5)</f>
        <v>150.19027109000001</v>
      </c>
      <c r="F19" s="32">
        <f>SUMIF(Table!$1:$1,'Cash in bank report'!$B$2,Table!6:6)</f>
        <v>104.52647889000001</v>
      </c>
      <c r="G19" s="32">
        <f>SUMIF(Table!$1:$1,'Cash in bank report'!$B$2,Table!7:7)</f>
        <v>4.0233470899999997</v>
      </c>
      <c r="H19" s="32">
        <f>SUMIF(Table!$1:$1,'Cash in bank report'!$B$2,Table!8:8)</f>
        <v>178.05735361000001</v>
      </c>
      <c r="I19" s="32">
        <f>SUMIF(Table!$1:$1,'Cash in bank report'!$B$2,Table!9:9)</f>
        <v>316.00050164999999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9.4251252930335525</v>
      </c>
      <c r="E20" s="30">
        <f>E19/$E$2</f>
        <v>1.8804011334470163</v>
      </c>
      <c r="F20" s="41">
        <f>F19/$E$2</f>
        <v>1.308684696775066</v>
      </c>
      <c r="G20" s="41">
        <f>G19/$E$2</f>
        <v>5.0372812921771745E-2</v>
      </c>
      <c r="H20" s="41">
        <f t="shared" ref="H20:J20" si="2">H19/$E$2</f>
        <v>2.2293005207120449</v>
      </c>
      <c r="I20" s="30">
        <f>I19/$E$2</f>
        <v>3.9563661291776531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3.2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1101.8453312600004</v>
      </c>
      <c r="E28" s="32">
        <f>SUMIF(Table!$1:$1,'Cash in bank report'!$B$2,Table!14:14)+700</f>
        <v>702.23723074999998</v>
      </c>
      <c r="F28" s="32">
        <f>SUMIF(Table!$1:$1,'Cash in bank report'!$B$2,Table!15:15)</f>
        <v>5.6867522300000006</v>
      </c>
      <c r="G28" s="32">
        <f>SUMIF(Table!$1:$1,'Cash in bank report'!$B$2,Table!16:16)</f>
        <v>147.97777972</v>
      </c>
      <c r="H28" s="32">
        <f>SUMIF(Table!$1:$1,'Cash in bank report'!$B$2,Table!17:17)</f>
        <v>123.51418821000001</v>
      </c>
      <c r="I28" s="32">
        <f>SUMIF(Table!$1:$1,'Cash in bank report'!$B$2,Table!18:18)</f>
        <v>105.30352929</v>
      </c>
      <c r="J28" s="32">
        <f>SUMIF(Table!$1:$1,'Cash in bank report'!$B$2,Table!19:19)</f>
        <v>4.0659886400000005</v>
      </c>
      <c r="K28" s="32">
        <f>SUMIF(Table!$1:$1,'Cash in bank report'!$B$2,Table!20:20)</f>
        <v>0.21327729000000001</v>
      </c>
      <c r="L28" s="32">
        <f>SUMIF(Table!$1:$1,'Cash in bank report'!$B$2,Table!21:21)</f>
        <v>5.3020831900000003</v>
      </c>
      <c r="M28" s="32">
        <f>SUMIF(Table!$1:$1,'Cash in bank report'!$B$2,Table!22:22)</f>
        <v>0.48745612999999999</v>
      </c>
      <c r="N28" s="32">
        <f>SUMIF(Table!$1:$1,'Cash in bank report'!$B$2,Table!23:23)</f>
        <v>2.7620942200000003</v>
      </c>
      <c r="O28" s="32">
        <f>SUMIF(Table!$1:$1,'Cash in bank report'!$B$2,Table!13:13)</f>
        <v>4.2949515900000002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13.795242493057589</v>
      </c>
      <c r="E29" s="30">
        <f>E28/$E$2</f>
        <v>8.7920986830079357</v>
      </c>
      <c r="F29" s="41">
        <f t="shared" ref="F29:N29" si="4">F28/$E$2</f>
        <v>7.119885503446792E-2</v>
      </c>
      <c r="G29" s="30">
        <f t="shared" si="4"/>
        <v>1.8527004624934584</v>
      </c>
      <c r="H29" s="30">
        <f t="shared" si="4"/>
        <v>1.5464132118630702</v>
      </c>
      <c r="I29" s="30">
        <f t="shared" si="4"/>
        <v>1.3184134657712274</v>
      </c>
      <c r="J29" s="30">
        <f t="shared" si="4"/>
        <v>5.0906690504986779E-2</v>
      </c>
      <c r="K29" s="41">
        <f t="shared" si="4"/>
        <v>2.6702585656442736E-3</v>
      </c>
      <c r="L29" s="30">
        <f t="shared" si="4"/>
        <v>6.6382750145859482E-2</v>
      </c>
      <c r="M29" s="41">
        <f t="shared" si="4"/>
        <v>6.1030122171390512E-3</v>
      </c>
      <c r="N29" s="30">
        <f t="shared" si="4"/>
        <v>3.4581767941966719E-2</v>
      </c>
      <c r="O29" s="30">
        <f t="shared" ref="O29" si="5">O28/$E$2</f>
        <v>5.3773335511835281E-2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627.28210206000006</v>
      </c>
      <c r="E37" s="202">
        <f>SUMIF(Table!$1:$1,'Cash in bank report'!$B$2,Table!27:27)</f>
        <v>65.575000000000003</v>
      </c>
      <c r="F37" s="202">
        <f>SUMIF(Table!$1:$1,'Cash in bank report'!$B$2,Table!28:28)</f>
        <v>335.01000000000005</v>
      </c>
      <c r="G37" s="32">
        <f>SUMIF(Table!$1:$1,'Cash in bank report'!$B$2,Table!29:29)</f>
        <v>3.0511020599999998</v>
      </c>
      <c r="H37" s="32">
        <f>SUMIF(Table!$1:$1,'Cash in bank report'!$B$2,Table!30:30)</f>
        <v>1.5</v>
      </c>
      <c r="I37" s="32">
        <f>SUMIF(Table!$1:$1,'Cash in bank report'!$B$2,Table!31:31)</f>
        <v>13.225999999999999</v>
      </c>
      <c r="J37" s="32">
        <f>SUMIF(Table!$1:$1,'Cash in bank report'!$B$2,Table!32:32)</f>
        <v>54.674999999999997</v>
      </c>
      <c r="K37" s="32">
        <f>SUMIF(Table!$1:$1,'Cash in bank report'!$B$2,Table!33:33)</f>
        <v>11.6</v>
      </c>
      <c r="L37" s="32">
        <f>SUMIF(Table!$1:$1,'Cash in bank report'!$B$2,Table!34:34)</f>
        <v>51.345000000000006</v>
      </c>
      <c r="M37" s="32">
        <f>SUMIF(Table!$1:$1,'Cash in bank report'!$B$2,Table!35:35)</f>
        <v>59.5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</v>
      </c>
      <c r="R37" s="32">
        <f>SUMIF(Table!$1:$1,'Cash in bank report'!$B$2,Table!38:38)</f>
        <v>26.8</v>
      </c>
    </row>
    <row r="38" spans="2:20">
      <c r="B38" s="22" t="s">
        <v>45</v>
      </c>
      <c r="C38" s="42" t="s">
        <v>68</v>
      </c>
      <c r="D38" s="29">
        <f t="shared" ref="D38:D43" si="6">SUM(E38:R38)</f>
        <v>7.853651019764273</v>
      </c>
      <c r="E38" s="30">
        <f t="shared" ref="E38:Q38" si="7">E37/$E$2</f>
        <v>0.82100726918521538</v>
      </c>
      <c r="F38" s="30">
        <f t="shared" si="7"/>
        <v>4.194367445668914</v>
      </c>
      <c r="G38" s="30">
        <f t="shared" si="7"/>
        <v>3.8200182543438578E-2</v>
      </c>
      <c r="H38" s="30">
        <f t="shared" si="7"/>
        <v>1.8780189154065163E-2</v>
      </c>
      <c r="I38" s="30">
        <f t="shared" si="7"/>
        <v>0.16559118783444388</v>
      </c>
      <c r="J38" s="30">
        <f t="shared" si="7"/>
        <v>0.68453789466567505</v>
      </c>
      <c r="K38" s="30">
        <f t="shared" si="7"/>
        <v>0.14523346279143723</v>
      </c>
      <c r="L38" s="41">
        <f t="shared" si="7"/>
        <v>0.64284587474365051</v>
      </c>
      <c r="M38" s="30">
        <f t="shared" si="7"/>
        <v>0.74494750311125135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6.260063051355054E-2</v>
      </c>
      <c r="R38" s="30">
        <f t="shared" ref="R38" si="8">R37/$E$2</f>
        <v>0.33553937955263091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659.86500125787006</v>
      </c>
      <c r="E46" s="32">
        <f>SUMIF(Table!$1:$1,'Cash in bank report'!$B$2,Table!45:45)</f>
        <v>534.65161899999998</v>
      </c>
      <c r="F46" s="32">
        <f>SUMIF(Table!$1:$1,'Cash in bank report'!$B$2,Table!46:46)</f>
        <v>104.42363862787001</v>
      </c>
      <c r="G46" s="32">
        <f>SUMIF(Table!$1:$1,'Cash in bank report'!$B$2,Table!48:48)</f>
        <v>19.50282503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4343</v>
      </c>
      <c r="E47" s="1300">
        <f>Daily!D49-F47-G47</f>
        <v>3350</v>
      </c>
      <c r="F47" s="1300">
        <f>SUM(Daily!D44:D46)</f>
        <v>535</v>
      </c>
      <c r="G47" s="1300">
        <f>SUM(Daily!D48:D48)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5002.8650012578701</v>
      </c>
      <c r="E48" s="35">
        <f>SUM(E46:E47)</f>
        <v>3884.6516190000002</v>
      </c>
      <c r="F48" s="35">
        <f>SUM(F46:F47)</f>
        <v>639.42363862786999</v>
      </c>
      <c r="G48" s="35">
        <f>SUM(G46:G47)</f>
        <v>477.50282503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v>2.933246</v>
      </c>
      <c r="F51" s="1154">
        <v>0</v>
      </c>
      <c r="G51" s="1173">
        <f>0/1000000*E5/E2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7.4982531372814192</v>
      </c>
      <c r="E53" s="1296">
        <f>52.138166*E4/E2</f>
        <v>7.2202946274811772</v>
      </c>
      <c r="F53" s="1298">
        <f>0.202572*E4/E2</f>
        <v>2.8052953057039195E-2</v>
      </c>
      <c r="G53" s="1296">
        <f>1.09913793*E4/E2</f>
        <v>0.15221286630680067</v>
      </c>
      <c r="H53" s="1296">
        <f>0.70544458*E4/E2</f>
        <v>9.7692690436401525E-2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54.374907664069994</v>
      </c>
      <c r="E55" s="677">
        <f>E47/$E$2</f>
        <v>41.942422444078858</v>
      </c>
      <c r="F55" s="677">
        <f>F47/$E$2</f>
        <v>6.6982674649499074</v>
      </c>
      <c r="G55" s="677">
        <f>G47/$E$2</f>
        <v>5.7342177550412288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2.9737445238658644</v>
      </c>
      <c r="E57" s="1297">
        <f>SUMIF(Daily!3:3,'Cash in bank report'!B2,Daily!21:21)</f>
        <v>2.9737445238658644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</v>
      </c>
      <c r="E58" s="808"/>
      <c r="F58" s="1296">
        <f>Daily!$D$54*E4/E2</f>
        <v>0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I56"/>
  <sheetViews>
    <sheetView showGridLines="0" zoomScale="80" zoomScaleNormal="80" zoomScaleSheetLayoutView="70" workbookViewId="0">
      <pane xSplit="2" ySplit="1" topLeftCell="YE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K50" sqref="YK50"/>
    </sheetView>
  </sheetViews>
  <sheetFormatPr defaultColWidth="9.21875" defaultRowHeight="14.4" outlineLevelCol="1"/>
  <cols>
    <col min="2" max="2" width="30.21875" style="917" bestFit="1" customWidth="1"/>
    <col min="3" max="3" width="9.77734375" hidden="1" customWidth="1" outlineLevel="1"/>
    <col min="4" max="18" width="9.777343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640625" hidden="1" customWidth="1" outlineLevel="1"/>
    <col min="47" max="54" width="10.21875" hidden="1" customWidth="1" outlineLevel="1"/>
    <col min="55" max="57" width="11.77734375" hidden="1" customWidth="1" outlineLevel="1"/>
    <col min="58" max="66" width="10.21875" hidden="1" customWidth="1" outlineLevel="1"/>
    <col min="67" max="115" width="13.21875" hidden="1" customWidth="1" outlineLevel="1"/>
    <col min="116" max="121" width="14" hidden="1" customWidth="1" outlineLevel="1"/>
    <col min="122" max="150" width="14.21875" hidden="1" customWidth="1" outlineLevel="1"/>
    <col min="151" max="190" width="14.6640625" hidden="1" customWidth="1" outlineLevel="1"/>
    <col min="191" max="191" width="14.6640625" hidden="1" customWidth="1" outlineLevel="1" collapsed="1"/>
    <col min="192" max="232" width="14.6640625" hidden="1" customWidth="1" outlineLevel="1"/>
    <col min="233" max="234" width="14.77734375" hidden="1" customWidth="1" outlineLevel="1"/>
    <col min="235" max="240" width="14.21875" hidden="1" customWidth="1" outlineLevel="1"/>
    <col min="241" max="241" width="14" hidden="1" customWidth="1" outlineLevel="1"/>
    <col min="242" max="243" width="14.21875" hidden="1" customWidth="1" outlineLevel="1"/>
    <col min="244" max="244" width="13" hidden="1" customWidth="1" outlineLevel="1"/>
    <col min="245" max="245" width="12.77734375" hidden="1" customWidth="1" outlineLevel="1"/>
    <col min="246" max="246" width="13.21875" hidden="1" customWidth="1" outlineLevel="1"/>
    <col min="247" max="247" width="12.21875" hidden="1" customWidth="1" outlineLevel="1"/>
    <col min="248" max="248" width="13.21875" hidden="1" customWidth="1" outlineLevel="1"/>
    <col min="249" max="250" width="11.6640625" hidden="1" customWidth="1" outlineLevel="1"/>
    <col min="251" max="252" width="12" hidden="1" customWidth="1" outlineLevel="1"/>
    <col min="253" max="254" width="12.21875" hidden="1" customWidth="1" outlineLevel="1"/>
    <col min="255" max="255" width="11.6640625" hidden="1" customWidth="1" outlineLevel="1"/>
    <col min="256" max="256" width="12" hidden="1" customWidth="1" outlineLevel="1"/>
    <col min="257" max="258" width="11.6640625" hidden="1" customWidth="1" outlineLevel="1"/>
    <col min="259" max="259" width="11.77734375" hidden="1" customWidth="1" outlineLevel="1"/>
    <col min="260" max="261" width="10.21875" hidden="1" customWidth="1" outlineLevel="1"/>
    <col min="262" max="262" width="10.77734375" hidden="1" customWidth="1" outlineLevel="1"/>
    <col min="263" max="263" width="11" hidden="1" customWidth="1" outlineLevel="1"/>
    <col min="264" max="265" width="10.77734375" hidden="1" customWidth="1" outlineLevel="1"/>
    <col min="266" max="266" width="10" hidden="1" customWidth="1" outlineLevel="1"/>
    <col min="267" max="267" width="9.21875" hidden="1" customWidth="1" outlineLevel="1"/>
    <col min="268" max="289" width="0" hidden="1" customWidth="1" outlineLevel="1"/>
    <col min="290" max="290" width="9.6640625" hidden="1" customWidth="1" outlineLevel="1"/>
    <col min="291" max="291" width="0" hidden="1" customWidth="1" outlineLevel="1"/>
    <col min="292" max="293" width="8.77734375" hidden="1" customWidth="1" outlineLevel="1"/>
    <col min="294" max="307" width="0" hidden="1" customWidth="1" outlineLevel="1"/>
    <col min="308" max="314" width="9.6640625" hidden="1" customWidth="1" outlineLevel="1"/>
    <col min="315" max="316" width="9.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7734375" hidden="1" customWidth="1" outlineLevel="1"/>
    <col min="362" max="374" width="0" hidden="1" customWidth="1" outlineLevel="1"/>
    <col min="375" max="375" width="9.21875" hidden="1" customWidth="1" outlineLevel="1"/>
    <col min="376" max="377" width="0" hidden="1" customWidth="1" outlineLevel="1"/>
    <col min="378" max="378" width="9.21875" hidden="1" customWidth="1" outlineLevel="1"/>
    <col min="379" max="382" width="0" hidden="1" customWidth="1" outlineLevel="1"/>
    <col min="383" max="386" width="10.21875" hidden="1" customWidth="1" outlineLevel="1"/>
    <col min="387" max="401" width="0" hidden="1" customWidth="1" outlineLevel="1"/>
    <col min="402" max="402" width="10.21875" hidden="1" customWidth="1" outlineLevel="1"/>
    <col min="403" max="403" width="10" hidden="1" customWidth="1" outlineLevel="1"/>
    <col min="404" max="413" width="0" hidden="1" customWidth="1" outlineLevel="1"/>
    <col min="414" max="414" width="10.21875" hidden="1" customWidth="1" outlineLevel="1"/>
    <col min="415" max="415" width="10.664062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21875" hidden="1" customWidth="1" outlineLevel="1"/>
    <col min="477" max="492" width="0" hidden="1" customWidth="1" outlineLevel="1"/>
    <col min="493" max="493" width="9.21875" hidden="1" customWidth="1" outlineLevel="1"/>
    <col min="494" max="494" width="10.21875" hidden="1" customWidth="1" outlineLevel="1"/>
    <col min="495" max="495" width="9.21875" hidden="1" customWidth="1" outlineLevel="1"/>
    <col min="496" max="503" width="9.77734375" hidden="1" customWidth="1" outlineLevel="1"/>
    <col min="504" max="512" width="0" hidden="1" customWidth="1" outlineLevel="1"/>
    <col min="513" max="513" width="9.21875" collapsed="1"/>
    <col min="515" max="515" width="10" customWidth="1"/>
    <col min="520" max="521" width="10" customWidth="1"/>
    <col min="522" max="522" width="9.77734375" customWidth="1"/>
    <col min="523" max="523" width="9.21875" customWidth="1"/>
    <col min="525" max="525" width="9.77734375" customWidth="1"/>
    <col min="526" max="528" width="9.21875" customWidth="1"/>
    <col min="530" max="531" width="9.21875" customWidth="1"/>
    <col min="532" max="532" width="10" customWidth="1"/>
    <col min="533" max="533" width="9.21875" customWidth="1"/>
    <col min="534" max="534" width="10.21875" customWidth="1"/>
    <col min="535" max="535" width="10" customWidth="1"/>
    <col min="536" max="536" width="9.77734375" customWidth="1"/>
    <col min="537" max="537" width="10" customWidth="1"/>
    <col min="538" max="539" width="9.6640625" customWidth="1"/>
    <col min="540" max="543" width="9.21875" customWidth="1"/>
    <col min="544" max="544" width="9.77734375" customWidth="1"/>
    <col min="545" max="566" width="10.6640625" customWidth="1"/>
    <col min="567" max="583" width="10.77734375" customWidth="1"/>
    <col min="585" max="756" width="10.21875" customWidth="1"/>
  </cols>
  <sheetData>
    <row r="1" spans="2:659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  <c r="YH1" s="965">
        <v>45880</v>
      </c>
      <c r="YI1" s="965">
        <v>45882</v>
      </c>
    </row>
    <row r="2" spans="2:659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v>80.191400000000002</v>
      </c>
      <c r="YH2" s="966">
        <v>79.779600000000002</v>
      </c>
      <c r="YI2" s="966">
        <f>SUMIF(Daily!3:3,Table!YI1,Daily!7:8)</f>
        <v>79.871399999999994</v>
      </c>
    </row>
    <row r="3" spans="2:659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v>2237.6633671299996</v>
      </c>
      <c r="YH3" s="967">
        <v>2549.29605376787</v>
      </c>
      <c r="YI3" s="967">
        <f>YI11+YI25+YI43+YI49</f>
        <v>2441.79038690787</v>
      </c>
    </row>
    <row r="4" spans="2:659" s="943" customFormat="1" ht="15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v>27.904031693298776</v>
      </c>
      <c r="YH4" s="968">
        <v>31.954234588389387</v>
      </c>
      <c r="YI4" s="968">
        <f>YI3/YI2</f>
        <v>30.571523560471835</v>
      </c>
    </row>
    <row r="5" spans="2:659" ht="15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  <c r="YH5" s="947">
        <v>169.58485405000002</v>
      </c>
      <c r="YI5" s="947">
        <v>150.19027109000001</v>
      </c>
    </row>
    <row r="6" spans="2:659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  <c r="YH6" s="947">
        <v>98.560954989999999</v>
      </c>
      <c r="YI6" s="947">
        <v>104.52647889000001</v>
      </c>
    </row>
    <row r="7" spans="2:659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  <c r="YH7" s="947">
        <v>4.0233470899999997</v>
      </c>
      <c r="YI7" s="947">
        <v>4.0233470899999997</v>
      </c>
    </row>
    <row r="8" spans="2:659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  <c r="YH8" s="947">
        <v>170.86358153999998</v>
      </c>
      <c r="YI8" s="947">
        <v>178.05735361000001</v>
      </c>
    </row>
    <row r="9" spans="2:659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  <c r="YH9" s="947">
        <v>309.95950563999997</v>
      </c>
      <c r="YI9" s="947">
        <v>316.00050164999999</v>
      </c>
    </row>
    <row r="10" spans="2:659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  <c r="YH10" s="947">
        <v>0</v>
      </c>
      <c r="YI10" s="947">
        <v>0</v>
      </c>
    </row>
    <row r="11" spans="2:659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v>731.88668485999995</v>
      </c>
      <c r="YH11" s="967">
        <v>752.99224331000005</v>
      </c>
      <c r="YI11" s="967">
        <f>SUM(YI5:YI10)</f>
        <v>752.79795233000004</v>
      </c>
    </row>
    <row r="12" spans="2:659" s="948" customFormat="1" ht="15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v>9.1267478165987868</v>
      </c>
      <c r="YH12" s="968">
        <v>9.438405849490346</v>
      </c>
      <c r="YI12" s="968">
        <f>YI11/YI2</f>
        <v>9.4251252930335525</v>
      </c>
    </row>
    <row r="13" spans="2:659" s="948" customFormat="1" ht="15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  <c r="YH13" s="130">
        <v>4.2949515900000002</v>
      </c>
      <c r="YI13" s="130">
        <v>4.2949515900000002</v>
      </c>
    </row>
    <row r="14" spans="2:659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  <c r="YH14" s="949">
        <v>2.24127075</v>
      </c>
      <c r="YI14" s="949">
        <v>2.2372307500000002</v>
      </c>
    </row>
    <row r="15" spans="2:659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  <c r="YH15" s="949">
        <v>5.6867522300000006</v>
      </c>
      <c r="YI15" s="949">
        <v>5.6867522300000006</v>
      </c>
    </row>
    <row r="16" spans="2:659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  <c r="YH16" s="949">
        <v>129.38589662999999</v>
      </c>
      <c r="YI16" s="949">
        <v>147.97777972</v>
      </c>
    </row>
    <row r="17" spans="2:659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  <c r="YH17" s="949">
        <v>120.17073487</v>
      </c>
      <c r="YI17" s="949">
        <v>123.51418821000001</v>
      </c>
    </row>
    <row r="18" spans="2:659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  <c r="YH18" s="949">
        <v>8.5161639000000005</v>
      </c>
      <c r="YI18" s="949">
        <v>105.30352929</v>
      </c>
    </row>
    <row r="19" spans="2:659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  <c r="YH19" s="949">
        <v>4.06511041</v>
      </c>
      <c r="YI19" s="949">
        <v>4.0659886400000005</v>
      </c>
    </row>
    <row r="20" spans="2:659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  <c r="YH20" s="949">
        <v>0.19697729</v>
      </c>
      <c r="YI20" s="949">
        <v>0.21327729000000001</v>
      </c>
    </row>
    <row r="21" spans="2:659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  <c r="YH21" s="949">
        <v>5.3020831900000003</v>
      </c>
      <c r="YI21" s="949">
        <v>5.3020831900000003</v>
      </c>
    </row>
    <row r="22" spans="2:659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  <c r="YH22" s="949">
        <v>0.48745612999999999</v>
      </c>
      <c r="YI22" s="949">
        <v>0.48745612999999999</v>
      </c>
    </row>
    <row r="23" spans="2:659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  <c r="YH23" s="949">
        <v>2.7620942200000003</v>
      </c>
      <c r="YI23" s="949">
        <v>2.7620942200000003</v>
      </c>
    </row>
    <row r="24" spans="2:659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  <c r="YH24" s="949"/>
      <c r="YI24" s="949"/>
    </row>
    <row r="25" spans="2:659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v>223.75877724999998</v>
      </c>
      <c r="YH25" s="967">
        <v>283.10949120999999</v>
      </c>
      <c r="YI25" s="967">
        <f>SUM(YI13:YI24)</f>
        <v>401.84533126000002</v>
      </c>
    </row>
    <row r="26" spans="2:659" s="948" customFormat="1" ht="15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v>2.7903089015779745</v>
      </c>
      <c r="YH26" s="968">
        <v>3.5486451575340059</v>
      </c>
      <c r="YI26" s="968">
        <f>YI25/YI2</f>
        <v>5.0311542211605165</v>
      </c>
    </row>
    <row r="27" spans="2:659" ht="15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  <c r="YH27" s="130">
        <v>53.399000000000001</v>
      </c>
      <c r="YI27" s="130">
        <v>65.575000000000003</v>
      </c>
    </row>
    <row r="28" spans="2:659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  <c r="YH28" s="130">
        <v>474.1</v>
      </c>
      <c r="YI28" s="130">
        <v>335.01000000000005</v>
      </c>
    </row>
    <row r="29" spans="2:659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  <c r="YH29" s="130">
        <v>4.1503635499999998</v>
      </c>
      <c r="YI29" s="130">
        <v>3.0511020599999998</v>
      </c>
    </row>
    <row r="30" spans="2:659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  <c r="YH30" s="130">
        <v>1.5</v>
      </c>
      <c r="YI30" s="130">
        <v>1.5</v>
      </c>
    </row>
    <row r="31" spans="2:659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  <c r="YH31" s="130">
        <v>73.260999999999996</v>
      </c>
      <c r="YI31" s="130">
        <v>13.225999999999999</v>
      </c>
    </row>
    <row r="32" spans="2:659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  <c r="YH32" s="130">
        <v>52.664999999999999</v>
      </c>
      <c r="YI32" s="130">
        <v>54.674999999999997</v>
      </c>
    </row>
    <row r="33" spans="2:659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  <c r="YH33" s="130">
        <v>11.6</v>
      </c>
      <c r="YI33" s="130">
        <v>11.6</v>
      </c>
    </row>
    <row r="34" spans="2:659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  <c r="YH34" s="130">
        <v>51.4</v>
      </c>
      <c r="YI34" s="130">
        <v>51.345000000000006</v>
      </c>
    </row>
    <row r="35" spans="2:659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  <c r="YH35" s="130">
        <v>56.5</v>
      </c>
      <c r="YI35" s="130">
        <v>59.5</v>
      </c>
    </row>
    <row r="36" spans="2:659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  <c r="YH36" s="130">
        <v>0</v>
      </c>
      <c r="YI36" s="130">
        <v>0</v>
      </c>
    </row>
    <row r="37" spans="2:659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  <c r="YH37" s="130">
        <v>0</v>
      </c>
      <c r="YI37" s="130">
        <v>0</v>
      </c>
    </row>
    <row r="38" spans="2:659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  <c r="YH38" s="130">
        <v>26.8</v>
      </c>
      <c r="YI38" s="130">
        <v>26.8</v>
      </c>
    </row>
    <row r="39" spans="2:659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  <c r="YH39" s="130">
        <v>0</v>
      </c>
      <c r="YI39" s="130">
        <v>0</v>
      </c>
    </row>
    <row r="40" spans="2:659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  <c r="YH40" s="969">
        <v>5</v>
      </c>
      <c r="YI40" s="969">
        <v>5</v>
      </c>
    </row>
    <row r="41" spans="2:659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  <c r="YH41" s="969"/>
      <c r="YI41" s="969"/>
    </row>
    <row r="43" spans="2:659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v>862.79894507999995</v>
      </c>
      <c r="YH43" s="967">
        <v>810.37536354999986</v>
      </c>
      <c r="YI43" s="967">
        <f>SUM(YI27:YI41)</f>
        <v>627.28210206000006</v>
      </c>
    </row>
    <row r="44" spans="2:659" s="948" customFormat="1" ht="15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v>10.759245319074115</v>
      </c>
      <c r="YH44" s="968">
        <v>10.157676442975395</v>
      </c>
      <c r="YI44" s="968">
        <f>YI43/YI2</f>
        <v>7.8536510197642722</v>
      </c>
    </row>
    <row r="45" spans="2:659" ht="15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  <c r="YH45" s="969">
        <v>568.421201</v>
      </c>
      <c r="YI45" s="969">
        <v>534.65161899999998</v>
      </c>
    </row>
    <row r="46" spans="2:659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  <c r="YH46" s="969">
        <v>113.60801106787001</v>
      </c>
      <c r="YI46" s="969">
        <v>104.42363862787001</v>
      </c>
    </row>
    <row r="47" spans="2:659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  <c r="YH47" s="969">
        <v>1.2869185999999999</v>
      </c>
      <c r="YI47" s="969">
        <v>1.2869185999999999</v>
      </c>
    </row>
    <row r="48" spans="2:659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  <c r="YH48" s="969">
        <v>19.50282503</v>
      </c>
      <c r="YI48" s="969">
        <v>19.50282503</v>
      </c>
    </row>
    <row r="49" spans="2:659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v>419.21895993999993</v>
      </c>
      <c r="YH49" s="967">
        <v>702.81895569787014</v>
      </c>
      <c r="YI49" s="967">
        <f>SUM(YI45:YI48)</f>
        <v>659.86500125787006</v>
      </c>
    </row>
    <row r="50" spans="2:659" s="948" customFormat="1" ht="15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v>5.2277296560479041</v>
      </c>
      <c r="YH50" s="968">
        <v>8.8095071383896393</v>
      </c>
      <c r="YI50" s="968">
        <f>YI49/YI2</f>
        <v>8.2615930265134967</v>
      </c>
    </row>
    <row r="51" spans="2:659" ht="15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9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9">
      <c r="KZ53" s="942"/>
      <c r="LA53" s="942"/>
      <c r="LB53" s="942"/>
      <c r="LC53" s="942"/>
      <c r="LD53" s="942"/>
      <c r="LE53" s="942"/>
    </row>
    <row r="54" spans="2:659">
      <c r="KZ54" s="942"/>
      <c r="LA54" s="942"/>
      <c r="LB54" s="942"/>
      <c r="LC54" s="942"/>
      <c r="LD54" s="942"/>
      <c r="LE54" s="942"/>
    </row>
    <row r="55" spans="2:659">
      <c r="KZ55" s="942"/>
      <c r="LA55" s="942"/>
      <c r="LB55" s="942"/>
      <c r="LC55" s="942"/>
      <c r="LD55" s="942"/>
      <c r="LE55" s="942"/>
    </row>
    <row r="56" spans="2:659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C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7734375" style="787" customWidth="1"/>
    <col min="2" max="2" width="14" style="786"/>
    <col min="3" max="4" width="14" style="787"/>
    <col min="5" max="5" width="18.6640625" style="787" customWidth="1"/>
    <col min="6" max="7" width="14" style="787"/>
    <col min="8" max="8" width="18.6640625" style="787" customWidth="1"/>
    <col min="9" max="10" width="14" style="787"/>
    <col min="11" max="12" width="18.664062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21875" defaultRowHeight="14.4"/>
  <cols>
    <col min="1" max="1" width="4.21875" style="94" customWidth="1"/>
    <col min="2" max="2" width="15.21875" style="96" bestFit="1" customWidth="1"/>
    <col min="3" max="3" width="9.21875" style="94"/>
    <col min="4" max="4" width="13.77734375" style="94" customWidth="1"/>
    <col min="5" max="5" width="18.6640625" style="94" bestFit="1" customWidth="1"/>
    <col min="6" max="6" width="13.77734375" style="94" customWidth="1"/>
    <col min="7" max="7" width="12.21875" style="94" customWidth="1"/>
    <col min="8" max="10" width="13.77734375" style="94" customWidth="1"/>
    <col min="11" max="11" width="14.21875" style="94" customWidth="1"/>
    <col min="12" max="14" width="13.77734375" style="94" customWidth="1"/>
    <col min="15" max="15" width="14.77734375" style="94" customWidth="1"/>
    <col min="16" max="16" width="24.21875" style="94" customWidth="1"/>
    <col min="17" max="16384" width="9.21875" style="94"/>
  </cols>
  <sheetData>
    <row r="1" spans="2:16" ht="23.4">
      <c r="B1" s="95" t="s">
        <v>109</v>
      </c>
    </row>
    <row r="2" spans="2:16" ht="23.4">
      <c r="B2" s="651" t="s">
        <v>727</v>
      </c>
    </row>
    <row r="3" spans="2:16" ht="18.600000000000001" thickBot="1">
      <c r="O3" s="97" t="s">
        <v>110</v>
      </c>
    </row>
    <row r="4" spans="2:16" s="98" customFormat="1" ht="39.75" customHeight="1" thickBot="1">
      <c r="B4" s="1334" t="s">
        <v>87</v>
      </c>
      <c r="C4" s="1335"/>
      <c r="D4" s="1338" t="s">
        <v>111</v>
      </c>
      <c r="E4" s="1339"/>
      <c r="F4" s="1339"/>
      <c r="G4" s="1340"/>
      <c r="H4" s="1338" t="s">
        <v>98</v>
      </c>
      <c r="I4" s="1339"/>
      <c r="J4" s="1339"/>
      <c r="K4" s="1340"/>
      <c r="L4" s="1338" t="s">
        <v>563</v>
      </c>
      <c r="M4" s="1339"/>
      <c r="N4" s="1339"/>
      <c r="O4" s="1340"/>
    </row>
    <row r="5" spans="2:16" s="98" customFormat="1" ht="39.75" customHeight="1" thickBot="1">
      <c r="B5" s="1336"/>
      <c r="C5" s="1337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1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.6" thickBot="1">
      <c r="C23" s="110" t="s">
        <v>115</v>
      </c>
      <c r="D23" s="93"/>
      <c r="E23" s="974">
        <f>+'Cash in bank report'!B2</f>
        <v>45882</v>
      </c>
      <c r="F23" s="652">
        <f>+'Cash in bank report'!E2</f>
        <v>79.871399999999994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4" t="s">
        <v>87</v>
      </c>
      <c r="C24" s="1335"/>
      <c r="D24" s="1338" t="str">
        <f>+D4</f>
        <v>Total Loan</v>
      </c>
      <c r="E24" s="1339"/>
      <c r="F24" s="1339"/>
      <c r="G24" s="1340"/>
      <c r="H24" s="1338" t="str">
        <f t="shared" ref="H24" si="12">+H4</f>
        <v>Subsidy</v>
      </c>
      <c r="I24" s="1339"/>
      <c r="J24" s="1339"/>
      <c r="K24" s="1340"/>
      <c r="L24" s="1338" t="str">
        <f t="shared" ref="L24" si="13">+L4</f>
        <v>Non Subsidy</v>
      </c>
      <c r="M24" s="1339"/>
      <c r="N24" s="1339"/>
      <c r="O24" s="1340"/>
    </row>
    <row r="25" spans="2:16" s="98" customFormat="1" ht="39.75" customHeight="1" thickBot="1">
      <c r="B25" s="1336"/>
      <c r="C25" s="1337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6.2600630513550541</v>
      </c>
      <c r="E26" s="976">
        <f>E6/$F$23</f>
        <v>6.2600630513550541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6.2600630513550541</v>
      </c>
      <c r="I26" s="976">
        <f t="shared" si="17"/>
        <v>6.2600630513550541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9.6541238172862887</v>
      </c>
      <c r="E27" s="114">
        <f t="shared" si="14"/>
        <v>9.6541238172862887</v>
      </c>
      <c r="F27" s="114">
        <f t="shared" si="15"/>
        <v>0</v>
      </c>
      <c r="G27" s="108">
        <f t="shared" si="16"/>
        <v>0.09</v>
      </c>
      <c r="H27" s="113">
        <f t="shared" si="17"/>
        <v>9.6541238172862887</v>
      </c>
      <c r="I27" s="114">
        <f t="shared" si="17"/>
        <v>9.6541238172862887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15.914186868641343</v>
      </c>
      <c r="E28" s="112">
        <f t="shared" si="14"/>
        <v>15.914186868641343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15.914186868641343</v>
      </c>
      <c r="I28" s="112">
        <f t="shared" si="17"/>
        <v>15.914186868641343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88.241848771900834</v>
      </c>
      <c r="E29" s="114">
        <f t="shared" si="14"/>
        <v>71.671093528096421</v>
      </c>
      <c r="F29" s="114">
        <f t="shared" si="14"/>
        <v>16.570755243804417</v>
      </c>
      <c r="G29" s="106">
        <f t="shared" si="16"/>
        <v>0.20286813192303799</v>
      </c>
      <c r="H29" s="113">
        <f t="shared" si="17"/>
        <v>14.748708548992507</v>
      </c>
      <c r="I29" s="114">
        <f t="shared" si="17"/>
        <v>9.0990016447689666</v>
      </c>
      <c r="J29" s="114">
        <f t="shared" si="17"/>
        <v>5.6497069042235397</v>
      </c>
      <c r="K29" s="106">
        <f t="shared" si="18"/>
        <v>9.8160990711585613E-2</v>
      </c>
      <c r="L29" s="113">
        <f t="shared" si="19"/>
        <v>73.493140222908337</v>
      </c>
      <c r="M29" s="114">
        <f t="shared" si="19"/>
        <v>62.57209188332746</v>
      </c>
      <c r="N29" s="114">
        <f t="shared" si="19"/>
        <v>10.921048339580874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56.326662798824124</v>
      </c>
      <c r="E30" s="114">
        <f t="shared" si="14"/>
        <v>56.277695859594317</v>
      </c>
      <c r="F30" s="114">
        <f t="shared" si="14"/>
        <v>4.8966939229812143E-2</v>
      </c>
      <c r="G30" s="106">
        <f t="shared" si="16"/>
        <v>0.11760031898572741</v>
      </c>
      <c r="H30" s="113">
        <f t="shared" si="17"/>
        <v>44.909104159561501</v>
      </c>
      <c r="I30" s="114">
        <f t="shared" si="17"/>
        <v>44.909104159561501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11.417558639262616</v>
      </c>
      <c r="M30" s="114">
        <f t="shared" si="19"/>
        <v>11.368591700032804</v>
      </c>
      <c r="N30" s="114">
        <f t="shared" si="19"/>
        <v>4.8966939229812143E-2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144.56851157072495</v>
      </c>
      <c r="E31" s="112">
        <f t="shared" si="14"/>
        <v>127.94878938769072</v>
      </c>
      <c r="F31" s="112">
        <f t="shared" si="14"/>
        <v>16.619722183034224</v>
      </c>
      <c r="G31" s="102">
        <f t="shared" si="16"/>
        <v>0.16536347036224328</v>
      </c>
      <c r="H31" s="111">
        <f t="shared" si="17"/>
        <v>59.657812708554019</v>
      </c>
      <c r="I31" s="112">
        <f t="shared" si="17"/>
        <v>54.008105804330469</v>
      </c>
      <c r="J31" s="112">
        <f t="shared" si="17"/>
        <v>5.6497069042235397</v>
      </c>
      <c r="K31" s="102">
        <f t="shared" si="18"/>
        <v>8.9261111312023855E-2</v>
      </c>
      <c r="L31" s="111">
        <f t="shared" si="19"/>
        <v>84.910698862170946</v>
      </c>
      <c r="M31" s="112">
        <f t="shared" si="19"/>
        <v>73.940683583360254</v>
      </c>
      <c r="N31" s="112">
        <f t="shared" si="19"/>
        <v>10.970015278810687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56.966573767330992</v>
      </c>
      <c r="E32" s="114">
        <f t="shared" si="14"/>
        <v>52.584529631382452</v>
      </c>
      <c r="F32" s="114">
        <f t="shared" si="14"/>
        <v>4.3820441359485374</v>
      </c>
      <c r="G32" s="106">
        <f t="shared" si="16"/>
        <v>0.14249761904761901</v>
      </c>
      <c r="H32" s="113">
        <f t="shared" si="17"/>
        <v>32.55232786704628</v>
      </c>
      <c r="I32" s="114">
        <f t="shared" si="17"/>
        <v>30.048302646504258</v>
      </c>
      <c r="J32" s="114">
        <f t="shared" si="17"/>
        <v>2.5040252205420215</v>
      </c>
      <c r="K32" s="106">
        <f t="shared" si="18"/>
        <v>0.10324999999999999</v>
      </c>
      <c r="L32" s="113">
        <f t="shared" si="19"/>
        <v>24.414245900284708</v>
      </c>
      <c r="M32" s="114">
        <f t="shared" si="19"/>
        <v>22.536226984878194</v>
      </c>
      <c r="N32" s="114">
        <f t="shared" si="19"/>
        <v>1.8780189154065161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163.19984374882625</v>
      </c>
      <c r="E33" s="114">
        <f t="shared" si="14"/>
        <v>163.19984374882625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163.19984374882625</v>
      </c>
      <c r="M33" s="114">
        <f t="shared" si="19"/>
        <v>163.19984374882625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220.16641751615725</v>
      </c>
      <c r="E34" s="112">
        <f t="shared" si="14"/>
        <v>215.78437338020871</v>
      </c>
      <c r="F34" s="112">
        <f t="shared" si="14"/>
        <v>4.3820441359485374</v>
      </c>
      <c r="G34" s="102">
        <f t="shared" si="16"/>
        <v>0.11415588627792282</v>
      </c>
      <c r="H34" s="111">
        <f t="shared" si="17"/>
        <v>32.55232786704628</v>
      </c>
      <c r="I34" s="112">
        <f t="shared" si="17"/>
        <v>30.048302646504258</v>
      </c>
      <c r="J34" s="112">
        <f t="shared" si="17"/>
        <v>2.5040252205420215</v>
      </c>
      <c r="K34" s="102">
        <f t="shared" si="18"/>
        <v>0.10324999999999999</v>
      </c>
      <c r="L34" s="111">
        <f t="shared" si="19"/>
        <v>187.61408964911095</v>
      </c>
      <c r="M34" s="112">
        <f t="shared" si="19"/>
        <v>185.73607073370445</v>
      </c>
      <c r="N34" s="112">
        <f t="shared" si="19"/>
        <v>1.8780189154065161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15.024151323252129</v>
      </c>
      <c r="E35" s="114">
        <f t="shared" si="14"/>
        <v>15.024151323252129</v>
      </c>
      <c r="F35" s="115">
        <f t="shared" si="14"/>
        <v>0</v>
      </c>
      <c r="G35" s="106">
        <f t="shared" si="16"/>
        <v>0.11</v>
      </c>
      <c r="H35" s="113">
        <f t="shared" si="17"/>
        <v>15.024151323252129</v>
      </c>
      <c r="I35" s="114">
        <f t="shared" si="17"/>
        <v>15.024151323252129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31.523173501403512</v>
      </c>
      <c r="E36" s="114">
        <f t="shared" si="14"/>
        <v>31.523173501403512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31.523173501403512</v>
      </c>
      <c r="I36" s="114">
        <f t="shared" si="17"/>
        <v>31.523173501403512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46.547324824655639</v>
      </c>
      <c r="E37" s="117">
        <f t="shared" si="14"/>
        <v>46.547324824655639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46.547324824655639</v>
      </c>
      <c r="I37" s="117">
        <f t="shared" si="17"/>
        <v>46.547324824655639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166.49263691383902</v>
      </c>
      <c r="E38" s="1135">
        <f>+E26+E29+E32+E35</f>
        <v>145.53983753408608</v>
      </c>
      <c r="F38" s="1135">
        <f t="shared" ref="F38" si="21">+F26+F29+F32+F35</f>
        <v>20.952799379752953</v>
      </c>
      <c r="G38" s="987">
        <f t="shared" ref="G38:G39" si="22">((I38*K38)+(M38*O38))/E38</f>
        <v>0.16747452190631637</v>
      </c>
      <c r="H38" s="1134">
        <f t="shared" ref="H38:J39" si="23">+H26+H29+H32+H35</f>
        <v>68.585250790645972</v>
      </c>
      <c r="I38" s="1135">
        <f t="shared" si="23"/>
        <v>60.431518665880404</v>
      </c>
      <c r="J38" s="1135">
        <f t="shared" si="23"/>
        <v>8.1537321247655612</v>
      </c>
      <c r="K38" s="987">
        <f t="shared" ref="K38:K39" si="24">((I26*K26)+(I29*K29)+(I35*K35)+(I32*K32))/I38</f>
        <v>0.1048611384471634</v>
      </c>
      <c r="L38" s="1134">
        <f t="shared" ref="L38:N39" si="25">+L26+L29+L32+L35</f>
        <v>97.907386123193049</v>
      </c>
      <c r="M38" s="1135">
        <f t="shared" si="25"/>
        <v>85.108318868205657</v>
      </c>
      <c r="N38" s="1135">
        <f t="shared" si="25"/>
        <v>12.79906725498739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260.70380386634019</v>
      </c>
      <c r="E39" s="1137">
        <f t="shared" si="27"/>
        <v>260.65483692711035</v>
      </c>
      <c r="F39" s="1137">
        <f t="shared" si="27"/>
        <v>4.8966939229812143E-2</v>
      </c>
      <c r="G39" s="992">
        <f t="shared" si="22"/>
        <v>0.10122266958058893</v>
      </c>
      <c r="H39" s="1136">
        <f t="shared" si="23"/>
        <v>86.086401478251304</v>
      </c>
      <c r="I39" s="1137">
        <f t="shared" si="23"/>
        <v>86.086401478251304</v>
      </c>
      <c r="J39" s="1137">
        <f t="shared" si="23"/>
        <v>0</v>
      </c>
      <c r="K39" s="992">
        <f t="shared" si="24"/>
        <v>7.6129025566516545E-2</v>
      </c>
      <c r="L39" s="1136">
        <f t="shared" si="25"/>
        <v>174.61740238808886</v>
      </c>
      <c r="M39" s="1137">
        <f t="shared" si="25"/>
        <v>174.56843544885905</v>
      </c>
      <c r="N39" s="1137">
        <f t="shared" si="25"/>
        <v>4.8966939229812143E-2</v>
      </c>
      <c r="O39" s="992">
        <f t="shared" si="26"/>
        <v>0.11359730940360895</v>
      </c>
    </row>
    <row r="40" spans="2:15" s="98" customFormat="1" ht="39.75" customHeight="1" thickBot="1">
      <c r="B40" s="998" t="s">
        <v>114</v>
      </c>
      <c r="C40" s="999"/>
      <c r="D40" s="1138">
        <f>D20/$F$23</f>
        <v>427.19644078017922</v>
      </c>
      <c r="E40" s="1139">
        <f>E20/$F$23</f>
        <v>406.19467446119643</v>
      </c>
      <c r="F40" s="1139">
        <f>F20/$F$23</f>
        <v>21.001766318982764</v>
      </c>
      <c r="G40" s="1000">
        <f>G20</f>
        <v>0.12496075486348635</v>
      </c>
      <c r="H40" s="1138">
        <f>H20/$F$23</f>
        <v>154.6716522688973</v>
      </c>
      <c r="I40" s="1139">
        <f>I20/$F$23</f>
        <v>146.51792014413169</v>
      </c>
      <c r="J40" s="1139">
        <f>J20/$F$23</f>
        <v>8.1537321247655612</v>
      </c>
      <c r="K40" s="1000">
        <f>K20</f>
        <v>8.7979625234795661E-2</v>
      </c>
      <c r="L40" s="1138">
        <f>L20/$F$23</f>
        <v>272.52478851128194</v>
      </c>
      <c r="M40" s="1139">
        <f>M20/$F$23</f>
        <v>259.67675431706471</v>
      </c>
      <c r="N40" s="1139">
        <f>N20/$F$23</f>
        <v>12.848034194217202</v>
      </c>
      <c r="O40" s="1000">
        <f>O20</f>
        <v>0.14582668955997607</v>
      </c>
    </row>
    <row r="41" spans="2:15" ht="21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1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21875" defaultRowHeight="14.4"/>
  <cols>
    <col min="1" max="1" width="13.21875" style="1077" customWidth="1"/>
    <col min="2" max="2" width="12" style="1077" customWidth="1"/>
    <col min="3" max="3" width="32.21875" style="1149" customWidth="1"/>
    <col min="4" max="4" width="13.21875" style="1077" customWidth="1"/>
    <col min="5" max="5" width="17.21875" style="1077" bestFit="1" customWidth="1"/>
    <col min="6" max="6" width="15.21875" style="1078" bestFit="1" customWidth="1"/>
    <col min="7" max="7" width="15" style="1089" bestFit="1" customWidth="1"/>
    <col min="8" max="8" width="15" style="1107" bestFit="1" customWidth="1"/>
    <col min="9" max="9" width="12.21875" style="1080" bestFit="1" customWidth="1"/>
    <col min="10" max="10" width="15.77734375" style="1080" customWidth="1"/>
    <col min="11" max="11" width="10" style="1080" bestFit="1" customWidth="1"/>
    <col min="12" max="12" width="14.77734375" style="1183" customWidth="1"/>
    <col min="13" max="14" width="19.21875" style="1081" customWidth="1"/>
    <col min="15" max="15" width="2.21875" style="1082" customWidth="1"/>
    <col min="16" max="16" width="12.6640625" style="1261" hidden="1" customWidth="1"/>
    <col min="17" max="21" width="11.21875" style="1077" hidden="1" customWidth="1"/>
    <col min="22" max="23" width="11.109375" style="1077" hidden="1" customWidth="1"/>
    <col min="24" max="28" width="11.21875" style="1077" customWidth="1"/>
    <col min="29" max="33" width="10.21875" style="1089" customWidth="1"/>
    <col min="34" max="34" width="9.21875" style="1089" customWidth="1"/>
    <col min="35" max="37" width="9.21875" style="1089" hidden="1" customWidth="1"/>
    <col min="38" max="38" width="11.77734375" style="1259" customWidth="1"/>
    <col min="39" max="40" width="12.21875" style="1089" customWidth="1"/>
    <col min="41" max="41" width="14.21875" style="1089" customWidth="1"/>
    <col min="42" max="42" width="9.21875" style="1089" customWidth="1"/>
    <col min="43" max="43" width="15.21875" style="1308" bestFit="1" customWidth="1"/>
    <col min="44" max="44" width="11.21875" style="1089" customWidth="1"/>
    <col min="45" max="47" width="9.21875" style="1089"/>
    <col min="48" max="48" width="14.6640625" style="1089" customWidth="1"/>
    <col min="49" max="16384" width="9.21875" style="1089"/>
  </cols>
  <sheetData>
    <row r="1" spans="1:43">
      <c r="E1" s="1077" t="s">
        <v>590</v>
      </c>
    </row>
    <row r="2" spans="1:43" s="1075" customFormat="1" ht="29.4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5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95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18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18" si="18">CONCATENATE(B70,K70,A70)</f>
        <v>APKFloatSTL</v>
      </c>
      <c r="AO70" s="1077" t="str">
        <f t="shared" ref="AO70:AO118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5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5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313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7734375" defaultRowHeight="32.25" customHeight="1"/>
  <cols>
    <col min="1" max="1" width="10.77734375" style="925"/>
    <col min="2" max="2" width="25.6640625" style="925" customWidth="1"/>
    <col min="3" max="4" width="13.6640625" style="925" customWidth="1"/>
    <col min="5" max="5" width="10.77734375" style="926" hidden="1" customWidth="1"/>
    <col min="6" max="6" width="10.77734375" style="926"/>
    <col min="7" max="7" width="11.21875" style="926" customWidth="1"/>
    <col min="8" max="8" width="12.21875" style="926" customWidth="1"/>
    <col min="9" max="10" width="12.21875" style="926" bestFit="1" customWidth="1"/>
    <col min="11" max="11" width="13.21875" style="926" customWidth="1"/>
    <col min="12" max="12" width="10.77734375" style="926"/>
    <col min="13" max="27" width="10.77734375" style="925"/>
    <col min="28" max="28" width="2.21875" style="925" customWidth="1"/>
    <col min="29" max="29" width="20.21875" style="925" customWidth="1"/>
    <col min="30" max="16384" width="10.777343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47">
        <v>2025</v>
      </c>
      <c r="C2" s="1348"/>
      <c r="D2" s="1348" t="s">
        <v>98</v>
      </c>
      <c r="E2" s="1351" t="s">
        <v>653</v>
      </c>
      <c r="F2" s="1351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52">
        <f>+B2+1</f>
        <v>2026</v>
      </c>
      <c r="T2" s="1341">
        <f t="shared" ref="T2:AA2" si="0">+S2+1</f>
        <v>2027</v>
      </c>
      <c r="U2" s="1341">
        <f t="shared" si="0"/>
        <v>2028</v>
      </c>
      <c r="V2" s="1341">
        <f t="shared" si="0"/>
        <v>2029</v>
      </c>
      <c r="W2" s="1341">
        <f t="shared" si="0"/>
        <v>2030</v>
      </c>
      <c r="X2" s="1341">
        <f t="shared" si="0"/>
        <v>2031</v>
      </c>
      <c r="Y2" s="1341">
        <f t="shared" si="0"/>
        <v>2032</v>
      </c>
      <c r="Z2" s="1341">
        <f t="shared" si="0"/>
        <v>2033</v>
      </c>
      <c r="AA2" s="1345">
        <f t="shared" si="0"/>
        <v>2034</v>
      </c>
      <c r="AC2" s="1345" t="s">
        <v>581</v>
      </c>
    </row>
    <row r="3" spans="2:29" s="926" customFormat="1" ht="32.25" customHeight="1" thickBot="1">
      <c r="B3" s="1349"/>
      <c r="C3" s="1350"/>
      <c r="D3" s="1350"/>
      <c r="E3" s="1342"/>
      <c r="F3" s="1342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53"/>
      <c r="T3" s="1342"/>
      <c r="U3" s="1342"/>
      <c r="V3" s="1342"/>
      <c r="W3" s="1342"/>
      <c r="X3" s="1342"/>
      <c r="Y3" s="1342"/>
      <c r="Z3" s="1342"/>
      <c r="AA3" s="1346"/>
      <c r="AC3" s="1346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3" t="s">
        <v>113</v>
      </c>
      <c r="C8" s="1344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314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315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316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317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3" t="s">
        <v>113</v>
      </c>
      <c r="C13" s="1344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314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315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316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317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3" t="s">
        <v>113</v>
      </c>
      <c r="C18" s="1344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3" t="s">
        <v>113</v>
      </c>
      <c r="C23" s="1344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3" t="s">
        <v>113</v>
      </c>
      <c r="C28" s="1344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E2:E3"/>
    <mergeCell ref="F2:F3"/>
    <mergeCell ref="S2:S3"/>
    <mergeCell ref="T2:T3"/>
    <mergeCell ref="B28:C28"/>
    <mergeCell ref="B23:C23"/>
    <mergeCell ref="AA2:AA3"/>
    <mergeCell ref="AC2:AC3"/>
    <mergeCell ref="B8:C8"/>
    <mergeCell ref="B13:C13"/>
    <mergeCell ref="B18:C18"/>
    <mergeCell ref="U2:U3"/>
    <mergeCell ref="V2:V3"/>
    <mergeCell ref="W2:W3"/>
    <mergeCell ref="X2:X3"/>
    <mergeCell ref="Y2:Y3"/>
    <mergeCell ref="Z2:Z3"/>
    <mergeCell ref="B2:C3"/>
    <mergeCell ref="D2:D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21875" defaultRowHeight="21" customHeight="1"/>
  <cols>
    <col min="1" max="1" width="2.21875" style="867" customWidth="1"/>
    <col min="2" max="2" width="23" style="787" customWidth="1"/>
    <col min="3" max="3" width="15.6640625" style="867" customWidth="1"/>
    <col min="4" max="5" width="12.21875" style="867" customWidth="1"/>
    <col min="6" max="7" width="15.6640625" style="867" customWidth="1"/>
    <col min="8" max="8" width="0.77734375" style="867" customWidth="1"/>
    <col min="9" max="9" width="15.6640625" style="867" customWidth="1"/>
    <col min="10" max="11" width="12.21875" style="867" customWidth="1"/>
    <col min="12" max="13" width="15.6640625" style="867" customWidth="1"/>
    <col min="14" max="14" width="0.77734375" style="867" customWidth="1"/>
    <col min="15" max="15" width="15.6640625" style="867" customWidth="1"/>
    <col min="16" max="17" width="12.21875" style="867" customWidth="1"/>
    <col min="18" max="19" width="15.6640625" style="867" customWidth="1"/>
    <col min="20" max="16384" width="9.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54" t="s">
        <v>488</v>
      </c>
      <c r="D2" s="1355"/>
      <c r="E2" s="1356"/>
      <c r="F2" s="870" t="s">
        <v>539</v>
      </c>
      <c r="G2" s="871">
        <f>+'Exchange plan'!E7</f>
        <v>20</v>
      </c>
      <c r="I2" s="1354" t="s">
        <v>155</v>
      </c>
      <c r="J2" s="1355"/>
      <c r="K2" s="1356"/>
      <c r="L2" s="870" t="s">
        <v>539</v>
      </c>
      <c r="M2" s="871">
        <f>+'Exchange plan'!E6</f>
        <v>11.46</v>
      </c>
      <c r="O2" s="1354" t="s">
        <v>487</v>
      </c>
      <c r="P2" s="1355"/>
      <c r="Q2" s="1356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4532.8590791399092</v>
      </c>
      <c r="F5" s="873">
        <f>(SUMIF(Daily!$3:$3,$B5,Daily!$23:$23)+SUMIF(Daily!$3:$3,$B5,Daily!$25:$25))*'Cash in bank report'!$E$2/'Cash in bank report'!$E$4</f>
        <v>4549.9590791399096</v>
      </c>
      <c r="G5" s="873">
        <f t="shared" ref="G5:G30" si="0">+$G$2-F5</f>
        <v>-4529.9590791399096</v>
      </c>
      <c r="H5" s="874"/>
      <c r="I5" s="873">
        <f>+L4</f>
        <v>3.1</v>
      </c>
      <c r="J5" s="873"/>
      <c r="K5" s="873">
        <f>+L5-I5-J5</f>
        <v>-0.30806104882212404</v>
      </c>
      <c r="L5" s="873">
        <f>(SUMIF(Daily!$3:$3,$B5,Daily!$19:$19)+SUMIF(Daily!$3:$3,$B5,Daily!$21:$21))*'Cash in bank report'!$E$2/'Cash in bank report'!$E$3</f>
        <v>2.791938951177876</v>
      </c>
      <c r="M5" s="873">
        <f t="shared" ref="M5:M30" si="1">+$M$2-L5</f>
        <v>8.6680610488221248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4549.9590791399096</v>
      </c>
      <c r="D6" s="873"/>
      <c r="E6" s="873">
        <f>+F6-C6-D6</f>
        <v>-4539.2641257762216</v>
      </c>
      <c r="F6" s="873">
        <f>(SUMIF(Daily!$3:$3,$B6,Daily!$23:$23)+SUMIF(Daily!$3:$3,$B6,Daily!$25:$25))*'Cash in bank report'!$E$2/'Cash in bank report'!$E$4</f>
        <v>10.694953363688301</v>
      </c>
      <c r="G6" s="873">
        <f t="shared" si="0"/>
        <v>9.3050466363116993</v>
      </c>
      <c r="H6" s="874"/>
      <c r="I6" s="873">
        <f>+L5</f>
        <v>2.791938951177876</v>
      </c>
      <c r="J6" s="873"/>
      <c r="K6" s="873">
        <f>+L6-I6-J6</f>
        <v>-0.17455504105802122</v>
      </c>
      <c r="L6" s="873">
        <f>(SUMIF(Daily!$3:$3,$B6,Daily!$19:$19)+SUMIF(Daily!$3:$3,$B6,Daily!$21:$21))*'Cash in bank report'!$E$2/'Cash in bank report'!$E$3</f>
        <v>2.6173839101198548</v>
      </c>
      <c r="M6" s="873">
        <f t="shared" si="1"/>
        <v>8.8426160898801456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10.694953363688301</v>
      </c>
      <c r="D7" s="873"/>
      <c r="E7" s="873">
        <f>+F7-C7-D7</f>
        <v>-0.42398137956243431</v>
      </c>
      <c r="F7" s="873">
        <f>(SUMIF(Daily!$3:$3,$B7,Daily!$23:$23)+SUMIF(Daily!$3:$3,$B7,Daily!$25:$25))*'Cash in bank report'!$E$2/'Cash in bank report'!$E$4</f>
        <v>10.270971984125866</v>
      </c>
      <c r="G7" s="873">
        <f t="shared" si="0"/>
        <v>9.7290280158741336</v>
      </c>
      <c r="H7" s="874"/>
      <c r="I7" s="873">
        <f>+L6</f>
        <v>2.6173839101198548</v>
      </c>
      <c r="J7" s="873"/>
      <c r="K7" s="873">
        <f>+L7-I7-J7</f>
        <v>-0.4242359631113346</v>
      </c>
      <c r="L7" s="873">
        <f>(SUMIF(Daily!$3:$3,$B7,Daily!$19:$19)+SUMIF(Daily!$3:$3,$B7,Daily!$21:$21))*'Cash in bank report'!$E$2/'Cash in bank report'!$E$3</f>
        <v>2.1931479470085202</v>
      </c>
      <c r="M7" s="873">
        <f t="shared" si="1"/>
        <v>9.2668520529914815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10.270971984125866</v>
      </c>
      <c r="D8" s="873"/>
      <c r="E8" s="873"/>
      <c r="F8" s="873">
        <f>(SUMIF(Daily!$3:$3,$B8,Daily!$23:$23)+SUMIF(Daily!$3:$3,$B8,Daily!$25:$25))*'Cash in bank report'!$E$2/'Cash in bank report'!$E$4</f>
        <v>10.287778361110517</v>
      </c>
      <c r="G8" s="873">
        <f t="shared" si="0"/>
        <v>9.7122216388894831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10.287778361110517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10.36017454809871</v>
      </c>
      <c r="G9" s="873">
        <f t="shared" si="0"/>
        <v>9.6398254519012898</v>
      </c>
      <c r="H9" s="874"/>
      <c r="I9" s="873">
        <f>+L7</f>
        <v>2.1931479470085202</v>
      </c>
      <c r="J9" s="873"/>
      <c r="K9" s="873">
        <f>+L9-I9-J9</f>
        <v>-0.44304619233342901</v>
      </c>
      <c r="L9" s="873">
        <f>(SUMIF(Daily!$3:$3,$B9,Daily!$19:$19)+SUMIF(Daily!$3:$3,$B9,Daily!$21:$21))*'Cash in bank report'!$E$2/'Cash in bank report'!$E$3</f>
        <v>1.7501017546750912</v>
      </c>
      <c r="M9" s="873">
        <f t="shared" si="1"/>
        <v>9.7098982453249096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10.36017454809871</v>
      </c>
      <c r="D10" s="873"/>
      <c r="E10" s="873">
        <f>+F10-C10-D10</f>
        <v>-3.3732498434065672</v>
      </c>
      <c r="F10" s="873">
        <f>(SUMIF(Daily!$3:$3,$B10,Daily!$23:$23)+SUMIF(Daily!$3:$3,$B10,Daily!$25:$25))*'Cash in bank report'!$E$2/'Cash in bank report'!$E$4</f>
        <v>6.986924704692143</v>
      </c>
      <c r="G10" s="873">
        <f t="shared" si="0"/>
        <v>13.013075295307857</v>
      </c>
      <c r="H10" s="874"/>
      <c r="I10" s="873">
        <f>+L9</f>
        <v>1.7501017546750912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1.7501017546750912</v>
      </c>
      <c r="M10" s="873">
        <f t="shared" si="1"/>
        <v>9.7098982453249096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6.986924704692143</v>
      </c>
      <c r="D11" s="873"/>
      <c r="E11" s="873">
        <f>+F11-C11-D11</f>
        <v>-2.8676771132439605E-2</v>
      </c>
      <c r="F11" s="873">
        <f>(SUMIF(Daily!$3:$3,$B11,Daily!$23:$23)+SUMIF(Daily!$3:$3,$B11,Daily!$25:$25))*'Cash in bank report'!$E$2/'Cash in bank report'!$E$4</f>
        <v>6.9582479335597034</v>
      </c>
      <c r="G11" s="873">
        <f t="shared" si="0"/>
        <v>13.041752066440296</v>
      </c>
      <c r="H11" s="874"/>
      <c r="I11" s="873">
        <f>+L10</f>
        <v>1.7501017546750912</v>
      </c>
      <c r="J11" s="873"/>
      <c r="K11" s="873">
        <f>+L11-I11-J11</f>
        <v>-1.4313913764808506E-2</v>
      </c>
      <c r="L11" s="873">
        <f>(SUMIF(Daily!$3:$3,$B11,Daily!$19:$19)+SUMIF(Daily!$3:$3,$B11,Daily!$21:$21))*'Cash in bank report'!$E$2/'Cash in bank report'!$E$3</f>
        <v>1.7357878409102827</v>
      </c>
      <c r="M11" s="873">
        <f t="shared" si="1"/>
        <v>9.7242121590897188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6.9582479335597034</v>
      </c>
      <c r="D12" s="873"/>
      <c r="E12" s="873"/>
      <c r="F12" s="873">
        <f>(SUMIF(Daily!$3:$3,$B12,Daily!$23:$23)+SUMIF(Daily!$3:$3,$B12,Daily!$25:$25))*'Cash in bank report'!$E$2/'Cash in bank report'!$E$4</f>
        <v>6.9543589774920749</v>
      </c>
      <c r="G12" s="873">
        <f t="shared" si="0"/>
        <v>13.045641022507926</v>
      </c>
      <c r="H12" s="874"/>
      <c r="I12" s="873">
        <f t="shared" ref="I12" si="4">+L11</f>
        <v>1.7357878409102827</v>
      </c>
      <c r="J12" s="873"/>
      <c r="K12" s="873">
        <f t="shared" ref="K12" si="5">+L12-I12-J12</f>
        <v>6.1697664098059324E-3</v>
      </c>
      <c r="L12" s="873">
        <f>(SUMIF(Daily!$3:$3,$B12,Daily!$19:$19)+SUMIF(Daily!$3:$3,$B12,Daily!$21:$21))*'Cash in bank report'!$E$2/'Cash in bank report'!$E$3</f>
        <v>1.7419576073200886</v>
      </c>
      <c r="M12" s="873">
        <f t="shared" si="1"/>
        <v>9.7180423926799122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6.9543589774920749</v>
      </c>
      <c r="D13" s="873"/>
      <c r="E13" s="873"/>
      <c r="F13" s="873">
        <f>(SUMIF(Daily!$3:$3,$B13,Daily!$23:$23)+SUMIF(Daily!$3:$3,$B13,Daily!$25:$25))*'Cash in bank report'!$E$2/'Cash in bank report'!$E$4</f>
        <v>6.9540665817094567</v>
      </c>
      <c r="G13" s="873">
        <f t="shared" si="0"/>
        <v>13.045933418290543</v>
      </c>
      <c r="H13" s="874"/>
      <c r="I13" s="873">
        <f t="shared" ref="I13:I22" si="7">+L12</f>
        <v>1.7419576073200886</v>
      </c>
      <c r="J13" s="873"/>
      <c r="K13" s="873">
        <f t="shared" ref="K13:K14" si="8">+L13-I13-J13</f>
        <v>1.5958501291994942E-3</v>
      </c>
      <c r="L13" s="873">
        <f>(SUMIF(Daily!$3:$3,$B13,Daily!$19:$19)+SUMIF(Daily!$3:$3,$B13,Daily!$21:$21))*'Cash in bank report'!$E$2/'Cash in bank report'!$E$3</f>
        <v>1.7435534574492881</v>
      </c>
      <c r="M13" s="873">
        <f t="shared" si="1"/>
        <v>9.7164465425507132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6.9540665817094567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17.251359281609204</v>
      </c>
      <c r="G14" s="873">
        <f t="shared" si="0"/>
        <v>2.7486407183907957</v>
      </c>
      <c r="H14" s="874"/>
      <c r="I14" s="873">
        <f t="shared" si="7"/>
        <v>1.7435534574492881</v>
      </c>
      <c r="J14" s="873"/>
      <c r="K14" s="873">
        <f t="shared" si="8"/>
        <v>1.1672367278771079E-2</v>
      </c>
      <c r="L14" s="873">
        <f>(SUMIF(Daily!$3:$3,$B14,Daily!$19:$19)+SUMIF(Daily!$3:$3,$B14,Daily!$21:$21))*'Cash in bank report'!$E$2/'Cash in bank report'!$E$3</f>
        <v>1.7552258247280592</v>
      </c>
      <c r="M14" s="873">
        <f t="shared" si="1"/>
        <v>9.7047741752719414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17.251359281609204</v>
      </c>
      <c r="D15" s="873"/>
      <c r="E15" s="873"/>
      <c r="F15" s="873">
        <f>(SUMIF(Daily!$3:$3,$B15,Daily!$23:$23)+SUMIF(Daily!$3:$3,$B15,Daily!$25:$25))*'Cash in bank report'!$E$2/'Cash in bank report'!$E$4</f>
        <v>17.224905107082545</v>
      </c>
      <c r="G15" s="873">
        <f t="shared" si="0"/>
        <v>2.7750948929174548</v>
      </c>
      <c r="H15" s="874"/>
      <c r="I15" s="873">
        <f t="shared" si="7"/>
        <v>1.7552258247280592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2.0016437643573304</v>
      </c>
      <c r="M15" s="873">
        <f t="shared" si="1"/>
        <v>9.45835623564267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17.224905107082545</v>
      </c>
      <c r="D16" s="873"/>
      <c r="E16" s="873"/>
      <c r="F16" s="873">
        <f>(SUMIF(Daily!$3:$3,$B16,Daily!$23:$23)+SUMIF(Daily!$3:$3,$B16,Daily!$25:$25))*'Cash in bank report'!$E$2/'Cash in bank report'!$E$4</f>
        <v>17.246773652513674</v>
      </c>
      <c r="G16" s="873">
        <f t="shared" si="0"/>
        <v>2.7532263474863257</v>
      </c>
      <c r="H16" s="874"/>
      <c r="I16" s="873">
        <f t="shared" si="7"/>
        <v>2.0016437643573304</v>
      </c>
      <c r="J16" s="873"/>
      <c r="K16" s="873"/>
      <c r="L16" s="873">
        <f>(SUMIF(Daily!$3:$3,$B16,Daily!$19:$19)+SUMIF(Daily!$3:$3,$B16,Daily!$21:$21))*'Cash in bank report'!$E$2/'Cash in bank report'!$E$3</f>
        <v>1.998781864419938</v>
      </c>
      <c r="M16" s="873">
        <f t="shared" si="1"/>
        <v>9.4612181355800633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17.246773652513674</v>
      </c>
      <c r="D17" s="873"/>
      <c r="E17" s="873"/>
      <c r="F17" s="873">
        <f>(SUMIF(Daily!$3:$3,$B17,Daily!$23:$23)+SUMIF(Daily!$3:$3,$B17,Daily!$25:$25))*'Cash in bank report'!$E$2/'Cash in bank report'!$E$4</f>
        <v>17.235030753426109</v>
      </c>
      <c r="G17" s="873">
        <f t="shared" si="0"/>
        <v>2.7649692465738909</v>
      </c>
      <c r="H17" s="874"/>
      <c r="I17" s="873">
        <f t="shared" si="7"/>
        <v>1.998781864419938</v>
      </c>
      <c r="J17" s="873"/>
      <c r="K17" s="873"/>
      <c r="L17" s="873">
        <f>(SUMIF(Daily!$3:$3,$B17,Daily!$19:$19)+SUMIF(Daily!$3:$3,$B17,Daily!$21:$21))*'Cash in bank report'!$E$2/'Cash in bank report'!$E$3</f>
        <v>2.0190683985070383</v>
      </c>
      <c r="M17" s="873">
        <f t="shared" si="1"/>
        <v>9.440931601492963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17.235030753426109</v>
      </c>
      <c r="D18" s="873"/>
      <c r="E18" s="873">
        <f>+F18-C18-D18</f>
        <v>-1.1986496517338523</v>
      </c>
      <c r="F18" s="873">
        <f>(SUMIF(Daily!$3:$3,$B18,Daily!$23:$23)+SUMIF(Daily!$3:$3,$B18,Daily!$25:$25))*'Cash in bank report'!$E$2/'Cash in bank report'!$E$4</f>
        <v>16.036381101692257</v>
      </c>
      <c r="G18" s="873">
        <f t="shared" si="0"/>
        <v>3.9636188983077432</v>
      </c>
      <c r="H18" s="874"/>
      <c r="I18" s="873">
        <f t="shared" si="7"/>
        <v>2.0190683985070383</v>
      </c>
      <c r="J18" s="873"/>
      <c r="K18" s="873"/>
      <c r="L18" s="873">
        <f>(SUMIF(Daily!$3:$3,$B18,Daily!$19:$19)+SUMIF(Daily!$3:$3,$B18,Daily!$21:$21))*'Cash in bank report'!$E$2/'Cash in bank report'!$E$3</f>
        <v>2.0269132790874953</v>
      </c>
      <c r="M18" s="873">
        <f t="shared" si="1"/>
        <v>9.433086720912506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16.036381101692257</v>
      </c>
      <c r="D19" s="873"/>
      <c r="E19" s="873"/>
      <c r="F19" s="873">
        <f>(SUMIF(Daily!$3:$3,$B19,Daily!$23:$23)+SUMIF(Daily!$3:$3,$B19,Daily!$25:$25))*'Cash in bank report'!$E$2/'Cash in bank report'!$E$4</f>
        <v>15.97399586444276</v>
      </c>
      <c r="G19" s="873">
        <f t="shared" si="0"/>
        <v>4.0260041355572405</v>
      </c>
      <c r="H19" s="874"/>
      <c r="I19" s="873">
        <f t="shared" si="7"/>
        <v>2.0269132790874953</v>
      </c>
      <c r="J19" s="873"/>
      <c r="K19" s="873">
        <f t="shared" ref="K19" si="10">+L19-I19-J19</f>
        <v>-0.34090516956161943</v>
      </c>
      <c r="L19" s="873">
        <f>(SUMIF(Daily!$3:$3,$B19,Daily!$19:$19)+SUMIF(Daily!$3:$3,$B19,Daily!$21:$21))*'Cash in bank report'!$E$2/'Cash in bank report'!$E$3</f>
        <v>1.6860081095258759</v>
      </c>
      <c r="M19" s="873">
        <f t="shared" si="1"/>
        <v>9.7739918904741252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15.97399586444276</v>
      </c>
      <c r="D20" s="873"/>
      <c r="E20" s="873"/>
      <c r="F20" s="873">
        <f>(SUMIF(Daily!$3:$3,$B20,Daily!$23:$23)+SUMIF(Daily!$3:$3,$B20,Daily!$25:$25))*'Cash in bank report'!$E$2/'Cash in bank report'!$E$4</f>
        <v>15.973786091908373</v>
      </c>
      <c r="G20" s="873">
        <f t="shared" si="0"/>
        <v>4.026213908091627</v>
      </c>
      <c r="H20" s="874"/>
      <c r="I20" s="873">
        <f t="shared" si="7"/>
        <v>1.6860081095258759</v>
      </c>
      <c r="J20" s="873"/>
      <c r="K20" s="873"/>
      <c r="L20" s="873">
        <f>(SUMIF(Daily!$3:$3,$B20,Daily!$19:$19)+SUMIF(Daily!$3:$3,$B20,Daily!$21:$21))*'Cash in bank report'!$E$2/'Cash in bank report'!$E$3</f>
        <v>1.6848770274989815</v>
      </c>
      <c r="M20" s="873">
        <f t="shared" si="1"/>
        <v>9.7751229725010198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15.973786091908373</v>
      </c>
      <c r="D21" s="873"/>
      <c r="E21" s="873">
        <f t="shared" ref="E21:E27" si="11">+F21-C21-D21</f>
        <v>-9.610614940702078E-2</v>
      </c>
      <c r="F21" s="873">
        <f>(SUMIF(Daily!$3:$3,$B21,Daily!$23:$23)+SUMIF(Daily!$3:$3,$B21,Daily!$25:$25))*'Cash in bank report'!$E$2/'Cash in bank report'!$E$4</f>
        <v>15.877679942501352</v>
      </c>
      <c r="G21" s="873">
        <f t="shared" si="0"/>
        <v>4.1223200574986478</v>
      </c>
      <c r="H21" s="874"/>
      <c r="I21" s="873">
        <f t="shared" si="7"/>
        <v>1.6848770274989815</v>
      </c>
      <c r="J21" s="873"/>
      <c r="K21" s="873">
        <f t="shared" ref="K21:K25" si="12">+L21-I21-J21</f>
        <v>-0.73682384047330363</v>
      </c>
      <c r="L21" s="873">
        <f>(SUMIF(Daily!$3:$3,$B21,Daily!$19:$19)+SUMIF(Daily!$3:$3,$B21,Daily!$21:$21))*'Cash in bank report'!$E$2/'Cash in bank report'!$E$3</f>
        <v>0.94805318702567787</v>
      </c>
      <c r="M21" s="873">
        <f t="shared" si="1"/>
        <v>10.511946812974323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15.877679942501352</v>
      </c>
      <c r="D22" s="873"/>
      <c r="E22" s="873">
        <f t="shared" si="11"/>
        <v>-5.2562034448442621</v>
      </c>
      <c r="F22" s="873">
        <f>(SUMIF(Daily!$3:$3,$B22,Daily!$23:$23)+SUMIF(Daily!$3:$3,$B22,Daily!$25:$25))*'Cash in bank report'!$E$2/'Cash in bank report'!$E$4</f>
        <v>10.62147649765709</v>
      </c>
      <c r="G22" s="873">
        <f t="shared" si="0"/>
        <v>9.3785235023429099</v>
      </c>
      <c r="H22" s="874"/>
      <c r="I22" s="873">
        <f t="shared" si="7"/>
        <v>0.94805318702567787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0.94805318702567787</v>
      </c>
      <c r="M22" s="873">
        <f t="shared" si="1"/>
        <v>10.511946812974323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15.973786091908373</v>
      </c>
      <c r="D23" s="873"/>
      <c r="E23" s="873">
        <f t="shared" si="11"/>
        <v>-5.3814831572014832</v>
      </c>
      <c r="F23" s="873">
        <f>(SUMIF(Daily!$3:$3,$B23,Daily!$23:$23)+SUMIF(Daily!$3:$3,$B23,Daily!$25:$25))*'Cash in bank report'!$E$2/'Cash in bank report'!$E$4</f>
        <v>10.59230293470689</v>
      </c>
      <c r="G23" s="873">
        <f t="shared" si="0"/>
        <v>9.4076970652931102</v>
      </c>
      <c r="H23" s="874"/>
      <c r="I23" s="873">
        <f>+L20</f>
        <v>1.6848770274989815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0.94202527214058596</v>
      </c>
      <c r="M23" s="873">
        <f t="shared" si="1"/>
        <v>10.517974727859414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10.59230293470689</v>
      </c>
      <c r="D24" s="873"/>
      <c r="E24" s="873">
        <f t="shared" si="11"/>
        <v>4538.7271910461559</v>
      </c>
      <c r="F24" s="873">
        <f>(SUMIF(Daily!$3:$3,$B24,Daily!$23:$23)+SUMIF(Daily!$3:$3,$B24,Daily!$25:$25))*'Cash in bank report'!$E$2/'Cash in bank report'!$E$4</f>
        <v>4549.3194939808627</v>
      </c>
      <c r="G24" s="873">
        <f t="shared" si="0"/>
        <v>-4529.3194939808627</v>
      </c>
      <c r="H24" s="874"/>
      <c r="I24" s="873">
        <f>+L23</f>
        <v>0.94202527214058596</v>
      </c>
      <c r="J24" s="873"/>
      <c r="K24" s="873">
        <f t="shared" si="12"/>
        <v>-0.94202527214058596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4549.3194939808627</v>
      </c>
      <c r="D25" s="873"/>
      <c r="E25" s="873">
        <f t="shared" si="11"/>
        <v>-4538.9576362759635</v>
      </c>
      <c r="F25" s="873">
        <f>(SUMIF(Daily!$3:$3,$B25,Daily!$23:$23)+SUMIF(Daily!$3:$3,$B25,Daily!$25:$25))*'Cash in bank report'!$E$2/'Cash in bank report'!$E$4</f>
        <v>10.361857704899091</v>
      </c>
      <c r="G25" s="873">
        <f t="shared" si="0"/>
        <v>9.6381422951009093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0.27873847464533519</v>
      </c>
      <c r="L25" s="873">
        <f>(SUMIF(Daily!$3:$3,$B25,Daily!$19:$19)+SUMIF(Daily!$3:$3,$B25,Daily!$21:$21))*'Cash in bank report'!$E$2/'Cash in bank report'!$E$3</f>
        <v>0.35393572464533518</v>
      </c>
      <c r="M25" s="873">
        <f t="shared" si="1"/>
        <v>11.106064275354665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10.361857704899091</v>
      </c>
      <c r="D26" s="873"/>
      <c r="E26" s="873">
        <f t="shared" si="11"/>
        <v>-0.11295673635184755</v>
      </c>
      <c r="F26" s="873">
        <f>(SUMIF(Daily!$3:$3,$B26,Daily!$23:$23)+SUMIF(Daily!$3:$3,$B26,Daily!$25:$25))*'Cash in bank report'!$E$2/'Cash in bank report'!$E$4</f>
        <v>10.248900968547243</v>
      </c>
      <c r="G26" s="873">
        <f t="shared" si="0"/>
        <v>9.7510990314527568</v>
      </c>
      <c r="H26" s="874"/>
      <c r="I26" s="873">
        <f>+L25</f>
        <v>0.35393572464533518</v>
      </c>
      <c r="K26" s="873"/>
      <c r="L26" s="873">
        <f>(SUMIF(Daily!$3:$3,$B26,Daily!$19:$19)+SUMIF(Daily!$3:$3,$B26,Daily!$21:$21))*'Cash in bank report'!$E$2/'Cash in bank report'!$E$3</f>
        <v>0.43093332932379252</v>
      </c>
      <c r="M26" s="873">
        <f t="shared" si="1"/>
        <v>11.029066670676208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10.361857704899091</v>
      </c>
      <c r="D27" s="873"/>
      <c r="E27" s="873">
        <f t="shared" si="11"/>
        <v>-2.984419126324946</v>
      </c>
      <c r="F27" s="873">
        <f>(SUMIF(Daily!$3:$3,$B27,Daily!$23:$23)+SUMIF(Daily!$3:$3,$B27,Daily!$25:$25))*'Cash in bank report'!$E$2/'Cash in bank report'!$E$4</f>
        <v>7.3774385785741448</v>
      </c>
      <c r="G27" s="873">
        <f t="shared" si="0"/>
        <v>12.622561421425855</v>
      </c>
      <c r="H27" s="874"/>
      <c r="I27" s="873">
        <f>+L26</f>
        <v>0.43093332932379252</v>
      </c>
      <c r="J27" s="873">
        <f>'Daily exchange'!F14+'Daily exchange'!F15</f>
        <v>0.52300799999999992</v>
      </c>
      <c r="K27" s="873">
        <f>+L27-I27-J27</f>
        <v>-0.89413712774365339</v>
      </c>
      <c r="L27" s="873">
        <f>(SUMIF(Daily!$3:$3,$B27,Daily!$19:$19)+SUMIF(Daily!$3:$3,$B27,Daily!$21:$21))*'Cash in bank report'!$E$2/'Cash in bank report'!$E$3</f>
        <v>5.9804201580138987E-2</v>
      </c>
      <c r="M27" s="873">
        <f t="shared" si="1"/>
        <v>11.400195798419862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7.0407083055734718</v>
      </c>
      <c r="F28" s="873">
        <f>(SUMIF(Daily!$3:$3,$B28,Daily!$23:$23)+SUMIF(Daily!$3:$3,$B28,Daily!$25:$25))*'Cash in bank report'!$E$2/'Cash in bank report'!$E$4</f>
        <v>7.0407083055734718</v>
      </c>
      <c r="G28" s="873">
        <f t="shared" si="0"/>
        <v>12.959291694426529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7.0407083055734718</v>
      </c>
      <c r="D29" s="873">
        <f>'Daily exchange'!I17</f>
        <v>2.5</v>
      </c>
      <c r="E29" s="873">
        <f t="shared" si="13"/>
        <v>-2.8833496190007857E-2</v>
      </c>
      <c r="F29" s="873">
        <f>(SUMIF(Daily!$3:$3,$B29,Daily!$23:$23)+SUMIF(Daily!$3:$3,$B29,Daily!$25:$25))*'Cash in bank report'!$E$2/'Cash in bank report'!$E$4</f>
        <v>9.511874809383464</v>
      </c>
      <c r="G29" s="873">
        <f t="shared" si="0"/>
        <v>10.488125190616536</v>
      </c>
      <c r="H29" s="874"/>
      <c r="I29" s="873"/>
      <c r="J29" s="873"/>
      <c r="K29" s="873">
        <f t="shared" si="14"/>
        <v>0.11946372678012591</v>
      </c>
      <c r="L29" s="873">
        <f>(SUMIF(Daily!$3:$3,$B29,Daily!$19:$19)+SUMIF(Daily!$3:$3,$B29,Daily!$21:$21))*'Cash in bank report'!$E$2/'Cash in bank report'!$E$3</f>
        <v>0.11946372678012591</v>
      </c>
      <c r="M29" s="873">
        <f t="shared" si="1"/>
        <v>11.340536273219875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9.511874809383464</v>
      </c>
      <c r="D30" s="873"/>
      <c r="E30" s="873">
        <f t="shared" si="13"/>
        <v>1.9513824806475455E-2</v>
      </c>
      <c r="F30" s="873">
        <f>(SUMIF(Daily!$3:$3,$B30,Daily!$23:$23)+SUMIF(Daily!$3:$3,$B30,Daily!$25:$25))*'Cash in bank report'!$E$2/'Cash in bank report'!$E$4</f>
        <v>9.5313886341899394</v>
      </c>
      <c r="G30" s="873">
        <f t="shared" si="0"/>
        <v>10.468611365810061</v>
      </c>
      <c r="H30" s="874"/>
      <c r="I30" s="873">
        <f>L29</f>
        <v>0.11946372678012591</v>
      </c>
      <c r="J30" s="873">
        <f>'Daily exchange'!F18</f>
        <v>1.2857909999999999</v>
      </c>
      <c r="K30" s="873">
        <f t="shared" si="14"/>
        <v>-7.4136733049873893E-2</v>
      </c>
      <c r="L30" s="873">
        <f>(SUMIF(Daily!$3:$3,$B30,Daily!$19:$19)+SUMIF(Daily!$3:$3,$B30,Daily!$21:$21))*'Cash in bank report'!$E$2/'Cash in bank report'!$E$3</f>
        <v>1.331117993730252</v>
      </c>
      <c r="M30" s="873">
        <f t="shared" si="1"/>
        <v>10.128882006269748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9.5313886341899394</v>
      </c>
      <c r="D31" s="873"/>
      <c r="E31" s="873">
        <f t="shared" ref="E31:E36" si="18">+F31-C31-D31</f>
        <v>-4.0953756349642489E-2</v>
      </c>
      <c r="F31" s="873">
        <f>(SUMIF(Daily!$3:$3,$B31,Daily!$23:$23)+SUMIF(Daily!$3:$3,$B31,Daily!$25:$25))*'Cash in bank report'!$E$2/'Cash in bank report'!$E$4</f>
        <v>9.4904348778402969</v>
      </c>
      <c r="G31" s="873">
        <f t="shared" ref="G31:G36" si="19">+$G$2-F31</f>
        <v>10.509565122159703</v>
      </c>
      <c r="H31" s="874"/>
      <c r="I31" s="873">
        <f>L30</f>
        <v>1.331117993730252</v>
      </c>
      <c r="J31" s="873">
        <f>'Daily exchange'!F19</f>
        <v>0</v>
      </c>
      <c r="K31" s="873">
        <f t="shared" si="14"/>
        <v>-1.279277012642523</v>
      </c>
      <c r="L31" s="873">
        <f>(SUMIF(Daily!$3:$3,$B31,Daily!$19:$19)+SUMIF(Daily!$3:$3,$B31,Daily!$21:$21))*'Cash in bank report'!$E$2/'Cash in bank report'!$E$3</f>
        <v>5.1840981087728957E-2</v>
      </c>
      <c r="M31" s="873">
        <f t="shared" ref="M31:M36" si="20">+$M$2-L31</f>
        <v>11.408159018912272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9.4904348778402969</v>
      </c>
      <c r="D32" s="873"/>
      <c r="E32" s="873">
        <f t="shared" si="18"/>
        <v>-0.26107505415830445</v>
      </c>
      <c r="F32" s="873">
        <f>(SUMIF(Daily!$3:$3,$B32,Daily!$23:$23)+SUMIF(Daily!$3:$3,$B32,Daily!$25:$25))*'Cash in bank report'!$E$2/'Cash in bank report'!$E$4</f>
        <v>9.2293598236819925</v>
      </c>
      <c r="G32" s="873">
        <f t="shared" si="19"/>
        <v>10.770640176318008</v>
      </c>
      <c r="H32" s="874"/>
      <c r="I32" s="873">
        <f t="shared" ref="I32:I36" si="21">L31</f>
        <v>5.1840981087728957E-2</v>
      </c>
      <c r="J32" s="873"/>
      <c r="K32" s="873"/>
      <c r="L32" s="873">
        <f>(SUMIF(Daily!$3:$3,$B32,Daily!$19:$19)+SUMIF(Daily!$3:$3,$B32,Daily!$21:$21))*'Cash in bank report'!$E$2/'Cash in bank report'!$E$3</f>
        <v>5.2120872514045541E-2</v>
      </c>
      <c r="M32" s="873">
        <f t="shared" si="20"/>
        <v>11.407879127485955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9.2293598236819925</v>
      </c>
      <c r="D33" s="873">
        <f>'Daily exchange'!I19</f>
        <v>2</v>
      </c>
      <c r="E33" s="873">
        <f t="shared" si="18"/>
        <v>-7.0791128992465895</v>
      </c>
      <c r="F33" s="873">
        <f>(SUMIF(Daily!$3:$3,$B33,Daily!$23:$23)+SUMIF(Daily!$3:$3,$B33,Daily!$25:$25))*'Cash in bank report'!$E$2/'Cash in bank report'!$E$4</f>
        <v>4.150246924435403</v>
      </c>
      <c r="G33" s="873">
        <f t="shared" si="19"/>
        <v>15.849753075564596</v>
      </c>
      <c r="H33" s="874"/>
      <c r="I33" s="873">
        <f t="shared" si="21"/>
        <v>5.2120872514045541E-2</v>
      </c>
      <c r="J33" s="873"/>
      <c r="K33" s="873"/>
      <c r="L33" s="873">
        <f>(SUMIF(Daily!$3:$3,$B33,Daily!$19:$19)+SUMIF(Daily!$3:$3,$B33,Daily!$21:$21))*'Cash in bank report'!$E$2/'Cash in bank report'!$E$3</f>
        <v>5.2794900702020926E-2</v>
      </c>
      <c r="M33" s="873">
        <f t="shared" si="20"/>
        <v>11.407205099297981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4.150246924435403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11.939970272634428</v>
      </c>
      <c r="G34" s="873">
        <f t="shared" si="19"/>
        <v>8.0600297273655723</v>
      </c>
      <c r="H34" s="874"/>
      <c r="I34" s="873">
        <f t="shared" si="21"/>
        <v>5.2794900702020926E-2</v>
      </c>
      <c r="J34" s="873"/>
      <c r="K34" s="873"/>
      <c r="L34" s="873">
        <f>(SUMIF(Daily!$3:$3,$B34,Daily!$19:$19)+SUMIF(Daily!$3:$3,$B34,Daily!$21:$21))*'Cash in bank report'!$E$2/'Cash in bank report'!$E$3</f>
        <v>5.310118153501539E-2</v>
      </c>
      <c r="M34" s="873">
        <f t="shared" si="20"/>
        <v>11.406898818464985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11.939970272634428</v>
      </c>
      <c r="D35" s="873"/>
      <c r="E35" s="873">
        <f t="shared" si="18"/>
        <v>-0.40268951901397187</v>
      </c>
      <c r="F35" s="873">
        <f>(SUMIF(Daily!$3:$3,$B35,Daily!$23:$23)+SUMIF(Daily!$3:$3,$B35,Daily!$25:$25))*'Cash in bank report'!$E$2/'Cash in bank report'!$E$4</f>
        <v>11.537280753620456</v>
      </c>
      <c r="G35" s="873">
        <f t="shared" si="19"/>
        <v>8.4627192463795442</v>
      </c>
      <c r="H35" s="874"/>
      <c r="I35" s="873">
        <f t="shared" si="21"/>
        <v>5.310118153501539E-2</v>
      </c>
      <c r="J35" s="873"/>
      <c r="K35" s="873"/>
      <c r="L35" s="873">
        <f>(SUMIF(Daily!$3:$3,$B35,Daily!$19:$19)+SUMIF(Daily!$3:$3,$B35,Daily!$21:$21))*'Cash in bank report'!$E$2/'Cash in bank report'!$E$3</f>
        <v>5.3158959931775676E-2</v>
      </c>
      <c r="M35" s="873">
        <f t="shared" si="20"/>
        <v>11.406841040068224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11.537280753620456</v>
      </c>
      <c r="D36" s="873">
        <f>'Daily exchange'!I21</f>
        <v>4.5</v>
      </c>
      <c r="E36" s="873">
        <f t="shared" si="18"/>
        <v>-3.635692358432685E-2</v>
      </c>
      <c r="F36" s="873">
        <f>(SUMIF(Daily!$3:$3,$B36,Daily!$23:$23)+SUMIF(Daily!$3:$3,$B36,Daily!$25:$25))*'Cash in bank report'!$E$2/'Cash in bank report'!$E$4</f>
        <v>16.000923830036129</v>
      </c>
      <c r="G36" s="873">
        <f t="shared" si="19"/>
        <v>3.9990761699638711</v>
      </c>
      <c r="H36" s="874"/>
      <c r="I36" s="873">
        <f t="shared" si="21"/>
        <v>5.3158959931775676E-2</v>
      </c>
      <c r="J36" s="873"/>
      <c r="K36" s="873"/>
      <c r="L36" s="873">
        <f>(SUMIF(Daily!$3:$3,$B36,Daily!$19:$19)+SUMIF(Daily!$3:$3,$B36,Daily!$21:$21))*'Cash in bank report'!$E$2/'Cash in bank report'!$E$3</f>
        <v>5.2446244012475822E-2</v>
      </c>
      <c r="M36" s="873">
        <f t="shared" si="20"/>
        <v>11.407553755987525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16.000923830036129</v>
      </c>
      <c r="D37" s="873">
        <f>'Daily exchange'!I22</f>
        <v>4.2</v>
      </c>
      <c r="E37" s="873">
        <f t="shared" ref="E37" si="23">+F37-C37-D37</f>
        <v>7.4019091251119384E-2</v>
      </c>
      <c r="F37" s="873">
        <f>(SUMIF(Daily!$3:$3,$B37,Daily!$23:$23)+SUMIF(Daily!$3:$3,$B37,Daily!$25:$25))*'Cash in bank report'!$E$2/'Cash in bank report'!$E$4</f>
        <v>20.274942921287249</v>
      </c>
      <c r="G37" s="873">
        <f t="shared" ref="G37" si="24">+$G$2-F37</f>
        <v>-0.27494292128724851</v>
      </c>
      <c r="H37" s="874"/>
      <c r="I37" s="873">
        <f t="shared" ref="I37" si="25">L36</f>
        <v>5.2446244012475822E-2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0.44364149572526435</v>
      </c>
      <c r="M37" s="873">
        <f t="shared" ref="M37" si="26">+$M$2-L37</f>
        <v>11.016358504274736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20.274942921287249</v>
      </c>
      <c r="D38" s="873">
        <f>'Daily exchange'!I23</f>
        <v>0</v>
      </c>
      <c r="E38" s="873">
        <f t="shared" ref="E38" si="30">+F38-C38-D38</f>
        <v>-0.67355717991920372</v>
      </c>
      <c r="F38" s="873">
        <f>(SUMIF(Daily!$3:$3,$B38,Daily!$23:$23)+SUMIF(Daily!$3:$3,$B38,Daily!$25:$25))*'Cash in bank report'!$E$2/'Cash in bank report'!$E$4</f>
        <v>19.601385741368045</v>
      </c>
      <c r="G38" s="873">
        <f t="shared" ref="G38" si="31">+$G$2-F38</f>
        <v>0.39861425863195521</v>
      </c>
      <c r="H38" s="874"/>
      <c r="I38" s="873">
        <f t="shared" ref="I38" si="32">L37</f>
        <v>0.44364149572526435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0.44346214531249883</v>
      </c>
      <c r="M38" s="873">
        <f t="shared" ref="M38" si="33">+$M$2-L38</f>
        <v>11.016537854687503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19.601385741368045</v>
      </c>
      <c r="D39" s="873">
        <f>'Daily exchange'!I24</f>
        <v>0</v>
      </c>
      <c r="E39" s="873">
        <f t="shared" ref="E39" si="37">+F39-C39-D39</f>
        <v>0.34483327122507035</v>
      </c>
      <c r="F39" s="873">
        <f>(SUMIF(Daily!$3:$3,$B39,Daily!$23:$23)+SUMIF(Daily!$3:$3,$B39,Daily!$25:$25))*'Cash in bank report'!$E$2/'Cash in bank report'!$E$4</f>
        <v>19.946219012593115</v>
      </c>
      <c r="G39" s="873">
        <f t="shared" ref="G39" si="38">+$G$2-F39</f>
        <v>5.3780987406884861E-2</v>
      </c>
      <c r="I39" s="873">
        <f t="shared" ref="I39" si="39">L38</f>
        <v>0.44346214531249883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0.44045443089002373</v>
      </c>
      <c r="M39" s="873">
        <f t="shared" ref="M39" si="40">+$M$2-L39</f>
        <v>11.019545569109978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19.946219012593115</v>
      </c>
      <c r="D40" s="873">
        <f>'Daily exchange'!I25</f>
        <v>0</v>
      </c>
      <c r="E40" s="873">
        <f t="shared" ref="E40" si="44">+F40-C40-D40</f>
        <v>1.8321244902247358</v>
      </c>
      <c r="F40" s="873">
        <f>(SUMIF(Daily!$3:$3,$B40,Daily!$23:$23)+SUMIF(Daily!$3:$3,$B40,Daily!$25:$25))*'Cash in bank report'!$E$2/'Cash in bank report'!$E$4</f>
        <v>21.778343502817851</v>
      </c>
      <c r="G40" s="873">
        <f t="shared" ref="G40" si="45">+$G$2-F40</f>
        <v>-1.7783435028178509</v>
      </c>
      <c r="I40" s="873">
        <f t="shared" ref="I40" si="46">L39</f>
        <v>0.44045443089002373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0.46828964643417226</v>
      </c>
      <c r="M40" s="873">
        <f t="shared" ref="M40" si="47">+$M$2-L40</f>
        <v>10.991710353565828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21.778343502817851</v>
      </c>
      <c r="D41" s="873">
        <f>'Daily exchange'!I26</f>
        <v>4.5</v>
      </c>
      <c r="E41" s="873">
        <f t="shared" ref="E41" si="51">+F41-C41-D41</f>
        <v>-5.6053168356423306</v>
      </c>
      <c r="F41" s="873">
        <f>(SUMIF(Daily!$3:$3,$B41,Daily!$23:$23)+SUMIF(Daily!$3:$3,$B41,Daily!$25:$25))*'Cash in bank report'!$E$2/'Cash in bank report'!$E$4</f>
        <v>20.67302666717552</v>
      </c>
      <c r="G41" s="873">
        <f t="shared" ref="G41" si="52">+$G$2-F41</f>
        <v>-0.67302666717552029</v>
      </c>
      <c r="I41" s="873">
        <f t="shared" ref="I41" si="53">L40</f>
        <v>0.46828964643417226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0.43878169695210906</v>
      </c>
      <c r="M41" s="873">
        <f t="shared" ref="M41" si="54">+$M$2-L41</f>
        <v>11.021218303047892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20.67302666717552</v>
      </c>
      <c r="D42" s="873">
        <f>'Daily exchange'!I26</f>
        <v>4.5</v>
      </c>
      <c r="E42" s="873">
        <f t="shared" ref="E42" si="58">+F42-C42-D42</f>
        <v>-17.62648391227625</v>
      </c>
      <c r="F42" s="873">
        <f>(SUMIF(Daily!$3:$3,$B42,Daily!$23:$23)+SUMIF(Daily!$3:$3,$B42,Daily!$25:$25))*'Cash in bank report'!$E$2/'Cash in bank report'!$E$4</f>
        <v>7.5465427548992698</v>
      </c>
      <c r="G42" s="873">
        <f t="shared" ref="G42" si="59">+$G$2-F42</f>
        <v>12.453457245100729</v>
      </c>
      <c r="I42" s="873">
        <f t="shared" ref="I42" si="60">L41</f>
        <v>0.43878169695210906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0.42796709559764196</v>
      </c>
      <c r="M42" s="873">
        <f t="shared" ref="M42" si="61">+$M$2-L42</f>
        <v>11.032032904402358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7.5465427548992698</v>
      </c>
      <c r="D43" s="873">
        <f>'Daily exchange'!I27</f>
        <v>5</v>
      </c>
      <c r="E43" s="873">
        <f t="shared" ref="E43" si="66">+F43-C43-D43</f>
        <v>2.7494139668381186</v>
      </c>
      <c r="F43" s="873">
        <f>(SUMIF(Daily!$3:$3,$B43,Daily!$23:$23)+SUMIF(Daily!$3:$3,$B43,Daily!$25:$25))*'Cash in bank report'!$E$2/'Cash in bank report'!$E$4</f>
        <v>15.295956721737388</v>
      </c>
      <c r="G43" s="873">
        <f t="shared" ref="G43" si="67">+$G$2-F43</f>
        <v>4.7040432782626116</v>
      </c>
      <c r="I43" s="873">
        <f t="shared" ref="I43" si="68">L42</f>
        <v>0.42796709559764196</v>
      </c>
      <c r="J43" s="873">
        <f>'Daily exchange'!F27</f>
        <v>0</v>
      </c>
      <c r="K43" s="873">
        <f t="shared" ref="K43:K44" si="69">+L43-I43-J43</f>
        <v>0.34036259378070227</v>
      </c>
      <c r="L43" s="873">
        <f>(SUMIF(Daily!$3:$3,$B43,Daily!$19:$19)+SUMIF(Daily!$3:$3,$B43,Daily!$21:$21))*'Cash in bank report'!$E$2/'Cash in bank report'!$E$3</f>
        <v>0.76832968937834423</v>
      </c>
      <c r="M43" s="873">
        <f t="shared" ref="M43" si="70">+$M$2-L43</f>
        <v>10.691670310621657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15.295956721737388</v>
      </c>
      <c r="D44" s="873">
        <f>'Daily exchange'!I28</f>
        <v>7</v>
      </c>
      <c r="E44" s="873">
        <f t="shared" ref="E44" si="74">+F44-C44-D44</f>
        <v>-14.062023391038281</v>
      </c>
      <c r="F44" s="873">
        <f>(SUMIF(Daily!$3:$3,$B44,Daily!$23:$23)+SUMIF(Daily!$3:$3,$B44,Daily!$25:$25))*'Cash in bank report'!$E$2/'Cash in bank report'!$E$4</f>
        <v>8.2339333306991076</v>
      </c>
      <c r="G44" s="873">
        <f t="shared" ref="G44" si="75">+$G$2-F44</f>
        <v>11.766066669300892</v>
      </c>
      <c r="I44" s="873">
        <f t="shared" ref="I44" si="76">L43</f>
        <v>0.76832968937834423</v>
      </c>
      <c r="J44" s="873">
        <f>'Daily exchange'!F28</f>
        <v>0</v>
      </c>
      <c r="K44" s="873">
        <f t="shared" si="69"/>
        <v>-0.33637582628268325</v>
      </c>
      <c r="L44" s="873">
        <f>(SUMIF(Daily!$3:$3,$B44,Daily!$19:$19)+SUMIF(Daily!$3:$3,$B44,Daily!$21:$21))*'Cash in bank report'!$E$2/'Cash in bank report'!$E$3</f>
        <v>0.43195386309566097</v>
      </c>
      <c r="M44" s="873">
        <f t="shared" ref="M44" si="77">+$M$2-L44</f>
        <v>11.02804613690434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8.2339333306991076</v>
      </c>
      <c r="D45" s="873">
        <f>'Daily exchange'!I29</f>
        <v>2</v>
      </c>
      <c r="E45" s="873">
        <f t="shared" ref="E45" si="80">+F45-C45-D45</f>
        <v>4.9305254669089784</v>
      </c>
      <c r="F45" s="873">
        <f>(SUMIF(Daily!$3:$3,$B45,Daily!$23:$23)+SUMIF(Daily!$3:$3,$B45,Daily!$25:$25))*'Cash in bank report'!$E$2/'Cash in bank report'!$E$4</f>
        <v>15.164458797608086</v>
      </c>
      <c r="G45" s="873">
        <f t="shared" ref="G45" si="81">+$G$2-F45</f>
        <v>4.835541202391914</v>
      </c>
      <c r="I45" s="873">
        <f t="shared" ref="I45" si="82">L44</f>
        <v>0.43195386309566097</v>
      </c>
      <c r="J45" s="873">
        <f>'Daily exchange'!F29</f>
        <v>0</v>
      </c>
      <c r="K45" s="873">
        <f t="shared" ref="K45" si="83">+L45-I45-J45</f>
        <v>0.29347563040495883</v>
      </c>
      <c r="L45" s="873">
        <f>(SUMIF(Daily!$3:$3,$B45,Daily!$19:$19)+SUMIF(Daily!$3:$3,$B45,Daily!$21:$21))*'Cash in bank report'!$E$2/'Cash in bank report'!$E$3</f>
        <v>0.7254294935006198</v>
      </c>
      <c r="M45" s="873">
        <f t="shared" ref="M45" si="84">+$M$2-L45</f>
        <v>10.734570506499381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15.164458797608086</v>
      </c>
      <c r="D46" s="873">
        <f>'Daily exchange'!I29</f>
        <v>2</v>
      </c>
      <c r="E46" s="873">
        <f t="shared" ref="E46" si="88">+F46-C46-D46</f>
        <v>-3.504685112530364</v>
      </c>
      <c r="F46" s="873">
        <f>(SUMIF(Daily!$3:$3,$B46,Daily!$23:$23)+SUMIF(Daily!$3:$3,$B46,Daily!$25:$25))*'Cash in bank report'!$E$2/'Cash in bank report'!$E$4</f>
        <v>13.659773685077722</v>
      </c>
      <c r="G46" s="873">
        <f t="shared" ref="G46" si="89">+$G$2-F46</f>
        <v>6.340226314922278</v>
      </c>
      <c r="I46" s="873">
        <f t="shared" ref="I46" si="90">L45</f>
        <v>0.7254294935006198</v>
      </c>
      <c r="J46" s="873">
        <f>'Daily exchange'!F30</f>
        <v>0</v>
      </c>
      <c r="K46" s="873">
        <f t="shared" ref="K46" si="91">+L46-I46-J46</f>
        <v>-0.21441186915383192</v>
      </c>
      <c r="L46" s="873">
        <f>(SUMIF(Daily!$3:$3,$B46,Daily!$19:$19)+SUMIF(Daily!$3:$3,$B46,Daily!$21:$21))*'Cash in bank report'!$E$2/'Cash in bank report'!$E$3</f>
        <v>0.51101762434678788</v>
      </c>
      <c r="M46" s="873">
        <f t="shared" ref="M46" si="92">+$M$2-L46</f>
        <v>10.948982375653213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13.659773685077722</v>
      </c>
      <c r="D47" s="873">
        <f>'Daily exchange'!I30</f>
        <v>15.5</v>
      </c>
      <c r="E47" s="873">
        <f t="shared" ref="E47" si="96">+F47-C47-D47</f>
        <v>-0.19941760291694344</v>
      </c>
      <c r="F47" s="873">
        <f>(SUMIF(Daily!$3:$3,$B47,Daily!$23:$23)+SUMIF(Daily!$3:$3,$B47,Daily!$25:$25))*'Cash in bank report'!$E$2/'Cash in bank report'!$E$4</f>
        <v>28.960356082160779</v>
      </c>
      <c r="G47" s="873">
        <f t="shared" ref="G47" si="97">+$G$2-F47</f>
        <v>-8.9603560821607786</v>
      </c>
      <c r="I47" s="873">
        <f t="shared" ref="I47" si="98">L46</f>
        <v>0.51101762434678788</v>
      </c>
      <c r="J47" s="873">
        <f>'Daily exchange'!F31</f>
        <v>0</v>
      </c>
      <c r="K47" s="873">
        <f t="shared" ref="K47" si="99">+L47-I47-J47</f>
        <v>-2.6922478113102777E-3</v>
      </c>
      <c r="L47" s="873">
        <f>(SUMIF(Daily!$3:$3,$B47,Daily!$19:$19)+SUMIF(Daily!$3:$3,$B47,Daily!$21:$21))*'Cash in bank report'!$E$2/'Cash in bank report'!$E$3</f>
        <v>0.5083253765354776</v>
      </c>
      <c r="M47" s="873">
        <f t="shared" ref="M47" si="100">+$M$2-L47</f>
        <v>10.951674623464523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28.960356082160779</v>
      </c>
      <c r="D48" s="873">
        <f>'Daily exchange'!I31</f>
        <v>8.9</v>
      </c>
      <c r="E48" s="873">
        <f t="shared" ref="E48" si="104">+F48-C48-D48</f>
        <v>0.52793879347205852</v>
      </c>
      <c r="F48" s="873">
        <f>(SUMIF(Daily!$3:$3,$B48,Daily!$23:$23)+SUMIF(Daily!$3:$3,$B48,Daily!$25:$25))*'Cash in bank report'!$E$2/'Cash in bank report'!$E$4</f>
        <v>38.388294875632837</v>
      </c>
      <c r="G48" s="873">
        <f t="shared" ref="G48" si="105">+$G$2-F48</f>
        <v>-18.388294875632837</v>
      </c>
      <c r="I48" s="873">
        <f t="shared" ref="I48" si="106">L47</f>
        <v>0.5083253765354776</v>
      </c>
      <c r="J48" s="873">
        <f>'Daily exchange'!F32</f>
        <v>0</v>
      </c>
      <c r="K48" s="873">
        <f t="shared" ref="K48" si="107">+L48-I48-J48</f>
        <v>-2.4572175751774727E-3</v>
      </c>
      <c r="L48" s="873">
        <f>(SUMIF(Daily!$3:$3,$B48,Daily!$19:$19)+SUMIF(Daily!$3:$3,$B48,Daily!$21:$21))*'Cash in bank report'!$E$2/'Cash in bank report'!$E$3</f>
        <v>0.50586815896030013</v>
      </c>
      <c r="M48" s="873">
        <f t="shared" ref="M48" si="108">+$M$2-L48</f>
        <v>10.9541318410397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38.388294875632837</v>
      </c>
      <c r="D49" s="873">
        <f>'Daily exchange'!I32</f>
        <v>31</v>
      </c>
      <c r="E49" s="873">
        <f t="shared" ref="E49" si="113">+F49-C49-D49</f>
        <v>0.57559869319052837</v>
      </c>
      <c r="F49" s="873">
        <f>(SUMIF(Daily!$3:$3,$B49,Daily!$23:$23)+SUMIF(Daily!$3:$3,$B49,Daily!$25:$25))*'Cash in bank report'!$E$2/'Cash in bank report'!$E$4</f>
        <v>69.963893568823366</v>
      </c>
      <c r="G49" s="873">
        <f t="shared" ref="G49" si="114">+$G$2-F49</f>
        <v>-49.963893568823366</v>
      </c>
      <c r="I49" s="873">
        <f t="shared" ref="I49" si="115">L48</f>
        <v>0.50586815896030013</v>
      </c>
      <c r="J49" s="873">
        <f>'Daily exchange'!F33</f>
        <v>0</v>
      </c>
      <c r="K49" s="873">
        <f t="shared" ref="K49" si="116">+L49-I49-J49</f>
        <v>1.5711201118900897E-3</v>
      </c>
      <c r="L49" s="873">
        <f>(SUMIF(Daily!$3:$3,$B49,Daily!$19:$19)+SUMIF(Daily!$3:$3,$B49,Daily!$21:$21))*'Cash in bank report'!$E$2/'Cash in bank report'!$E$3</f>
        <v>0.50743927907219022</v>
      </c>
      <c r="M49" s="873">
        <f t="shared" ref="M49" si="117">+$M$2-L49</f>
        <v>10.95256072092781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69.963893568823366</v>
      </c>
      <c r="D50" s="873">
        <f>'Daily exchange'!I33</f>
        <v>0</v>
      </c>
      <c r="E50" s="873">
        <f t="shared" ref="E50" si="122">+F50-C50-D50</f>
        <v>-0.96909641580002415</v>
      </c>
      <c r="F50" s="873">
        <f>(SUMIF(Daily!$3:$3,$B50,Daily!$23:$23)+SUMIF(Daily!$3:$3,$B50,Daily!$25:$25))*'Cash in bank report'!$E$2/'Cash in bank report'!$E$4</f>
        <v>68.994797153023342</v>
      </c>
      <c r="G50" s="873">
        <f t="shared" ref="G50" si="123">+$G$2-F50</f>
        <v>-48.994797153023342</v>
      </c>
      <c r="I50" s="873">
        <f t="shared" ref="I50" si="124">L49</f>
        <v>0.50743927907219022</v>
      </c>
      <c r="J50" s="873">
        <f>'Daily exchange'!F34</f>
        <v>0</v>
      </c>
      <c r="K50" s="873">
        <f t="shared" ref="K50" si="125">+L50-I50-J50</f>
        <v>-2.7570995870048742E-3</v>
      </c>
      <c r="L50" s="873">
        <f>(SUMIF(Daily!$3:$3,$B50,Daily!$19:$19)+SUMIF(Daily!$3:$3,$B50,Daily!$21:$21))*'Cash in bank report'!$E$2/'Cash in bank report'!$E$3</f>
        <v>0.50468217948518534</v>
      </c>
      <c r="M50" s="873">
        <f t="shared" ref="M50" si="126">+$M$2-L50</f>
        <v>10.955317820514816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68.994797153023342</v>
      </c>
      <c r="D51" s="873">
        <f>'Daily exchange'!I34</f>
        <v>7.7</v>
      </c>
      <c r="E51" s="873">
        <f t="shared" ref="E51" si="131">+F51-C51-D51</f>
        <v>-1.6683789932213502</v>
      </c>
      <c r="F51" s="873">
        <f>(SUMIF(Daily!$3:$3,$B51,Daily!$23:$23)+SUMIF(Daily!$3:$3,$B51,Daily!$25:$25))*'Cash in bank report'!$E$2/'Cash in bank report'!$E$4</f>
        <v>75.026418159801992</v>
      </c>
      <c r="G51" s="873">
        <f t="shared" ref="G51" si="132">+$G$2-F51</f>
        <v>-55.026418159801992</v>
      </c>
      <c r="I51" s="873">
        <f t="shared" ref="I51" si="133">L50</f>
        <v>0.50468217948518534</v>
      </c>
      <c r="J51" s="873">
        <f>'Daily exchange'!F35</f>
        <v>0</v>
      </c>
      <c r="K51" s="873">
        <f t="shared" ref="K51" si="134">+L51-I51-J51</f>
        <v>-1.5371817311804481E-3</v>
      </c>
      <c r="L51" s="873">
        <f>(SUMIF(Daily!$3:$3,$B51,Daily!$19:$19)+SUMIF(Daily!$3:$3,$B51,Daily!$21:$21))*'Cash in bank report'!$E$2/'Cash in bank report'!$E$3</f>
        <v>0.5031449977540049</v>
      </c>
      <c r="M51" s="873">
        <f t="shared" ref="M51" si="135">+$M$2-L51</f>
        <v>10.956855002245996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75.026418159801992</v>
      </c>
      <c r="D52" s="873">
        <f>'Daily exchange'!I35</f>
        <v>0.47504950000000001</v>
      </c>
      <c r="E52" s="873">
        <f t="shared" ref="E52" si="140">+F52-C52-D52</f>
        <v>0.42414906287700382</v>
      </c>
      <c r="F52" s="873">
        <f>(SUMIF(Daily!$3:$3,$B52,Daily!$23:$23)+SUMIF(Daily!$3:$3,$B52,Daily!$25:$25))*'Cash in bank report'!$E$2/'Cash in bank report'!$E$4</f>
        <v>75.925616722678996</v>
      </c>
      <c r="G52" s="873">
        <f t="shared" ref="G52" si="141">+$G$2-F52</f>
        <v>-55.925616722678996</v>
      </c>
      <c r="I52" s="873">
        <f t="shared" ref="I52" si="142">L51</f>
        <v>0.5031449977540049</v>
      </c>
      <c r="J52" s="873">
        <f>'Daily exchange'!F36</f>
        <v>0</v>
      </c>
      <c r="K52" s="873">
        <f t="shared" ref="K52" si="143">+L52-I52-J52</f>
        <v>-2.0512435908884852E-3</v>
      </c>
      <c r="L52" s="873">
        <f>(SUMIF(Daily!$3:$3,$B52,Daily!$19:$19)+SUMIF(Daily!$3:$3,$B52,Daily!$21:$21))*'Cash in bank report'!$E$2/'Cash in bank report'!$E$3</f>
        <v>0.50109375416311641</v>
      </c>
      <c r="M52" s="873">
        <f t="shared" ref="M52" si="144">+$M$2-L52</f>
        <v>10.958906245836884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75.925616722678996</v>
      </c>
      <c r="D53" s="873">
        <f>'Daily exchange'!I36</f>
        <v>0.56699999999999995</v>
      </c>
      <c r="E53" s="873">
        <f t="shared" ref="E53" si="149">+F53-C53-D53</f>
        <v>0.26525212852303803</v>
      </c>
      <c r="F53" s="873">
        <f>(SUMIF(Daily!$3:$3,$B53,Daily!$23:$23)+SUMIF(Daily!$3:$3,$B53,Daily!$25:$25))*'Cash in bank report'!$E$2/'Cash in bank report'!$E$4</f>
        <v>76.757868851202034</v>
      </c>
      <c r="G53" s="873">
        <f t="shared" ref="G53" si="150">+$G$2-F53</f>
        <v>-56.757868851202034</v>
      </c>
      <c r="I53" s="873">
        <f t="shared" ref="I53" si="151">L52</f>
        <v>0.50109375416311641</v>
      </c>
      <c r="J53" s="873">
        <f>'Daily exchange'!F37</f>
        <v>0</v>
      </c>
      <c r="K53" s="873">
        <f t="shared" ref="K53" si="152">+L53-I53-J53</f>
        <v>5.5232006971822623E-3</v>
      </c>
      <c r="L53" s="873">
        <f>(SUMIF(Daily!$3:$3,$B53,Daily!$19:$19)+SUMIF(Daily!$3:$3,$B53,Daily!$21:$21))*'Cash in bank report'!$E$2/'Cash in bank report'!$E$3</f>
        <v>0.50661695486029867</v>
      </c>
      <c r="M53" s="873">
        <f t="shared" ref="M53" si="153">+$M$2-L53</f>
        <v>10.953383045139702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76.757868851202034</v>
      </c>
      <c r="D54" s="873">
        <f>'Daily exchange'!I37</f>
        <v>7.6296000000000003E-2</v>
      </c>
      <c r="E54" s="873">
        <f t="shared" ref="E54" si="158">+F54-C54-D54</f>
        <v>-6.8616015637334735</v>
      </c>
      <c r="F54" s="873">
        <f>(SUMIF(Daily!$3:$3,$B54,Daily!$23:$23)+SUMIF(Daily!$3:$3,$B54,Daily!$25:$25))*'Cash in bank report'!$E$2/'Cash in bank report'!$E$4</f>
        <v>69.97256328746856</v>
      </c>
      <c r="G54" s="873">
        <f t="shared" ref="G54" si="159">+$G$2-F54</f>
        <v>-49.97256328746856</v>
      </c>
      <c r="I54" s="873">
        <f t="shared" ref="I54" si="160">L53</f>
        <v>0.50661695486029867</v>
      </c>
      <c r="J54" s="873">
        <f>'Daily exchange'!F38</f>
        <v>0</v>
      </c>
      <c r="K54" s="873">
        <f t="shared" ref="K54" si="161">+L54-I54-J54</f>
        <v>0.9885788606868674</v>
      </c>
      <c r="L54" s="873">
        <f>(SUMIF(Daily!$3:$3,$B54,Daily!$19:$19)+SUMIF(Daily!$3:$3,$B54,Daily!$21:$21))*'Cash in bank report'!$E$2/'Cash in bank report'!$E$3</f>
        <v>1.4951958155471661</v>
      </c>
      <c r="M54" s="873">
        <f t="shared" ref="M54" si="162">+$M$2-L54</f>
        <v>9.9648041844528343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69.97256328746856</v>
      </c>
      <c r="D55" s="873">
        <f>'Daily exchange'!I38+'Daily exchange'!I39</f>
        <v>0.3433775</v>
      </c>
      <c r="E55" s="873">
        <f t="shared" ref="E55" si="167">+F55-C55-D55</f>
        <v>-4.2348995779585126</v>
      </c>
      <c r="F55" s="873">
        <f>(SUMIF(Daily!$3:$3,$B55,Daily!$23:$23)+SUMIF(Daily!$3:$3,$B55,Daily!$25:$25))*'Cash in bank report'!$E$2/'Cash in bank report'!$E$4</f>
        <v>66.081041209510047</v>
      </c>
      <c r="G55" s="873">
        <f t="shared" ref="G55" si="168">+$G$2-F55</f>
        <v>-46.081041209510047</v>
      </c>
      <c r="I55" s="873">
        <f t="shared" ref="I55" si="169">L54</f>
        <v>1.4951958155471661</v>
      </c>
      <c r="J55" s="873">
        <f>'Daily exchange'!F39</f>
        <v>0</v>
      </c>
      <c r="K55" s="873">
        <f t="shared" ref="K55" si="170">+L55-I55-J55</f>
        <v>0.82822122663051045</v>
      </c>
      <c r="L55" s="873">
        <f>(SUMIF(Daily!$3:$3,$B55,Daily!$19:$19)+SUMIF(Daily!$3:$3,$B55,Daily!$21:$21))*'Cash in bank report'!$E$2/'Cash in bank report'!$E$3</f>
        <v>2.3234170421776765</v>
      </c>
      <c r="M55" s="873">
        <f t="shared" ref="M55" si="171">+$M$2-L55</f>
        <v>9.1365829578223234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66.081041209510047</v>
      </c>
      <c r="D56" s="873">
        <f>'Daily exchange'!I40</f>
        <v>0.25007552</v>
      </c>
      <c r="E56" s="873">
        <f t="shared" ref="E56" si="176">+F56-C56-D56</f>
        <v>0.57010395005236636</v>
      </c>
      <c r="F56" s="873">
        <f>(SUMIF(Daily!$3:$3,$B56,Daily!$23:$23)+SUMIF(Daily!$3:$3,$B56,Daily!$25:$25))*'Cash in bank report'!$E$2/'Cash in bank report'!$E$4</f>
        <v>66.901220679562414</v>
      </c>
      <c r="G56" s="873">
        <f t="shared" ref="G56" si="177">+$G$2-F56</f>
        <v>-46.901220679562414</v>
      </c>
      <c r="I56" s="873">
        <f t="shared" ref="I56" si="178">L55</f>
        <v>2.3234170421776765</v>
      </c>
      <c r="J56" s="873">
        <f>'Daily exchange'!F40</f>
        <v>0</v>
      </c>
      <c r="K56" s="873">
        <f t="shared" ref="K56" si="179">+L56-I56-J56</f>
        <v>-1.2981560862965313E-2</v>
      </c>
      <c r="L56" s="873">
        <f>(SUMIF(Daily!$3:$3,$B56,Daily!$19:$19)+SUMIF(Daily!$3:$3,$B56,Daily!$21:$21))*'Cash in bank report'!$E$2/'Cash in bank report'!$E$3</f>
        <v>2.3104354813147112</v>
      </c>
      <c r="M56" s="873">
        <f t="shared" ref="M56" si="180">+$M$2-L56</f>
        <v>9.1495645186852901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66.901220679562414</v>
      </c>
      <c r="D57" s="873">
        <f>'Daily exchange'!I42+'Daily exchange'!I41</f>
        <v>0.99324100000000004</v>
      </c>
      <c r="E57" s="873">
        <f t="shared" ref="E57" si="185">+F57-C57-D57</f>
        <v>-1.4704642839243174</v>
      </c>
      <c r="F57" s="873">
        <f>(SUMIF(Daily!$3:$3,$B57,Daily!$23:$23)+SUMIF(Daily!$3:$3,$B57,Daily!$25:$25))*'Cash in bank report'!$E$2/'Cash in bank report'!$E$4</f>
        <v>66.423997395638096</v>
      </c>
      <c r="G57" s="873">
        <f t="shared" ref="G57" si="186">+$G$2-F57</f>
        <v>-46.423997395638096</v>
      </c>
      <c r="I57" s="873">
        <f t="shared" ref="I57:I58" si="187">L56</f>
        <v>2.3104354813147112</v>
      </c>
      <c r="J57" s="873">
        <f>'Daily exchange'!F42</f>
        <v>0</v>
      </c>
      <c r="K57" s="873">
        <f t="shared" ref="K57" si="188">+L57-I57-J57</f>
        <v>-2.2949926007176824E-2</v>
      </c>
      <c r="L57" s="873">
        <f>(SUMIF(Daily!$3:$3,$B57,Daily!$19:$19)+SUMIF(Daily!$3:$3,$B57,Daily!$21:$21))*'Cash in bank report'!$E$2/'Cash in bank report'!$E$3</f>
        <v>2.2874855553075344</v>
      </c>
      <c r="M57" s="873">
        <f t="shared" ref="M57" si="189">+$M$2-L57</f>
        <v>9.1725144446924674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66.423997395638096</v>
      </c>
      <c r="D58" s="873">
        <f>'Daily exchange'!I44+'Daily exchange'!I43</f>
        <v>1.96431661</v>
      </c>
      <c r="E58" s="873">
        <f t="shared" ref="E58" si="193">+F58-C58-D58</f>
        <v>-17.62516027074081</v>
      </c>
      <c r="F58" s="873">
        <f>(SUMIF(Daily!$3:$3,$B58,Daily!$23:$23)+SUMIF(Daily!$3:$3,$B58,Daily!$25:$25))*'Cash in bank report'!$E$2/'Cash in bank report'!$E$4</f>
        <v>50.763153734897287</v>
      </c>
      <c r="G58" s="873">
        <f t="shared" ref="G58" si="194">+$G$2-F58</f>
        <v>-30.763153734897287</v>
      </c>
      <c r="I58" s="873">
        <f t="shared" si="187"/>
        <v>2.2874855553075344</v>
      </c>
      <c r="J58" s="873">
        <f>'Daily exchange'!F44</f>
        <v>0</v>
      </c>
      <c r="K58" s="873">
        <f t="shared" ref="K58" si="195">+L58-I58-J58</f>
        <v>-1.9053007727669602E-3</v>
      </c>
      <c r="L58" s="873">
        <f>(SUMIF(Daily!$3:$3,$B58,Daily!$19:$19)+SUMIF(Daily!$3:$3,$B58,Daily!$21:$21))*'Cash in bank report'!$E$2/'Cash in bank report'!$E$3</f>
        <v>2.2855802545347674</v>
      </c>
      <c r="M58" s="873">
        <f t="shared" ref="M58" si="196">+$M$2-L58</f>
        <v>9.174419745465233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50.763153734897287</v>
      </c>
      <c r="D59" s="873">
        <f>'Daily exchange'!I44</f>
        <v>1.1718658400000002</v>
      </c>
      <c r="E59" s="873">
        <f t="shared" ref="E59" si="200">+F59-C59-D59</f>
        <v>3.3623279286447549</v>
      </c>
      <c r="F59" s="873">
        <f>(SUMIF(Daily!$3:$3,$B59,Daily!$23:$23)+SUMIF(Daily!$3:$3,$B59,Daily!$25:$25))*'Cash in bank report'!$E$2/'Cash in bank report'!$E$4</f>
        <v>55.297347503542042</v>
      </c>
      <c r="G59" s="873">
        <f t="shared" ref="G59" si="201">+$G$2-F59</f>
        <v>-35.297347503542042</v>
      </c>
      <c r="I59" s="873">
        <f t="shared" ref="I59" si="202">L58</f>
        <v>2.2855802545347674</v>
      </c>
      <c r="J59" s="873">
        <f>'Daily exchange'!F45</f>
        <v>0</v>
      </c>
      <c r="K59" s="873">
        <f t="shared" ref="K59" si="203">+L59-I59-J59</f>
        <v>2.4151510797532083E-4</v>
      </c>
      <c r="L59" s="873">
        <f>(SUMIF(Daily!$3:$3,$B59,Daily!$19:$19)+SUMIF(Daily!$3:$3,$B59,Daily!$21:$21))*'Cash in bank report'!$E$2/'Cash in bank report'!$E$3</f>
        <v>2.2858217696427428</v>
      </c>
      <c r="M59" s="873">
        <f t="shared" ref="M59" si="204">+$M$2-L59</f>
        <v>9.1741782303572581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55.297347503542042</v>
      </c>
      <c r="D60" s="873">
        <f>'Daily exchange'!I45</f>
        <v>0.08</v>
      </c>
      <c r="E60" s="873">
        <f t="shared" ref="E60" si="209">+F60-C60-D60</f>
        <v>0.5973766694430066</v>
      </c>
      <c r="F60" s="873">
        <f>(SUMIF(Daily!$3:$3,$B60,Daily!$23:$23)+SUMIF(Daily!$3:$3,$B60,Daily!$25:$25))*'Cash in bank report'!$E$2/'Cash in bank report'!$E$4</f>
        <v>55.974724172985049</v>
      </c>
      <c r="G60" s="873">
        <f t="shared" ref="G60" si="210">+$G$2-F60</f>
        <v>-35.974724172985049</v>
      </c>
      <c r="I60" s="873">
        <f t="shared" ref="I60" si="211">L59</f>
        <v>2.2858217696427428</v>
      </c>
      <c r="J60" s="873">
        <f>'Daily exchange'!F46</f>
        <v>0</v>
      </c>
      <c r="K60" s="873">
        <f t="shared" ref="K60" si="212">+L60-I60-J60</f>
        <v>1.1077744775870979E-2</v>
      </c>
      <c r="L60" s="873">
        <f>(SUMIF(Daily!$3:$3,$B60,Daily!$19:$19)+SUMIF(Daily!$3:$3,$B60,Daily!$21:$21))*'Cash in bank report'!$E$2/'Cash in bank report'!$E$3</f>
        <v>2.2968995144186137</v>
      </c>
      <c r="M60" s="873">
        <f t="shared" ref="M60" si="213">+$M$2-L60</f>
        <v>9.1631004855813867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55.974724172985049</v>
      </c>
      <c r="D61" s="873"/>
      <c r="E61" s="873">
        <f t="shared" ref="E61" si="218">+F61-C61-D61</f>
        <v>-1.2129532404695311</v>
      </c>
      <c r="F61" s="873">
        <f>(SUMIF(Daily!$3:$3,$B61,Daily!$23:$23)+SUMIF(Daily!$3:$3,$B61,Daily!$25:$25))*'Cash in bank report'!$E$2/'Cash in bank report'!$E$4</f>
        <v>54.761770932515518</v>
      </c>
      <c r="G61" s="873">
        <f t="shared" ref="G61" si="219">+$G$2-F61</f>
        <v>-34.761770932515518</v>
      </c>
      <c r="I61" s="873">
        <f t="shared" ref="I61" si="220">L60</f>
        <v>2.2968995144186137</v>
      </c>
      <c r="J61" s="873">
        <f>'Daily exchange'!F47</f>
        <v>0</v>
      </c>
      <c r="K61" s="873">
        <f t="shared" ref="K61" si="221">+L61-I61-J61</f>
        <v>-1.6128879074140734E-2</v>
      </c>
      <c r="L61" s="873">
        <f>(SUMIF(Daily!$3:$3,$B61,Daily!$19:$19)+SUMIF(Daily!$3:$3,$B61,Daily!$21:$21))*'Cash in bank report'!$E$2/'Cash in bank report'!$E$3</f>
        <v>2.280770635344473</v>
      </c>
      <c r="M61" s="873">
        <f t="shared" ref="M61" si="222">+$M$2-L61</f>
        <v>9.1792293646555283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54.761770932515518</v>
      </c>
      <c r="D62" s="873">
        <f>'Daily exchange'!I46</f>
        <v>1.02684288</v>
      </c>
      <c r="E62" s="873">
        <f t="shared" ref="E62" si="227">+F62-C62-D62</f>
        <v>-9.8789162772273675E-2</v>
      </c>
      <c r="F62" s="873">
        <f>(SUMIF(Daily!$3:$3,$B62,Daily!$23:$23)+SUMIF(Daily!$3:$3,$B62,Daily!$25:$25))*'Cash in bank report'!$E$2/'Cash in bank report'!$E$4</f>
        <v>55.689824649743244</v>
      </c>
      <c r="G62" s="873">
        <f t="shared" ref="G62" si="228">+$G$2-F62</f>
        <v>-35.689824649743244</v>
      </c>
      <c r="I62" s="873">
        <f t="shared" ref="I62" si="229">L61</f>
        <v>2.280770635344473</v>
      </c>
      <c r="J62" s="873">
        <f>'Daily exchange'!F46</f>
        <v>0</v>
      </c>
      <c r="K62" s="873">
        <f t="shared" ref="K62" si="230">+L62-I62-J62</f>
        <v>8.6382709682358172E-2</v>
      </c>
      <c r="L62" s="873">
        <f>(SUMIF(Daily!$3:$3,$B62,Daily!$19:$19)+SUMIF(Daily!$3:$3,$B62,Daily!$21:$21))*'Cash in bank report'!$E$2/'Cash in bank report'!$E$3</f>
        <v>2.3671533450268312</v>
      </c>
      <c r="M62" s="873">
        <f t="shared" ref="M62" si="231">+$M$2-L62</f>
        <v>9.0928466549731688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55.689824649743244</v>
      </c>
      <c r="D63" s="873">
        <f>'Daily exchange'!I47</f>
        <v>1.1000000000000001</v>
      </c>
      <c r="E63" s="873">
        <f t="shared" ref="E63" si="236">+F63-C63-D63</f>
        <v>-1.5649932256098524</v>
      </c>
      <c r="F63" s="873">
        <f>(SUMIF(Daily!$3:$3,$B63,Daily!$23:$23)+SUMIF(Daily!$3:$3,$B63,Daily!$25:$25))*'Cash in bank report'!$E$2/'Cash in bank report'!$E$4</f>
        <v>55.224831424133392</v>
      </c>
      <c r="G63" s="873">
        <f t="shared" ref="G63" si="237">+$G$2-F63</f>
        <v>-35.224831424133392</v>
      </c>
      <c r="I63" s="873">
        <f t="shared" ref="I63" si="238">L62</f>
        <v>2.3671533450268312</v>
      </c>
      <c r="J63" s="873">
        <f>'Daily exchange'!F47</f>
        <v>0</v>
      </c>
      <c r="K63" s="873">
        <f t="shared" ref="K63" si="239">+L63-I63-J63</f>
        <v>1.132470478287928E-2</v>
      </c>
      <c r="L63" s="873">
        <f>(SUMIF(Daily!$3:$3,$B63,Daily!$19:$19)+SUMIF(Daily!$3:$3,$B63,Daily!$21:$21))*'Cash in bank report'!$E$2/'Cash in bank report'!$E$3</f>
        <v>2.3784780498097104</v>
      </c>
      <c r="M63" s="873">
        <f t="shared" ref="M63" si="240">+$M$2-L63</f>
        <v>9.0815219501902895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55.224831424133392</v>
      </c>
      <c r="D64" s="873">
        <f>'Daily exchange'!I48</f>
        <v>0.21221999999999999</v>
      </c>
      <c r="E64" s="873">
        <f t="shared" ref="E64" si="245">+F64-C64-D64</f>
        <v>-0.11659053426867208</v>
      </c>
      <c r="F64" s="873">
        <f>(SUMIF(Daily!$3:$3,$B64,Daily!$23:$23)+SUMIF(Daily!$3:$3,$B64,Daily!$25:$25))*'Cash in bank report'!$E$2/'Cash in bank report'!$E$4</f>
        <v>55.320460889864719</v>
      </c>
      <c r="G64" s="873">
        <f t="shared" ref="G64" si="246">+$G$2-F64</f>
        <v>-35.320460889864719</v>
      </c>
      <c r="I64" s="873">
        <f t="shared" ref="I64" si="247">L63</f>
        <v>2.3784780498097104</v>
      </c>
      <c r="J64" s="873">
        <f>'Daily exchange'!F48</f>
        <v>0</v>
      </c>
      <c r="K64" s="873">
        <f t="shared" ref="K64" si="248">+L64-I64-J64</f>
        <v>0.14148096720478343</v>
      </c>
      <c r="L64" s="873">
        <f>(SUMIF(Daily!$3:$3,$B64,Daily!$19:$19)+SUMIF(Daily!$3:$3,$B64,Daily!$21:$21))*'Cash in bank report'!$E$2/'Cash in bank report'!$E$3</f>
        <v>2.5199590170144939</v>
      </c>
      <c r="M64" s="873">
        <f t="shared" ref="M64" si="249">+$M$2-L64</f>
        <v>8.9400409829855079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55.320460889864719</v>
      </c>
      <c r="D65" s="873">
        <f>'Daily exchange'!I49</f>
        <v>1.48</v>
      </c>
      <c r="E65" s="873">
        <f t="shared" ref="E65" si="254">+F65-C65-D65</f>
        <v>1.8716895726808045</v>
      </c>
      <c r="F65" s="873">
        <f>(SUMIF(Daily!$3:$3,$B65,Daily!$23:$23)+SUMIF(Daily!$3:$3,$B65,Daily!$25:$25))*'Cash in bank report'!$E$2/'Cash in bank report'!$E$4</f>
        <v>58.672150462545524</v>
      </c>
      <c r="G65" s="873">
        <f t="shared" ref="G65" si="255">+$G$2-F65</f>
        <v>-38.672150462545524</v>
      </c>
      <c r="I65" s="873">
        <f t="shared" ref="I65" si="256">L64</f>
        <v>2.5199590170144939</v>
      </c>
      <c r="J65" s="873">
        <f>'Daily exchange'!F49</f>
        <v>0</v>
      </c>
      <c r="K65" s="873">
        <f t="shared" ref="K65" si="257">+L65-I65-J65</f>
        <v>-2.4546812189914835E-2</v>
      </c>
      <c r="L65" s="873">
        <f>(SUMIF(Daily!$3:$3,$B65,Daily!$19:$19)+SUMIF(Daily!$3:$3,$B65,Daily!$21:$21))*'Cash in bank report'!$E$2/'Cash in bank report'!$E$3</f>
        <v>2.495412204824579</v>
      </c>
      <c r="M65" s="873">
        <f t="shared" ref="M65" si="258">+$M$2-L65</f>
        <v>8.9645877951754223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58.672150462545524</v>
      </c>
      <c r="D66" s="873">
        <f>'Daily exchange'!I50</f>
        <v>0.50233399999999995</v>
      </c>
      <c r="E66" s="873">
        <f t="shared" ref="E66" si="263">+F66-C66-D66</f>
        <v>-2.6339794353203723</v>
      </c>
      <c r="F66" s="873">
        <f>(SUMIF(Daily!$3:$3,$B66,Daily!$23:$23)+SUMIF(Daily!$3:$3,$B66,Daily!$25:$25))*'Cash in bank report'!$E$2/'Cash in bank report'!$E$4</f>
        <v>56.540505027225151</v>
      </c>
      <c r="G66" s="873">
        <f t="shared" ref="G66" si="264">+$G$2-F66</f>
        <v>-36.540505027225151</v>
      </c>
      <c r="I66" s="873">
        <f t="shared" ref="I66" si="265">L65</f>
        <v>2.495412204824579</v>
      </c>
      <c r="J66" s="873">
        <f>'Daily exchange'!F50</f>
        <v>0</v>
      </c>
      <c r="K66" s="873">
        <f t="shared" ref="K66" si="266">+L66-I66-J66</f>
        <v>2.3210666629815968E-3</v>
      </c>
      <c r="L66" s="873">
        <f>(SUMIF(Daily!$3:$3,$B66,Daily!$19:$19)+SUMIF(Daily!$3:$3,$B66,Daily!$21:$21))*'Cash in bank report'!$E$2/'Cash in bank report'!$E$3</f>
        <v>2.4977332714875606</v>
      </c>
      <c r="M66" s="873">
        <f t="shared" ref="M66" si="267">+$M$2-L66</f>
        <v>8.9622667285124393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21875" defaultRowHeight="14.4"/>
  <cols>
    <col min="1" max="1" width="3.77734375" style="763" customWidth="1"/>
    <col min="2" max="3" width="12.21875" style="131" customWidth="1"/>
    <col min="4" max="13" width="12.21875" style="763" customWidth="1"/>
    <col min="14" max="15" width="12.77734375" style="763" customWidth="1"/>
    <col min="16" max="19" width="9.21875" style="763"/>
    <col min="20" max="16384" width="9.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7" t="s">
        <v>495</v>
      </c>
      <c r="C3" s="1359"/>
      <c r="D3" s="1357" t="s">
        <v>494</v>
      </c>
      <c r="E3" s="1358"/>
      <c r="F3" s="1359"/>
      <c r="G3" s="1357" t="s">
        <v>493</v>
      </c>
      <c r="H3" s="1358"/>
      <c r="I3" s="1359"/>
      <c r="J3" s="1357" t="s">
        <v>496</v>
      </c>
      <c r="K3" s="1358"/>
      <c r="L3" s="1359"/>
    </row>
    <row r="4" spans="2:20" ht="18.75" customHeight="1">
      <c r="B4" s="781">
        <f>+'Cash in bank report'!B2</f>
        <v>45882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234.28246456439999</v>
      </c>
      <c r="K5" s="772">
        <f t="shared" si="1"/>
        <v>798.71399999999994</v>
      </c>
      <c r="L5" s="864">
        <f t="shared" si="1"/>
        <v>-564.43153543559993</v>
      </c>
      <c r="M5" s="780">
        <f>'Cash in bank report'!E2</f>
        <v>79.871399999999994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2.9737445238658644</v>
      </c>
      <c r="H6" s="769">
        <f>+E6*M6/M5</f>
        <v>13.323368790330459</v>
      </c>
      <c r="I6" s="770">
        <f>+G6-H6</f>
        <v>-10.349624266464595</v>
      </c>
      <c r="J6" s="771">
        <f t="shared" si="1"/>
        <v>237.51713836349998</v>
      </c>
      <c r="K6" s="772">
        <f t="shared" si="1"/>
        <v>1064.1561180000001</v>
      </c>
      <c r="L6" s="864">
        <f t="shared" si="1"/>
        <v>-826.63897963650015</v>
      </c>
      <c r="M6" s="780">
        <f>'Cash in bank report'!E3</f>
        <v>92.8583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54.145320510000005</v>
      </c>
      <c r="E7" s="769">
        <f>+'Est payment'!E35</f>
        <v>20</v>
      </c>
      <c r="F7" s="858">
        <f t="shared" ref="F7" si="2">+D7-E7</f>
        <v>34.145320510000005</v>
      </c>
      <c r="G7" s="768">
        <f>+'Cash in bank report'!D15</f>
        <v>7.4982531372814192</v>
      </c>
      <c r="H7" s="769">
        <f>+E7*M7/M5</f>
        <v>2.7696772561893246</v>
      </c>
      <c r="I7" s="770">
        <f t="shared" ref="I7" si="3">+G7-H7</f>
        <v>4.7285758810920946</v>
      </c>
      <c r="J7" s="771">
        <f t="shared" si="1"/>
        <v>598.89597562905908</v>
      </c>
      <c r="K7" s="772">
        <f t="shared" si="1"/>
        <v>221.21800000000002</v>
      </c>
      <c r="L7" s="864">
        <f t="shared" si="1"/>
        <v>377.67797562905912</v>
      </c>
      <c r="M7" s="780">
        <f>'Cash in bank report'!E4</f>
        <v>11.0609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6.2317738264259805</v>
      </c>
      <c r="I8" s="777">
        <f>+G8-H8</f>
        <v>-6.2317738264259805</v>
      </c>
      <c r="J8" s="778"/>
      <c r="K8" s="779">
        <f>+H8*M5</f>
        <v>497.74050000000005</v>
      </c>
      <c r="L8" s="865">
        <f>+I8*$M$5</f>
        <v>-497.74050000000005</v>
      </c>
    </row>
    <row r="9" spans="2:20" ht="18.75" customHeight="1" thickBot="1">
      <c r="J9" s="855" t="s">
        <v>528</v>
      </c>
      <c r="K9" s="854"/>
      <c r="L9" s="866">
        <f>SUM(L5:L8)</f>
        <v>-1511.1330394430411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34.145320510000005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34.145320510000005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-159.74279999999999</v>
      </c>
      <c r="D19" s="1118">
        <f t="shared" si="8"/>
        <v>-159.74279999999999</v>
      </c>
      <c r="E19" s="1118">
        <f t="shared" si="8"/>
        <v>-159.74279999999999</v>
      </c>
      <c r="F19" s="1118">
        <f t="shared" si="8"/>
        <v>-159.74279999999999</v>
      </c>
      <c r="G19" s="1118">
        <f t="shared" si="8"/>
        <v>74.539664564400027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-564.43153543559993</v>
      </c>
    </row>
    <row r="20" spans="2:13" ht="18.75" customHeight="1">
      <c r="B20" s="784" t="str">
        <f>+B13</f>
        <v>EUR</v>
      </c>
      <c r="C20" s="1120">
        <f t="shared" ref="C20:L20" si="10">+C13*$M$6</f>
        <v>-185.7166</v>
      </c>
      <c r="D20" s="1120">
        <f t="shared" si="10"/>
        <v>-185.7166</v>
      </c>
      <c r="E20" s="1121">
        <f t="shared" si="10"/>
        <v>-185.7166</v>
      </c>
      <c r="F20" s="1120">
        <f t="shared" si="10"/>
        <v>-269.48917963650007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-826.63897963650015</v>
      </c>
    </row>
    <row r="21" spans="2:13" ht="18.75" customHeight="1">
      <c r="B21" s="784" t="str">
        <f>+B14</f>
        <v>CNY</v>
      </c>
      <c r="C21" s="1120">
        <f t="shared" ref="C21:L21" si="11">+C14*$M$7</f>
        <v>377.67797562905906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377.67797562905906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-55.304500000000004</v>
      </c>
      <c r="E22" s="1123">
        <f t="shared" ref="E22:L22" si="13">+D22</f>
        <v>-55.304500000000004</v>
      </c>
      <c r="F22" s="1123">
        <f t="shared" si="13"/>
        <v>-55.304500000000004</v>
      </c>
      <c r="G22" s="1123">
        <f t="shared" si="13"/>
        <v>-55.304500000000004</v>
      </c>
      <c r="H22" s="1123">
        <f t="shared" si="13"/>
        <v>-55.304500000000004</v>
      </c>
      <c r="I22" s="1123">
        <f t="shared" si="13"/>
        <v>-55.304500000000004</v>
      </c>
      <c r="J22" s="1123">
        <f t="shared" si="13"/>
        <v>-55.304500000000004</v>
      </c>
      <c r="K22" s="1123">
        <f t="shared" si="13"/>
        <v>-55.304500000000004</v>
      </c>
      <c r="L22" s="1123">
        <f t="shared" si="13"/>
        <v>-55.304500000000004</v>
      </c>
      <c r="M22" s="1124">
        <f t="shared" si="12"/>
        <v>-497.74050000000011</v>
      </c>
    </row>
    <row r="23" spans="2:13">
      <c r="B23" s="863" t="s">
        <v>413</v>
      </c>
      <c r="C23" s="1125">
        <f>SUM(C19:C22)</f>
        <v>32.218575629059103</v>
      </c>
      <c r="D23" s="1125">
        <f t="shared" ref="D23:M23" si="14">SUM(D19:D22)</f>
        <v>-400.76389999999998</v>
      </c>
      <c r="E23" s="1125">
        <f t="shared" si="14"/>
        <v>-400.76389999999998</v>
      </c>
      <c r="F23" s="1125">
        <f t="shared" si="14"/>
        <v>-484.53647963650008</v>
      </c>
      <c r="G23" s="1125">
        <f t="shared" si="14"/>
        <v>19.235164564400023</v>
      </c>
      <c r="H23" s="1125">
        <f t="shared" si="14"/>
        <v>-55.304500000000004</v>
      </c>
      <c r="I23" s="1125">
        <f t="shared" si="14"/>
        <v>-55.304500000000004</v>
      </c>
      <c r="J23" s="1125">
        <f t="shared" si="14"/>
        <v>-55.304500000000004</v>
      </c>
      <c r="K23" s="1125">
        <f t="shared" si="14"/>
        <v>-55.304500000000004</v>
      </c>
      <c r="L23" s="1125">
        <f t="shared" si="14"/>
        <v>-55.304500000000004</v>
      </c>
      <c r="M23" s="1124">
        <f t="shared" si="14"/>
        <v>-1511.1330394430411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7734375" defaultRowHeight="24.6"/>
  <cols>
    <col min="1" max="1" width="2.21875" style="679" customWidth="1"/>
    <col min="2" max="2" width="14.21875" style="679" customWidth="1"/>
    <col min="3" max="3" width="8.21875" style="679" customWidth="1"/>
    <col min="4" max="4" width="11.21875" style="679" bestFit="1" customWidth="1"/>
    <col min="5" max="5" width="17.21875" style="679" customWidth="1"/>
    <col min="6" max="6" width="16.6640625" style="679" customWidth="1"/>
    <col min="7" max="7" width="16.21875" style="680" customWidth="1"/>
    <col min="8" max="9" width="16.21875" style="680" hidden="1" customWidth="1"/>
    <col min="10" max="16384" width="8.777343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60" t="s">
        <v>471</v>
      </c>
      <c r="C13" s="1361"/>
      <c r="D13" s="681" t="s">
        <v>472</v>
      </c>
      <c r="E13" s="682" t="s">
        <v>473</v>
      </c>
      <c r="F13" s="683" t="s">
        <v>474</v>
      </c>
      <c r="G13" s="813" t="s">
        <v>475</v>
      </c>
      <c r="H13" s="1362" t="s">
        <v>476</v>
      </c>
      <c r="I13" s="1363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60" t="s">
        <v>471</v>
      </c>
      <c r="C28" s="1364"/>
      <c r="D28" s="1364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79.871399999999994</v>
      </c>
      <c r="G33" s="845">
        <f>-E33*F33</f>
        <v>-798.71399999999994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92.8583</v>
      </c>
      <c r="G34" s="845">
        <f>-E34*F34</f>
        <v>-1064.1561180000001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11.0609</v>
      </c>
      <c r="G35" s="845">
        <f>-E35*F35</f>
        <v>-221.21800000000002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11.0609</v>
      </c>
      <c r="G36" s="850">
        <f>-E36*F36</f>
        <v>-497.7405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45882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7484.7903869078709</v>
      </c>
      <c r="C5" s="890">
        <f>+'Cash in bank report'!E7</f>
        <v>752.79795233000004</v>
      </c>
      <c r="D5" s="890">
        <f>+'Cash in bank report'!F7</f>
        <v>1101.8453312600004</v>
      </c>
      <c r="E5" s="890">
        <f>+'Cash in bank report'!G7</f>
        <v>627.28210206000006</v>
      </c>
      <c r="F5" s="890">
        <f>+'Cash in bank report'!H7</f>
        <v>5002.8650012578701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234.28246456439999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234.28246456439999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237.51713836349998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237.51713836349998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598.89597562905908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598.89597562905908</v>
      </c>
    </row>
    <row r="9" spans="1:6" ht="36" customHeight="1">
      <c r="A9" s="897" t="s">
        <v>543</v>
      </c>
      <c r="B9" s="898">
        <f t="shared" si="0"/>
        <v>8555.485965464828</v>
      </c>
      <c r="C9" s="898">
        <f>SUM(C5:C8)</f>
        <v>752.79795233000004</v>
      </c>
      <c r="D9" s="898">
        <f t="shared" ref="D9:E9" si="1">SUM(D5:D8)</f>
        <v>1101.8453312600004</v>
      </c>
      <c r="E9" s="898">
        <f t="shared" si="1"/>
        <v>627.28210206000006</v>
      </c>
      <c r="F9" s="898">
        <f>SUM(F5:F8)</f>
        <v>6073.5605798148281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109375" defaultRowHeight="14.4"/>
  <cols>
    <col min="1" max="1" width="13.109375" style="1077" customWidth="1"/>
    <col min="2" max="2" width="10.109375" style="1077" customWidth="1"/>
    <col min="3" max="3" width="31.88671875" style="1077" customWidth="1"/>
    <col min="4" max="4" width="18.109375" style="1077" customWidth="1"/>
    <col min="5" max="5" width="14.21875" style="1077" bestFit="1" customWidth="1"/>
    <col min="6" max="6" width="15.109375" style="1078" bestFit="1" customWidth="1"/>
    <col min="7" max="7" width="15" style="1089" bestFit="1" customWidth="1"/>
    <col min="8" max="8" width="15" style="1107" bestFit="1" customWidth="1"/>
    <col min="9" max="9" width="12.109375" style="1080" bestFit="1" customWidth="1"/>
    <col min="10" max="10" width="13.109375" style="1080" bestFit="1" customWidth="1"/>
    <col min="11" max="11" width="10" style="1080" bestFit="1" customWidth="1"/>
    <col min="12" max="12" width="14.88671875" style="1081" hidden="1" customWidth="1"/>
    <col min="13" max="13" width="2.109375" style="1082" customWidth="1"/>
    <col min="14" max="14" width="12.21875" style="1077" customWidth="1"/>
    <col min="15" max="15" width="13" style="1077" customWidth="1"/>
    <col min="16" max="16" width="12.6640625" style="1077" customWidth="1"/>
    <col min="17" max="17" width="9.109375" style="1077"/>
    <col min="18" max="21" width="12.6640625" style="1077" customWidth="1"/>
    <col min="22" max="16384" width="9.10937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5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5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5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5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5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5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5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5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5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4" width="17.44140625" bestFit="1" customWidth="1"/>
    <col min="5" max="5" width="16.44140625" bestFit="1" customWidth="1"/>
    <col min="6" max="6" width="16.6640625" bestFit="1" customWidth="1"/>
    <col min="7" max="8" width="17.21875" bestFit="1" customWidth="1"/>
    <col min="9" max="9" width="17.44140625" bestFit="1" customWidth="1"/>
    <col min="10" max="12" width="16.6640625" bestFit="1" customWidth="1"/>
    <col min="13" max="13" width="17.21875" bestFit="1" customWidth="1"/>
    <col min="14" max="14" width="17.44140625" bestFit="1" customWidth="1"/>
    <col min="15" max="15" width="17" customWidth="1"/>
    <col min="16" max="16" width="15.77734375" bestFit="1" customWidth="1"/>
    <col min="17" max="17" width="12.77734375" bestFit="1" customWidth="1"/>
    <col min="18" max="19" width="13.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6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6.6640625" bestFit="1" customWidth="1"/>
    <col min="4" max="4" width="16" bestFit="1" customWidth="1"/>
    <col min="5" max="5" width="15.77734375" bestFit="1" customWidth="1"/>
    <col min="6" max="6" width="15.21875" bestFit="1" customWidth="1"/>
    <col min="7" max="7" width="15.44140625" bestFit="1" customWidth="1"/>
    <col min="8" max="8" width="15.21875" bestFit="1" customWidth="1"/>
    <col min="9" max="9" width="15.77734375" bestFit="1" customWidth="1"/>
    <col min="10" max="10" width="14.77734375" bestFit="1" customWidth="1"/>
    <col min="11" max="11" width="16" bestFit="1" customWidth="1"/>
    <col min="12" max="12" width="16.44140625" bestFit="1" customWidth="1"/>
    <col min="13" max="13" width="15.6640625" bestFit="1" customWidth="1"/>
    <col min="14" max="14" width="15.44140625" bestFit="1" customWidth="1"/>
    <col min="15" max="17" width="13.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5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21875" defaultRowHeight="15" customHeight="1"/>
  <cols>
    <col min="1" max="1" width="0.77734375" customWidth="1"/>
    <col min="2" max="2" width="32.21875" customWidth="1"/>
    <col min="3" max="4" width="15.44140625" bestFit="1" customWidth="1"/>
    <col min="5" max="6" width="16.6640625" bestFit="1" customWidth="1"/>
    <col min="7" max="7" width="16.44140625" bestFit="1" customWidth="1"/>
    <col min="8" max="10" width="15.44140625" bestFit="1" customWidth="1"/>
    <col min="11" max="12" width="16.6640625" bestFit="1" customWidth="1"/>
    <col min="13" max="13" width="16" bestFit="1" customWidth="1"/>
    <col min="14" max="14" width="16.6640625" bestFit="1" customWidth="1"/>
    <col min="15" max="15" width="14.77734375" style="1051" bestFit="1" customWidth="1"/>
    <col min="16" max="16" width="18.21875" style="1051" bestFit="1" customWidth="1"/>
    <col min="17" max="17" width="17.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5.44140625" bestFit="1" customWidth="1"/>
    <col min="4" max="4" width="15.77734375" bestFit="1" customWidth="1"/>
    <col min="5" max="5" width="15.21875" bestFit="1" customWidth="1"/>
    <col min="6" max="6" width="15.44140625" bestFit="1" customWidth="1"/>
    <col min="7" max="8" width="15.77734375" bestFit="1" customWidth="1"/>
    <col min="9" max="9" width="17.44140625" bestFit="1" customWidth="1"/>
    <col min="10" max="10" width="16.6640625" bestFit="1" customWidth="1"/>
    <col min="11" max="11" width="16.44140625" bestFit="1" customWidth="1"/>
    <col min="12" max="13" width="15.44140625" bestFit="1" customWidth="1"/>
    <col min="14" max="14" width="15.77734375" bestFit="1" customWidth="1"/>
    <col min="15" max="15" width="14.77734375" bestFit="1" customWidth="1"/>
    <col min="16" max="17" width="16.664062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7.21875" bestFit="1" customWidth="1"/>
    <col min="4" max="4" width="16.6640625" bestFit="1" customWidth="1"/>
    <col min="5" max="5" width="17.21875" bestFit="1" customWidth="1"/>
    <col min="6" max="6" width="16.44140625" bestFit="1" customWidth="1"/>
    <col min="7" max="7" width="17.21875" bestFit="1" customWidth="1"/>
    <col min="8" max="8" width="16.6640625" bestFit="1" customWidth="1"/>
    <col min="9" max="9" width="17.44140625" bestFit="1" customWidth="1"/>
    <col min="10" max="10" width="16.6640625" bestFit="1" customWidth="1"/>
    <col min="11" max="11" width="15.77734375" bestFit="1" customWidth="1"/>
    <col min="12" max="12" width="15.44140625" bestFit="1" customWidth="1"/>
    <col min="13" max="13" width="15.77734375" bestFit="1" customWidth="1"/>
    <col min="14" max="14" width="15.44140625" bestFit="1" customWidth="1"/>
    <col min="15" max="15" width="16.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5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4" width="15.77734375" style="714" bestFit="1" customWidth="1"/>
    <col min="5" max="5" width="15.21875" style="714" bestFit="1" customWidth="1"/>
    <col min="6" max="6" width="15.44140625" style="714" bestFit="1" customWidth="1"/>
    <col min="7" max="7" width="17.21875" style="714" bestFit="1" customWidth="1"/>
    <col min="8" max="8" width="17.77734375" style="714" bestFit="1" customWidth="1"/>
    <col min="9" max="10" width="15.44140625" style="714" bestFit="1" customWidth="1"/>
    <col min="11" max="11" width="15.21875" style="714" bestFit="1" customWidth="1"/>
    <col min="12" max="12" width="15.77734375" style="714" bestFit="1" customWidth="1"/>
    <col min="13" max="14" width="15.44140625" style="714" bestFit="1" customWidth="1"/>
    <col min="15" max="15" width="17.44140625" style="714" bestFit="1" customWidth="1"/>
    <col min="16" max="16384" width="9.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/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14" width="12.77734375" style="714" customWidth="1"/>
    <col min="15" max="15" width="13.21875" style="714" customWidth="1"/>
    <col min="16" max="16384" width="9.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 t="s">
        <v>14</v>
      </c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21875" defaultRowHeight="11.4"/>
  <cols>
    <col min="1" max="1" width="0.6640625" style="1193" customWidth="1"/>
    <col min="2" max="2" width="29" style="1193" customWidth="1"/>
    <col min="3" max="15" width="12.77734375" style="1193" customWidth="1"/>
    <col min="16" max="16384" width="7.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73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74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7734375" defaultRowHeight="14.4"/>
  <cols>
    <col min="1" max="1" width="34.6640625" bestFit="1" customWidth="1"/>
    <col min="2" max="2" width="15.664062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7734375" defaultRowHeight="39" customHeight="1"/>
  <cols>
    <col min="1" max="1" width="3.6640625" style="145" customWidth="1"/>
    <col min="2" max="2" width="37.6640625" style="146" customWidth="1"/>
    <col min="3" max="3" width="16.21875" style="144" customWidth="1"/>
    <col min="4" max="4" width="15.21875" style="144" customWidth="1"/>
    <col min="5" max="7" width="12.6640625" style="144" customWidth="1"/>
    <col min="8" max="9" width="14.21875" style="144" customWidth="1"/>
    <col min="10" max="18" width="11.21875" style="144" customWidth="1"/>
    <col min="19" max="19" width="13.6640625" style="632" customWidth="1"/>
    <col min="20" max="34" width="14" style="94" customWidth="1"/>
    <col min="35" max="38" width="14" style="94" hidden="1" customWidth="1"/>
    <col min="39" max="16384" width="8.777343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6" t="s">
        <v>87</v>
      </c>
      <c r="C3" s="1378" t="s">
        <v>123</v>
      </c>
      <c r="D3" s="630" t="s">
        <v>91</v>
      </c>
      <c r="E3" s="1380" t="s">
        <v>229</v>
      </c>
      <c r="F3" s="1378" t="s">
        <v>124</v>
      </c>
      <c r="G3" s="1380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7"/>
      <c r="C4" s="1379"/>
      <c r="D4" s="631" t="s">
        <v>228</v>
      </c>
      <c r="E4" s="1381"/>
      <c r="F4" s="1379"/>
      <c r="G4" s="1381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5" t="s">
        <v>357</v>
      </c>
      <c r="L10" s="1375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7734375" defaultRowHeight="15"/>
  <cols>
    <col min="1" max="1" width="11.6640625" style="188" customWidth="1"/>
    <col min="2" max="2" width="21.77734375" style="188" customWidth="1"/>
    <col min="3" max="3" width="25.21875" style="189" customWidth="1"/>
    <col min="4" max="4" width="9.21875" style="187" customWidth="1"/>
    <col min="5" max="5" width="46.6640625" style="190" bestFit="1" customWidth="1"/>
    <col min="6" max="6" width="19.21875" style="190" customWidth="1"/>
    <col min="7" max="7" width="21.77734375" style="187" customWidth="1"/>
    <col min="8" max="8" width="16.77734375" style="192" customWidth="1"/>
    <col min="9" max="9" width="9.6640625" style="187" bestFit="1" customWidth="1"/>
    <col min="10" max="10" width="34.21875" style="193" customWidth="1"/>
    <col min="11" max="232" width="8.77734375" style="193"/>
    <col min="233" max="233" width="19.21875" style="193" customWidth="1"/>
    <col min="234" max="235" width="8.77734375" style="193"/>
    <col min="236" max="236" width="27.21875" style="193" customWidth="1"/>
    <col min="237" max="237" width="9.21875" style="193" bestFit="1" customWidth="1"/>
    <col min="238" max="238" width="27" style="193" customWidth="1"/>
    <col min="239" max="239" width="10.21875" style="193" bestFit="1" customWidth="1"/>
    <col min="240" max="240" width="23.21875" style="193" customWidth="1"/>
    <col min="241" max="241" width="26.21875" style="193" customWidth="1"/>
    <col min="242" max="242" width="9" style="193" bestFit="1" customWidth="1"/>
    <col min="243" max="243" width="13.21875" style="193" bestFit="1" customWidth="1"/>
    <col min="244" max="244" width="4.77734375" style="193" bestFit="1" customWidth="1"/>
    <col min="245" max="245" width="4.21875" style="193" bestFit="1" customWidth="1"/>
    <col min="246" max="246" width="9.21875" style="193" bestFit="1" customWidth="1"/>
    <col min="247" max="247" width="9.21875" style="193" customWidth="1"/>
    <col min="248" max="248" width="2.21875" style="193" bestFit="1" customWidth="1"/>
    <col min="249" max="249" width="7.21875" style="193" bestFit="1" customWidth="1"/>
    <col min="250" max="250" width="2.21875" style="193" bestFit="1" customWidth="1"/>
    <col min="251" max="251" width="7.21875" style="193" bestFit="1" customWidth="1"/>
    <col min="252" max="252" width="2.21875" style="193" bestFit="1" customWidth="1"/>
    <col min="253" max="253" width="7.21875" style="193" bestFit="1" customWidth="1"/>
    <col min="254" max="254" width="16.21875" style="193" bestFit="1" customWidth="1"/>
    <col min="255" max="255" width="23.21875" style="193" customWidth="1"/>
    <col min="256" max="256" width="27.21875" style="193" customWidth="1"/>
    <col min="257" max="261" width="8.77734375" style="193"/>
    <col min="262" max="262" width="44.77734375" style="193" bestFit="1" customWidth="1"/>
    <col min="263" max="488" width="8.77734375" style="193"/>
    <col min="489" max="489" width="19.21875" style="193" customWidth="1"/>
    <col min="490" max="491" width="8.77734375" style="193"/>
    <col min="492" max="492" width="27.21875" style="193" customWidth="1"/>
    <col min="493" max="493" width="9.21875" style="193" bestFit="1" customWidth="1"/>
    <col min="494" max="494" width="27" style="193" customWidth="1"/>
    <col min="495" max="495" width="10.21875" style="193" bestFit="1" customWidth="1"/>
    <col min="496" max="496" width="23.21875" style="193" customWidth="1"/>
    <col min="497" max="497" width="26.21875" style="193" customWidth="1"/>
    <col min="498" max="498" width="9" style="193" bestFit="1" customWidth="1"/>
    <col min="499" max="499" width="13.21875" style="193" bestFit="1" customWidth="1"/>
    <col min="500" max="500" width="4.77734375" style="193" bestFit="1" customWidth="1"/>
    <col min="501" max="501" width="4.21875" style="193" bestFit="1" customWidth="1"/>
    <col min="502" max="502" width="9.21875" style="193" bestFit="1" customWidth="1"/>
    <col min="503" max="503" width="9.21875" style="193" customWidth="1"/>
    <col min="504" max="504" width="2.21875" style="193" bestFit="1" customWidth="1"/>
    <col min="505" max="505" width="7.21875" style="193" bestFit="1" customWidth="1"/>
    <col min="506" max="506" width="2.21875" style="193" bestFit="1" customWidth="1"/>
    <col min="507" max="507" width="7.21875" style="193" bestFit="1" customWidth="1"/>
    <col min="508" max="508" width="2.21875" style="193" bestFit="1" customWidth="1"/>
    <col min="509" max="509" width="7.21875" style="193" bestFit="1" customWidth="1"/>
    <col min="510" max="510" width="16.21875" style="193" bestFit="1" customWidth="1"/>
    <col min="511" max="511" width="23.21875" style="193" customWidth="1"/>
    <col min="512" max="512" width="27.21875" style="193" customWidth="1"/>
    <col min="513" max="517" width="8.77734375" style="193"/>
    <col min="518" max="518" width="44.77734375" style="193" bestFit="1" customWidth="1"/>
    <col min="519" max="744" width="8.77734375" style="193"/>
    <col min="745" max="745" width="19.21875" style="193" customWidth="1"/>
    <col min="746" max="747" width="8.77734375" style="193"/>
    <col min="748" max="748" width="27.21875" style="193" customWidth="1"/>
    <col min="749" max="749" width="9.21875" style="193" bestFit="1" customWidth="1"/>
    <col min="750" max="750" width="27" style="193" customWidth="1"/>
    <col min="751" max="751" width="10.21875" style="193" bestFit="1" customWidth="1"/>
    <col min="752" max="752" width="23.21875" style="193" customWidth="1"/>
    <col min="753" max="753" width="26.21875" style="193" customWidth="1"/>
    <col min="754" max="754" width="9" style="193" bestFit="1" customWidth="1"/>
    <col min="755" max="755" width="13.21875" style="193" bestFit="1" customWidth="1"/>
    <col min="756" max="756" width="4.77734375" style="193" bestFit="1" customWidth="1"/>
    <col min="757" max="757" width="4.21875" style="193" bestFit="1" customWidth="1"/>
    <col min="758" max="758" width="9.21875" style="193" bestFit="1" customWidth="1"/>
    <col min="759" max="759" width="9.21875" style="193" customWidth="1"/>
    <col min="760" max="760" width="2.21875" style="193" bestFit="1" customWidth="1"/>
    <col min="761" max="761" width="7.21875" style="193" bestFit="1" customWidth="1"/>
    <col min="762" max="762" width="2.21875" style="193" bestFit="1" customWidth="1"/>
    <col min="763" max="763" width="7.21875" style="193" bestFit="1" customWidth="1"/>
    <col min="764" max="764" width="2.21875" style="193" bestFit="1" customWidth="1"/>
    <col min="765" max="765" width="7.21875" style="193" bestFit="1" customWidth="1"/>
    <col min="766" max="766" width="16.21875" style="193" bestFit="1" customWidth="1"/>
    <col min="767" max="767" width="23.21875" style="193" customWidth="1"/>
    <col min="768" max="768" width="27.21875" style="193" customWidth="1"/>
    <col min="769" max="773" width="8.77734375" style="193"/>
    <col min="774" max="774" width="44.77734375" style="193" bestFit="1" customWidth="1"/>
    <col min="775" max="1000" width="8.77734375" style="193"/>
    <col min="1001" max="1001" width="19.21875" style="193" customWidth="1"/>
    <col min="1002" max="1003" width="8.77734375" style="193"/>
    <col min="1004" max="1004" width="27.21875" style="193" customWidth="1"/>
    <col min="1005" max="1005" width="9.21875" style="193" bestFit="1" customWidth="1"/>
    <col min="1006" max="1006" width="27" style="193" customWidth="1"/>
    <col min="1007" max="1007" width="10.21875" style="193" bestFit="1" customWidth="1"/>
    <col min="1008" max="1008" width="23.21875" style="193" customWidth="1"/>
    <col min="1009" max="1009" width="26.21875" style="193" customWidth="1"/>
    <col min="1010" max="1010" width="9" style="193" bestFit="1" customWidth="1"/>
    <col min="1011" max="1011" width="13.21875" style="193" bestFit="1" customWidth="1"/>
    <col min="1012" max="1012" width="4.77734375" style="193" bestFit="1" customWidth="1"/>
    <col min="1013" max="1013" width="4.21875" style="193" bestFit="1" customWidth="1"/>
    <col min="1014" max="1014" width="9.21875" style="193" bestFit="1" customWidth="1"/>
    <col min="1015" max="1015" width="9.21875" style="193" customWidth="1"/>
    <col min="1016" max="1016" width="2.21875" style="193" bestFit="1" customWidth="1"/>
    <col min="1017" max="1017" width="7.21875" style="193" bestFit="1" customWidth="1"/>
    <col min="1018" max="1018" width="2.21875" style="193" bestFit="1" customWidth="1"/>
    <col min="1019" max="1019" width="7.21875" style="193" bestFit="1" customWidth="1"/>
    <col min="1020" max="1020" width="2.21875" style="193" bestFit="1" customWidth="1"/>
    <col min="1021" max="1021" width="7.21875" style="193" bestFit="1" customWidth="1"/>
    <col min="1022" max="1022" width="16.21875" style="193" bestFit="1" customWidth="1"/>
    <col min="1023" max="1023" width="23.21875" style="193" customWidth="1"/>
    <col min="1024" max="1024" width="27.21875" style="193" customWidth="1"/>
    <col min="1025" max="1029" width="8.77734375" style="193"/>
    <col min="1030" max="1030" width="44.77734375" style="193" bestFit="1" customWidth="1"/>
    <col min="1031" max="1256" width="8.77734375" style="193"/>
    <col min="1257" max="1257" width="19.21875" style="193" customWidth="1"/>
    <col min="1258" max="1259" width="8.77734375" style="193"/>
    <col min="1260" max="1260" width="27.21875" style="193" customWidth="1"/>
    <col min="1261" max="1261" width="9.21875" style="193" bestFit="1" customWidth="1"/>
    <col min="1262" max="1262" width="27" style="193" customWidth="1"/>
    <col min="1263" max="1263" width="10.21875" style="193" bestFit="1" customWidth="1"/>
    <col min="1264" max="1264" width="23.21875" style="193" customWidth="1"/>
    <col min="1265" max="1265" width="26.21875" style="193" customWidth="1"/>
    <col min="1266" max="1266" width="9" style="193" bestFit="1" customWidth="1"/>
    <col min="1267" max="1267" width="13.21875" style="193" bestFit="1" customWidth="1"/>
    <col min="1268" max="1268" width="4.77734375" style="193" bestFit="1" customWidth="1"/>
    <col min="1269" max="1269" width="4.21875" style="193" bestFit="1" customWidth="1"/>
    <col min="1270" max="1270" width="9.21875" style="193" bestFit="1" customWidth="1"/>
    <col min="1271" max="1271" width="9.21875" style="193" customWidth="1"/>
    <col min="1272" max="1272" width="2.21875" style="193" bestFit="1" customWidth="1"/>
    <col min="1273" max="1273" width="7.21875" style="193" bestFit="1" customWidth="1"/>
    <col min="1274" max="1274" width="2.21875" style="193" bestFit="1" customWidth="1"/>
    <col min="1275" max="1275" width="7.21875" style="193" bestFit="1" customWidth="1"/>
    <col min="1276" max="1276" width="2.21875" style="193" bestFit="1" customWidth="1"/>
    <col min="1277" max="1277" width="7.21875" style="193" bestFit="1" customWidth="1"/>
    <col min="1278" max="1278" width="16.21875" style="193" bestFit="1" customWidth="1"/>
    <col min="1279" max="1279" width="23.21875" style="193" customWidth="1"/>
    <col min="1280" max="1280" width="27.21875" style="193" customWidth="1"/>
    <col min="1281" max="1285" width="8.77734375" style="193"/>
    <col min="1286" max="1286" width="44.77734375" style="193" bestFit="1" customWidth="1"/>
    <col min="1287" max="1512" width="8.77734375" style="193"/>
    <col min="1513" max="1513" width="19.21875" style="193" customWidth="1"/>
    <col min="1514" max="1515" width="8.77734375" style="193"/>
    <col min="1516" max="1516" width="27.21875" style="193" customWidth="1"/>
    <col min="1517" max="1517" width="9.21875" style="193" bestFit="1" customWidth="1"/>
    <col min="1518" max="1518" width="27" style="193" customWidth="1"/>
    <col min="1519" max="1519" width="10.21875" style="193" bestFit="1" customWidth="1"/>
    <col min="1520" max="1520" width="23.21875" style="193" customWidth="1"/>
    <col min="1521" max="1521" width="26.21875" style="193" customWidth="1"/>
    <col min="1522" max="1522" width="9" style="193" bestFit="1" customWidth="1"/>
    <col min="1523" max="1523" width="13.21875" style="193" bestFit="1" customWidth="1"/>
    <col min="1524" max="1524" width="4.77734375" style="193" bestFit="1" customWidth="1"/>
    <col min="1525" max="1525" width="4.21875" style="193" bestFit="1" customWidth="1"/>
    <col min="1526" max="1526" width="9.21875" style="193" bestFit="1" customWidth="1"/>
    <col min="1527" max="1527" width="9.21875" style="193" customWidth="1"/>
    <col min="1528" max="1528" width="2.21875" style="193" bestFit="1" customWidth="1"/>
    <col min="1529" max="1529" width="7.21875" style="193" bestFit="1" customWidth="1"/>
    <col min="1530" max="1530" width="2.21875" style="193" bestFit="1" customWidth="1"/>
    <col min="1531" max="1531" width="7.21875" style="193" bestFit="1" customWidth="1"/>
    <col min="1532" max="1532" width="2.21875" style="193" bestFit="1" customWidth="1"/>
    <col min="1533" max="1533" width="7.21875" style="193" bestFit="1" customWidth="1"/>
    <col min="1534" max="1534" width="16.21875" style="193" bestFit="1" customWidth="1"/>
    <col min="1535" max="1535" width="23.21875" style="193" customWidth="1"/>
    <col min="1536" max="1536" width="27.21875" style="193" customWidth="1"/>
    <col min="1537" max="1541" width="8.77734375" style="193"/>
    <col min="1542" max="1542" width="44.77734375" style="193" bestFit="1" customWidth="1"/>
    <col min="1543" max="1768" width="8.77734375" style="193"/>
    <col min="1769" max="1769" width="19.21875" style="193" customWidth="1"/>
    <col min="1770" max="1771" width="8.77734375" style="193"/>
    <col min="1772" max="1772" width="27.21875" style="193" customWidth="1"/>
    <col min="1773" max="1773" width="9.21875" style="193" bestFit="1" customWidth="1"/>
    <col min="1774" max="1774" width="27" style="193" customWidth="1"/>
    <col min="1775" max="1775" width="10.21875" style="193" bestFit="1" customWidth="1"/>
    <col min="1776" max="1776" width="23.21875" style="193" customWidth="1"/>
    <col min="1777" max="1777" width="26.21875" style="193" customWidth="1"/>
    <col min="1778" max="1778" width="9" style="193" bestFit="1" customWidth="1"/>
    <col min="1779" max="1779" width="13.21875" style="193" bestFit="1" customWidth="1"/>
    <col min="1780" max="1780" width="4.77734375" style="193" bestFit="1" customWidth="1"/>
    <col min="1781" max="1781" width="4.21875" style="193" bestFit="1" customWidth="1"/>
    <col min="1782" max="1782" width="9.21875" style="193" bestFit="1" customWidth="1"/>
    <col min="1783" max="1783" width="9.21875" style="193" customWidth="1"/>
    <col min="1784" max="1784" width="2.21875" style="193" bestFit="1" customWidth="1"/>
    <col min="1785" max="1785" width="7.21875" style="193" bestFit="1" customWidth="1"/>
    <col min="1786" max="1786" width="2.21875" style="193" bestFit="1" customWidth="1"/>
    <col min="1787" max="1787" width="7.21875" style="193" bestFit="1" customWidth="1"/>
    <col min="1788" max="1788" width="2.21875" style="193" bestFit="1" customWidth="1"/>
    <col min="1789" max="1789" width="7.21875" style="193" bestFit="1" customWidth="1"/>
    <col min="1790" max="1790" width="16.21875" style="193" bestFit="1" customWidth="1"/>
    <col min="1791" max="1791" width="23.21875" style="193" customWidth="1"/>
    <col min="1792" max="1792" width="27.21875" style="193" customWidth="1"/>
    <col min="1793" max="1797" width="8.77734375" style="193"/>
    <col min="1798" max="1798" width="44.77734375" style="193" bestFit="1" customWidth="1"/>
    <col min="1799" max="2024" width="8.77734375" style="193"/>
    <col min="2025" max="2025" width="19.21875" style="193" customWidth="1"/>
    <col min="2026" max="2027" width="8.77734375" style="193"/>
    <col min="2028" max="2028" width="27.21875" style="193" customWidth="1"/>
    <col min="2029" max="2029" width="9.21875" style="193" bestFit="1" customWidth="1"/>
    <col min="2030" max="2030" width="27" style="193" customWidth="1"/>
    <col min="2031" max="2031" width="10.21875" style="193" bestFit="1" customWidth="1"/>
    <col min="2032" max="2032" width="23.21875" style="193" customWidth="1"/>
    <col min="2033" max="2033" width="26.21875" style="193" customWidth="1"/>
    <col min="2034" max="2034" width="9" style="193" bestFit="1" customWidth="1"/>
    <col min="2035" max="2035" width="13.21875" style="193" bestFit="1" customWidth="1"/>
    <col min="2036" max="2036" width="4.77734375" style="193" bestFit="1" customWidth="1"/>
    <col min="2037" max="2037" width="4.21875" style="193" bestFit="1" customWidth="1"/>
    <col min="2038" max="2038" width="9.21875" style="193" bestFit="1" customWidth="1"/>
    <col min="2039" max="2039" width="9.21875" style="193" customWidth="1"/>
    <col min="2040" max="2040" width="2.21875" style="193" bestFit="1" customWidth="1"/>
    <col min="2041" max="2041" width="7.21875" style="193" bestFit="1" customWidth="1"/>
    <col min="2042" max="2042" width="2.21875" style="193" bestFit="1" customWidth="1"/>
    <col min="2043" max="2043" width="7.21875" style="193" bestFit="1" customWidth="1"/>
    <col min="2044" max="2044" width="2.21875" style="193" bestFit="1" customWidth="1"/>
    <col min="2045" max="2045" width="7.21875" style="193" bestFit="1" customWidth="1"/>
    <col min="2046" max="2046" width="16.21875" style="193" bestFit="1" customWidth="1"/>
    <col min="2047" max="2047" width="23.21875" style="193" customWidth="1"/>
    <col min="2048" max="2048" width="27.21875" style="193" customWidth="1"/>
    <col min="2049" max="2053" width="8.77734375" style="193"/>
    <col min="2054" max="2054" width="44.77734375" style="193" bestFit="1" customWidth="1"/>
    <col min="2055" max="2280" width="8.77734375" style="193"/>
    <col min="2281" max="2281" width="19.21875" style="193" customWidth="1"/>
    <col min="2282" max="2283" width="8.77734375" style="193"/>
    <col min="2284" max="2284" width="27.21875" style="193" customWidth="1"/>
    <col min="2285" max="2285" width="9.21875" style="193" bestFit="1" customWidth="1"/>
    <col min="2286" max="2286" width="27" style="193" customWidth="1"/>
    <col min="2287" max="2287" width="10.21875" style="193" bestFit="1" customWidth="1"/>
    <col min="2288" max="2288" width="23.21875" style="193" customWidth="1"/>
    <col min="2289" max="2289" width="26.21875" style="193" customWidth="1"/>
    <col min="2290" max="2290" width="9" style="193" bestFit="1" customWidth="1"/>
    <col min="2291" max="2291" width="13.21875" style="193" bestFit="1" customWidth="1"/>
    <col min="2292" max="2292" width="4.77734375" style="193" bestFit="1" customWidth="1"/>
    <col min="2293" max="2293" width="4.21875" style="193" bestFit="1" customWidth="1"/>
    <col min="2294" max="2294" width="9.21875" style="193" bestFit="1" customWidth="1"/>
    <col min="2295" max="2295" width="9.21875" style="193" customWidth="1"/>
    <col min="2296" max="2296" width="2.21875" style="193" bestFit="1" customWidth="1"/>
    <col min="2297" max="2297" width="7.21875" style="193" bestFit="1" customWidth="1"/>
    <col min="2298" max="2298" width="2.21875" style="193" bestFit="1" customWidth="1"/>
    <col min="2299" max="2299" width="7.21875" style="193" bestFit="1" customWidth="1"/>
    <col min="2300" max="2300" width="2.21875" style="193" bestFit="1" customWidth="1"/>
    <col min="2301" max="2301" width="7.21875" style="193" bestFit="1" customWidth="1"/>
    <col min="2302" max="2302" width="16.21875" style="193" bestFit="1" customWidth="1"/>
    <col min="2303" max="2303" width="23.21875" style="193" customWidth="1"/>
    <col min="2304" max="2304" width="27.21875" style="193" customWidth="1"/>
    <col min="2305" max="2309" width="8.77734375" style="193"/>
    <col min="2310" max="2310" width="44.77734375" style="193" bestFit="1" customWidth="1"/>
    <col min="2311" max="2536" width="8.77734375" style="193"/>
    <col min="2537" max="2537" width="19.21875" style="193" customWidth="1"/>
    <col min="2538" max="2539" width="8.77734375" style="193"/>
    <col min="2540" max="2540" width="27.21875" style="193" customWidth="1"/>
    <col min="2541" max="2541" width="9.21875" style="193" bestFit="1" customWidth="1"/>
    <col min="2542" max="2542" width="27" style="193" customWidth="1"/>
    <col min="2543" max="2543" width="10.21875" style="193" bestFit="1" customWidth="1"/>
    <col min="2544" max="2544" width="23.21875" style="193" customWidth="1"/>
    <col min="2545" max="2545" width="26.21875" style="193" customWidth="1"/>
    <col min="2546" max="2546" width="9" style="193" bestFit="1" customWidth="1"/>
    <col min="2547" max="2547" width="13.21875" style="193" bestFit="1" customWidth="1"/>
    <col min="2548" max="2548" width="4.77734375" style="193" bestFit="1" customWidth="1"/>
    <col min="2549" max="2549" width="4.21875" style="193" bestFit="1" customWidth="1"/>
    <col min="2550" max="2550" width="9.21875" style="193" bestFit="1" customWidth="1"/>
    <col min="2551" max="2551" width="9.21875" style="193" customWidth="1"/>
    <col min="2552" max="2552" width="2.21875" style="193" bestFit="1" customWidth="1"/>
    <col min="2553" max="2553" width="7.21875" style="193" bestFit="1" customWidth="1"/>
    <col min="2554" max="2554" width="2.21875" style="193" bestFit="1" customWidth="1"/>
    <col min="2555" max="2555" width="7.21875" style="193" bestFit="1" customWidth="1"/>
    <col min="2556" max="2556" width="2.21875" style="193" bestFit="1" customWidth="1"/>
    <col min="2557" max="2557" width="7.21875" style="193" bestFit="1" customWidth="1"/>
    <col min="2558" max="2558" width="16.21875" style="193" bestFit="1" customWidth="1"/>
    <col min="2559" max="2559" width="23.21875" style="193" customWidth="1"/>
    <col min="2560" max="2560" width="27.21875" style="193" customWidth="1"/>
    <col min="2561" max="2565" width="8.77734375" style="193"/>
    <col min="2566" max="2566" width="44.77734375" style="193" bestFit="1" customWidth="1"/>
    <col min="2567" max="2792" width="8.77734375" style="193"/>
    <col min="2793" max="2793" width="19.21875" style="193" customWidth="1"/>
    <col min="2794" max="2795" width="8.77734375" style="193"/>
    <col min="2796" max="2796" width="27.21875" style="193" customWidth="1"/>
    <col min="2797" max="2797" width="9.21875" style="193" bestFit="1" customWidth="1"/>
    <col min="2798" max="2798" width="27" style="193" customWidth="1"/>
    <col min="2799" max="2799" width="10.21875" style="193" bestFit="1" customWidth="1"/>
    <col min="2800" max="2800" width="23.21875" style="193" customWidth="1"/>
    <col min="2801" max="2801" width="26.21875" style="193" customWidth="1"/>
    <col min="2802" max="2802" width="9" style="193" bestFit="1" customWidth="1"/>
    <col min="2803" max="2803" width="13.21875" style="193" bestFit="1" customWidth="1"/>
    <col min="2804" max="2804" width="4.77734375" style="193" bestFit="1" customWidth="1"/>
    <col min="2805" max="2805" width="4.21875" style="193" bestFit="1" customWidth="1"/>
    <col min="2806" max="2806" width="9.21875" style="193" bestFit="1" customWidth="1"/>
    <col min="2807" max="2807" width="9.21875" style="193" customWidth="1"/>
    <col min="2808" max="2808" width="2.21875" style="193" bestFit="1" customWidth="1"/>
    <col min="2809" max="2809" width="7.21875" style="193" bestFit="1" customWidth="1"/>
    <col min="2810" max="2810" width="2.21875" style="193" bestFit="1" customWidth="1"/>
    <col min="2811" max="2811" width="7.21875" style="193" bestFit="1" customWidth="1"/>
    <col min="2812" max="2812" width="2.21875" style="193" bestFit="1" customWidth="1"/>
    <col min="2813" max="2813" width="7.21875" style="193" bestFit="1" customWidth="1"/>
    <col min="2814" max="2814" width="16.21875" style="193" bestFit="1" customWidth="1"/>
    <col min="2815" max="2815" width="23.21875" style="193" customWidth="1"/>
    <col min="2816" max="2816" width="27.21875" style="193" customWidth="1"/>
    <col min="2817" max="2821" width="8.77734375" style="193"/>
    <col min="2822" max="2822" width="44.77734375" style="193" bestFit="1" customWidth="1"/>
    <col min="2823" max="3048" width="8.77734375" style="193"/>
    <col min="3049" max="3049" width="19.21875" style="193" customWidth="1"/>
    <col min="3050" max="3051" width="8.77734375" style="193"/>
    <col min="3052" max="3052" width="27.21875" style="193" customWidth="1"/>
    <col min="3053" max="3053" width="9.21875" style="193" bestFit="1" customWidth="1"/>
    <col min="3054" max="3054" width="27" style="193" customWidth="1"/>
    <col min="3055" max="3055" width="10.21875" style="193" bestFit="1" customWidth="1"/>
    <col min="3056" max="3056" width="23.21875" style="193" customWidth="1"/>
    <col min="3057" max="3057" width="26.21875" style="193" customWidth="1"/>
    <col min="3058" max="3058" width="9" style="193" bestFit="1" customWidth="1"/>
    <col min="3059" max="3059" width="13.21875" style="193" bestFit="1" customWidth="1"/>
    <col min="3060" max="3060" width="4.77734375" style="193" bestFit="1" customWidth="1"/>
    <col min="3061" max="3061" width="4.21875" style="193" bestFit="1" customWidth="1"/>
    <col min="3062" max="3062" width="9.21875" style="193" bestFit="1" customWidth="1"/>
    <col min="3063" max="3063" width="9.21875" style="193" customWidth="1"/>
    <col min="3064" max="3064" width="2.21875" style="193" bestFit="1" customWidth="1"/>
    <col min="3065" max="3065" width="7.21875" style="193" bestFit="1" customWidth="1"/>
    <col min="3066" max="3066" width="2.21875" style="193" bestFit="1" customWidth="1"/>
    <col min="3067" max="3067" width="7.21875" style="193" bestFit="1" customWidth="1"/>
    <col min="3068" max="3068" width="2.21875" style="193" bestFit="1" customWidth="1"/>
    <col min="3069" max="3069" width="7.21875" style="193" bestFit="1" customWidth="1"/>
    <col min="3070" max="3070" width="16.21875" style="193" bestFit="1" customWidth="1"/>
    <col min="3071" max="3071" width="23.21875" style="193" customWidth="1"/>
    <col min="3072" max="3072" width="27.21875" style="193" customWidth="1"/>
    <col min="3073" max="3077" width="8.77734375" style="193"/>
    <col min="3078" max="3078" width="44.77734375" style="193" bestFit="1" customWidth="1"/>
    <col min="3079" max="3304" width="8.77734375" style="193"/>
    <col min="3305" max="3305" width="19.21875" style="193" customWidth="1"/>
    <col min="3306" max="3307" width="8.77734375" style="193"/>
    <col min="3308" max="3308" width="27.21875" style="193" customWidth="1"/>
    <col min="3309" max="3309" width="9.21875" style="193" bestFit="1" customWidth="1"/>
    <col min="3310" max="3310" width="27" style="193" customWidth="1"/>
    <col min="3311" max="3311" width="10.21875" style="193" bestFit="1" customWidth="1"/>
    <col min="3312" max="3312" width="23.21875" style="193" customWidth="1"/>
    <col min="3313" max="3313" width="26.21875" style="193" customWidth="1"/>
    <col min="3314" max="3314" width="9" style="193" bestFit="1" customWidth="1"/>
    <col min="3315" max="3315" width="13.21875" style="193" bestFit="1" customWidth="1"/>
    <col min="3316" max="3316" width="4.77734375" style="193" bestFit="1" customWidth="1"/>
    <col min="3317" max="3317" width="4.21875" style="193" bestFit="1" customWidth="1"/>
    <col min="3318" max="3318" width="9.21875" style="193" bestFit="1" customWidth="1"/>
    <col min="3319" max="3319" width="9.21875" style="193" customWidth="1"/>
    <col min="3320" max="3320" width="2.21875" style="193" bestFit="1" customWidth="1"/>
    <col min="3321" max="3321" width="7.21875" style="193" bestFit="1" customWidth="1"/>
    <col min="3322" max="3322" width="2.21875" style="193" bestFit="1" customWidth="1"/>
    <col min="3323" max="3323" width="7.21875" style="193" bestFit="1" customWidth="1"/>
    <col min="3324" max="3324" width="2.21875" style="193" bestFit="1" customWidth="1"/>
    <col min="3325" max="3325" width="7.21875" style="193" bestFit="1" customWidth="1"/>
    <col min="3326" max="3326" width="16.21875" style="193" bestFit="1" customWidth="1"/>
    <col min="3327" max="3327" width="23.21875" style="193" customWidth="1"/>
    <col min="3328" max="3328" width="27.21875" style="193" customWidth="1"/>
    <col min="3329" max="3333" width="8.77734375" style="193"/>
    <col min="3334" max="3334" width="44.77734375" style="193" bestFit="1" customWidth="1"/>
    <col min="3335" max="3560" width="8.77734375" style="193"/>
    <col min="3561" max="3561" width="19.21875" style="193" customWidth="1"/>
    <col min="3562" max="3563" width="8.77734375" style="193"/>
    <col min="3564" max="3564" width="27.21875" style="193" customWidth="1"/>
    <col min="3565" max="3565" width="9.21875" style="193" bestFit="1" customWidth="1"/>
    <col min="3566" max="3566" width="27" style="193" customWidth="1"/>
    <col min="3567" max="3567" width="10.21875" style="193" bestFit="1" customWidth="1"/>
    <col min="3568" max="3568" width="23.21875" style="193" customWidth="1"/>
    <col min="3569" max="3569" width="26.21875" style="193" customWidth="1"/>
    <col min="3570" max="3570" width="9" style="193" bestFit="1" customWidth="1"/>
    <col min="3571" max="3571" width="13.21875" style="193" bestFit="1" customWidth="1"/>
    <col min="3572" max="3572" width="4.77734375" style="193" bestFit="1" customWidth="1"/>
    <col min="3573" max="3573" width="4.21875" style="193" bestFit="1" customWidth="1"/>
    <col min="3574" max="3574" width="9.21875" style="193" bestFit="1" customWidth="1"/>
    <col min="3575" max="3575" width="9.21875" style="193" customWidth="1"/>
    <col min="3576" max="3576" width="2.21875" style="193" bestFit="1" customWidth="1"/>
    <col min="3577" max="3577" width="7.21875" style="193" bestFit="1" customWidth="1"/>
    <col min="3578" max="3578" width="2.21875" style="193" bestFit="1" customWidth="1"/>
    <col min="3579" max="3579" width="7.21875" style="193" bestFit="1" customWidth="1"/>
    <col min="3580" max="3580" width="2.21875" style="193" bestFit="1" customWidth="1"/>
    <col min="3581" max="3581" width="7.21875" style="193" bestFit="1" customWidth="1"/>
    <col min="3582" max="3582" width="16.21875" style="193" bestFit="1" customWidth="1"/>
    <col min="3583" max="3583" width="23.21875" style="193" customWidth="1"/>
    <col min="3584" max="3584" width="27.21875" style="193" customWidth="1"/>
    <col min="3585" max="3589" width="8.77734375" style="193"/>
    <col min="3590" max="3590" width="44.77734375" style="193" bestFit="1" customWidth="1"/>
    <col min="3591" max="3816" width="8.77734375" style="193"/>
    <col min="3817" max="3817" width="19.21875" style="193" customWidth="1"/>
    <col min="3818" max="3819" width="8.77734375" style="193"/>
    <col min="3820" max="3820" width="27.21875" style="193" customWidth="1"/>
    <col min="3821" max="3821" width="9.21875" style="193" bestFit="1" customWidth="1"/>
    <col min="3822" max="3822" width="27" style="193" customWidth="1"/>
    <col min="3823" max="3823" width="10.21875" style="193" bestFit="1" customWidth="1"/>
    <col min="3824" max="3824" width="23.21875" style="193" customWidth="1"/>
    <col min="3825" max="3825" width="26.21875" style="193" customWidth="1"/>
    <col min="3826" max="3826" width="9" style="193" bestFit="1" customWidth="1"/>
    <col min="3827" max="3827" width="13.21875" style="193" bestFit="1" customWidth="1"/>
    <col min="3828" max="3828" width="4.77734375" style="193" bestFit="1" customWidth="1"/>
    <col min="3829" max="3829" width="4.21875" style="193" bestFit="1" customWidth="1"/>
    <col min="3830" max="3830" width="9.21875" style="193" bestFit="1" customWidth="1"/>
    <col min="3831" max="3831" width="9.21875" style="193" customWidth="1"/>
    <col min="3832" max="3832" width="2.21875" style="193" bestFit="1" customWidth="1"/>
    <col min="3833" max="3833" width="7.21875" style="193" bestFit="1" customWidth="1"/>
    <col min="3834" max="3834" width="2.21875" style="193" bestFit="1" customWidth="1"/>
    <col min="3835" max="3835" width="7.21875" style="193" bestFit="1" customWidth="1"/>
    <col min="3836" max="3836" width="2.21875" style="193" bestFit="1" customWidth="1"/>
    <col min="3837" max="3837" width="7.21875" style="193" bestFit="1" customWidth="1"/>
    <col min="3838" max="3838" width="16.21875" style="193" bestFit="1" customWidth="1"/>
    <col min="3839" max="3839" width="23.21875" style="193" customWidth="1"/>
    <col min="3840" max="3840" width="27.21875" style="193" customWidth="1"/>
    <col min="3841" max="3845" width="8.77734375" style="193"/>
    <col min="3846" max="3846" width="44.77734375" style="193" bestFit="1" customWidth="1"/>
    <col min="3847" max="4072" width="8.77734375" style="193"/>
    <col min="4073" max="4073" width="19.21875" style="193" customWidth="1"/>
    <col min="4074" max="4075" width="8.77734375" style="193"/>
    <col min="4076" max="4076" width="27.21875" style="193" customWidth="1"/>
    <col min="4077" max="4077" width="9.21875" style="193" bestFit="1" customWidth="1"/>
    <col min="4078" max="4078" width="27" style="193" customWidth="1"/>
    <col min="4079" max="4079" width="10.21875" style="193" bestFit="1" customWidth="1"/>
    <col min="4080" max="4080" width="23.21875" style="193" customWidth="1"/>
    <col min="4081" max="4081" width="26.21875" style="193" customWidth="1"/>
    <col min="4082" max="4082" width="9" style="193" bestFit="1" customWidth="1"/>
    <col min="4083" max="4083" width="13.21875" style="193" bestFit="1" customWidth="1"/>
    <col min="4084" max="4084" width="4.77734375" style="193" bestFit="1" customWidth="1"/>
    <col min="4085" max="4085" width="4.21875" style="193" bestFit="1" customWidth="1"/>
    <col min="4086" max="4086" width="9.21875" style="193" bestFit="1" customWidth="1"/>
    <col min="4087" max="4087" width="9.21875" style="193" customWidth="1"/>
    <col min="4088" max="4088" width="2.21875" style="193" bestFit="1" customWidth="1"/>
    <col min="4089" max="4089" width="7.21875" style="193" bestFit="1" customWidth="1"/>
    <col min="4090" max="4090" width="2.21875" style="193" bestFit="1" customWidth="1"/>
    <col min="4091" max="4091" width="7.21875" style="193" bestFit="1" customWidth="1"/>
    <col min="4092" max="4092" width="2.21875" style="193" bestFit="1" customWidth="1"/>
    <col min="4093" max="4093" width="7.21875" style="193" bestFit="1" customWidth="1"/>
    <col min="4094" max="4094" width="16.21875" style="193" bestFit="1" customWidth="1"/>
    <col min="4095" max="4095" width="23.21875" style="193" customWidth="1"/>
    <col min="4096" max="4096" width="27.21875" style="193" customWidth="1"/>
    <col min="4097" max="4101" width="8.77734375" style="193"/>
    <col min="4102" max="4102" width="44.77734375" style="193" bestFit="1" customWidth="1"/>
    <col min="4103" max="4328" width="8.77734375" style="193"/>
    <col min="4329" max="4329" width="19.21875" style="193" customWidth="1"/>
    <col min="4330" max="4331" width="8.77734375" style="193"/>
    <col min="4332" max="4332" width="27.21875" style="193" customWidth="1"/>
    <col min="4333" max="4333" width="9.21875" style="193" bestFit="1" customWidth="1"/>
    <col min="4334" max="4334" width="27" style="193" customWidth="1"/>
    <col min="4335" max="4335" width="10.21875" style="193" bestFit="1" customWidth="1"/>
    <col min="4336" max="4336" width="23.21875" style="193" customWidth="1"/>
    <col min="4337" max="4337" width="26.21875" style="193" customWidth="1"/>
    <col min="4338" max="4338" width="9" style="193" bestFit="1" customWidth="1"/>
    <col min="4339" max="4339" width="13.21875" style="193" bestFit="1" customWidth="1"/>
    <col min="4340" max="4340" width="4.77734375" style="193" bestFit="1" customWidth="1"/>
    <col min="4341" max="4341" width="4.21875" style="193" bestFit="1" customWidth="1"/>
    <col min="4342" max="4342" width="9.21875" style="193" bestFit="1" customWidth="1"/>
    <col min="4343" max="4343" width="9.21875" style="193" customWidth="1"/>
    <col min="4344" max="4344" width="2.21875" style="193" bestFit="1" customWidth="1"/>
    <col min="4345" max="4345" width="7.21875" style="193" bestFit="1" customWidth="1"/>
    <col min="4346" max="4346" width="2.21875" style="193" bestFit="1" customWidth="1"/>
    <col min="4347" max="4347" width="7.21875" style="193" bestFit="1" customWidth="1"/>
    <col min="4348" max="4348" width="2.21875" style="193" bestFit="1" customWidth="1"/>
    <col min="4349" max="4349" width="7.21875" style="193" bestFit="1" customWidth="1"/>
    <col min="4350" max="4350" width="16.21875" style="193" bestFit="1" customWidth="1"/>
    <col min="4351" max="4351" width="23.21875" style="193" customWidth="1"/>
    <col min="4352" max="4352" width="27.21875" style="193" customWidth="1"/>
    <col min="4353" max="4357" width="8.77734375" style="193"/>
    <col min="4358" max="4358" width="44.77734375" style="193" bestFit="1" customWidth="1"/>
    <col min="4359" max="4584" width="8.77734375" style="193"/>
    <col min="4585" max="4585" width="19.21875" style="193" customWidth="1"/>
    <col min="4586" max="4587" width="8.77734375" style="193"/>
    <col min="4588" max="4588" width="27.21875" style="193" customWidth="1"/>
    <col min="4589" max="4589" width="9.21875" style="193" bestFit="1" customWidth="1"/>
    <col min="4590" max="4590" width="27" style="193" customWidth="1"/>
    <col min="4591" max="4591" width="10.21875" style="193" bestFit="1" customWidth="1"/>
    <col min="4592" max="4592" width="23.21875" style="193" customWidth="1"/>
    <col min="4593" max="4593" width="26.21875" style="193" customWidth="1"/>
    <col min="4594" max="4594" width="9" style="193" bestFit="1" customWidth="1"/>
    <col min="4595" max="4595" width="13.21875" style="193" bestFit="1" customWidth="1"/>
    <col min="4596" max="4596" width="4.77734375" style="193" bestFit="1" customWidth="1"/>
    <col min="4597" max="4597" width="4.21875" style="193" bestFit="1" customWidth="1"/>
    <col min="4598" max="4598" width="9.21875" style="193" bestFit="1" customWidth="1"/>
    <col min="4599" max="4599" width="9.21875" style="193" customWidth="1"/>
    <col min="4600" max="4600" width="2.21875" style="193" bestFit="1" customWidth="1"/>
    <col min="4601" max="4601" width="7.21875" style="193" bestFit="1" customWidth="1"/>
    <col min="4602" max="4602" width="2.21875" style="193" bestFit="1" customWidth="1"/>
    <col min="4603" max="4603" width="7.21875" style="193" bestFit="1" customWidth="1"/>
    <col min="4604" max="4604" width="2.21875" style="193" bestFit="1" customWidth="1"/>
    <col min="4605" max="4605" width="7.21875" style="193" bestFit="1" customWidth="1"/>
    <col min="4606" max="4606" width="16.21875" style="193" bestFit="1" customWidth="1"/>
    <col min="4607" max="4607" width="23.21875" style="193" customWidth="1"/>
    <col min="4608" max="4608" width="27.21875" style="193" customWidth="1"/>
    <col min="4609" max="4613" width="8.77734375" style="193"/>
    <col min="4614" max="4614" width="44.77734375" style="193" bestFit="1" customWidth="1"/>
    <col min="4615" max="4840" width="8.77734375" style="193"/>
    <col min="4841" max="4841" width="19.21875" style="193" customWidth="1"/>
    <col min="4842" max="4843" width="8.77734375" style="193"/>
    <col min="4844" max="4844" width="27.21875" style="193" customWidth="1"/>
    <col min="4845" max="4845" width="9.21875" style="193" bestFit="1" customWidth="1"/>
    <col min="4846" max="4846" width="27" style="193" customWidth="1"/>
    <col min="4847" max="4847" width="10.21875" style="193" bestFit="1" customWidth="1"/>
    <col min="4848" max="4848" width="23.21875" style="193" customWidth="1"/>
    <col min="4849" max="4849" width="26.21875" style="193" customWidth="1"/>
    <col min="4850" max="4850" width="9" style="193" bestFit="1" customWidth="1"/>
    <col min="4851" max="4851" width="13.21875" style="193" bestFit="1" customWidth="1"/>
    <col min="4852" max="4852" width="4.77734375" style="193" bestFit="1" customWidth="1"/>
    <col min="4853" max="4853" width="4.21875" style="193" bestFit="1" customWidth="1"/>
    <col min="4854" max="4854" width="9.21875" style="193" bestFit="1" customWidth="1"/>
    <col min="4855" max="4855" width="9.21875" style="193" customWidth="1"/>
    <col min="4856" max="4856" width="2.21875" style="193" bestFit="1" customWidth="1"/>
    <col min="4857" max="4857" width="7.21875" style="193" bestFit="1" customWidth="1"/>
    <col min="4858" max="4858" width="2.21875" style="193" bestFit="1" customWidth="1"/>
    <col min="4859" max="4859" width="7.21875" style="193" bestFit="1" customWidth="1"/>
    <col min="4860" max="4860" width="2.21875" style="193" bestFit="1" customWidth="1"/>
    <col min="4861" max="4861" width="7.21875" style="193" bestFit="1" customWidth="1"/>
    <col min="4862" max="4862" width="16.21875" style="193" bestFit="1" customWidth="1"/>
    <col min="4863" max="4863" width="23.21875" style="193" customWidth="1"/>
    <col min="4864" max="4864" width="27.21875" style="193" customWidth="1"/>
    <col min="4865" max="4869" width="8.77734375" style="193"/>
    <col min="4870" max="4870" width="44.77734375" style="193" bestFit="1" customWidth="1"/>
    <col min="4871" max="5096" width="8.77734375" style="193"/>
    <col min="5097" max="5097" width="19.21875" style="193" customWidth="1"/>
    <col min="5098" max="5099" width="8.77734375" style="193"/>
    <col min="5100" max="5100" width="27.21875" style="193" customWidth="1"/>
    <col min="5101" max="5101" width="9.21875" style="193" bestFit="1" customWidth="1"/>
    <col min="5102" max="5102" width="27" style="193" customWidth="1"/>
    <col min="5103" max="5103" width="10.21875" style="193" bestFit="1" customWidth="1"/>
    <col min="5104" max="5104" width="23.21875" style="193" customWidth="1"/>
    <col min="5105" max="5105" width="26.21875" style="193" customWidth="1"/>
    <col min="5106" max="5106" width="9" style="193" bestFit="1" customWidth="1"/>
    <col min="5107" max="5107" width="13.21875" style="193" bestFit="1" customWidth="1"/>
    <col min="5108" max="5108" width="4.77734375" style="193" bestFit="1" customWidth="1"/>
    <col min="5109" max="5109" width="4.21875" style="193" bestFit="1" customWidth="1"/>
    <col min="5110" max="5110" width="9.21875" style="193" bestFit="1" customWidth="1"/>
    <col min="5111" max="5111" width="9.21875" style="193" customWidth="1"/>
    <col min="5112" max="5112" width="2.21875" style="193" bestFit="1" customWidth="1"/>
    <col min="5113" max="5113" width="7.21875" style="193" bestFit="1" customWidth="1"/>
    <col min="5114" max="5114" width="2.21875" style="193" bestFit="1" customWidth="1"/>
    <col min="5115" max="5115" width="7.21875" style="193" bestFit="1" customWidth="1"/>
    <col min="5116" max="5116" width="2.21875" style="193" bestFit="1" customWidth="1"/>
    <col min="5117" max="5117" width="7.21875" style="193" bestFit="1" customWidth="1"/>
    <col min="5118" max="5118" width="16.21875" style="193" bestFit="1" customWidth="1"/>
    <col min="5119" max="5119" width="23.21875" style="193" customWidth="1"/>
    <col min="5120" max="5120" width="27.21875" style="193" customWidth="1"/>
    <col min="5121" max="5125" width="8.77734375" style="193"/>
    <col min="5126" max="5126" width="44.77734375" style="193" bestFit="1" customWidth="1"/>
    <col min="5127" max="5352" width="8.77734375" style="193"/>
    <col min="5353" max="5353" width="19.21875" style="193" customWidth="1"/>
    <col min="5354" max="5355" width="8.77734375" style="193"/>
    <col min="5356" max="5356" width="27.21875" style="193" customWidth="1"/>
    <col min="5357" max="5357" width="9.21875" style="193" bestFit="1" customWidth="1"/>
    <col min="5358" max="5358" width="27" style="193" customWidth="1"/>
    <col min="5359" max="5359" width="10.21875" style="193" bestFit="1" customWidth="1"/>
    <col min="5360" max="5360" width="23.21875" style="193" customWidth="1"/>
    <col min="5361" max="5361" width="26.21875" style="193" customWidth="1"/>
    <col min="5362" max="5362" width="9" style="193" bestFit="1" customWidth="1"/>
    <col min="5363" max="5363" width="13.21875" style="193" bestFit="1" customWidth="1"/>
    <col min="5364" max="5364" width="4.77734375" style="193" bestFit="1" customWidth="1"/>
    <col min="5365" max="5365" width="4.21875" style="193" bestFit="1" customWidth="1"/>
    <col min="5366" max="5366" width="9.21875" style="193" bestFit="1" customWidth="1"/>
    <col min="5367" max="5367" width="9.21875" style="193" customWidth="1"/>
    <col min="5368" max="5368" width="2.21875" style="193" bestFit="1" customWidth="1"/>
    <col min="5369" max="5369" width="7.21875" style="193" bestFit="1" customWidth="1"/>
    <col min="5370" max="5370" width="2.21875" style="193" bestFit="1" customWidth="1"/>
    <col min="5371" max="5371" width="7.21875" style="193" bestFit="1" customWidth="1"/>
    <col min="5372" max="5372" width="2.21875" style="193" bestFit="1" customWidth="1"/>
    <col min="5373" max="5373" width="7.21875" style="193" bestFit="1" customWidth="1"/>
    <col min="5374" max="5374" width="16.21875" style="193" bestFit="1" customWidth="1"/>
    <col min="5375" max="5375" width="23.21875" style="193" customWidth="1"/>
    <col min="5376" max="5376" width="27.21875" style="193" customWidth="1"/>
    <col min="5377" max="5381" width="8.77734375" style="193"/>
    <col min="5382" max="5382" width="44.77734375" style="193" bestFit="1" customWidth="1"/>
    <col min="5383" max="5608" width="8.77734375" style="193"/>
    <col min="5609" max="5609" width="19.21875" style="193" customWidth="1"/>
    <col min="5610" max="5611" width="8.77734375" style="193"/>
    <col min="5612" max="5612" width="27.21875" style="193" customWidth="1"/>
    <col min="5613" max="5613" width="9.21875" style="193" bestFit="1" customWidth="1"/>
    <col min="5614" max="5614" width="27" style="193" customWidth="1"/>
    <col min="5615" max="5615" width="10.21875" style="193" bestFit="1" customWidth="1"/>
    <col min="5616" max="5616" width="23.21875" style="193" customWidth="1"/>
    <col min="5617" max="5617" width="26.21875" style="193" customWidth="1"/>
    <col min="5618" max="5618" width="9" style="193" bestFit="1" customWidth="1"/>
    <col min="5619" max="5619" width="13.21875" style="193" bestFit="1" customWidth="1"/>
    <col min="5620" max="5620" width="4.77734375" style="193" bestFit="1" customWidth="1"/>
    <col min="5621" max="5621" width="4.21875" style="193" bestFit="1" customWidth="1"/>
    <col min="5622" max="5622" width="9.21875" style="193" bestFit="1" customWidth="1"/>
    <col min="5623" max="5623" width="9.21875" style="193" customWidth="1"/>
    <col min="5624" max="5624" width="2.21875" style="193" bestFit="1" customWidth="1"/>
    <col min="5625" max="5625" width="7.21875" style="193" bestFit="1" customWidth="1"/>
    <col min="5626" max="5626" width="2.21875" style="193" bestFit="1" customWidth="1"/>
    <col min="5627" max="5627" width="7.21875" style="193" bestFit="1" customWidth="1"/>
    <col min="5628" max="5628" width="2.21875" style="193" bestFit="1" customWidth="1"/>
    <col min="5629" max="5629" width="7.21875" style="193" bestFit="1" customWidth="1"/>
    <col min="5630" max="5630" width="16.21875" style="193" bestFit="1" customWidth="1"/>
    <col min="5631" max="5631" width="23.21875" style="193" customWidth="1"/>
    <col min="5632" max="5632" width="27.21875" style="193" customWidth="1"/>
    <col min="5633" max="5637" width="8.77734375" style="193"/>
    <col min="5638" max="5638" width="44.77734375" style="193" bestFit="1" customWidth="1"/>
    <col min="5639" max="5864" width="8.77734375" style="193"/>
    <col min="5865" max="5865" width="19.21875" style="193" customWidth="1"/>
    <col min="5866" max="5867" width="8.77734375" style="193"/>
    <col min="5868" max="5868" width="27.21875" style="193" customWidth="1"/>
    <col min="5869" max="5869" width="9.21875" style="193" bestFit="1" customWidth="1"/>
    <col min="5870" max="5870" width="27" style="193" customWidth="1"/>
    <col min="5871" max="5871" width="10.21875" style="193" bestFit="1" customWidth="1"/>
    <col min="5872" max="5872" width="23.21875" style="193" customWidth="1"/>
    <col min="5873" max="5873" width="26.21875" style="193" customWidth="1"/>
    <col min="5874" max="5874" width="9" style="193" bestFit="1" customWidth="1"/>
    <col min="5875" max="5875" width="13.21875" style="193" bestFit="1" customWidth="1"/>
    <col min="5876" max="5876" width="4.77734375" style="193" bestFit="1" customWidth="1"/>
    <col min="5877" max="5877" width="4.21875" style="193" bestFit="1" customWidth="1"/>
    <col min="5878" max="5878" width="9.21875" style="193" bestFit="1" customWidth="1"/>
    <col min="5879" max="5879" width="9.21875" style="193" customWidth="1"/>
    <col min="5880" max="5880" width="2.21875" style="193" bestFit="1" customWidth="1"/>
    <col min="5881" max="5881" width="7.21875" style="193" bestFit="1" customWidth="1"/>
    <col min="5882" max="5882" width="2.21875" style="193" bestFit="1" customWidth="1"/>
    <col min="5883" max="5883" width="7.21875" style="193" bestFit="1" customWidth="1"/>
    <col min="5884" max="5884" width="2.21875" style="193" bestFit="1" customWidth="1"/>
    <col min="5885" max="5885" width="7.21875" style="193" bestFit="1" customWidth="1"/>
    <col min="5886" max="5886" width="16.21875" style="193" bestFit="1" customWidth="1"/>
    <col min="5887" max="5887" width="23.21875" style="193" customWidth="1"/>
    <col min="5888" max="5888" width="27.21875" style="193" customWidth="1"/>
    <col min="5889" max="5893" width="8.77734375" style="193"/>
    <col min="5894" max="5894" width="44.77734375" style="193" bestFit="1" customWidth="1"/>
    <col min="5895" max="6120" width="8.77734375" style="193"/>
    <col min="6121" max="6121" width="19.21875" style="193" customWidth="1"/>
    <col min="6122" max="6123" width="8.77734375" style="193"/>
    <col min="6124" max="6124" width="27.21875" style="193" customWidth="1"/>
    <col min="6125" max="6125" width="9.21875" style="193" bestFit="1" customWidth="1"/>
    <col min="6126" max="6126" width="27" style="193" customWidth="1"/>
    <col min="6127" max="6127" width="10.21875" style="193" bestFit="1" customWidth="1"/>
    <col min="6128" max="6128" width="23.21875" style="193" customWidth="1"/>
    <col min="6129" max="6129" width="26.21875" style="193" customWidth="1"/>
    <col min="6130" max="6130" width="9" style="193" bestFit="1" customWidth="1"/>
    <col min="6131" max="6131" width="13.21875" style="193" bestFit="1" customWidth="1"/>
    <col min="6132" max="6132" width="4.77734375" style="193" bestFit="1" customWidth="1"/>
    <col min="6133" max="6133" width="4.21875" style="193" bestFit="1" customWidth="1"/>
    <col min="6134" max="6134" width="9.21875" style="193" bestFit="1" customWidth="1"/>
    <col min="6135" max="6135" width="9.21875" style="193" customWidth="1"/>
    <col min="6136" max="6136" width="2.21875" style="193" bestFit="1" customWidth="1"/>
    <col min="6137" max="6137" width="7.21875" style="193" bestFit="1" customWidth="1"/>
    <col min="6138" max="6138" width="2.21875" style="193" bestFit="1" customWidth="1"/>
    <col min="6139" max="6139" width="7.21875" style="193" bestFit="1" customWidth="1"/>
    <col min="6140" max="6140" width="2.21875" style="193" bestFit="1" customWidth="1"/>
    <col min="6141" max="6141" width="7.21875" style="193" bestFit="1" customWidth="1"/>
    <col min="6142" max="6142" width="16.21875" style="193" bestFit="1" customWidth="1"/>
    <col min="6143" max="6143" width="23.21875" style="193" customWidth="1"/>
    <col min="6144" max="6144" width="27.21875" style="193" customWidth="1"/>
    <col min="6145" max="6149" width="8.77734375" style="193"/>
    <col min="6150" max="6150" width="44.77734375" style="193" bestFit="1" customWidth="1"/>
    <col min="6151" max="6376" width="8.77734375" style="193"/>
    <col min="6377" max="6377" width="19.21875" style="193" customWidth="1"/>
    <col min="6378" max="6379" width="8.77734375" style="193"/>
    <col min="6380" max="6380" width="27.21875" style="193" customWidth="1"/>
    <col min="6381" max="6381" width="9.21875" style="193" bestFit="1" customWidth="1"/>
    <col min="6382" max="6382" width="27" style="193" customWidth="1"/>
    <col min="6383" max="6383" width="10.21875" style="193" bestFit="1" customWidth="1"/>
    <col min="6384" max="6384" width="23.21875" style="193" customWidth="1"/>
    <col min="6385" max="6385" width="26.21875" style="193" customWidth="1"/>
    <col min="6386" max="6386" width="9" style="193" bestFit="1" customWidth="1"/>
    <col min="6387" max="6387" width="13.21875" style="193" bestFit="1" customWidth="1"/>
    <col min="6388" max="6388" width="4.77734375" style="193" bestFit="1" customWidth="1"/>
    <col min="6389" max="6389" width="4.21875" style="193" bestFit="1" customWidth="1"/>
    <col min="6390" max="6390" width="9.21875" style="193" bestFit="1" customWidth="1"/>
    <col min="6391" max="6391" width="9.21875" style="193" customWidth="1"/>
    <col min="6392" max="6392" width="2.21875" style="193" bestFit="1" customWidth="1"/>
    <col min="6393" max="6393" width="7.21875" style="193" bestFit="1" customWidth="1"/>
    <col min="6394" max="6394" width="2.21875" style="193" bestFit="1" customWidth="1"/>
    <col min="6395" max="6395" width="7.21875" style="193" bestFit="1" customWidth="1"/>
    <col min="6396" max="6396" width="2.21875" style="193" bestFit="1" customWidth="1"/>
    <col min="6397" max="6397" width="7.21875" style="193" bestFit="1" customWidth="1"/>
    <col min="6398" max="6398" width="16.21875" style="193" bestFit="1" customWidth="1"/>
    <col min="6399" max="6399" width="23.21875" style="193" customWidth="1"/>
    <col min="6400" max="6400" width="27.21875" style="193" customWidth="1"/>
    <col min="6401" max="6405" width="8.77734375" style="193"/>
    <col min="6406" max="6406" width="44.77734375" style="193" bestFit="1" customWidth="1"/>
    <col min="6407" max="6632" width="8.77734375" style="193"/>
    <col min="6633" max="6633" width="19.21875" style="193" customWidth="1"/>
    <col min="6634" max="6635" width="8.77734375" style="193"/>
    <col min="6636" max="6636" width="27.21875" style="193" customWidth="1"/>
    <col min="6637" max="6637" width="9.21875" style="193" bestFit="1" customWidth="1"/>
    <col min="6638" max="6638" width="27" style="193" customWidth="1"/>
    <col min="6639" max="6639" width="10.21875" style="193" bestFit="1" customWidth="1"/>
    <col min="6640" max="6640" width="23.21875" style="193" customWidth="1"/>
    <col min="6641" max="6641" width="26.21875" style="193" customWidth="1"/>
    <col min="6642" max="6642" width="9" style="193" bestFit="1" customWidth="1"/>
    <col min="6643" max="6643" width="13.21875" style="193" bestFit="1" customWidth="1"/>
    <col min="6644" max="6644" width="4.77734375" style="193" bestFit="1" customWidth="1"/>
    <col min="6645" max="6645" width="4.21875" style="193" bestFit="1" customWidth="1"/>
    <col min="6646" max="6646" width="9.21875" style="193" bestFit="1" customWidth="1"/>
    <col min="6647" max="6647" width="9.21875" style="193" customWidth="1"/>
    <col min="6648" max="6648" width="2.21875" style="193" bestFit="1" customWidth="1"/>
    <col min="6649" max="6649" width="7.21875" style="193" bestFit="1" customWidth="1"/>
    <col min="6650" max="6650" width="2.21875" style="193" bestFit="1" customWidth="1"/>
    <col min="6651" max="6651" width="7.21875" style="193" bestFit="1" customWidth="1"/>
    <col min="6652" max="6652" width="2.21875" style="193" bestFit="1" customWidth="1"/>
    <col min="6653" max="6653" width="7.21875" style="193" bestFit="1" customWidth="1"/>
    <col min="6654" max="6654" width="16.21875" style="193" bestFit="1" customWidth="1"/>
    <col min="6655" max="6655" width="23.21875" style="193" customWidth="1"/>
    <col min="6656" max="6656" width="27.21875" style="193" customWidth="1"/>
    <col min="6657" max="6661" width="8.77734375" style="193"/>
    <col min="6662" max="6662" width="44.77734375" style="193" bestFit="1" customWidth="1"/>
    <col min="6663" max="6888" width="8.77734375" style="193"/>
    <col min="6889" max="6889" width="19.21875" style="193" customWidth="1"/>
    <col min="6890" max="6891" width="8.77734375" style="193"/>
    <col min="6892" max="6892" width="27.21875" style="193" customWidth="1"/>
    <col min="6893" max="6893" width="9.21875" style="193" bestFit="1" customWidth="1"/>
    <col min="6894" max="6894" width="27" style="193" customWidth="1"/>
    <col min="6895" max="6895" width="10.21875" style="193" bestFit="1" customWidth="1"/>
    <col min="6896" max="6896" width="23.21875" style="193" customWidth="1"/>
    <col min="6897" max="6897" width="26.21875" style="193" customWidth="1"/>
    <col min="6898" max="6898" width="9" style="193" bestFit="1" customWidth="1"/>
    <col min="6899" max="6899" width="13.21875" style="193" bestFit="1" customWidth="1"/>
    <col min="6900" max="6900" width="4.77734375" style="193" bestFit="1" customWidth="1"/>
    <col min="6901" max="6901" width="4.21875" style="193" bestFit="1" customWidth="1"/>
    <col min="6902" max="6902" width="9.21875" style="193" bestFit="1" customWidth="1"/>
    <col min="6903" max="6903" width="9.21875" style="193" customWidth="1"/>
    <col min="6904" max="6904" width="2.21875" style="193" bestFit="1" customWidth="1"/>
    <col min="6905" max="6905" width="7.21875" style="193" bestFit="1" customWidth="1"/>
    <col min="6906" max="6906" width="2.21875" style="193" bestFit="1" customWidth="1"/>
    <col min="6907" max="6907" width="7.21875" style="193" bestFit="1" customWidth="1"/>
    <col min="6908" max="6908" width="2.21875" style="193" bestFit="1" customWidth="1"/>
    <col min="6909" max="6909" width="7.21875" style="193" bestFit="1" customWidth="1"/>
    <col min="6910" max="6910" width="16.21875" style="193" bestFit="1" customWidth="1"/>
    <col min="6911" max="6911" width="23.21875" style="193" customWidth="1"/>
    <col min="6912" max="6912" width="27.21875" style="193" customWidth="1"/>
    <col min="6913" max="6917" width="8.77734375" style="193"/>
    <col min="6918" max="6918" width="44.77734375" style="193" bestFit="1" customWidth="1"/>
    <col min="6919" max="7144" width="8.77734375" style="193"/>
    <col min="7145" max="7145" width="19.21875" style="193" customWidth="1"/>
    <col min="7146" max="7147" width="8.77734375" style="193"/>
    <col min="7148" max="7148" width="27.21875" style="193" customWidth="1"/>
    <col min="7149" max="7149" width="9.21875" style="193" bestFit="1" customWidth="1"/>
    <col min="7150" max="7150" width="27" style="193" customWidth="1"/>
    <col min="7151" max="7151" width="10.21875" style="193" bestFit="1" customWidth="1"/>
    <col min="7152" max="7152" width="23.21875" style="193" customWidth="1"/>
    <col min="7153" max="7153" width="26.21875" style="193" customWidth="1"/>
    <col min="7154" max="7154" width="9" style="193" bestFit="1" customWidth="1"/>
    <col min="7155" max="7155" width="13.21875" style="193" bestFit="1" customWidth="1"/>
    <col min="7156" max="7156" width="4.77734375" style="193" bestFit="1" customWidth="1"/>
    <col min="7157" max="7157" width="4.21875" style="193" bestFit="1" customWidth="1"/>
    <col min="7158" max="7158" width="9.21875" style="193" bestFit="1" customWidth="1"/>
    <col min="7159" max="7159" width="9.21875" style="193" customWidth="1"/>
    <col min="7160" max="7160" width="2.21875" style="193" bestFit="1" customWidth="1"/>
    <col min="7161" max="7161" width="7.21875" style="193" bestFit="1" customWidth="1"/>
    <col min="7162" max="7162" width="2.21875" style="193" bestFit="1" customWidth="1"/>
    <col min="7163" max="7163" width="7.21875" style="193" bestFit="1" customWidth="1"/>
    <col min="7164" max="7164" width="2.21875" style="193" bestFit="1" customWidth="1"/>
    <col min="7165" max="7165" width="7.21875" style="193" bestFit="1" customWidth="1"/>
    <col min="7166" max="7166" width="16.21875" style="193" bestFit="1" customWidth="1"/>
    <col min="7167" max="7167" width="23.21875" style="193" customWidth="1"/>
    <col min="7168" max="7168" width="27.21875" style="193" customWidth="1"/>
    <col min="7169" max="7173" width="8.77734375" style="193"/>
    <col min="7174" max="7174" width="44.77734375" style="193" bestFit="1" customWidth="1"/>
    <col min="7175" max="7400" width="8.77734375" style="193"/>
    <col min="7401" max="7401" width="19.21875" style="193" customWidth="1"/>
    <col min="7402" max="7403" width="8.77734375" style="193"/>
    <col min="7404" max="7404" width="27.21875" style="193" customWidth="1"/>
    <col min="7405" max="7405" width="9.21875" style="193" bestFit="1" customWidth="1"/>
    <col min="7406" max="7406" width="27" style="193" customWidth="1"/>
    <col min="7407" max="7407" width="10.21875" style="193" bestFit="1" customWidth="1"/>
    <col min="7408" max="7408" width="23.21875" style="193" customWidth="1"/>
    <col min="7409" max="7409" width="26.21875" style="193" customWidth="1"/>
    <col min="7410" max="7410" width="9" style="193" bestFit="1" customWidth="1"/>
    <col min="7411" max="7411" width="13.21875" style="193" bestFit="1" customWidth="1"/>
    <col min="7412" max="7412" width="4.77734375" style="193" bestFit="1" customWidth="1"/>
    <col min="7413" max="7413" width="4.21875" style="193" bestFit="1" customWidth="1"/>
    <col min="7414" max="7414" width="9.21875" style="193" bestFit="1" customWidth="1"/>
    <col min="7415" max="7415" width="9.21875" style="193" customWidth="1"/>
    <col min="7416" max="7416" width="2.21875" style="193" bestFit="1" customWidth="1"/>
    <col min="7417" max="7417" width="7.21875" style="193" bestFit="1" customWidth="1"/>
    <col min="7418" max="7418" width="2.21875" style="193" bestFit="1" customWidth="1"/>
    <col min="7419" max="7419" width="7.21875" style="193" bestFit="1" customWidth="1"/>
    <col min="7420" max="7420" width="2.21875" style="193" bestFit="1" customWidth="1"/>
    <col min="7421" max="7421" width="7.21875" style="193" bestFit="1" customWidth="1"/>
    <col min="7422" max="7422" width="16.21875" style="193" bestFit="1" customWidth="1"/>
    <col min="7423" max="7423" width="23.21875" style="193" customWidth="1"/>
    <col min="7424" max="7424" width="27.21875" style="193" customWidth="1"/>
    <col min="7425" max="7429" width="8.77734375" style="193"/>
    <col min="7430" max="7430" width="44.77734375" style="193" bestFit="1" customWidth="1"/>
    <col min="7431" max="7656" width="8.77734375" style="193"/>
    <col min="7657" max="7657" width="19.21875" style="193" customWidth="1"/>
    <col min="7658" max="7659" width="8.77734375" style="193"/>
    <col min="7660" max="7660" width="27.21875" style="193" customWidth="1"/>
    <col min="7661" max="7661" width="9.21875" style="193" bestFit="1" customWidth="1"/>
    <col min="7662" max="7662" width="27" style="193" customWidth="1"/>
    <col min="7663" max="7663" width="10.21875" style="193" bestFit="1" customWidth="1"/>
    <col min="7664" max="7664" width="23.21875" style="193" customWidth="1"/>
    <col min="7665" max="7665" width="26.21875" style="193" customWidth="1"/>
    <col min="7666" max="7666" width="9" style="193" bestFit="1" customWidth="1"/>
    <col min="7667" max="7667" width="13.21875" style="193" bestFit="1" customWidth="1"/>
    <col min="7668" max="7668" width="4.77734375" style="193" bestFit="1" customWidth="1"/>
    <col min="7669" max="7669" width="4.21875" style="193" bestFit="1" customWidth="1"/>
    <col min="7670" max="7670" width="9.21875" style="193" bestFit="1" customWidth="1"/>
    <col min="7671" max="7671" width="9.21875" style="193" customWidth="1"/>
    <col min="7672" max="7672" width="2.21875" style="193" bestFit="1" customWidth="1"/>
    <col min="7673" max="7673" width="7.21875" style="193" bestFit="1" customWidth="1"/>
    <col min="7674" max="7674" width="2.21875" style="193" bestFit="1" customWidth="1"/>
    <col min="7675" max="7675" width="7.21875" style="193" bestFit="1" customWidth="1"/>
    <col min="7676" max="7676" width="2.21875" style="193" bestFit="1" customWidth="1"/>
    <col min="7677" max="7677" width="7.21875" style="193" bestFit="1" customWidth="1"/>
    <col min="7678" max="7678" width="16.21875" style="193" bestFit="1" customWidth="1"/>
    <col min="7679" max="7679" width="23.21875" style="193" customWidth="1"/>
    <col min="7680" max="7680" width="27.21875" style="193" customWidth="1"/>
    <col min="7681" max="7685" width="8.77734375" style="193"/>
    <col min="7686" max="7686" width="44.77734375" style="193" bestFit="1" customWidth="1"/>
    <col min="7687" max="7912" width="8.77734375" style="193"/>
    <col min="7913" max="7913" width="19.21875" style="193" customWidth="1"/>
    <col min="7914" max="7915" width="8.77734375" style="193"/>
    <col min="7916" max="7916" width="27.21875" style="193" customWidth="1"/>
    <col min="7917" max="7917" width="9.21875" style="193" bestFit="1" customWidth="1"/>
    <col min="7918" max="7918" width="27" style="193" customWidth="1"/>
    <col min="7919" max="7919" width="10.21875" style="193" bestFit="1" customWidth="1"/>
    <col min="7920" max="7920" width="23.21875" style="193" customWidth="1"/>
    <col min="7921" max="7921" width="26.21875" style="193" customWidth="1"/>
    <col min="7922" max="7922" width="9" style="193" bestFit="1" customWidth="1"/>
    <col min="7923" max="7923" width="13.21875" style="193" bestFit="1" customWidth="1"/>
    <col min="7924" max="7924" width="4.77734375" style="193" bestFit="1" customWidth="1"/>
    <col min="7925" max="7925" width="4.21875" style="193" bestFit="1" customWidth="1"/>
    <col min="7926" max="7926" width="9.21875" style="193" bestFit="1" customWidth="1"/>
    <col min="7927" max="7927" width="9.21875" style="193" customWidth="1"/>
    <col min="7928" max="7928" width="2.21875" style="193" bestFit="1" customWidth="1"/>
    <col min="7929" max="7929" width="7.21875" style="193" bestFit="1" customWidth="1"/>
    <col min="7930" max="7930" width="2.21875" style="193" bestFit="1" customWidth="1"/>
    <col min="7931" max="7931" width="7.21875" style="193" bestFit="1" customWidth="1"/>
    <col min="7932" max="7932" width="2.21875" style="193" bestFit="1" customWidth="1"/>
    <col min="7933" max="7933" width="7.21875" style="193" bestFit="1" customWidth="1"/>
    <col min="7934" max="7934" width="16.21875" style="193" bestFit="1" customWidth="1"/>
    <col min="7935" max="7935" width="23.21875" style="193" customWidth="1"/>
    <col min="7936" max="7936" width="27.21875" style="193" customWidth="1"/>
    <col min="7937" max="7941" width="8.77734375" style="193"/>
    <col min="7942" max="7942" width="44.77734375" style="193" bestFit="1" customWidth="1"/>
    <col min="7943" max="8168" width="8.77734375" style="193"/>
    <col min="8169" max="8169" width="19.21875" style="193" customWidth="1"/>
    <col min="8170" max="8171" width="8.77734375" style="193"/>
    <col min="8172" max="8172" width="27.21875" style="193" customWidth="1"/>
    <col min="8173" max="8173" width="9.21875" style="193" bestFit="1" customWidth="1"/>
    <col min="8174" max="8174" width="27" style="193" customWidth="1"/>
    <col min="8175" max="8175" width="10.21875" style="193" bestFit="1" customWidth="1"/>
    <col min="8176" max="8176" width="23.21875" style="193" customWidth="1"/>
    <col min="8177" max="8177" width="26.21875" style="193" customWidth="1"/>
    <col min="8178" max="8178" width="9" style="193" bestFit="1" customWidth="1"/>
    <col min="8179" max="8179" width="13.21875" style="193" bestFit="1" customWidth="1"/>
    <col min="8180" max="8180" width="4.77734375" style="193" bestFit="1" customWidth="1"/>
    <col min="8181" max="8181" width="4.21875" style="193" bestFit="1" customWidth="1"/>
    <col min="8182" max="8182" width="9.21875" style="193" bestFit="1" customWidth="1"/>
    <col min="8183" max="8183" width="9.21875" style="193" customWidth="1"/>
    <col min="8184" max="8184" width="2.21875" style="193" bestFit="1" customWidth="1"/>
    <col min="8185" max="8185" width="7.21875" style="193" bestFit="1" customWidth="1"/>
    <col min="8186" max="8186" width="2.21875" style="193" bestFit="1" customWidth="1"/>
    <col min="8187" max="8187" width="7.21875" style="193" bestFit="1" customWidth="1"/>
    <col min="8188" max="8188" width="2.21875" style="193" bestFit="1" customWidth="1"/>
    <col min="8189" max="8189" width="7.21875" style="193" bestFit="1" customWidth="1"/>
    <col min="8190" max="8190" width="16.21875" style="193" bestFit="1" customWidth="1"/>
    <col min="8191" max="8191" width="23.21875" style="193" customWidth="1"/>
    <col min="8192" max="8192" width="27.21875" style="193" customWidth="1"/>
    <col min="8193" max="8197" width="8.77734375" style="193"/>
    <col min="8198" max="8198" width="44.77734375" style="193" bestFit="1" customWidth="1"/>
    <col min="8199" max="8424" width="8.77734375" style="193"/>
    <col min="8425" max="8425" width="19.21875" style="193" customWidth="1"/>
    <col min="8426" max="8427" width="8.77734375" style="193"/>
    <col min="8428" max="8428" width="27.21875" style="193" customWidth="1"/>
    <col min="8429" max="8429" width="9.21875" style="193" bestFit="1" customWidth="1"/>
    <col min="8430" max="8430" width="27" style="193" customWidth="1"/>
    <col min="8431" max="8431" width="10.21875" style="193" bestFit="1" customWidth="1"/>
    <col min="8432" max="8432" width="23.21875" style="193" customWidth="1"/>
    <col min="8433" max="8433" width="26.21875" style="193" customWidth="1"/>
    <col min="8434" max="8434" width="9" style="193" bestFit="1" customWidth="1"/>
    <col min="8435" max="8435" width="13.21875" style="193" bestFit="1" customWidth="1"/>
    <col min="8436" max="8436" width="4.77734375" style="193" bestFit="1" customWidth="1"/>
    <col min="8437" max="8437" width="4.21875" style="193" bestFit="1" customWidth="1"/>
    <col min="8438" max="8438" width="9.21875" style="193" bestFit="1" customWidth="1"/>
    <col min="8439" max="8439" width="9.21875" style="193" customWidth="1"/>
    <col min="8440" max="8440" width="2.21875" style="193" bestFit="1" customWidth="1"/>
    <col min="8441" max="8441" width="7.21875" style="193" bestFit="1" customWidth="1"/>
    <col min="8442" max="8442" width="2.21875" style="193" bestFit="1" customWidth="1"/>
    <col min="8443" max="8443" width="7.21875" style="193" bestFit="1" customWidth="1"/>
    <col min="8444" max="8444" width="2.21875" style="193" bestFit="1" customWidth="1"/>
    <col min="8445" max="8445" width="7.21875" style="193" bestFit="1" customWidth="1"/>
    <col min="8446" max="8446" width="16.21875" style="193" bestFit="1" customWidth="1"/>
    <col min="8447" max="8447" width="23.21875" style="193" customWidth="1"/>
    <col min="8448" max="8448" width="27.21875" style="193" customWidth="1"/>
    <col min="8449" max="8453" width="8.77734375" style="193"/>
    <col min="8454" max="8454" width="44.77734375" style="193" bestFit="1" customWidth="1"/>
    <col min="8455" max="8680" width="8.77734375" style="193"/>
    <col min="8681" max="8681" width="19.21875" style="193" customWidth="1"/>
    <col min="8682" max="8683" width="8.77734375" style="193"/>
    <col min="8684" max="8684" width="27.21875" style="193" customWidth="1"/>
    <col min="8685" max="8685" width="9.21875" style="193" bestFit="1" customWidth="1"/>
    <col min="8686" max="8686" width="27" style="193" customWidth="1"/>
    <col min="8687" max="8687" width="10.21875" style="193" bestFit="1" customWidth="1"/>
    <col min="8688" max="8688" width="23.21875" style="193" customWidth="1"/>
    <col min="8689" max="8689" width="26.21875" style="193" customWidth="1"/>
    <col min="8690" max="8690" width="9" style="193" bestFit="1" customWidth="1"/>
    <col min="8691" max="8691" width="13.21875" style="193" bestFit="1" customWidth="1"/>
    <col min="8692" max="8692" width="4.77734375" style="193" bestFit="1" customWidth="1"/>
    <col min="8693" max="8693" width="4.21875" style="193" bestFit="1" customWidth="1"/>
    <col min="8694" max="8694" width="9.21875" style="193" bestFit="1" customWidth="1"/>
    <col min="8695" max="8695" width="9.21875" style="193" customWidth="1"/>
    <col min="8696" max="8696" width="2.21875" style="193" bestFit="1" customWidth="1"/>
    <col min="8697" max="8697" width="7.21875" style="193" bestFit="1" customWidth="1"/>
    <col min="8698" max="8698" width="2.21875" style="193" bestFit="1" customWidth="1"/>
    <col min="8699" max="8699" width="7.21875" style="193" bestFit="1" customWidth="1"/>
    <col min="8700" max="8700" width="2.21875" style="193" bestFit="1" customWidth="1"/>
    <col min="8701" max="8701" width="7.21875" style="193" bestFit="1" customWidth="1"/>
    <col min="8702" max="8702" width="16.21875" style="193" bestFit="1" customWidth="1"/>
    <col min="8703" max="8703" width="23.21875" style="193" customWidth="1"/>
    <col min="8704" max="8704" width="27.21875" style="193" customWidth="1"/>
    <col min="8705" max="8709" width="8.77734375" style="193"/>
    <col min="8710" max="8710" width="44.77734375" style="193" bestFit="1" customWidth="1"/>
    <col min="8711" max="8936" width="8.77734375" style="193"/>
    <col min="8937" max="8937" width="19.21875" style="193" customWidth="1"/>
    <col min="8938" max="8939" width="8.77734375" style="193"/>
    <col min="8940" max="8940" width="27.21875" style="193" customWidth="1"/>
    <col min="8941" max="8941" width="9.21875" style="193" bestFit="1" customWidth="1"/>
    <col min="8942" max="8942" width="27" style="193" customWidth="1"/>
    <col min="8943" max="8943" width="10.21875" style="193" bestFit="1" customWidth="1"/>
    <col min="8944" max="8944" width="23.21875" style="193" customWidth="1"/>
    <col min="8945" max="8945" width="26.21875" style="193" customWidth="1"/>
    <col min="8946" max="8946" width="9" style="193" bestFit="1" customWidth="1"/>
    <col min="8947" max="8947" width="13.21875" style="193" bestFit="1" customWidth="1"/>
    <col min="8948" max="8948" width="4.77734375" style="193" bestFit="1" customWidth="1"/>
    <col min="8949" max="8949" width="4.21875" style="193" bestFit="1" customWidth="1"/>
    <col min="8950" max="8950" width="9.21875" style="193" bestFit="1" customWidth="1"/>
    <col min="8951" max="8951" width="9.21875" style="193" customWidth="1"/>
    <col min="8952" max="8952" width="2.21875" style="193" bestFit="1" customWidth="1"/>
    <col min="8953" max="8953" width="7.21875" style="193" bestFit="1" customWidth="1"/>
    <col min="8954" max="8954" width="2.21875" style="193" bestFit="1" customWidth="1"/>
    <col min="8955" max="8955" width="7.21875" style="193" bestFit="1" customWidth="1"/>
    <col min="8956" max="8956" width="2.21875" style="193" bestFit="1" customWidth="1"/>
    <col min="8957" max="8957" width="7.21875" style="193" bestFit="1" customWidth="1"/>
    <col min="8958" max="8958" width="16.21875" style="193" bestFit="1" customWidth="1"/>
    <col min="8959" max="8959" width="23.21875" style="193" customWidth="1"/>
    <col min="8960" max="8960" width="27.21875" style="193" customWidth="1"/>
    <col min="8961" max="8965" width="8.77734375" style="193"/>
    <col min="8966" max="8966" width="44.77734375" style="193" bestFit="1" customWidth="1"/>
    <col min="8967" max="9192" width="8.77734375" style="193"/>
    <col min="9193" max="9193" width="19.21875" style="193" customWidth="1"/>
    <col min="9194" max="9195" width="8.77734375" style="193"/>
    <col min="9196" max="9196" width="27.21875" style="193" customWidth="1"/>
    <col min="9197" max="9197" width="9.21875" style="193" bestFit="1" customWidth="1"/>
    <col min="9198" max="9198" width="27" style="193" customWidth="1"/>
    <col min="9199" max="9199" width="10.21875" style="193" bestFit="1" customWidth="1"/>
    <col min="9200" max="9200" width="23.21875" style="193" customWidth="1"/>
    <col min="9201" max="9201" width="26.21875" style="193" customWidth="1"/>
    <col min="9202" max="9202" width="9" style="193" bestFit="1" customWidth="1"/>
    <col min="9203" max="9203" width="13.21875" style="193" bestFit="1" customWidth="1"/>
    <col min="9204" max="9204" width="4.77734375" style="193" bestFit="1" customWidth="1"/>
    <col min="9205" max="9205" width="4.21875" style="193" bestFit="1" customWidth="1"/>
    <col min="9206" max="9206" width="9.21875" style="193" bestFit="1" customWidth="1"/>
    <col min="9207" max="9207" width="9.21875" style="193" customWidth="1"/>
    <col min="9208" max="9208" width="2.21875" style="193" bestFit="1" customWidth="1"/>
    <col min="9209" max="9209" width="7.21875" style="193" bestFit="1" customWidth="1"/>
    <col min="9210" max="9210" width="2.21875" style="193" bestFit="1" customWidth="1"/>
    <col min="9211" max="9211" width="7.21875" style="193" bestFit="1" customWidth="1"/>
    <col min="9212" max="9212" width="2.21875" style="193" bestFit="1" customWidth="1"/>
    <col min="9213" max="9213" width="7.21875" style="193" bestFit="1" customWidth="1"/>
    <col min="9214" max="9214" width="16.21875" style="193" bestFit="1" customWidth="1"/>
    <col min="9215" max="9215" width="23.21875" style="193" customWidth="1"/>
    <col min="9216" max="9216" width="27.21875" style="193" customWidth="1"/>
    <col min="9217" max="9221" width="8.77734375" style="193"/>
    <col min="9222" max="9222" width="44.77734375" style="193" bestFit="1" customWidth="1"/>
    <col min="9223" max="9448" width="8.77734375" style="193"/>
    <col min="9449" max="9449" width="19.21875" style="193" customWidth="1"/>
    <col min="9450" max="9451" width="8.77734375" style="193"/>
    <col min="9452" max="9452" width="27.21875" style="193" customWidth="1"/>
    <col min="9453" max="9453" width="9.21875" style="193" bestFit="1" customWidth="1"/>
    <col min="9454" max="9454" width="27" style="193" customWidth="1"/>
    <col min="9455" max="9455" width="10.21875" style="193" bestFit="1" customWidth="1"/>
    <col min="9456" max="9456" width="23.21875" style="193" customWidth="1"/>
    <col min="9457" max="9457" width="26.21875" style="193" customWidth="1"/>
    <col min="9458" max="9458" width="9" style="193" bestFit="1" customWidth="1"/>
    <col min="9459" max="9459" width="13.21875" style="193" bestFit="1" customWidth="1"/>
    <col min="9460" max="9460" width="4.77734375" style="193" bestFit="1" customWidth="1"/>
    <col min="9461" max="9461" width="4.21875" style="193" bestFit="1" customWidth="1"/>
    <col min="9462" max="9462" width="9.21875" style="193" bestFit="1" customWidth="1"/>
    <col min="9463" max="9463" width="9.21875" style="193" customWidth="1"/>
    <col min="9464" max="9464" width="2.21875" style="193" bestFit="1" customWidth="1"/>
    <col min="9465" max="9465" width="7.21875" style="193" bestFit="1" customWidth="1"/>
    <col min="9466" max="9466" width="2.21875" style="193" bestFit="1" customWidth="1"/>
    <col min="9467" max="9467" width="7.21875" style="193" bestFit="1" customWidth="1"/>
    <col min="9468" max="9468" width="2.21875" style="193" bestFit="1" customWidth="1"/>
    <col min="9469" max="9469" width="7.21875" style="193" bestFit="1" customWidth="1"/>
    <col min="9470" max="9470" width="16.21875" style="193" bestFit="1" customWidth="1"/>
    <col min="9471" max="9471" width="23.21875" style="193" customWidth="1"/>
    <col min="9472" max="9472" width="27.21875" style="193" customWidth="1"/>
    <col min="9473" max="9477" width="8.77734375" style="193"/>
    <col min="9478" max="9478" width="44.77734375" style="193" bestFit="1" customWidth="1"/>
    <col min="9479" max="9704" width="8.77734375" style="193"/>
    <col min="9705" max="9705" width="19.21875" style="193" customWidth="1"/>
    <col min="9706" max="9707" width="8.77734375" style="193"/>
    <col min="9708" max="9708" width="27.21875" style="193" customWidth="1"/>
    <col min="9709" max="9709" width="9.21875" style="193" bestFit="1" customWidth="1"/>
    <col min="9710" max="9710" width="27" style="193" customWidth="1"/>
    <col min="9711" max="9711" width="10.21875" style="193" bestFit="1" customWidth="1"/>
    <col min="9712" max="9712" width="23.21875" style="193" customWidth="1"/>
    <col min="9713" max="9713" width="26.21875" style="193" customWidth="1"/>
    <col min="9714" max="9714" width="9" style="193" bestFit="1" customWidth="1"/>
    <col min="9715" max="9715" width="13.21875" style="193" bestFit="1" customWidth="1"/>
    <col min="9716" max="9716" width="4.77734375" style="193" bestFit="1" customWidth="1"/>
    <col min="9717" max="9717" width="4.21875" style="193" bestFit="1" customWidth="1"/>
    <col min="9718" max="9718" width="9.21875" style="193" bestFit="1" customWidth="1"/>
    <col min="9719" max="9719" width="9.21875" style="193" customWidth="1"/>
    <col min="9720" max="9720" width="2.21875" style="193" bestFit="1" customWidth="1"/>
    <col min="9721" max="9721" width="7.21875" style="193" bestFit="1" customWidth="1"/>
    <col min="9722" max="9722" width="2.21875" style="193" bestFit="1" customWidth="1"/>
    <col min="9723" max="9723" width="7.21875" style="193" bestFit="1" customWidth="1"/>
    <col min="9724" max="9724" width="2.21875" style="193" bestFit="1" customWidth="1"/>
    <col min="9725" max="9725" width="7.21875" style="193" bestFit="1" customWidth="1"/>
    <col min="9726" max="9726" width="16.21875" style="193" bestFit="1" customWidth="1"/>
    <col min="9727" max="9727" width="23.21875" style="193" customWidth="1"/>
    <col min="9728" max="9728" width="27.21875" style="193" customWidth="1"/>
    <col min="9729" max="9733" width="8.77734375" style="193"/>
    <col min="9734" max="9734" width="44.77734375" style="193" bestFit="1" customWidth="1"/>
    <col min="9735" max="9960" width="8.77734375" style="193"/>
    <col min="9961" max="9961" width="19.21875" style="193" customWidth="1"/>
    <col min="9962" max="9963" width="8.77734375" style="193"/>
    <col min="9964" max="9964" width="27.21875" style="193" customWidth="1"/>
    <col min="9965" max="9965" width="9.21875" style="193" bestFit="1" customWidth="1"/>
    <col min="9966" max="9966" width="27" style="193" customWidth="1"/>
    <col min="9967" max="9967" width="10.21875" style="193" bestFit="1" customWidth="1"/>
    <col min="9968" max="9968" width="23.21875" style="193" customWidth="1"/>
    <col min="9969" max="9969" width="26.21875" style="193" customWidth="1"/>
    <col min="9970" max="9970" width="9" style="193" bestFit="1" customWidth="1"/>
    <col min="9971" max="9971" width="13.21875" style="193" bestFit="1" customWidth="1"/>
    <col min="9972" max="9972" width="4.77734375" style="193" bestFit="1" customWidth="1"/>
    <col min="9973" max="9973" width="4.21875" style="193" bestFit="1" customWidth="1"/>
    <col min="9974" max="9974" width="9.21875" style="193" bestFit="1" customWidth="1"/>
    <col min="9975" max="9975" width="9.21875" style="193" customWidth="1"/>
    <col min="9976" max="9976" width="2.21875" style="193" bestFit="1" customWidth="1"/>
    <col min="9977" max="9977" width="7.21875" style="193" bestFit="1" customWidth="1"/>
    <col min="9978" max="9978" width="2.21875" style="193" bestFit="1" customWidth="1"/>
    <col min="9979" max="9979" width="7.21875" style="193" bestFit="1" customWidth="1"/>
    <col min="9980" max="9980" width="2.21875" style="193" bestFit="1" customWidth="1"/>
    <col min="9981" max="9981" width="7.21875" style="193" bestFit="1" customWidth="1"/>
    <col min="9982" max="9982" width="16.21875" style="193" bestFit="1" customWidth="1"/>
    <col min="9983" max="9983" width="23.21875" style="193" customWidth="1"/>
    <col min="9984" max="9984" width="27.21875" style="193" customWidth="1"/>
    <col min="9985" max="9989" width="8.77734375" style="193"/>
    <col min="9990" max="9990" width="44.77734375" style="193" bestFit="1" customWidth="1"/>
    <col min="9991" max="10216" width="8.77734375" style="193"/>
    <col min="10217" max="10217" width="19.21875" style="193" customWidth="1"/>
    <col min="10218" max="10219" width="8.77734375" style="193"/>
    <col min="10220" max="10220" width="27.21875" style="193" customWidth="1"/>
    <col min="10221" max="10221" width="9.21875" style="193" bestFit="1" customWidth="1"/>
    <col min="10222" max="10222" width="27" style="193" customWidth="1"/>
    <col min="10223" max="10223" width="10.21875" style="193" bestFit="1" customWidth="1"/>
    <col min="10224" max="10224" width="23.21875" style="193" customWidth="1"/>
    <col min="10225" max="10225" width="26.21875" style="193" customWidth="1"/>
    <col min="10226" max="10226" width="9" style="193" bestFit="1" customWidth="1"/>
    <col min="10227" max="10227" width="13.21875" style="193" bestFit="1" customWidth="1"/>
    <col min="10228" max="10228" width="4.77734375" style="193" bestFit="1" customWidth="1"/>
    <col min="10229" max="10229" width="4.21875" style="193" bestFit="1" customWidth="1"/>
    <col min="10230" max="10230" width="9.21875" style="193" bestFit="1" customWidth="1"/>
    <col min="10231" max="10231" width="9.21875" style="193" customWidth="1"/>
    <col min="10232" max="10232" width="2.21875" style="193" bestFit="1" customWidth="1"/>
    <col min="10233" max="10233" width="7.21875" style="193" bestFit="1" customWidth="1"/>
    <col min="10234" max="10234" width="2.21875" style="193" bestFit="1" customWidth="1"/>
    <col min="10235" max="10235" width="7.21875" style="193" bestFit="1" customWidth="1"/>
    <col min="10236" max="10236" width="2.21875" style="193" bestFit="1" customWidth="1"/>
    <col min="10237" max="10237" width="7.21875" style="193" bestFit="1" customWidth="1"/>
    <col min="10238" max="10238" width="16.21875" style="193" bestFit="1" customWidth="1"/>
    <col min="10239" max="10239" width="23.21875" style="193" customWidth="1"/>
    <col min="10240" max="10240" width="27.21875" style="193" customWidth="1"/>
    <col min="10241" max="10245" width="8.77734375" style="193"/>
    <col min="10246" max="10246" width="44.77734375" style="193" bestFit="1" customWidth="1"/>
    <col min="10247" max="10472" width="8.77734375" style="193"/>
    <col min="10473" max="10473" width="19.21875" style="193" customWidth="1"/>
    <col min="10474" max="10475" width="8.77734375" style="193"/>
    <col min="10476" max="10476" width="27.21875" style="193" customWidth="1"/>
    <col min="10477" max="10477" width="9.21875" style="193" bestFit="1" customWidth="1"/>
    <col min="10478" max="10478" width="27" style="193" customWidth="1"/>
    <col min="10479" max="10479" width="10.21875" style="193" bestFit="1" customWidth="1"/>
    <col min="10480" max="10480" width="23.21875" style="193" customWidth="1"/>
    <col min="10481" max="10481" width="26.21875" style="193" customWidth="1"/>
    <col min="10482" max="10482" width="9" style="193" bestFit="1" customWidth="1"/>
    <col min="10483" max="10483" width="13.21875" style="193" bestFit="1" customWidth="1"/>
    <col min="10484" max="10484" width="4.77734375" style="193" bestFit="1" customWidth="1"/>
    <col min="10485" max="10485" width="4.21875" style="193" bestFit="1" customWidth="1"/>
    <col min="10486" max="10486" width="9.21875" style="193" bestFit="1" customWidth="1"/>
    <col min="10487" max="10487" width="9.21875" style="193" customWidth="1"/>
    <col min="10488" max="10488" width="2.21875" style="193" bestFit="1" customWidth="1"/>
    <col min="10489" max="10489" width="7.21875" style="193" bestFit="1" customWidth="1"/>
    <col min="10490" max="10490" width="2.21875" style="193" bestFit="1" customWidth="1"/>
    <col min="10491" max="10491" width="7.21875" style="193" bestFit="1" customWidth="1"/>
    <col min="10492" max="10492" width="2.21875" style="193" bestFit="1" customWidth="1"/>
    <col min="10493" max="10493" width="7.21875" style="193" bestFit="1" customWidth="1"/>
    <col min="10494" max="10494" width="16.21875" style="193" bestFit="1" customWidth="1"/>
    <col min="10495" max="10495" width="23.21875" style="193" customWidth="1"/>
    <col min="10496" max="10496" width="27.21875" style="193" customWidth="1"/>
    <col min="10497" max="10501" width="8.77734375" style="193"/>
    <col min="10502" max="10502" width="44.77734375" style="193" bestFit="1" customWidth="1"/>
    <col min="10503" max="10728" width="8.77734375" style="193"/>
    <col min="10729" max="10729" width="19.21875" style="193" customWidth="1"/>
    <col min="10730" max="10731" width="8.77734375" style="193"/>
    <col min="10732" max="10732" width="27.21875" style="193" customWidth="1"/>
    <col min="10733" max="10733" width="9.21875" style="193" bestFit="1" customWidth="1"/>
    <col min="10734" max="10734" width="27" style="193" customWidth="1"/>
    <col min="10735" max="10735" width="10.21875" style="193" bestFit="1" customWidth="1"/>
    <col min="10736" max="10736" width="23.21875" style="193" customWidth="1"/>
    <col min="10737" max="10737" width="26.21875" style="193" customWidth="1"/>
    <col min="10738" max="10738" width="9" style="193" bestFit="1" customWidth="1"/>
    <col min="10739" max="10739" width="13.21875" style="193" bestFit="1" customWidth="1"/>
    <col min="10740" max="10740" width="4.77734375" style="193" bestFit="1" customWidth="1"/>
    <col min="10741" max="10741" width="4.21875" style="193" bestFit="1" customWidth="1"/>
    <col min="10742" max="10742" width="9.21875" style="193" bestFit="1" customWidth="1"/>
    <col min="10743" max="10743" width="9.21875" style="193" customWidth="1"/>
    <col min="10744" max="10744" width="2.21875" style="193" bestFit="1" customWidth="1"/>
    <col min="10745" max="10745" width="7.21875" style="193" bestFit="1" customWidth="1"/>
    <col min="10746" max="10746" width="2.21875" style="193" bestFit="1" customWidth="1"/>
    <col min="10747" max="10747" width="7.21875" style="193" bestFit="1" customWidth="1"/>
    <col min="10748" max="10748" width="2.21875" style="193" bestFit="1" customWidth="1"/>
    <col min="10749" max="10749" width="7.21875" style="193" bestFit="1" customWidth="1"/>
    <col min="10750" max="10750" width="16.21875" style="193" bestFit="1" customWidth="1"/>
    <col min="10751" max="10751" width="23.21875" style="193" customWidth="1"/>
    <col min="10752" max="10752" width="27.21875" style="193" customWidth="1"/>
    <col min="10753" max="10757" width="8.77734375" style="193"/>
    <col min="10758" max="10758" width="44.77734375" style="193" bestFit="1" customWidth="1"/>
    <col min="10759" max="10984" width="8.77734375" style="193"/>
    <col min="10985" max="10985" width="19.21875" style="193" customWidth="1"/>
    <col min="10986" max="10987" width="8.77734375" style="193"/>
    <col min="10988" max="10988" width="27.21875" style="193" customWidth="1"/>
    <col min="10989" max="10989" width="9.21875" style="193" bestFit="1" customWidth="1"/>
    <col min="10990" max="10990" width="27" style="193" customWidth="1"/>
    <col min="10991" max="10991" width="10.21875" style="193" bestFit="1" customWidth="1"/>
    <col min="10992" max="10992" width="23.21875" style="193" customWidth="1"/>
    <col min="10993" max="10993" width="26.21875" style="193" customWidth="1"/>
    <col min="10994" max="10994" width="9" style="193" bestFit="1" customWidth="1"/>
    <col min="10995" max="10995" width="13.21875" style="193" bestFit="1" customWidth="1"/>
    <col min="10996" max="10996" width="4.77734375" style="193" bestFit="1" customWidth="1"/>
    <col min="10997" max="10997" width="4.21875" style="193" bestFit="1" customWidth="1"/>
    <col min="10998" max="10998" width="9.21875" style="193" bestFit="1" customWidth="1"/>
    <col min="10999" max="10999" width="9.21875" style="193" customWidth="1"/>
    <col min="11000" max="11000" width="2.21875" style="193" bestFit="1" customWidth="1"/>
    <col min="11001" max="11001" width="7.21875" style="193" bestFit="1" customWidth="1"/>
    <col min="11002" max="11002" width="2.21875" style="193" bestFit="1" customWidth="1"/>
    <col min="11003" max="11003" width="7.21875" style="193" bestFit="1" customWidth="1"/>
    <col min="11004" max="11004" width="2.21875" style="193" bestFit="1" customWidth="1"/>
    <col min="11005" max="11005" width="7.21875" style="193" bestFit="1" customWidth="1"/>
    <col min="11006" max="11006" width="16.21875" style="193" bestFit="1" customWidth="1"/>
    <col min="11007" max="11007" width="23.21875" style="193" customWidth="1"/>
    <col min="11008" max="11008" width="27.21875" style="193" customWidth="1"/>
    <col min="11009" max="11013" width="8.77734375" style="193"/>
    <col min="11014" max="11014" width="44.77734375" style="193" bestFit="1" customWidth="1"/>
    <col min="11015" max="11240" width="8.77734375" style="193"/>
    <col min="11241" max="11241" width="19.21875" style="193" customWidth="1"/>
    <col min="11242" max="11243" width="8.77734375" style="193"/>
    <col min="11244" max="11244" width="27.21875" style="193" customWidth="1"/>
    <col min="11245" max="11245" width="9.21875" style="193" bestFit="1" customWidth="1"/>
    <col min="11246" max="11246" width="27" style="193" customWidth="1"/>
    <col min="11247" max="11247" width="10.21875" style="193" bestFit="1" customWidth="1"/>
    <col min="11248" max="11248" width="23.21875" style="193" customWidth="1"/>
    <col min="11249" max="11249" width="26.21875" style="193" customWidth="1"/>
    <col min="11250" max="11250" width="9" style="193" bestFit="1" customWidth="1"/>
    <col min="11251" max="11251" width="13.21875" style="193" bestFit="1" customWidth="1"/>
    <col min="11252" max="11252" width="4.77734375" style="193" bestFit="1" customWidth="1"/>
    <col min="11253" max="11253" width="4.21875" style="193" bestFit="1" customWidth="1"/>
    <col min="11254" max="11254" width="9.21875" style="193" bestFit="1" customWidth="1"/>
    <col min="11255" max="11255" width="9.21875" style="193" customWidth="1"/>
    <col min="11256" max="11256" width="2.21875" style="193" bestFit="1" customWidth="1"/>
    <col min="11257" max="11257" width="7.21875" style="193" bestFit="1" customWidth="1"/>
    <col min="11258" max="11258" width="2.21875" style="193" bestFit="1" customWidth="1"/>
    <col min="11259" max="11259" width="7.21875" style="193" bestFit="1" customWidth="1"/>
    <col min="11260" max="11260" width="2.21875" style="193" bestFit="1" customWidth="1"/>
    <col min="11261" max="11261" width="7.21875" style="193" bestFit="1" customWidth="1"/>
    <col min="11262" max="11262" width="16.21875" style="193" bestFit="1" customWidth="1"/>
    <col min="11263" max="11263" width="23.21875" style="193" customWidth="1"/>
    <col min="11264" max="11264" width="27.21875" style="193" customWidth="1"/>
    <col min="11265" max="11269" width="8.77734375" style="193"/>
    <col min="11270" max="11270" width="44.77734375" style="193" bestFit="1" customWidth="1"/>
    <col min="11271" max="11496" width="8.77734375" style="193"/>
    <col min="11497" max="11497" width="19.21875" style="193" customWidth="1"/>
    <col min="11498" max="11499" width="8.77734375" style="193"/>
    <col min="11500" max="11500" width="27.21875" style="193" customWidth="1"/>
    <col min="11501" max="11501" width="9.21875" style="193" bestFit="1" customWidth="1"/>
    <col min="11502" max="11502" width="27" style="193" customWidth="1"/>
    <col min="11503" max="11503" width="10.21875" style="193" bestFit="1" customWidth="1"/>
    <col min="11504" max="11504" width="23.21875" style="193" customWidth="1"/>
    <col min="11505" max="11505" width="26.21875" style="193" customWidth="1"/>
    <col min="11506" max="11506" width="9" style="193" bestFit="1" customWidth="1"/>
    <col min="11507" max="11507" width="13.21875" style="193" bestFit="1" customWidth="1"/>
    <col min="11508" max="11508" width="4.77734375" style="193" bestFit="1" customWidth="1"/>
    <col min="11509" max="11509" width="4.21875" style="193" bestFit="1" customWidth="1"/>
    <col min="11510" max="11510" width="9.21875" style="193" bestFit="1" customWidth="1"/>
    <col min="11511" max="11511" width="9.21875" style="193" customWidth="1"/>
    <col min="11512" max="11512" width="2.21875" style="193" bestFit="1" customWidth="1"/>
    <col min="11513" max="11513" width="7.21875" style="193" bestFit="1" customWidth="1"/>
    <col min="11514" max="11514" width="2.21875" style="193" bestFit="1" customWidth="1"/>
    <col min="11515" max="11515" width="7.21875" style="193" bestFit="1" customWidth="1"/>
    <col min="11516" max="11516" width="2.21875" style="193" bestFit="1" customWidth="1"/>
    <col min="11517" max="11517" width="7.21875" style="193" bestFit="1" customWidth="1"/>
    <col min="11518" max="11518" width="16.21875" style="193" bestFit="1" customWidth="1"/>
    <col min="11519" max="11519" width="23.21875" style="193" customWidth="1"/>
    <col min="11520" max="11520" width="27.21875" style="193" customWidth="1"/>
    <col min="11521" max="11525" width="8.77734375" style="193"/>
    <col min="11526" max="11526" width="44.77734375" style="193" bestFit="1" customWidth="1"/>
    <col min="11527" max="11752" width="8.77734375" style="193"/>
    <col min="11753" max="11753" width="19.21875" style="193" customWidth="1"/>
    <col min="11754" max="11755" width="8.77734375" style="193"/>
    <col min="11756" max="11756" width="27.21875" style="193" customWidth="1"/>
    <col min="11757" max="11757" width="9.21875" style="193" bestFit="1" customWidth="1"/>
    <col min="11758" max="11758" width="27" style="193" customWidth="1"/>
    <col min="11759" max="11759" width="10.21875" style="193" bestFit="1" customWidth="1"/>
    <col min="11760" max="11760" width="23.21875" style="193" customWidth="1"/>
    <col min="11761" max="11761" width="26.21875" style="193" customWidth="1"/>
    <col min="11762" max="11762" width="9" style="193" bestFit="1" customWidth="1"/>
    <col min="11763" max="11763" width="13.21875" style="193" bestFit="1" customWidth="1"/>
    <col min="11764" max="11764" width="4.77734375" style="193" bestFit="1" customWidth="1"/>
    <col min="11765" max="11765" width="4.21875" style="193" bestFit="1" customWidth="1"/>
    <col min="11766" max="11766" width="9.21875" style="193" bestFit="1" customWidth="1"/>
    <col min="11767" max="11767" width="9.21875" style="193" customWidth="1"/>
    <col min="11768" max="11768" width="2.21875" style="193" bestFit="1" customWidth="1"/>
    <col min="11769" max="11769" width="7.21875" style="193" bestFit="1" customWidth="1"/>
    <col min="11770" max="11770" width="2.21875" style="193" bestFit="1" customWidth="1"/>
    <col min="11771" max="11771" width="7.21875" style="193" bestFit="1" customWidth="1"/>
    <col min="11772" max="11772" width="2.21875" style="193" bestFit="1" customWidth="1"/>
    <col min="11773" max="11773" width="7.21875" style="193" bestFit="1" customWidth="1"/>
    <col min="11774" max="11774" width="16.21875" style="193" bestFit="1" customWidth="1"/>
    <col min="11775" max="11775" width="23.21875" style="193" customWidth="1"/>
    <col min="11776" max="11776" width="27.21875" style="193" customWidth="1"/>
    <col min="11777" max="11781" width="8.77734375" style="193"/>
    <col min="11782" max="11782" width="44.77734375" style="193" bestFit="1" customWidth="1"/>
    <col min="11783" max="12008" width="8.77734375" style="193"/>
    <col min="12009" max="12009" width="19.21875" style="193" customWidth="1"/>
    <col min="12010" max="12011" width="8.77734375" style="193"/>
    <col min="12012" max="12012" width="27.21875" style="193" customWidth="1"/>
    <col min="12013" max="12013" width="9.21875" style="193" bestFit="1" customWidth="1"/>
    <col min="12014" max="12014" width="27" style="193" customWidth="1"/>
    <col min="12015" max="12015" width="10.21875" style="193" bestFit="1" customWidth="1"/>
    <col min="12016" max="12016" width="23.21875" style="193" customWidth="1"/>
    <col min="12017" max="12017" width="26.21875" style="193" customWidth="1"/>
    <col min="12018" max="12018" width="9" style="193" bestFit="1" customWidth="1"/>
    <col min="12019" max="12019" width="13.21875" style="193" bestFit="1" customWidth="1"/>
    <col min="12020" max="12020" width="4.77734375" style="193" bestFit="1" customWidth="1"/>
    <col min="12021" max="12021" width="4.21875" style="193" bestFit="1" customWidth="1"/>
    <col min="12022" max="12022" width="9.21875" style="193" bestFit="1" customWidth="1"/>
    <col min="12023" max="12023" width="9.21875" style="193" customWidth="1"/>
    <col min="12024" max="12024" width="2.21875" style="193" bestFit="1" customWidth="1"/>
    <col min="12025" max="12025" width="7.21875" style="193" bestFit="1" customWidth="1"/>
    <col min="12026" max="12026" width="2.21875" style="193" bestFit="1" customWidth="1"/>
    <col min="12027" max="12027" width="7.21875" style="193" bestFit="1" customWidth="1"/>
    <col min="12028" max="12028" width="2.21875" style="193" bestFit="1" customWidth="1"/>
    <col min="12029" max="12029" width="7.21875" style="193" bestFit="1" customWidth="1"/>
    <col min="12030" max="12030" width="16.21875" style="193" bestFit="1" customWidth="1"/>
    <col min="12031" max="12031" width="23.21875" style="193" customWidth="1"/>
    <col min="12032" max="12032" width="27.21875" style="193" customWidth="1"/>
    <col min="12033" max="12037" width="8.77734375" style="193"/>
    <col min="12038" max="12038" width="44.77734375" style="193" bestFit="1" customWidth="1"/>
    <col min="12039" max="12264" width="8.77734375" style="193"/>
    <col min="12265" max="12265" width="19.21875" style="193" customWidth="1"/>
    <col min="12266" max="12267" width="8.77734375" style="193"/>
    <col min="12268" max="12268" width="27.21875" style="193" customWidth="1"/>
    <col min="12269" max="12269" width="9.21875" style="193" bestFit="1" customWidth="1"/>
    <col min="12270" max="12270" width="27" style="193" customWidth="1"/>
    <col min="12271" max="12271" width="10.21875" style="193" bestFit="1" customWidth="1"/>
    <col min="12272" max="12272" width="23.21875" style="193" customWidth="1"/>
    <col min="12273" max="12273" width="26.21875" style="193" customWidth="1"/>
    <col min="12274" max="12274" width="9" style="193" bestFit="1" customWidth="1"/>
    <col min="12275" max="12275" width="13.21875" style="193" bestFit="1" customWidth="1"/>
    <col min="12276" max="12276" width="4.77734375" style="193" bestFit="1" customWidth="1"/>
    <col min="12277" max="12277" width="4.21875" style="193" bestFit="1" customWidth="1"/>
    <col min="12278" max="12278" width="9.21875" style="193" bestFit="1" customWidth="1"/>
    <col min="12279" max="12279" width="9.21875" style="193" customWidth="1"/>
    <col min="12280" max="12280" width="2.21875" style="193" bestFit="1" customWidth="1"/>
    <col min="12281" max="12281" width="7.21875" style="193" bestFit="1" customWidth="1"/>
    <col min="12282" max="12282" width="2.21875" style="193" bestFit="1" customWidth="1"/>
    <col min="12283" max="12283" width="7.21875" style="193" bestFit="1" customWidth="1"/>
    <col min="12284" max="12284" width="2.21875" style="193" bestFit="1" customWidth="1"/>
    <col min="12285" max="12285" width="7.21875" style="193" bestFit="1" customWidth="1"/>
    <col min="12286" max="12286" width="16.21875" style="193" bestFit="1" customWidth="1"/>
    <col min="12287" max="12287" width="23.21875" style="193" customWidth="1"/>
    <col min="12288" max="12288" width="27.21875" style="193" customWidth="1"/>
    <col min="12289" max="12293" width="8.77734375" style="193"/>
    <col min="12294" max="12294" width="44.77734375" style="193" bestFit="1" customWidth="1"/>
    <col min="12295" max="12520" width="8.77734375" style="193"/>
    <col min="12521" max="12521" width="19.21875" style="193" customWidth="1"/>
    <col min="12522" max="12523" width="8.77734375" style="193"/>
    <col min="12524" max="12524" width="27.21875" style="193" customWidth="1"/>
    <col min="12525" max="12525" width="9.21875" style="193" bestFit="1" customWidth="1"/>
    <col min="12526" max="12526" width="27" style="193" customWidth="1"/>
    <col min="12527" max="12527" width="10.21875" style="193" bestFit="1" customWidth="1"/>
    <col min="12528" max="12528" width="23.21875" style="193" customWidth="1"/>
    <col min="12529" max="12529" width="26.21875" style="193" customWidth="1"/>
    <col min="12530" max="12530" width="9" style="193" bestFit="1" customWidth="1"/>
    <col min="12531" max="12531" width="13.21875" style="193" bestFit="1" customWidth="1"/>
    <col min="12532" max="12532" width="4.77734375" style="193" bestFit="1" customWidth="1"/>
    <col min="12533" max="12533" width="4.21875" style="193" bestFit="1" customWidth="1"/>
    <col min="12534" max="12534" width="9.21875" style="193" bestFit="1" customWidth="1"/>
    <col min="12535" max="12535" width="9.21875" style="193" customWidth="1"/>
    <col min="12536" max="12536" width="2.21875" style="193" bestFit="1" customWidth="1"/>
    <col min="12537" max="12537" width="7.21875" style="193" bestFit="1" customWidth="1"/>
    <col min="12538" max="12538" width="2.21875" style="193" bestFit="1" customWidth="1"/>
    <col min="12539" max="12539" width="7.21875" style="193" bestFit="1" customWidth="1"/>
    <col min="12540" max="12540" width="2.21875" style="193" bestFit="1" customWidth="1"/>
    <col min="12541" max="12541" width="7.21875" style="193" bestFit="1" customWidth="1"/>
    <col min="12542" max="12542" width="16.21875" style="193" bestFit="1" customWidth="1"/>
    <col min="12543" max="12543" width="23.21875" style="193" customWidth="1"/>
    <col min="12544" max="12544" width="27.21875" style="193" customWidth="1"/>
    <col min="12545" max="12549" width="8.77734375" style="193"/>
    <col min="12550" max="12550" width="44.77734375" style="193" bestFit="1" customWidth="1"/>
    <col min="12551" max="12776" width="8.77734375" style="193"/>
    <col min="12777" max="12777" width="19.21875" style="193" customWidth="1"/>
    <col min="12778" max="12779" width="8.77734375" style="193"/>
    <col min="12780" max="12780" width="27.21875" style="193" customWidth="1"/>
    <col min="12781" max="12781" width="9.21875" style="193" bestFit="1" customWidth="1"/>
    <col min="12782" max="12782" width="27" style="193" customWidth="1"/>
    <col min="12783" max="12783" width="10.21875" style="193" bestFit="1" customWidth="1"/>
    <col min="12784" max="12784" width="23.21875" style="193" customWidth="1"/>
    <col min="12785" max="12785" width="26.21875" style="193" customWidth="1"/>
    <col min="12786" max="12786" width="9" style="193" bestFit="1" customWidth="1"/>
    <col min="12787" max="12787" width="13.21875" style="193" bestFit="1" customWidth="1"/>
    <col min="12788" max="12788" width="4.77734375" style="193" bestFit="1" customWidth="1"/>
    <col min="12789" max="12789" width="4.21875" style="193" bestFit="1" customWidth="1"/>
    <col min="12790" max="12790" width="9.21875" style="193" bestFit="1" customWidth="1"/>
    <col min="12791" max="12791" width="9.21875" style="193" customWidth="1"/>
    <col min="12792" max="12792" width="2.21875" style="193" bestFit="1" customWidth="1"/>
    <col min="12793" max="12793" width="7.21875" style="193" bestFit="1" customWidth="1"/>
    <col min="12794" max="12794" width="2.21875" style="193" bestFit="1" customWidth="1"/>
    <col min="12795" max="12795" width="7.21875" style="193" bestFit="1" customWidth="1"/>
    <col min="12796" max="12796" width="2.21875" style="193" bestFit="1" customWidth="1"/>
    <col min="12797" max="12797" width="7.21875" style="193" bestFit="1" customWidth="1"/>
    <col min="12798" max="12798" width="16.21875" style="193" bestFit="1" customWidth="1"/>
    <col min="12799" max="12799" width="23.21875" style="193" customWidth="1"/>
    <col min="12800" max="12800" width="27.21875" style="193" customWidth="1"/>
    <col min="12801" max="12805" width="8.77734375" style="193"/>
    <col min="12806" max="12806" width="44.77734375" style="193" bestFit="1" customWidth="1"/>
    <col min="12807" max="13032" width="8.77734375" style="193"/>
    <col min="13033" max="13033" width="19.21875" style="193" customWidth="1"/>
    <col min="13034" max="13035" width="8.77734375" style="193"/>
    <col min="13036" max="13036" width="27.21875" style="193" customWidth="1"/>
    <col min="13037" max="13037" width="9.21875" style="193" bestFit="1" customWidth="1"/>
    <col min="13038" max="13038" width="27" style="193" customWidth="1"/>
    <col min="13039" max="13039" width="10.21875" style="193" bestFit="1" customWidth="1"/>
    <col min="13040" max="13040" width="23.21875" style="193" customWidth="1"/>
    <col min="13041" max="13041" width="26.21875" style="193" customWidth="1"/>
    <col min="13042" max="13042" width="9" style="193" bestFit="1" customWidth="1"/>
    <col min="13043" max="13043" width="13.21875" style="193" bestFit="1" customWidth="1"/>
    <col min="13044" max="13044" width="4.77734375" style="193" bestFit="1" customWidth="1"/>
    <col min="13045" max="13045" width="4.21875" style="193" bestFit="1" customWidth="1"/>
    <col min="13046" max="13046" width="9.21875" style="193" bestFit="1" customWidth="1"/>
    <col min="13047" max="13047" width="9.21875" style="193" customWidth="1"/>
    <col min="13048" max="13048" width="2.21875" style="193" bestFit="1" customWidth="1"/>
    <col min="13049" max="13049" width="7.21875" style="193" bestFit="1" customWidth="1"/>
    <col min="13050" max="13050" width="2.21875" style="193" bestFit="1" customWidth="1"/>
    <col min="13051" max="13051" width="7.21875" style="193" bestFit="1" customWidth="1"/>
    <col min="13052" max="13052" width="2.21875" style="193" bestFit="1" customWidth="1"/>
    <col min="13053" max="13053" width="7.21875" style="193" bestFit="1" customWidth="1"/>
    <col min="13054" max="13054" width="16.21875" style="193" bestFit="1" customWidth="1"/>
    <col min="13055" max="13055" width="23.21875" style="193" customWidth="1"/>
    <col min="13056" max="13056" width="27.21875" style="193" customWidth="1"/>
    <col min="13057" max="13061" width="8.77734375" style="193"/>
    <col min="13062" max="13062" width="44.77734375" style="193" bestFit="1" customWidth="1"/>
    <col min="13063" max="13288" width="8.77734375" style="193"/>
    <col min="13289" max="13289" width="19.21875" style="193" customWidth="1"/>
    <col min="13290" max="13291" width="8.77734375" style="193"/>
    <col min="13292" max="13292" width="27.21875" style="193" customWidth="1"/>
    <col min="13293" max="13293" width="9.21875" style="193" bestFit="1" customWidth="1"/>
    <col min="13294" max="13294" width="27" style="193" customWidth="1"/>
    <col min="13295" max="13295" width="10.21875" style="193" bestFit="1" customWidth="1"/>
    <col min="13296" max="13296" width="23.21875" style="193" customWidth="1"/>
    <col min="13297" max="13297" width="26.21875" style="193" customWidth="1"/>
    <col min="13298" max="13298" width="9" style="193" bestFit="1" customWidth="1"/>
    <col min="13299" max="13299" width="13.21875" style="193" bestFit="1" customWidth="1"/>
    <col min="13300" max="13300" width="4.77734375" style="193" bestFit="1" customWidth="1"/>
    <col min="13301" max="13301" width="4.21875" style="193" bestFit="1" customWidth="1"/>
    <col min="13302" max="13302" width="9.21875" style="193" bestFit="1" customWidth="1"/>
    <col min="13303" max="13303" width="9.21875" style="193" customWidth="1"/>
    <col min="13304" max="13304" width="2.21875" style="193" bestFit="1" customWidth="1"/>
    <col min="13305" max="13305" width="7.21875" style="193" bestFit="1" customWidth="1"/>
    <col min="13306" max="13306" width="2.21875" style="193" bestFit="1" customWidth="1"/>
    <col min="13307" max="13307" width="7.21875" style="193" bestFit="1" customWidth="1"/>
    <col min="13308" max="13308" width="2.21875" style="193" bestFit="1" customWidth="1"/>
    <col min="13309" max="13309" width="7.21875" style="193" bestFit="1" customWidth="1"/>
    <col min="13310" max="13310" width="16.21875" style="193" bestFit="1" customWidth="1"/>
    <col min="13311" max="13311" width="23.21875" style="193" customWidth="1"/>
    <col min="13312" max="13312" width="27.21875" style="193" customWidth="1"/>
    <col min="13313" max="13317" width="8.77734375" style="193"/>
    <col min="13318" max="13318" width="44.77734375" style="193" bestFit="1" customWidth="1"/>
    <col min="13319" max="13544" width="8.77734375" style="193"/>
    <col min="13545" max="13545" width="19.21875" style="193" customWidth="1"/>
    <col min="13546" max="13547" width="8.77734375" style="193"/>
    <col min="13548" max="13548" width="27.21875" style="193" customWidth="1"/>
    <col min="13549" max="13549" width="9.21875" style="193" bestFit="1" customWidth="1"/>
    <col min="13550" max="13550" width="27" style="193" customWidth="1"/>
    <col min="13551" max="13551" width="10.21875" style="193" bestFit="1" customWidth="1"/>
    <col min="13552" max="13552" width="23.21875" style="193" customWidth="1"/>
    <col min="13553" max="13553" width="26.21875" style="193" customWidth="1"/>
    <col min="13554" max="13554" width="9" style="193" bestFit="1" customWidth="1"/>
    <col min="13555" max="13555" width="13.21875" style="193" bestFit="1" customWidth="1"/>
    <col min="13556" max="13556" width="4.77734375" style="193" bestFit="1" customWidth="1"/>
    <col min="13557" max="13557" width="4.21875" style="193" bestFit="1" customWidth="1"/>
    <col min="13558" max="13558" width="9.21875" style="193" bestFit="1" customWidth="1"/>
    <col min="13559" max="13559" width="9.21875" style="193" customWidth="1"/>
    <col min="13560" max="13560" width="2.21875" style="193" bestFit="1" customWidth="1"/>
    <col min="13561" max="13561" width="7.21875" style="193" bestFit="1" customWidth="1"/>
    <col min="13562" max="13562" width="2.21875" style="193" bestFit="1" customWidth="1"/>
    <col min="13563" max="13563" width="7.21875" style="193" bestFit="1" customWidth="1"/>
    <col min="13564" max="13564" width="2.21875" style="193" bestFit="1" customWidth="1"/>
    <col min="13565" max="13565" width="7.21875" style="193" bestFit="1" customWidth="1"/>
    <col min="13566" max="13566" width="16.21875" style="193" bestFit="1" customWidth="1"/>
    <col min="13567" max="13567" width="23.21875" style="193" customWidth="1"/>
    <col min="13568" max="13568" width="27.21875" style="193" customWidth="1"/>
    <col min="13569" max="13573" width="8.77734375" style="193"/>
    <col min="13574" max="13574" width="44.77734375" style="193" bestFit="1" customWidth="1"/>
    <col min="13575" max="13800" width="8.77734375" style="193"/>
    <col min="13801" max="13801" width="19.21875" style="193" customWidth="1"/>
    <col min="13802" max="13803" width="8.77734375" style="193"/>
    <col min="13804" max="13804" width="27.21875" style="193" customWidth="1"/>
    <col min="13805" max="13805" width="9.21875" style="193" bestFit="1" customWidth="1"/>
    <col min="13806" max="13806" width="27" style="193" customWidth="1"/>
    <col min="13807" max="13807" width="10.21875" style="193" bestFit="1" customWidth="1"/>
    <col min="13808" max="13808" width="23.21875" style="193" customWidth="1"/>
    <col min="13809" max="13809" width="26.21875" style="193" customWidth="1"/>
    <col min="13810" max="13810" width="9" style="193" bestFit="1" customWidth="1"/>
    <col min="13811" max="13811" width="13.21875" style="193" bestFit="1" customWidth="1"/>
    <col min="13812" max="13812" width="4.77734375" style="193" bestFit="1" customWidth="1"/>
    <col min="13813" max="13813" width="4.21875" style="193" bestFit="1" customWidth="1"/>
    <col min="13814" max="13814" width="9.21875" style="193" bestFit="1" customWidth="1"/>
    <col min="13815" max="13815" width="9.21875" style="193" customWidth="1"/>
    <col min="13816" max="13816" width="2.21875" style="193" bestFit="1" customWidth="1"/>
    <col min="13817" max="13817" width="7.21875" style="193" bestFit="1" customWidth="1"/>
    <col min="13818" max="13818" width="2.21875" style="193" bestFit="1" customWidth="1"/>
    <col min="13819" max="13819" width="7.21875" style="193" bestFit="1" customWidth="1"/>
    <col min="13820" max="13820" width="2.21875" style="193" bestFit="1" customWidth="1"/>
    <col min="13821" max="13821" width="7.21875" style="193" bestFit="1" customWidth="1"/>
    <col min="13822" max="13822" width="16.21875" style="193" bestFit="1" customWidth="1"/>
    <col min="13823" max="13823" width="23.21875" style="193" customWidth="1"/>
    <col min="13824" max="13824" width="27.21875" style="193" customWidth="1"/>
    <col min="13825" max="13829" width="8.77734375" style="193"/>
    <col min="13830" max="13830" width="44.77734375" style="193" bestFit="1" customWidth="1"/>
    <col min="13831" max="14056" width="8.77734375" style="193"/>
    <col min="14057" max="14057" width="19.21875" style="193" customWidth="1"/>
    <col min="14058" max="14059" width="8.77734375" style="193"/>
    <col min="14060" max="14060" width="27.21875" style="193" customWidth="1"/>
    <col min="14061" max="14061" width="9.21875" style="193" bestFit="1" customWidth="1"/>
    <col min="14062" max="14062" width="27" style="193" customWidth="1"/>
    <col min="14063" max="14063" width="10.21875" style="193" bestFit="1" customWidth="1"/>
    <col min="14064" max="14064" width="23.21875" style="193" customWidth="1"/>
    <col min="14065" max="14065" width="26.21875" style="193" customWidth="1"/>
    <col min="14066" max="14066" width="9" style="193" bestFit="1" customWidth="1"/>
    <col min="14067" max="14067" width="13.21875" style="193" bestFit="1" customWidth="1"/>
    <col min="14068" max="14068" width="4.77734375" style="193" bestFit="1" customWidth="1"/>
    <col min="14069" max="14069" width="4.21875" style="193" bestFit="1" customWidth="1"/>
    <col min="14070" max="14070" width="9.21875" style="193" bestFit="1" customWidth="1"/>
    <col min="14071" max="14071" width="9.21875" style="193" customWidth="1"/>
    <col min="14072" max="14072" width="2.21875" style="193" bestFit="1" customWidth="1"/>
    <col min="14073" max="14073" width="7.21875" style="193" bestFit="1" customWidth="1"/>
    <col min="14074" max="14074" width="2.21875" style="193" bestFit="1" customWidth="1"/>
    <col min="14075" max="14075" width="7.21875" style="193" bestFit="1" customWidth="1"/>
    <col min="14076" max="14076" width="2.21875" style="193" bestFit="1" customWidth="1"/>
    <col min="14077" max="14077" width="7.21875" style="193" bestFit="1" customWidth="1"/>
    <col min="14078" max="14078" width="16.21875" style="193" bestFit="1" customWidth="1"/>
    <col min="14079" max="14079" width="23.21875" style="193" customWidth="1"/>
    <col min="14080" max="14080" width="27.21875" style="193" customWidth="1"/>
    <col min="14081" max="14085" width="8.77734375" style="193"/>
    <col min="14086" max="14086" width="44.77734375" style="193" bestFit="1" customWidth="1"/>
    <col min="14087" max="14312" width="8.77734375" style="193"/>
    <col min="14313" max="14313" width="19.21875" style="193" customWidth="1"/>
    <col min="14314" max="14315" width="8.77734375" style="193"/>
    <col min="14316" max="14316" width="27.21875" style="193" customWidth="1"/>
    <col min="14317" max="14317" width="9.21875" style="193" bestFit="1" customWidth="1"/>
    <col min="14318" max="14318" width="27" style="193" customWidth="1"/>
    <col min="14319" max="14319" width="10.21875" style="193" bestFit="1" customWidth="1"/>
    <col min="14320" max="14320" width="23.21875" style="193" customWidth="1"/>
    <col min="14321" max="14321" width="26.21875" style="193" customWidth="1"/>
    <col min="14322" max="14322" width="9" style="193" bestFit="1" customWidth="1"/>
    <col min="14323" max="14323" width="13.21875" style="193" bestFit="1" customWidth="1"/>
    <col min="14324" max="14324" width="4.77734375" style="193" bestFit="1" customWidth="1"/>
    <col min="14325" max="14325" width="4.21875" style="193" bestFit="1" customWidth="1"/>
    <col min="14326" max="14326" width="9.21875" style="193" bestFit="1" customWidth="1"/>
    <col min="14327" max="14327" width="9.21875" style="193" customWidth="1"/>
    <col min="14328" max="14328" width="2.21875" style="193" bestFit="1" customWidth="1"/>
    <col min="14329" max="14329" width="7.21875" style="193" bestFit="1" customWidth="1"/>
    <col min="14330" max="14330" width="2.21875" style="193" bestFit="1" customWidth="1"/>
    <col min="14331" max="14331" width="7.21875" style="193" bestFit="1" customWidth="1"/>
    <col min="14332" max="14332" width="2.21875" style="193" bestFit="1" customWidth="1"/>
    <col min="14333" max="14333" width="7.21875" style="193" bestFit="1" customWidth="1"/>
    <col min="14334" max="14334" width="16.21875" style="193" bestFit="1" customWidth="1"/>
    <col min="14335" max="14335" width="23.21875" style="193" customWidth="1"/>
    <col min="14336" max="14336" width="27.21875" style="193" customWidth="1"/>
    <col min="14337" max="14341" width="8.77734375" style="193"/>
    <col min="14342" max="14342" width="44.77734375" style="193" bestFit="1" customWidth="1"/>
    <col min="14343" max="14568" width="8.77734375" style="193"/>
    <col min="14569" max="14569" width="19.21875" style="193" customWidth="1"/>
    <col min="14570" max="14571" width="8.77734375" style="193"/>
    <col min="14572" max="14572" width="27.21875" style="193" customWidth="1"/>
    <col min="14573" max="14573" width="9.21875" style="193" bestFit="1" customWidth="1"/>
    <col min="14574" max="14574" width="27" style="193" customWidth="1"/>
    <col min="14575" max="14575" width="10.21875" style="193" bestFit="1" customWidth="1"/>
    <col min="14576" max="14576" width="23.21875" style="193" customWidth="1"/>
    <col min="14577" max="14577" width="26.21875" style="193" customWidth="1"/>
    <col min="14578" max="14578" width="9" style="193" bestFit="1" customWidth="1"/>
    <col min="14579" max="14579" width="13.21875" style="193" bestFit="1" customWidth="1"/>
    <col min="14580" max="14580" width="4.77734375" style="193" bestFit="1" customWidth="1"/>
    <col min="14581" max="14581" width="4.21875" style="193" bestFit="1" customWidth="1"/>
    <col min="14582" max="14582" width="9.21875" style="193" bestFit="1" customWidth="1"/>
    <col min="14583" max="14583" width="9.21875" style="193" customWidth="1"/>
    <col min="14584" max="14584" width="2.21875" style="193" bestFit="1" customWidth="1"/>
    <col min="14585" max="14585" width="7.21875" style="193" bestFit="1" customWidth="1"/>
    <col min="14586" max="14586" width="2.21875" style="193" bestFit="1" customWidth="1"/>
    <col min="14587" max="14587" width="7.21875" style="193" bestFit="1" customWidth="1"/>
    <col min="14588" max="14588" width="2.21875" style="193" bestFit="1" customWidth="1"/>
    <col min="14589" max="14589" width="7.21875" style="193" bestFit="1" customWidth="1"/>
    <col min="14590" max="14590" width="16.21875" style="193" bestFit="1" customWidth="1"/>
    <col min="14591" max="14591" width="23.21875" style="193" customWidth="1"/>
    <col min="14592" max="14592" width="27.21875" style="193" customWidth="1"/>
    <col min="14593" max="14597" width="8.77734375" style="193"/>
    <col min="14598" max="14598" width="44.77734375" style="193" bestFit="1" customWidth="1"/>
    <col min="14599" max="14824" width="8.77734375" style="193"/>
    <col min="14825" max="14825" width="19.21875" style="193" customWidth="1"/>
    <col min="14826" max="14827" width="8.77734375" style="193"/>
    <col min="14828" max="14828" width="27.21875" style="193" customWidth="1"/>
    <col min="14829" max="14829" width="9.21875" style="193" bestFit="1" customWidth="1"/>
    <col min="14830" max="14830" width="27" style="193" customWidth="1"/>
    <col min="14831" max="14831" width="10.21875" style="193" bestFit="1" customWidth="1"/>
    <col min="14832" max="14832" width="23.21875" style="193" customWidth="1"/>
    <col min="14833" max="14833" width="26.21875" style="193" customWidth="1"/>
    <col min="14834" max="14834" width="9" style="193" bestFit="1" customWidth="1"/>
    <col min="14835" max="14835" width="13.21875" style="193" bestFit="1" customWidth="1"/>
    <col min="14836" max="14836" width="4.77734375" style="193" bestFit="1" customWidth="1"/>
    <col min="14837" max="14837" width="4.21875" style="193" bestFit="1" customWidth="1"/>
    <col min="14838" max="14838" width="9.21875" style="193" bestFit="1" customWidth="1"/>
    <col min="14839" max="14839" width="9.21875" style="193" customWidth="1"/>
    <col min="14840" max="14840" width="2.21875" style="193" bestFit="1" customWidth="1"/>
    <col min="14841" max="14841" width="7.21875" style="193" bestFit="1" customWidth="1"/>
    <col min="14842" max="14842" width="2.21875" style="193" bestFit="1" customWidth="1"/>
    <col min="14843" max="14843" width="7.21875" style="193" bestFit="1" customWidth="1"/>
    <col min="14844" max="14844" width="2.21875" style="193" bestFit="1" customWidth="1"/>
    <col min="14845" max="14845" width="7.21875" style="193" bestFit="1" customWidth="1"/>
    <col min="14846" max="14846" width="16.21875" style="193" bestFit="1" customWidth="1"/>
    <col min="14847" max="14847" width="23.21875" style="193" customWidth="1"/>
    <col min="14848" max="14848" width="27.21875" style="193" customWidth="1"/>
    <col min="14849" max="14853" width="8.77734375" style="193"/>
    <col min="14854" max="14854" width="44.77734375" style="193" bestFit="1" customWidth="1"/>
    <col min="14855" max="15080" width="8.77734375" style="193"/>
    <col min="15081" max="15081" width="19.21875" style="193" customWidth="1"/>
    <col min="15082" max="15083" width="8.77734375" style="193"/>
    <col min="15084" max="15084" width="27.21875" style="193" customWidth="1"/>
    <col min="15085" max="15085" width="9.21875" style="193" bestFit="1" customWidth="1"/>
    <col min="15086" max="15086" width="27" style="193" customWidth="1"/>
    <col min="15087" max="15087" width="10.21875" style="193" bestFit="1" customWidth="1"/>
    <col min="15088" max="15088" width="23.21875" style="193" customWidth="1"/>
    <col min="15089" max="15089" width="26.21875" style="193" customWidth="1"/>
    <col min="15090" max="15090" width="9" style="193" bestFit="1" customWidth="1"/>
    <col min="15091" max="15091" width="13.21875" style="193" bestFit="1" customWidth="1"/>
    <col min="15092" max="15092" width="4.77734375" style="193" bestFit="1" customWidth="1"/>
    <col min="15093" max="15093" width="4.21875" style="193" bestFit="1" customWidth="1"/>
    <col min="15094" max="15094" width="9.21875" style="193" bestFit="1" customWidth="1"/>
    <col min="15095" max="15095" width="9.21875" style="193" customWidth="1"/>
    <col min="15096" max="15096" width="2.21875" style="193" bestFit="1" customWidth="1"/>
    <col min="15097" max="15097" width="7.21875" style="193" bestFit="1" customWidth="1"/>
    <col min="15098" max="15098" width="2.21875" style="193" bestFit="1" customWidth="1"/>
    <col min="15099" max="15099" width="7.21875" style="193" bestFit="1" customWidth="1"/>
    <col min="15100" max="15100" width="2.21875" style="193" bestFit="1" customWidth="1"/>
    <col min="15101" max="15101" width="7.21875" style="193" bestFit="1" customWidth="1"/>
    <col min="15102" max="15102" width="16.21875" style="193" bestFit="1" customWidth="1"/>
    <col min="15103" max="15103" width="23.21875" style="193" customWidth="1"/>
    <col min="15104" max="15104" width="27.21875" style="193" customWidth="1"/>
    <col min="15105" max="15109" width="8.77734375" style="193"/>
    <col min="15110" max="15110" width="44.77734375" style="193" bestFit="1" customWidth="1"/>
    <col min="15111" max="15336" width="8.77734375" style="193"/>
    <col min="15337" max="15337" width="19.21875" style="193" customWidth="1"/>
    <col min="15338" max="15339" width="8.77734375" style="193"/>
    <col min="15340" max="15340" width="27.21875" style="193" customWidth="1"/>
    <col min="15341" max="15341" width="9.21875" style="193" bestFit="1" customWidth="1"/>
    <col min="15342" max="15342" width="27" style="193" customWidth="1"/>
    <col min="15343" max="15343" width="10.21875" style="193" bestFit="1" customWidth="1"/>
    <col min="15344" max="15344" width="23.21875" style="193" customWidth="1"/>
    <col min="15345" max="15345" width="26.21875" style="193" customWidth="1"/>
    <col min="15346" max="15346" width="9" style="193" bestFit="1" customWidth="1"/>
    <col min="15347" max="15347" width="13.21875" style="193" bestFit="1" customWidth="1"/>
    <col min="15348" max="15348" width="4.77734375" style="193" bestFit="1" customWidth="1"/>
    <col min="15349" max="15349" width="4.21875" style="193" bestFit="1" customWidth="1"/>
    <col min="15350" max="15350" width="9.21875" style="193" bestFit="1" customWidth="1"/>
    <col min="15351" max="15351" width="9.21875" style="193" customWidth="1"/>
    <col min="15352" max="15352" width="2.21875" style="193" bestFit="1" customWidth="1"/>
    <col min="15353" max="15353" width="7.21875" style="193" bestFit="1" customWidth="1"/>
    <col min="15354" max="15354" width="2.21875" style="193" bestFit="1" customWidth="1"/>
    <col min="15355" max="15355" width="7.21875" style="193" bestFit="1" customWidth="1"/>
    <col min="15356" max="15356" width="2.21875" style="193" bestFit="1" customWidth="1"/>
    <col min="15357" max="15357" width="7.21875" style="193" bestFit="1" customWidth="1"/>
    <col min="15358" max="15358" width="16.21875" style="193" bestFit="1" customWidth="1"/>
    <col min="15359" max="15359" width="23.21875" style="193" customWidth="1"/>
    <col min="15360" max="15360" width="27.21875" style="193" customWidth="1"/>
    <col min="15361" max="15365" width="8.77734375" style="193"/>
    <col min="15366" max="15366" width="44.77734375" style="193" bestFit="1" customWidth="1"/>
    <col min="15367" max="15592" width="8.77734375" style="193"/>
    <col min="15593" max="15593" width="19.21875" style="193" customWidth="1"/>
    <col min="15594" max="15595" width="8.77734375" style="193"/>
    <col min="15596" max="15596" width="27.21875" style="193" customWidth="1"/>
    <col min="15597" max="15597" width="9.21875" style="193" bestFit="1" customWidth="1"/>
    <col min="15598" max="15598" width="27" style="193" customWidth="1"/>
    <col min="15599" max="15599" width="10.21875" style="193" bestFit="1" customWidth="1"/>
    <col min="15600" max="15600" width="23.21875" style="193" customWidth="1"/>
    <col min="15601" max="15601" width="26.21875" style="193" customWidth="1"/>
    <col min="15602" max="15602" width="9" style="193" bestFit="1" customWidth="1"/>
    <col min="15603" max="15603" width="13.21875" style="193" bestFit="1" customWidth="1"/>
    <col min="15604" max="15604" width="4.77734375" style="193" bestFit="1" customWidth="1"/>
    <col min="15605" max="15605" width="4.21875" style="193" bestFit="1" customWidth="1"/>
    <col min="15606" max="15606" width="9.21875" style="193" bestFit="1" customWidth="1"/>
    <col min="15607" max="15607" width="9.21875" style="193" customWidth="1"/>
    <col min="15608" max="15608" width="2.21875" style="193" bestFit="1" customWidth="1"/>
    <col min="15609" max="15609" width="7.21875" style="193" bestFit="1" customWidth="1"/>
    <col min="15610" max="15610" width="2.21875" style="193" bestFit="1" customWidth="1"/>
    <col min="15611" max="15611" width="7.21875" style="193" bestFit="1" customWidth="1"/>
    <col min="15612" max="15612" width="2.21875" style="193" bestFit="1" customWidth="1"/>
    <col min="15613" max="15613" width="7.21875" style="193" bestFit="1" customWidth="1"/>
    <col min="15614" max="15614" width="16.21875" style="193" bestFit="1" customWidth="1"/>
    <col min="15615" max="15615" width="23.21875" style="193" customWidth="1"/>
    <col min="15616" max="15616" width="27.21875" style="193" customWidth="1"/>
    <col min="15617" max="15621" width="8.77734375" style="193"/>
    <col min="15622" max="15622" width="44.77734375" style="193" bestFit="1" customWidth="1"/>
    <col min="15623" max="15848" width="8.77734375" style="193"/>
    <col min="15849" max="15849" width="19.21875" style="193" customWidth="1"/>
    <col min="15850" max="15851" width="8.77734375" style="193"/>
    <col min="15852" max="15852" width="27.21875" style="193" customWidth="1"/>
    <col min="15853" max="15853" width="9.21875" style="193" bestFit="1" customWidth="1"/>
    <col min="15854" max="15854" width="27" style="193" customWidth="1"/>
    <col min="15855" max="15855" width="10.21875" style="193" bestFit="1" customWidth="1"/>
    <col min="15856" max="15856" width="23.21875" style="193" customWidth="1"/>
    <col min="15857" max="15857" width="26.21875" style="193" customWidth="1"/>
    <col min="15858" max="15858" width="9" style="193" bestFit="1" customWidth="1"/>
    <col min="15859" max="15859" width="13.21875" style="193" bestFit="1" customWidth="1"/>
    <col min="15860" max="15860" width="4.77734375" style="193" bestFit="1" customWidth="1"/>
    <col min="15861" max="15861" width="4.21875" style="193" bestFit="1" customWidth="1"/>
    <col min="15862" max="15862" width="9.21875" style="193" bestFit="1" customWidth="1"/>
    <col min="15863" max="15863" width="9.21875" style="193" customWidth="1"/>
    <col min="15864" max="15864" width="2.21875" style="193" bestFit="1" customWidth="1"/>
    <col min="15865" max="15865" width="7.21875" style="193" bestFit="1" customWidth="1"/>
    <col min="15866" max="15866" width="2.21875" style="193" bestFit="1" customWidth="1"/>
    <col min="15867" max="15867" width="7.21875" style="193" bestFit="1" customWidth="1"/>
    <col min="15868" max="15868" width="2.21875" style="193" bestFit="1" customWidth="1"/>
    <col min="15869" max="15869" width="7.21875" style="193" bestFit="1" customWidth="1"/>
    <col min="15870" max="15870" width="16.21875" style="193" bestFit="1" customWidth="1"/>
    <col min="15871" max="15871" width="23.21875" style="193" customWidth="1"/>
    <col min="15872" max="15872" width="27.21875" style="193" customWidth="1"/>
    <col min="15873" max="15877" width="8.77734375" style="193"/>
    <col min="15878" max="15878" width="44.77734375" style="193" bestFit="1" customWidth="1"/>
    <col min="15879" max="16104" width="8.77734375" style="193"/>
    <col min="16105" max="16105" width="19.21875" style="193" customWidth="1"/>
    <col min="16106" max="16107" width="8.77734375" style="193"/>
    <col min="16108" max="16108" width="27.21875" style="193" customWidth="1"/>
    <col min="16109" max="16109" width="9.21875" style="193" bestFit="1" customWidth="1"/>
    <col min="16110" max="16110" width="27" style="193" customWidth="1"/>
    <col min="16111" max="16111" width="10.21875" style="193" bestFit="1" customWidth="1"/>
    <col min="16112" max="16112" width="23.21875" style="193" customWidth="1"/>
    <col min="16113" max="16113" width="26.21875" style="193" customWidth="1"/>
    <col min="16114" max="16114" width="9" style="193" bestFit="1" customWidth="1"/>
    <col min="16115" max="16115" width="13.21875" style="193" bestFit="1" customWidth="1"/>
    <col min="16116" max="16116" width="4.77734375" style="193" bestFit="1" customWidth="1"/>
    <col min="16117" max="16117" width="4.21875" style="193" bestFit="1" customWidth="1"/>
    <col min="16118" max="16118" width="9.21875" style="193" bestFit="1" customWidth="1"/>
    <col min="16119" max="16119" width="9.21875" style="193" customWidth="1"/>
    <col min="16120" max="16120" width="2.21875" style="193" bestFit="1" customWidth="1"/>
    <col min="16121" max="16121" width="7.21875" style="193" bestFit="1" customWidth="1"/>
    <col min="16122" max="16122" width="2.21875" style="193" bestFit="1" customWidth="1"/>
    <col min="16123" max="16123" width="7.21875" style="193" bestFit="1" customWidth="1"/>
    <col min="16124" max="16124" width="2.21875" style="193" bestFit="1" customWidth="1"/>
    <col min="16125" max="16125" width="7.21875" style="193" bestFit="1" customWidth="1"/>
    <col min="16126" max="16126" width="16.21875" style="193" bestFit="1" customWidth="1"/>
    <col min="16127" max="16127" width="23.21875" style="193" customWidth="1"/>
    <col min="16128" max="16128" width="27.21875" style="193" customWidth="1"/>
    <col min="16129" max="16133" width="8.77734375" style="193"/>
    <col min="16134" max="16134" width="44.77734375" style="193" bestFit="1" customWidth="1"/>
    <col min="16135" max="16350" width="8.77734375" style="193"/>
    <col min="16351" max="16384" width="9.21875" style="193" customWidth="1"/>
  </cols>
  <sheetData>
    <row r="1" spans="1:9" ht="23.4">
      <c r="A1" s="95" t="s">
        <v>377</v>
      </c>
      <c r="D1" s="1382" t="s">
        <v>381</v>
      </c>
      <c r="E1" s="1382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7734375" defaultRowHeight="30" customHeight="1"/>
  <cols>
    <col min="1" max="1" width="8.77734375" style="98"/>
    <col min="2" max="2" width="31" style="98" customWidth="1"/>
    <col min="3" max="5" width="10.6640625" style="575" customWidth="1"/>
    <col min="6" max="16384" width="8.777343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640625" defaultRowHeight="24.75" customHeight="1"/>
  <cols>
    <col min="1" max="1" width="8.6640625" style="405"/>
    <col min="2" max="3" width="3.21875" style="203" customWidth="1"/>
    <col min="4" max="4" width="27" style="203" customWidth="1"/>
    <col min="5" max="5" width="10.6640625" style="204" customWidth="1"/>
    <col min="6" max="17" width="12.77734375" style="205" hidden="1" customWidth="1"/>
    <col min="18" max="18" width="12.77734375" style="205" customWidth="1"/>
    <col min="19" max="19" width="1.21875" style="527" customWidth="1"/>
    <col min="20" max="21" width="11.77734375" style="203" customWidth="1"/>
    <col min="22" max="30" width="18.21875" style="203" customWidth="1"/>
    <col min="31" max="31" width="11" style="203" customWidth="1"/>
    <col min="32" max="16384" width="8.664062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383" t="s">
        <v>114</v>
      </c>
      <c r="C2" s="1384"/>
      <c r="D2" s="1384"/>
      <c r="E2" s="1385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383" t="s">
        <v>114</v>
      </c>
      <c r="C17" s="1384"/>
      <c r="D17" s="1384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383" t="s">
        <v>114</v>
      </c>
      <c r="C33" s="1384"/>
      <c r="D33" s="1384"/>
      <c r="E33" s="1385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383" t="s">
        <v>114</v>
      </c>
      <c r="C48" s="1384"/>
      <c r="D48" s="1384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386" t="s">
        <v>114</v>
      </c>
      <c r="C63" s="1387"/>
      <c r="D63" s="1387"/>
      <c r="E63" s="1388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392" t="s">
        <v>393</v>
      </c>
      <c r="U63" s="1394" t="s">
        <v>385</v>
      </c>
      <c r="V63" s="1415" t="s">
        <v>21</v>
      </c>
      <c r="W63" s="1416"/>
      <c r="X63" s="1417"/>
      <c r="Y63" s="1397" t="s">
        <v>41</v>
      </c>
      <c r="Z63" s="1398"/>
      <c r="AA63" s="1399"/>
      <c r="AB63" s="1406" t="s">
        <v>102</v>
      </c>
      <c r="AC63" s="1407"/>
      <c r="AD63" s="1408"/>
    </row>
    <row r="64" spans="1:30" ht="24.75" customHeight="1" thickBot="1">
      <c r="B64" s="1389"/>
      <c r="C64" s="1390"/>
      <c r="D64" s="1390"/>
      <c r="E64" s="1391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393"/>
      <c r="U64" s="1395"/>
      <c r="V64" s="1421"/>
      <c r="W64" s="1422"/>
      <c r="X64" s="1423"/>
      <c r="Y64" s="1403"/>
      <c r="Z64" s="1404"/>
      <c r="AA64" s="1405"/>
      <c r="AB64" s="1412"/>
      <c r="AC64" s="1413"/>
      <c r="AD64" s="1414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396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386" t="s">
        <v>114</v>
      </c>
      <c r="C81" s="1387"/>
      <c r="D81" s="1387"/>
      <c r="E81" s="1388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389"/>
      <c r="C82" s="1390"/>
      <c r="D82" s="1390"/>
      <c r="E82" s="1391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415" t="s">
        <v>21</v>
      </c>
      <c r="W98" s="1416"/>
      <c r="X98" s="1417"/>
      <c r="Y98" s="1397" t="s">
        <v>41</v>
      </c>
      <c r="Z98" s="1398"/>
      <c r="AA98" s="1399"/>
      <c r="AB98" s="1406" t="s">
        <v>43</v>
      </c>
      <c r="AC98" s="1407"/>
      <c r="AD98" s="1408"/>
    </row>
    <row r="99" spans="1:30" ht="24.75" customHeight="1">
      <c r="V99" s="1418"/>
      <c r="W99" s="1419"/>
      <c r="X99" s="1420"/>
      <c r="Y99" s="1400"/>
      <c r="Z99" s="1401"/>
      <c r="AA99" s="1402"/>
      <c r="AB99" s="1409"/>
      <c r="AC99" s="1410"/>
      <c r="AD99" s="1411"/>
    </row>
    <row r="100" spans="1:30" ht="24.75" customHeight="1" thickBot="1">
      <c r="V100" s="1421"/>
      <c r="W100" s="1422"/>
      <c r="X100" s="1423"/>
      <c r="Y100" s="1403"/>
      <c r="Z100" s="1404"/>
      <c r="AA100" s="1405"/>
      <c r="AB100" s="1412"/>
      <c r="AC100" s="1413"/>
      <c r="AD100" s="1414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Y98:AA100"/>
    <mergeCell ref="AB98:AD100"/>
    <mergeCell ref="V98:X100"/>
    <mergeCell ref="AB63:AD64"/>
    <mergeCell ref="Y63:AA64"/>
    <mergeCell ref="V63:X64"/>
    <mergeCell ref="B2:E2"/>
    <mergeCell ref="B33:E33"/>
    <mergeCell ref="B81:E82"/>
    <mergeCell ref="T63:T64"/>
    <mergeCell ref="U63:U65"/>
    <mergeCell ref="B63:E64"/>
    <mergeCell ref="B17:D17"/>
    <mergeCell ref="B48:D48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21875" defaultRowHeight="14.4"/>
  <cols>
    <col min="1" max="1" width="5.21875" style="466" customWidth="1"/>
    <col min="2" max="2" width="42.21875" style="253" customWidth="1"/>
    <col min="3" max="3" width="1.21875" style="253" customWidth="1"/>
    <col min="4" max="4" width="13.21875" style="471" customWidth="1"/>
    <col min="5" max="5" width="14.21875" style="471" bestFit="1" customWidth="1"/>
    <col min="6" max="6" width="12" style="471" customWidth="1"/>
    <col min="7" max="7" width="13.77734375" style="471" customWidth="1"/>
    <col min="8" max="9" width="12" style="471" customWidth="1"/>
    <col min="10" max="10" width="12.21875" style="471" bestFit="1" customWidth="1"/>
    <col min="11" max="11" width="13.21875" style="471" customWidth="1"/>
    <col min="12" max="12" width="12.21875" style="471" customWidth="1"/>
    <col min="13" max="13" width="13" style="471" customWidth="1"/>
    <col min="14" max="15" width="12.21875" style="471" customWidth="1"/>
    <col min="16" max="16" width="15" style="471" customWidth="1"/>
    <col min="17" max="17" width="15.21875" style="253" bestFit="1" customWidth="1"/>
    <col min="18" max="18" width="12.21875" style="253" bestFit="1" customWidth="1"/>
    <col min="19" max="19" width="12.77734375" style="253" bestFit="1" customWidth="1"/>
    <col min="20" max="20" width="22.21875" style="253" customWidth="1"/>
    <col min="21" max="22" width="11.21875" style="253" bestFit="1" customWidth="1"/>
    <col min="23" max="23" width="17.21875" style="253" bestFit="1" customWidth="1"/>
    <col min="24" max="29" width="11.21875" style="253" bestFit="1" customWidth="1"/>
    <col min="30" max="30" width="12.21875" style="253" customWidth="1"/>
    <col min="31" max="16384" width="9.21875" style="253"/>
  </cols>
  <sheetData>
    <row r="1" spans="1:22" ht="18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5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5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5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5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21875" defaultRowHeight="14.4"/>
  <cols>
    <col min="1" max="1" width="4.21875" style="478" customWidth="1"/>
    <col min="2" max="2" width="38.21875" style="262" customWidth="1"/>
    <col min="3" max="15" width="12.77734375" style="313" customWidth="1"/>
    <col min="16" max="16" width="15.21875" style="260" hidden="1" customWidth="1"/>
    <col min="17" max="17" width="16.21875" style="265" customWidth="1"/>
    <col min="18" max="19" width="16.21875" style="262" customWidth="1"/>
    <col min="20" max="27" width="16.21875" style="263" customWidth="1"/>
    <col min="28" max="28" width="17.21875" style="262" customWidth="1"/>
    <col min="29" max="29" width="14" style="262" customWidth="1"/>
    <col min="30" max="16384" width="7.21875" style="262"/>
  </cols>
  <sheetData>
    <row r="1" spans="1:30" ht="18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6.2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5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21875" defaultRowHeight="14.4"/>
  <cols>
    <col min="1" max="1" width="5.21875" style="265" customWidth="1"/>
    <col min="2" max="2" width="32.21875" style="319" customWidth="1"/>
    <col min="3" max="14" width="13.21875" style="358" bestFit="1" customWidth="1"/>
    <col min="15" max="15" width="12.21875" style="358" customWidth="1"/>
    <col min="16" max="16" width="14.21875" style="319" hidden="1" customWidth="1"/>
    <col min="17" max="16384" width="7.21875" style="319"/>
  </cols>
  <sheetData>
    <row r="1" spans="1:22" s="262" customFormat="1" ht="18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6.2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 ht="28.8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8.8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5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6.2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6.2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6.2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6.2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6.2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6.2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6.2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6.2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6.2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6.2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6.2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6.2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6.2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6.2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6.2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6.2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6.2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6.2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6.2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6.2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6.2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6.2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6.2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6.2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6.2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6.2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6.2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6.2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6.2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Artur Scherbin</cp:lastModifiedBy>
  <cp:lastPrinted>2024-11-25T05:32:19Z</cp:lastPrinted>
  <dcterms:created xsi:type="dcterms:W3CDTF">2022-03-01T16:34:50Z</dcterms:created>
  <dcterms:modified xsi:type="dcterms:W3CDTF">2025-08-18T14:05:28Z</dcterms:modified>
</cp:coreProperties>
</file>